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6.xml" ContentType="application/vnd.openxmlformats-officedocument.spreadsheetml.table+xml"/>
  <Override PartName="/xl/tables/table4.xml" ContentType="application/vnd.openxmlformats-officedocument.spreadsheetml.table+xml"/>
  <Override PartName="/xl/tables/table23.xml" ContentType="application/vnd.openxmlformats-officedocument.spreadsheetml.table+xml"/>
  <Override PartName="/xl/tables/table5.xml" ContentType="application/vnd.openxmlformats-officedocument.spreadsheetml.table+xml"/>
  <Override PartName="/xl/tables/table2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25.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2" name="_xlnm.Print_Area" vbProcedure="false">Roadmap!$A$1:$AI$39</definedName>
    <definedName function="false" hidden="false" localSheetId="1" name="_xlnm.Print_Area" vbProcedure="false">Status!$B$1:$H$90</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DuplicateUIDs" vbProcedure="false">Settings!$C$42</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Tasks!$HH$5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v_Days" vbProcedure="false">LeaveDays[Days]</definedName>
    <definedName function="false" hidden="false" name="lv_Key" vbProcedure="false">LeaveDays[_Key]</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MissingUIDs" vbProcedure="false">Settings!$C$43</definedName>
    <definedName function="false" hidden="false" name="NextFreeUID" vbProcedure="false">Settings!$C$40</definedName>
    <definedName function="false" hidden="false" name="OutlineShowLevel" vbProcedure="false">Settings!$C$21</definedName>
    <definedName function="false" hidden="false" name="PertP50" vbProcedure="false">Settings!$C$45</definedName>
    <definedName function="false" hidden="false" name="PertP80" vbProcedure="false">Settings!$C$46</definedName>
    <definedName function="false" hidden="false" name="PlannedFinish" vbProcedure="false">Settings!$C$28</definedName>
    <definedName function="false" hidden="false" name="PlannerModules" vbProcedure="false">""</definedName>
    <definedName function="false" hidden="false" name="PlannerVersion" vbProcedure="false">"2.1"</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andbox" vbProcedure="false">Settings!$C$44</definedName>
    <definedName function="false" hidden="false" name="sch_Planned" vbProcedure="false">Status!$D$32</definedName>
    <definedName function="false" hidden="false" name="sch_Progress" vbProcedure="false">Status!$D$31</definedName>
    <definedName function="false" hidden="false" name="sch_SPI" vbProcedure="false">Status!$D$33</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sts_Narrative" vbProcedure="false">Status!$B$24</definedName>
    <definedName function="false" hidden="false" name="TakeBaseline" vbProcedure="false">Settings!$C$41</definedName>
    <definedName function="false" hidden="false" name="TemplateVersion" vbProcedure="false">"1.1"</definedName>
    <definedName function="false" hidden="false" name="tsk_Accountable" vbProcedure="false">Tasks[Accountable]</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line" vbProcedure="false">Tasks[[Baseline Start]:[Baseline Work]]</definedName>
    <definedName function="false" hidden="false" name="tsk_BaseStart" vbProcedure="false">Tasks[Baseline Start]</definedName>
    <definedName function="false" hidden="false" name="tsk_BaseWork" vbProcedure="false">Tasks[Baseline Work]</definedName>
    <definedName function="false" hidden="false" name="tsk_BLSource" vbProcedure="false">Tasks[[BL Source Start]:[BL Source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nsulted" vbProcedure="false">Tasks[Consulted]</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Tasks[_Days]</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nformed" vbProcedure="false">Tasks[Informed]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ertExpected" vbProcedure="false">Tasks[Expected]</definedName>
    <definedName function="false" hidden="false" name="tsk_PertShift" vbProcedure="false">Tasks[_PertShift]</definedName>
    <definedName function="false" hidden="false" name="tsk_PertVariance" vbProcedure="false">Tasks[_PertVariance]</definedName>
    <definedName function="false" hidden="false" name="tsk_Phase" vbProcedure="false">Tasks[_Phase]</definedName>
    <definedName function="false" hidden="false" name="tsk_PhaseKey" vbProcedure="false">Tasks[_PhaseKey]</definedName>
    <definedName function="false" hidden="false" name="tsk_PickList" vbProcedure="false">Tasks[_PickList]</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Tasks[_Predecessors]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Tasks[_Resources]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6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20</xdr:rowOff>
              </xdr:from>
              <xdr:to>
                <xdr:col>2</xdr:col>
                <xdr:colOff>-43</xdr:colOff>
                <xdr:row>4</xdr:row>
                <xdr:rowOff>13</xdr:rowOff>
              </xdr:to>
            </anchor>
          </commentPr>
        </mc:Choice>
        <mc:Fallback/>
      </mc:AlternateContent>
    </comment>
    <comment ref="A6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6</xdr:rowOff>
              </xdr:from>
              <xdr:to>
                <xdr:col>2</xdr:col>
                <xdr:colOff>-43</xdr:colOff>
                <xdr:row>5</xdr:row>
                <xdr:rowOff>5</xdr:rowOff>
              </xdr:to>
            </anchor>
          </commentPr>
        </mc:Choice>
        <mc:Fallback/>
      </mc:AlternateContent>
    </comment>
    <comment ref="A7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17</xdr:rowOff>
              </xdr:from>
              <xdr:to>
                <xdr:col>2</xdr:col>
                <xdr:colOff>-43</xdr:colOff>
                <xdr:row>5</xdr:row>
                <xdr:rowOff>16</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9</xdr:rowOff>
              </xdr:from>
              <xdr:to>
                <xdr:col>4</xdr:col>
                <xdr:colOff>-73</xdr:colOff>
                <xdr:row>5</xdr:row>
                <xdr:rowOff>8</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Predecessor 1: pick a task (its UID and name) or type its UID. It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G5" authorId="0">
      <text>
        <r>
          <rPr>
            <sz val="10"/>
            <rFont val="Arial"/>
            <family val="2"/>
          </rPr>
          <t xml:space="preserve">Link type: FS (blank: finish to start), SS, FF or SF.</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H5" authorId="0">
      <text>
        <r>
          <rPr>
            <sz val="10"/>
            <rFont val="Arial"/>
            <family val="2"/>
          </rPr>
          <t xml:space="preserve">Lag in working days (negative = lead). Blank = 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I5" authorId="0">
      <text>
        <r>
          <rPr>
            <sz val="10"/>
            <rFont val="Arial"/>
            <family val="2"/>
          </rPr>
          <t xml:space="preserve">Predecessor 2: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J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K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Predecessor 3: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M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N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Predecessor 4: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P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R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S5" authorId="0">
      <text>
        <r>
          <rPr>
            <sz val="10"/>
            <rFont val="Arial"/>
            <family val="2"/>
          </rPr>
          <t xml:space="preserve">Person 1 on the task: pick a name from Resources.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Share of their time on this task (blank = Settings &gt;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U5" authorId="0">
      <text>
        <r>
          <rPr>
            <sz val="10"/>
            <rFont val="Arial"/>
            <family val="2"/>
          </rPr>
          <t xml:space="preserve">Person 2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Person 3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X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Person 4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A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AB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E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G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AJ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K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L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M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N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Q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R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T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U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V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W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Y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Z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A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B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C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E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F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G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H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I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J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K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L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M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Q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U5" authorId="0">
      <text>
        <r>
          <rPr>
            <sz val="10"/>
            <rFont val="Arial"/>
            <family val="2"/>
          </rPr>
          <t xml:space="preserve">RACI: who is accountable (one person, from Resources). Responsible = the Resources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V5" authorId="0">
      <text>
        <r>
          <rPr>
            <sz val="10"/>
            <rFont val="Arial"/>
            <family val="2"/>
          </rPr>
          <t xml:space="preserve">RACI: who is consulted (names, comma-separated; anyone, not only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W5" authorId="0">
      <text>
        <r>
          <rPr>
            <sz val="10"/>
            <rFont val="Arial"/>
            <family val="2"/>
          </rPr>
          <t xml:space="preserve">RACI: who is kept informed (names, comma-separated).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X5" authorId="0">
      <text>
        <r>
          <rPr>
            <sz val="10"/>
            <rFont val="Arial"/>
            <family val="2"/>
          </rPr>
          <t xml:space="preserve">Three-point estimate: (Optimistic + 4 x Duration + Pessimistic) / 6. Blank until both are typed. Settings &gt; PertP50 / PertP80 add them up.</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Y5" authorId="0">
      <text>
        <r>
          <rPr>
            <sz val="10"/>
            <rFont val="Arial"/>
            <family val="2"/>
          </rPr>
          <t xml:space="preserve">Optimistic: the fewest working days it could take (at most the Duration).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Z5" authorId="0">
      <text>
        <r>
          <rPr>
            <sz val="10"/>
            <rFont val="Arial"/>
            <family val="2"/>
          </rPr>
          <t xml:space="preserve">Pessimistic: the most working days it could take (at least the Duration).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A5" authorId="0">
      <text>
        <r>
          <rPr>
            <sz val="10"/>
            <rFont val="Arial"/>
            <family val="2"/>
          </rPr>
          <t xml:space="preserve">What-if duration (3, 3d or 2w): used instead of Duration while Settings &gt; Sandbox = Yes. Status says when the sandbox is 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60" authorId="0">
      <text>
        <r>
          <rPr>
            <sz val="10"/>
            <rFont val="Arial"/>
            <family val="2"/>
          </rPr>
          <t xml:space="preserve">Pick the person (Resources).</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C60" authorId="0">
      <text>
        <r>
          <rPr>
            <sz val="10"/>
            <rFont val="Arial"/>
            <family val="2"/>
          </rPr>
          <t xml:space="preserve">Pick the month: one of the month columns above, e.g. Nov-26.</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79</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Tasks with this person as Accountable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Tasks that name this person in Consulted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Tasks that name this person in Informed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60" authorId="0">
      <text>
        <r>
          <rPr>
            <sz val="10"/>
            <rFont val="Arial"/>
            <family val="2"/>
          </rPr>
          <t xml:space="preserve">The days off as the month cells write them: what the reports read.</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AJ5" authorId="0">
      <text>
        <r>
          <rPr>
            <sz val="10"/>
            <rFont val="Arial"/>
            <family val="2"/>
          </rPr>
          <t xml:space="preserve">Days off in Jul-27: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60" authorId="0">
      <text>
        <r>
          <rPr>
            <sz val="10"/>
            <rFont val="Arial"/>
            <family val="2"/>
          </rPr>
          <t xml:space="preserve">Person|month: the look-up key (helper).</t>
        </r>
      </text>
      <mc:AlternateContent>
        <mc:Choice Requires="v2">
          <commentPr autoFill="true" autoScale="false" colHidden="tru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AK5"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5"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M5"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Y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Z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BA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<sst xmlns="http://schemas.openxmlformats.org/spreadsheetml/2006/main" count="933" uniqueCount="776">
  <si>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</si>
  <si>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</si>
  <si>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</si>
  <si>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</si>
  <si>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</si>
  <si>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</si>
  <si>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</si>
  <si>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</si>
  <si>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</si>
  <si>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</si>
  <si>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</si>
  <si>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</si>
  <si>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</si>
  <si>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</si>
  <si>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</si>
  <si>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(it sets the stages, sprint length and RAG thresholds). Everything else has a sensible default on Settings.  Go to Settings.</t>
  </si>
  <si>
    <t xml:space="preserve">2. People</t>
  </si>
  <si>
    <t xml:space="preserve">List the people (or roles) with their Allocation %. Leave: type 1 (or 0.5) under each day off in the LEAVE BY DAY grid under the people (or type the days in a month column).  Go to Resources.</t>
  </si>
  <si>
    <t xml:space="preserve">3. Tasks</t>
  </si>
  <si>
    <t xml:space="preserve">One row per task: Level (1 = phase, 2 = task ...), Task Name and Duration (3, 3d or 2w). Pick what must come first in Pred1 (a dropdown of the tasks above) and who does it in Res1; + opens links and people 2-4. Dates, the critical path, the Gantt and the reports follow.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</si>
  <si>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</si>
  <si>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</si>
  <si>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</si>
  <si>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</si>
  <si>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</si>
  <si>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</si>
  <si>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Type the status date at the top of Status and follow its steps (progress on Tasks, the Log, the RAG, the commentary). Then the Check sheet, and the snapshot row on TakeSnapshot. A report in about ten minutes.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</si>
  <si>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</si>
  <si>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</si>
  <si>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</si>
  <si>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</si>
  <si>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</si>
  <si>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</si>
  <si>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</si>
  <si>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</si>
  <si>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</si>
  <si>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</si>
  <si>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</si>
  <si>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</si>
  <si>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</si>
  <si>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</si>
  <si>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</si>
  <si>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</si>
  <si>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</si>
  <si>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</si>
  <si>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</si>
  <si>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</si>
  <si>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</si>
  <si>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</si>
  <si>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sheets</t>
  </si>
  <si>
    <t xml:space="preserve">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</si>
  <si>
    <t xml:space="preserve">Leave</t>
  </si>
  <si>
    <t xml:space="preserve">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</si>
  <si>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</si>
  <si>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</si>
  <si>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</si>
  <si>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</si>
  <si>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</si>
  <si>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</si>
  <si>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</si>
  <si>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Duration</t>
  </si>
  <si>
    <t xml:space="preserve">Working days: 3, 3d or 2w (a week = 5 working days); 0 = a milestone. Anything else (e.g. '2days') is refused when typed and flagged in Issues when pasted.</t>
  </si>
  <si>
    <t xml:space="preserve">Printing</t>
  </si>
  <si>
    <t xml:space="preserve">Status, Roadmap, Resource Report and Check are set to print on one page wide, with the template version and page number in the footer.</t>
  </si>
  <si>
    <t xml:space="preserve">Limits</t>
  </si>
  <si>
    <t xml:space="preserve">See README &gt; Limits: the predecessor rule (above its successor), 4 links and 4 people per task, the fixed grid sizes, and what needs a rebuild.</t>
  </si>
  <si>
    <t xml:space="preserve">RACI</t>
  </si>
  <si>
    <t xml:space="preserve">Tasks &gt; RACI (+): Accountable (one person, from Resources), Consulted and Informed (names, comma-separated). Responsible is the task's Resources. Resources counts each person's tasks in each role.</t>
  </si>
  <si>
    <t xml:space="preserve">Dependencies</t>
  </si>
  <si>
    <t xml:space="preserve">On the Log, a Dependency row with an Expected date and a Task UID shows the task's start and the gap in working days (negative = it arrives too late). Status lists the five latest against their task; Check counts the late ones.</t>
  </si>
  <si>
    <t xml:space="preserve">Sandbox</t>
  </si>
  <si>
    <t xml:space="preserve">Try a what-if without touching the plan: type a Sandbox Duration on the tasks (Tasks &gt; ESTIMATES and SANDBOX), then Settings &gt; Sandbox = Yes. Every date and report follows; Status and Check say the sandbox is on. Set No to go back; the Sandbox Durations stay for next time.</t>
  </si>
  <si>
    <t xml:space="preserve">Three-point estimates</t>
  </si>
  <si>
    <t xml:space="preserve">Optimistic and Pessimistic beside a task's Duration give its Expected duration ((O + 4 x Duration + P) / 6). Status shows the finish with a 50% (P50) and 80% (P80) chance, from the critical tasks' estimates.</t>
  </si>
  <si>
    <t xml:space="preserve">Summary</t>
  </si>
  <si>
    <t xml:space="preserve">Status &gt; SUMMARY writes the status in one paragraph (RAG, finish, progress, late tasks, next milestone, top risk, late dependencies): copy it into the commentary and add the why.</t>
  </si>
  <si>
    <t xml:space="preserve">RULES (same as MS Project)</t>
  </si>
  <si>
    <t xml:space="preserve">ID and UID</t>
  </si>
  <si>
    <t xml:space="preserve">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</si>
  <si>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</si>
  <si>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</si>
  <si>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</si>
  <si>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</si>
  <si>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</si>
  <si>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</si>
  <si>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</si>
  <si>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</si>
  <si>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</si>
  <si>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</si>
  <si>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</si>
  <si>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</si>
  <si>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</si>
  <si>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</si>
  <si>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</si>
  <si>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</si>
  <si>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</si>
  <si>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</si>
  <si>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</si>
  <si>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</si>
  <si>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</si>
  <si>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</si>
  <si>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</si>
  <si>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</si>
  <si>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</si>
  <si>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</si>
  <si>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</si>
  <si>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</si>
  <si>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</si>
  <si>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</si>
  <si>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</si>
  <si>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</si>
  <si>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</si>
  <si>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</si>
  <si>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</si>
  <si>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</si>
  <si>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</si>
  <si>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</si>
  <si>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</si>
  <si>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</si>
  <si>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</si>
  <si>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</si>
  <si>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</si>
  <si>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</si>
  <si>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</si>
  <si>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</si>
  <si>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</si>
  <si>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</si>
  <si>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</si>
  <si>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</si>
  <si>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</si>
  <si>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</si>
  <si>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</si>
  <si>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</si>
  <si>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</si>
  <si>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</si>
  <si>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</si>
  <si>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</si>
  <si>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</si>
  <si>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</si>
  <si>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</si>
  <si>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</si>
  <si>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</si>
  <si>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</si>
  <si>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SUMMARY (automatic: copy it into the commentary below and add the why)</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</si>
  <si>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</si>
  <si>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</si>
  <si>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</si>
  <si>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</si>
  <si>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</si>
  <si>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</si>
  <si>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</si>
  <si>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</si>
  <si>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</si>
  <si>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</si>
  <si>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</si>
  <si>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</si>
  <si>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</si>
  <si>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</si>
  <si>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</si>
  <si>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</si>
  <si>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</si>
  <si>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</si>
  <si>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</si>
  <si>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</si>
  <si>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</si>
  <si>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</si>
  <si>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</si>
  <si>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</si>
  <si>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</si>
  <si>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</si>
  <si>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Finish P50 (three-point estimates)</t>
  </si>
  <si>
    <t xml:space="preserve">Tasks &gt; ESTIMATES</t>
  </si>
  <si>
    <t xml:space="preserve">Finish P80 (three-point estimates)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</si>
  <si>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</si>
  <si>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</si>
  <si>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</si>
  <si>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</si>
  <si>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</si>
  <si>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</si>
  <si>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</si>
  <si>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</si>
  <si>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</si>
  <si>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</si>
  <si>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</si>
  <si>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Total Slack</t>
  </si>
  <si>
    <t xml:space="preserve">COMMENTARY for this period (type in the Notes column)</t>
  </si>
  <si>
    <t xml:space="preserve">Section</t>
  </si>
  <si>
    <t xml:space="preserve">Notes</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</si>
  <si>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</si>
  <si>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</si>
  <si>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</si>
  <si>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</si>
  <si>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</si>
  <si>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</si>
  <si>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</si>
  <si>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</si>
  <si>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</si>
  <si>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</si>
  <si>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</si>
  <si>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</si>
  <si>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</si>
  <si>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</si>
  <si>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</si>
  <si>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</si>
  <si>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</si>
  <si>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</si>
  <si>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</si>
  <si>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</si>
  <si>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</si>
  <si>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</si>
  <si>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</si>
  <si>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</si>
  <si>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</si>
  <si>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</si>
  <si>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</si>
  <si>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</si>
  <si>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</si>
  <si>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</si>
  <si>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</si>
  <si>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</si>
  <si>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</si>
  <si>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</si>
  <si>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</si>
  <si>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</si>
  <si>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</si>
  <si>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</si>
  <si>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</si>
  <si>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</si>
  <si>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</si>
  <si>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</si>
  <si>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</si>
  <si>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</si>
  <si>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</si>
  <si>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</si>
  <si>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</si>
  <si>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</si>
  <si>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</si>
  <si>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</si>
  <si>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</si>
  <si>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</si>
  <si>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</si>
  <si>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</si>
  <si>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</si>
  <si>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</si>
  <si>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</si>
  <si>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</si>
  <si>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</si>
  <si>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</si>
  <si>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</si>
  <si>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</si>
  <si>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</si>
  <si>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</si>
  <si>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</si>
  <si>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</si>
  <si>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</si>
  <si>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</si>
  <si>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</si>
  <si>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</si>
  <si>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</si>
  <si>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</si>
  <si>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</si>
  <si>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</si>
  <si>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</si>
  <si>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</si>
  <si>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</si>
  <si>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</si>
  <si>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</si>
  <si>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</si>
  <si>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</si>
  <si>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</si>
  <si>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</si>
  <si>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</si>
  <si>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</si>
  <si>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</si>
  <si>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</si>
  <si>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</si>
  <si>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</si>
  <si>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</si>
  <si>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</si>
  <si>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</si>
  <si>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</si>
  <si>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</si>
  <si>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</si>
  <si>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</si>
  <si>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</si>
  <si>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</si>
  <si>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</si>
  <si>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</si>
  <si>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</si>
  <si>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</si>
  <si>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</si>
  <si>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</si>
  <si>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</si>
  <si>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</si>
  <si>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</si>
  <si>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</si>
  <si>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</si>
  <si>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</si>
  <si>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</si>
  <si>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</si>
  <si>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</si>
  <si>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</si>
  <si>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</si>
  <si>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</si>
  <si>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</si>
  <si>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</si>
  <si>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</si>
  <si>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</si>
  <si>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</si>
  <si>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</si>
  <si>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</si>
  <si>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</si>
  <si>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</si>
  <si>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</si>
  <si>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</si>
  <si>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</si>
  <si>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</si>
  <si>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</si>
  <si>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</si>
  <si>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</si>
  <si>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</si>
  <si>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</si>
  <si>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</si>
  <si>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</si>
  <si>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</si>
  <si>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</si>
  <si>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</si>
  <si>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</si>
  <si>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</si>
  <si>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</si>
  <si>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</si>
  <si>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</si>
  <si>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</si>
  <si>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</si>
  <si>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</si>
  <si>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</si>
  <si>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</si>
  <si>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</si>
  <si>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</si>
  <si>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</si>
  <si>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</si>
  <si>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</si>
  <si>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</si>
  <si>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</si>
  <si>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</si>
  <si>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</si>
  <si>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</si>
  <si>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</si>
  <si>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</si>
  <si>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</si>
  <si>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</si>
  <si>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</si>
  <si>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</si>
  <si>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</si>
  <si>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</si>
  <si>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</si>
  <si>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</si>
  <si>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</si>
  <si>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</si>
  <si>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</si>
  <si>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</si>
  <si>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</si>
  <si>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</si>
  <si>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</si>
  <si>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</si>
  <si>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</si>
  <si>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</si>
  <si>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</si>
  <si>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</si>
  <si>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</si>
  <si>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</si>
  <si>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</si>
  <si>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</si>
  <si>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</si>
  <si>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</si>
  <si>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</si>
  <si>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</si>
  <si>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</si>
  <si>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</si>
  <si>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</si>
  <si>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</si>
  <si>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</si>
  <si>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</si>
  <si>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</si>
  <si>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</si>
  <si>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</si>
  <si>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</si>
  <si>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</si>
  <si>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</si>
  <si>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</si>
  <si>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</si>
  <si>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</si>
  <si>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</si>
  <si>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</si>
  <si>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</si>
  <si>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</si>
  <si>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Re-baseline every task (BL Source)</t>
  </si>
  <si>
    <t xml:space="preserve">TakeBaseline</t>
  </si>
  <si>
    <t xml:space="preserve">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</si>
  <si>
    <t xml:space="preserve">Tasks sharing a UID (calculated)</t>
  </si>
  <si>
    <t xml:space="preserve">DuplicateUIDs</t>
  </si>
  <si>
    <t xml:space="preserve">Should be 0. Each such task says so in Tasks &gt; Issues; give one of them Settings &gt; NextFreeUID.</t>
  </si>
  <si>
    <t xml:space="preserve">Named tasks without a UID (calculated)</t>
  </si>
  <si>
    <t xml:space="preserve">MissingUIDs</t>
  </si>
  <si>
    <t xml:space="preserve">Should be 0: links can't point at a task without a UID.</t>
  </si>
  <si>
    <t xml:space="preserve">Sandbox: use the Sandbox Durations (what-if)</t>
  </si>
  <si>
    <t xml:space="preserve">Yes = every task with a Sandbox Duration (Tasks &gt; ESTIMATES and SANDBOX) uses it instead of its Duration, and the whole plan, Status and the reports show the what-if. Status and Check say so. Set No to go back.</t>
  </si>
  <si>
    <t xml:space="preserve">Finish P50, from the estimates (calculated)</t>
  </si>
  <si>
    <t xml:space="preserve">PertP50</t>
  </si>
  <si>
    <t xml:space="preserve">Forecast finish moved by the critical tasks' Expected - Duration: a 50% chance of finishing by then.</t>
  </si>
  <si>
    <t xml:space="preserve">Finish P80, from the estimates (calculated)</t>
  </si>
  <si>
    <t xml:space="preserve">PertP80</t>
  </si>
  <si>
    <t xml:space="preserve">Adds 0.84 standard deviations (the critical tasks' variances added up): an 80% chance of finishing by then.</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</si>
  <si>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</si>
  <si>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</si>
  <si>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</si>
  <si>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</si>
  <si>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</si>
  <si>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</si>
  <si>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</si>
  <si>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</si>
  <si>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</si>
  <si>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</si>
  <si>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</si>
  <si>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</si>
  <si>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</si>
  <si>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</si>
  <si>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</si>
  <si>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</si>
  <si>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</si>
  <si>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</si>
  <si>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</si>
  <si>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</si>
  <si>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</si>
  <si>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or pick in the blue columns</t>
  </si>
  <si>
    <t xml:space="preserve">PREDECESSORS: pick</t>
  </si>
  <si>
    <t xml:space="preserve">+ links 2-4, text</t>
  </si>
  <si>
    <t xml:space="preserve">RESOURCES: pick</t>
  </si>
  <si>
    <t xml:space="preserve">+ people 2-4, text</t>
  </si>
  <si>
    <t xml:space="preserve">PROGRESS</t>
  </si>
  <si>
    <t xml:space="preserve">SCHEDULING</t>
  </si>
  <si>
    <t xml:space="preserve">DETAIL</t>
  </si>
  <si>
    <t xml:space="preserve">WORK</t>
  </si>
  <si>
    <t xml:space="preserve">AGILE</t>
  </si>
  <si>
    <t xml:space="preserve">BASELINE</t>
  </si>
  <si>
    <t xml:space="preserve">ESTIMATES (PERT) and SANDBOX</t>
  </si>
  <si>
    <t xml:space="preserve">HELPER COLUMNS (hidden)</t>
  </si>
  <si>
    <t xml:space="preserve">ID</t>
  </si>
  <si>
    <t xml:space="preserve">UID</t>
  </si>
  <si>
    <t xml:space="preserve">Level</t>
  </si>
  <si>
    <t xml:space="preserve">Task Name</t>
  </si>
  <si>
    <t xml:space="preserve">Pred1</t>
  </si>
  <si>
    <t xml:space="preserve">Type1</t>
  </si>
  <si>
    <t xml:space="preserve">Lag1</t>
  </si>
  <si>
    <t xml:space="preserve">Pred2</t>
  </si>
  <si>
    <t xml:space="preserve">Type2</t>
  </si>
  <si>
    <t xml:space="preserve">Lag2</t>
  </si>
  <si>
    <t xml:space="preserve">Pred3</t>
  </si>
  <si>
    <t xml:space="preserve">Type3</t>
  </si>
  <si>
    <t xml:space="preserve">Lag3</t>
  </si>
  <si>
    <t xml:space="preserve">Pred4</t>
  </si>
  <si>
    <t xml:space="preserve">Type4</t>
  </si>
  <si>
    <t xml:space="preserve">Lag4</t>
  </si>
  <si>
    <t xml:space="preserve">Res1</t>
  </si>
  <si>
    <t xml:space="preserve">Units1</t>
  </si>
  <si>
    <t xml:space="preserve">Res2</t>
  </si>
  <si>
    <t xml:space="preserve">Units2</t>
  </si>
  <si>
    <t xml:space="preserve">Res3</t>
  </si>
  <si>
    <t xml:space="preserve">Units3</t>
  </si>
  <si>
    <t xml:space="preserve">Res4</t>
  </si>
  <si>
    <t xml:space="preserve">Units4</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</si>
  <si>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</si>
  <si>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</si>
  <si>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</si>
  <si>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</si>
  <si>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</si>
  <si>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</si>
  <si>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</si>
  <si>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</si>
  <si>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</si>
  <si>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</si>
  <si>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</si>
  <si>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</si>
  <si>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</si>
  <si>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</si>
  <si>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</si>
  <si>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</si>
  <si>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</si>
  <si>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</si>
  <si>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</si>
  <si>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</si>
  <si>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</si>
  <si>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</si>
  <si>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</si>
  <si>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</si>
  <si>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</si>
  <si>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Accountable</t>
  </si>
  <si>
    <t xml:space="preserve">Consulted</t>
  </si>
  <si>
    <t xml:space="preserve">Informed</t>
  </si>
  <si>
    <t xml:space="preserve">Expected</t>
  </si>
  <si>
    <t xml:space="preserve">Optimistic</t>
  </si>
  <si>
    <t xml:space="preserve">Pessimistic</t>
  </si>
  <si>
    <t xml:space="preserve">Sandbox Duration</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</si>
  <si>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</si>
  <si>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</si>
  <si>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</si>
  <si>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</si>
  <si>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</si>
  <si>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</si>
  <si>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</si>
  <si>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</si>
  <si>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</si>
  <si>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</si>
  <si>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</si>
  <si>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</si>
  <si>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</si>
  <si>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</si>
  <si>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</si>
  <si>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</si>
  <si>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</si>
  <si>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</si>
  <si>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</si>
  <si>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</si>
  <si>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</si>
  <si>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</si>
  <si>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</si>
  <si>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</si>
  <si>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</si>
  <si>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</si>
  <si>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</si>
  <si>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</si>
  <si>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</si>
  <si>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</si>
  <si>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</si>
  <si>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</si>
  <si>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</si>
  <si>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</si>
  <si>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</si>
  <si>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</si>
  <si>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</si>
  <si>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</si>
  <si>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</si>
  <si>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</si>
  <si>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</si>
  <si>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</si>
  <si>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</si>
  <si>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</si>
  <si>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</si>
  <si>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</si>
  <si>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</si>
  <si>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</si>
  <si>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</si>
  <si>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</si>
  <si>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</si>
  <si>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</si>
  <si>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</si>
  <si>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</si>
  <si>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</si>
  <si>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</si>
  <si>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</si>
  <si>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</si>
  <si>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</si>
  <si>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</si>
  <si>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</si>
  <si>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</si>
  <si>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</si>
  <si>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</si>
  <si>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</si>
  <si>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</si>
  <si>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</si>
  <si>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</si>
  <si>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</si>
  <si>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</si>
  <si>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</si>
  <si>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</si>
  <si>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</si>
  <si>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</si>
  <si>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</si>
  <si>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</si>
  <si>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</si>
  <si>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</si>
  <si>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</si>
  <si>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</si>
  <si>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</si>
  <si>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</si>
  <si>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</si>
  <si>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</si>
  <si>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</si>
  <si>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</si>
  <si>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</si>
  <si>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</si>
  <si>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</si>
  <si>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</si>
  <si>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</si>
  <si>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</si>
  <si>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</si>
  <si>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</si>
  <si>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</si>
  <si>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</si>
  <si>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</si>
  <si>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</si>
  <si>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</si>
  <si>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</si>
  <si>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</si>
  <si>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</si>
  <si>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</si>
  <si>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</si>
  <si>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</si>
  <si>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</si>
  <si>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</si>
  <si>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</si>
  <si>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</si>
  <si>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</si>
  <si>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</si>
  <si>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</si>
  <si>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</si>
  <si>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</si>
  <si>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</si>
  <si>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</si>
  <si>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</si>
  <si>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</si>
  <si>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</si>
  <si>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</si>
  <si>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</si>
  <si>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</si>
  <si>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</si>
  <si>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</si>
  <si>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</si>
  <si>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</si>
  <si>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</si>
  <si>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</si>
  <si>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_Days</t>
  </si>
  <si>
    <t xml:space="preserve">_Predecessors</t>
  </si>
  <si>
    <t xml:space="preserve">_Resources</t>
  </si>
  <si>
    <t xml:space="preserve">_PickKey</t>
  </si>
  <si>
    <t xml:space="preserve">_PickList</t>
  </si>
  <si>
    <t xml:space="preserve">_SpanDays</t>
  </si>
  <si>
    <t xml:space="preserve">_PertVariance</t>
  </si>
  <si>
    <t xml:space="preserve">_PertShift</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</si>
  <si>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</si>
  <si>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</si>
  <si>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</si>
  <si>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</si>
  <si>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Morgan Patel</t>
  </si>
  <si>
    <t xml:space="preserve">Steering committee</t>
  </si>
  <si>
    <t xml:space="preserve">Stakeholder kickoff workshop</t>
  </si>
  <si>
    <t xml:space="preserve">Kickoff complete</t>
  </si>
  <si>
    <t xml:space="preserve">Milestone (Duration 0).</t>
  </si>
  <si>
    <t xml:space="preserve">Requirements &amp; Design</t>
  </si>
  <si>
    <t xml:space="preserve">Requirements gathering</t>
  </si>
  <si>
    <t xml:space="preserve">UX wireframes &amp; prototype</t>
  </si>
  <si>
    <t xml:space="preserve">Casey Kim</t>
  </si>
  <si>
    <t xml:space="preserve">Design sign-off</t>
  </si>
  <si>
    <t xml:space="preserve">Two predecessors - waits for the later one.</t>
  </si>
  <si>
    <t xml:space="preserve">Test &amp; Release</t>
  </si>
  <si>
    <t xml:space="preserve">Taylor Morgan</t>
  </si>
  <si>
    <t xml:space="preserve">System integration testing</t>
  </si>
  <si>
    <t xml:space="preserve">Sam Rivera</t>
  </si>
  <si>
    <t xml:space="preserve">Started a few days late; on track.</t>
  </si>
  <si>
    <t xml:space="preserve">Jordan Lee, Sam Rivera</t>
  </si>
  <si>
    <t xml:space="preserve">Go-live readiness review</t>
  </si>
  <si>
    <t xml:space="preserve">Three predecessors.</t>
  </si>
  <si>
    <t xml:space="preserve">Go-live</t>
  </si>
  <si>
    <t xml:space="preserve">Milestone with a deadline of 18-Dec.</t>
  </si>
  <si>
    <t xml:space="preserve">All staff</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</si>
  <si>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</si>
  <si>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</si>
  <si>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</si>
  <si>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</si>
  <si>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</si>
  <si>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</si>
  <si>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</si>
  <si>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</si>
  <si>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</si>
  <si>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</si>
  <si>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Accountable For</t>
  </si>
  <si>
    <t xml:space="preserve">Consulted On</t>
  </si>
  <si>
    <t xml:space="preserve">Informed Of</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</si>
  <si>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</si>
  <si>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</si>
  <si>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</si>
  <si>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</si>
  <si>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</si>
  <si>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</si>
  <si>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</si>
  <si>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</si>
  <si>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</si>
  <si>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</si>
  <si>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</si>
  <si>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</si>
  <si>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</si>
  <si>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</si>
  <si>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</si>
  <si>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</si>
  <si>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</si>
  <si>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</si>
  <si>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</si>
  <si>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</si>
  <si>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</si>
  <si>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</si>
  <si>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</si>
  <si>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</si>
  <si>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</si>
  <si>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</si>
  <si>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</si>
  <si>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</si>
  <si>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</si>
  <si>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</si>
  <si>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</si>
  <si>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</si>
  <si>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</si>
  <si>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</si>
  <si>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</si>
  <si>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</si>
  <si>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</si>
  <si>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</si>
  <si>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</si>
  <si>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</si>
  <si>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</si>
  <si>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</si>
  <si>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</si>
  <si>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</si>
  <si>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</si>
  <si>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</si>
  <si>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</si>
  <si>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</si>
  <si>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</si>
  <si>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</si>
  <si>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</si>
  <si>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Jordan Lee</t>
  </si>
  <si>
    <t xml:space="preserve">JL</t>
  </si>
  <si>
    <t xml:space="preserve">Backend Developer</t>
  </si>
  <si>
    <t xml:space="preserve">jordan@example.com</t>
  </si>
  <si>
    <t xml:space="preserve">SR</t>
  </si>
  <si>
    <t xml:space="preserve">Frontend Developer</t>
  </si>
  <si>
    <t xml:space="preserve">sam@example.com</t>
  </si>
  <si>
    <t xml:space="preserve">2(0.5)</t>
  </si>
  <si>
    <t xml:space="preserve">TM</t>
  </si>
  <si>
    <t xml:space="preserve">QA Engineer</t>
  </si>
  <si>
    <t xml:space="preserve">taylor@example.com</t>
  </si>
  <si>
    <t xml:space="preserve">LEAVE BY DAY: one row per person and month; type 1 (all day) or 0.5 (half a day) under each day off. It adds to the month columns above.</t>
  </si>
  <si>
    <t xml:space="preserve">Resource</t>
  </si>
  <si>
    <t xml:space="preserve">Month</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</si>
  <si>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</si>
  <si>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</si>
  <si>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</si>
  <si>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</si>
  <si>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</si>
  <si>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</si>
  <si>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</si>
  <si>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</si>
  <si>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</si>
  <si>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</si>
  <si>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</si>
  <si>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</si>
  <si>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</si>
  <si>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</si>
  <si>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</si>
  <si>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</si>
  <si>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</si>
  <si>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</si>
  <si>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</si>
  <si>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</si>
  <si>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</si>
  <si>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</si>
  <si>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</si>
  <si>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</si>
  <si>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</si>
  <si>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</si>
  <si>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</si>
  <si>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</si>
  <si>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</si>
  <si>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</si>
  <si>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</si>
  <si>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Days</t>
  </si>
  <si>
    <t xml:space="preserve">_Key</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</si>
</sst>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General"/>
    <numFmt numFmtId="173" formatCode="0%"/>
    <numFmt numFmtId="174" formatCode="#,##0"/>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C00000"/>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55A11"/>
      <name val="Arial"/>
      <family val="0"/>
      <charset val="1"/>
    </font>
    <font>
      <b val="true"/>
      <sz val="10"/>
      <color rgb="FF7F7F7F"/>
      <name val="Arial"/>
      <family val="0"/>
      <charset val="1"/>
    </font>
    <font>
      <sz val="10"/>
      <color rgb="FF404040"/>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8"/>
      <name val="Arial"/>
      <family val="0"/>
      <charset val="1"/>
    </font>
    <font>
      <sz val="10"/>
      <color rgb="FF7F7F7F"/>
      <name val="Arial"/>
      <family val="0"/>
      <charset val="1"/>
    </font>
    <font>
      <sz val="9"/>
      <name val="Arial"/>
      <family val="0"/>
      <charset val="1"/>
    </font>
    <font>
      <b val="true"/>
      <sz val="10"/>
      <color rgb="FF0563C1"/>
      <name val="Arial"/>
      <family val="0"/>
      <charset val="1"/>
    </font>
    <font>
      <sz val="8"/>
      <color rgb="FF404040"/>
      <name val="Arial"/>
      <family val="0"/>
      <charset val="1"/>
    </font>
    <font>
      <sz val="8"/>
      <color rgb="FFFFFFFF"/>
      <name val="Arial"/>
      <family val="0"/>
      <charset val="1"/>
    </font>
  </fonts>
  <fills count="16">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C9D5E8"/>
      </patternFill>
    </fill>
    <fill>
      <patternFill patternType="solid">
        <fgColor rgb="FFE06666"/>
        <bgColor rgb="FFC55A11"/>
      </patternFill>
    </fill>
    <fill>
      <patternFill patternType="solid">
        <fgColor rgb="FFC9D5E8"/>
        <bgColor rgb="FFD9D9D9"/>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true">
      <alignment horizontal="general" vertical="bottom" textRotation="0" wrapText="false" indent="0" shrinkToFit="false"/>
      <protection locked="fals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true">
      <alignment horizontal="general" vertical="bottom" textRotation="0" wrapText="false" indent="0" shrinkToFit="false"/>
      <protection locked="fals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true">
      <alignment horizontal="general" vertical="top" textRotation="0" wrapText="true" indent="0" shrinkToFit="false"/>
      <protection locked="fals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74"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3"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6" fontId="24" fillId="4" borderId="0" xfId="0" applyFont="true" applyBorder="false" applyAlignment="true" applyProtection="false">
      <alignment horizontal="center"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true">
      <alignment horizontal="general" vertical="bottom" textRotation="0" wrapText="false" indent="0" shrinkToFit="false"/>
      <protection locked="fals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true">
      <alignment horizontal="general" vertical="bottom" textRotation="0" wrapText="false" indent="0" shrinkToFit="false"/>
      <protection locked="false" hidden="false"/>
    </xf>
    <xf numFmtId="178" fontId="8" fillId="0" borderId="1" xfId="0" applyFont="true" applyBorder="true" applyAlignment="false" applyProtection="true">
      <alignment horizontal="general" vertical="bottom" textRotation="0" wrapText="false" indent="0" shrinkToFit="false"/>
      <protection locked="fals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true">
      <alignment horizontal="general" vertical="bottom" textRotation="0" wrapText="false" indent="0" shrinkToFit="false"/>
      <protection locked="fals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center" textRotation="0" wrapText="false" indent="0" shrinkToFit="false"/>
      <protection locked="true" hidden="false"/>
    </xf>
    <xf numFmtId="165" fontId="23" fillId="0" borderId="0" xfId="0" applyFont="true" applyBorder="false" applyAlignment="true" applyProtection="false">
      <alignment horizontal="left" vertical="center" textRotation="0" wrapText="false" indent="0" shrinkToFit="false"/>
      <protection locked="true" hidden="false"/>
    </xf>
    <xf numFmtId="179" fontId="30" fillId="4" borderId="0" xfId="0" applyFont="true" applyBorder="false" applyAlignment="true" applyProtection="false">
      <alignment horizontal="center" vertical="center" textRotation="0" wrapText="false" indent="0" shrinkToFit="false"/>
      <protection locked="true" hidden="false"/>
    </xf>
    <xf numFmtId="173" fontId="8" fillId="0" borderId="1" xfId="0" applyFont="true" applyBorder="true" applyAlignment="true" applyProtection="true">
      <alignment horizontal="center" vertical="bottom" textRotation="0" wrapText="false" indent="0" shrinkToFit="false"/>
      <protection locked="false" hidden="false"/>
    </xf>
    <xf numFmtId="173" fontId="10" fillId="3" borderId="1" xfId="0" applyFont="true" applyBorder="true" applyAlignment="false" applyProtection="false">
      <alignment horizontal="general" vertical="bottom" textRotation="0" wrapText="false" indent="0" shrinkToFit="false"/>
      <protection locked="true" hidden="false"/>
    </xf>
    <xf numFmtId="180" fontId="10" fillId="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true">
      <alignment horizontal="center" vertical="bottom" textRotation="0" wrapText="false" indent="0" shrinkToFit="false"/>
      <protection locked="false" hidden="false"/>
    </xf>
    <xf numFmtId="180" fontId="8" fillId="0" borderId="1" xfId="0" applyFont="true" applyBorder="true" applyAlignment="false" applyProtection="true">
      <alignment horizontal="general" vertical="bottom" textRotation="0" wrapText="false" indent="0" shrinkToFit="false"/>
      <protection locked="false" hidden="false"/>
    </xf>
    <xf numFmtId="168" fontId="10" fillId="3" borderId="1" xfId="0" applyFont="true" applyBorder="true" applyAlignment="true" applyProtection="false">
      <alignment horizontal="center" vertical="bottom" textRotation="0" wrapText="false" indent="0" shrinkToFit="false"/>
      <protection locked="tru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67"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1" shrinkToFit="false"/>
      <protection locked="false" hidden="false"/>
    </xf>
    <xf numFmtId="173" fontId="18" fillId="3" borderId="1" xfId="0" applyFont="true" applyBorder="true" applyAlignment="false" applyProtection="false">
      <alignment horizontal="general" vertical="bottom" textRotation="0" wrapText="false" indent="0" shrinkToFit="false"/>
      <protection locked="true" hidden="false"/>
    </xf>
    <xf numFmtId="182" fontId="1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4">
    <dxf>
      <fill>
        <patternFill>
          <bgColor rgb="FFFFFF00"/>
        </patternFill>
      </fill>
    </dxf>
    <dxf>
      <fill>
        <patternFill patternType="solid">
          <fgColor rgb="FFA6A6A6"/>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FFFFFF"/>
          <bgColor rgb="FF000000"/>
        </patternFill>
      </fill>
    </dxf>
    <dxf>
      <fill>
        <patternFill patternType="solid">
          <fgColor rgb="FF595959"/>
          <bgColor rgb="FF000000"/>
        </patternFill>
      </fill>
    </dxf>
    <dxf>
      <fill>
        <patternFill patternType="solid">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2F75B5"/>
          <bgColor rgb="FF000000"/>
        </patternFill>
      </fill>
    </dxf>
    <dxf>
      <fill>
        <patternFill patternType="solid">
          <fgColor rgb="FF54823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ont>
        <b val="1"/>
        <color rgb="FFC00000"/>
      </font>
    </dxf>
    <dxf>
      <font>
        <b val="1"/>
        <color rgb="FFFFFFFF"/>
      </font>
      <fill>
        <patternFill>
          <bgColor rgb="FFC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fill>
        <patternFill>
          <bgColor rgb="FFC9D5E8"/>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D9D9D9"/>
      <rgbColor rgb="FF7F7F7F"/>
      <rgbColor rgb="FFA6A6A6"/>
      <rgbColor rgb="FF7030A0"/>
      <rgbColor rgb="FFF9F9F9"/>
      <rgbColor rgb="FFDDEBF7"/>
      <rgbColor rgb="FF660066"/>
      <rgbColor rgb="FFE06666"/>
      <rgbColor rgb="FF0563C1"/>
      <rgbColor rgb="FFC9D5E8"/>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5B9BD5"/>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Status!F27</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Status!$E$28:$E$32</c:f>
              <c:strCache>
                <c:ptCount val="5"/>
                <c:pt idx="0">
                  <c:v>Complete</c:v>
                </c:pt>
                <c:pt idx="1">
                  <c:v>In Progress</c:v>
                </c:pt>
                <c:pt idx="2">
                  <c:v>Behind</c:v>
                </c:pt>
                <c:pt idx="3">
                  <c:v>Late Start</c:v>
                </c:pt>
                <c:pt idx="4">
                  <c:v>Not Started</c:v>
                </c:pt>
              </c:strCache>
            </c:strRef>
          </c:cat>
          <c:val>
            <c:numRef>
              <c:f>Status!$F$28:$F$32</c:f>
              <c:numCache>
                <c:formatCode>General</c:formatCode>
                <c:ptCount val="5"/>
                <c:pt idx="0">
                  <c:v>6</c:v>
                </c:pt>
                <c:pt idx="1">
                  <c:v>0</c:v>
                </c:pt>
                <c:pt idx="2">
                  <c:v>1</c:v>
                </c:pt>
                <c:pt idx="3">
                  <c:v>2</c:v>
                </c:pt>
                <c:pt idx="4">
                  <c:v>0</c:v>
                </c:pt>
              </c:numCache>
            </c:numRef>
          </c:val>
        </c:ser>
        <c:gapWidth val="150"/>
        <c:overlap val="0"/>
        <c:axId val="5771196"/>
        <c:axId val="80441974"/>
      </c:barChart>
      <c:catAx>
        <c:axId val="577119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441974"/>
        <c:crosses val="autoZero"/>
        <c:auto val="1"/>
        <c:lblAlgn val="ctr"/>
        <c:lblOffset val="100"/>
        <c:noMultiLvlLbl val="0"/>
      </c:catAx>
      <c:valAx>
        <c:axId val="8044197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7119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32</xdr:row>
      <xdr:rowOff>130680</xdr:rowOff>
    </xdr:from>
    <xdr:to>
      <xdr:col>7</xdr:col>
      <xdr:colOff>1641240</xdr:colOff>
      <xdr:row>44</xdr:row>
      <xdr:rowOff>4320</xdr:rowOff>
    </xdr:to>
    <xdr:graphicFrame>
      <xdr:nvGraphicFramePr>
        <xdr:cNvPr id="0" name="Chart 1"/>
        <xdr:cNvGraphicFramePr/>
      </xdr:nvGraphicFramePr>
      <xdr:xfrm>
        <a:off x="7612560" y="727704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6:G81"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2.xml><?xml version="1.0" encoding="utf-8"?>
<table xmlns="http://schemas.openxmlformats.org/spreadsheetml/2006/main" id="2" name="DueSoon" displayName="DueSoon" ref="A60:G65"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3.xml><?xml version="1.0" encoding="utf-8"?>
<table xmlns="http://schemas.openxmlformats.org/spreadsheetml/2006/main" id="3" name="HolidayTable" displayName="HolidayTable" ref="B58:C158" headerRowCount="1">
  <autoFilter ref="B58:C158"/>
  <tableColumns count="2">
    <tableColumn id="1" name="Date"/>
    <tableColumn id="2" name="Description"/>
  </tableColumns>
  <tableStyleInfo name="TableStyleLight1" showRowStripes="0"/>
</table>
</file>

<file path=xl/tables/table4.xml><?xml version="1.0" encoding="utf-8"?>
<table xmlns="http://schemas.openxmlformats.org/spreadsheetml/2006/main" id="4" name="KPIs" displayName="KPIs" ref="B27:D41" headerRowCount="1">
  <tableColumns count="3">
    <tableColumn id="1" name="Measure"/>
    <tableColumn id="2" name="Source"/>
    <tableColumn id="3" name="Value"/>
  </tableColumns>
  <tableStyleInfo name="TableStyleLight1" showRowStripes="0"/>
</table>
</file>

<file path=xl/tables/table5.xml><?xml version="1.0" encoding="utf-8"?>
<table xmlns="http://schemas.openxmlformats.org/spreadsheetml/2006/main" id="5" name="LateTasks" displayName="LateTasks" ref="A52:G57"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6.xml><?xml version="1.0" encoding="utf-8"?>
<table xmlns="http://schemas.openxmlformats.org/spreadsheetml/2006/main" id="6" name="LeaveDays" displayName="LeaveDays" ref="B60:AJ100" headerRowCount="1">
  <autoFilter ref="B60:AJ100"/>
  <tableColumns count="35">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_Key">
      <calculatedColumnFormula>LeaveDays[[#This Row],[Resource]]&amp;"|"&amp;LeaveDays[[#This Row],[Month]]</calculatedColumnFormula>
    </tableColumn>
  </tableColumns>
  <tableStyleInfo name="TableStyleLight1" showRowStripes="0"/>
</table>
</file>

<file path=xl/tables/table7.xml><?xml version="1.0" encoding="utf-8"?>
<table xmlns="http://schemas.openxmlformats.org/spreadsheetml/2006/main" id="7" name="ListChangeStatus" displayName="ListChangeStatus" ref="AC4:AC9" headerRowCount="1">
  <tableColumns count="1">
    <tableColumn id="1" name="Change Status"/>
  </tableColumns>
  <tableStyleInfo name="TableStyleLight1" showRowStripes="0"/>
</table>
</file>

<file path=xl/tables/table8.xml><?xml version="1.0" encoding="utf-8"?>
<table xmlns="http://schemas.openxmlformats.org/spreadsheetml/2006/main" id="8" name="ListConstraint" displayName="ListConstraint" ref="M4:M12" headerRowCount="1">
  <tableColumns count="1">
    <tableColumn id="1" name="Constraint"/>
  </tableColumns>
  <tableStyleInfo name="TableStyleLight1" showRowStripes="0"/>
</table>
</file>

<file path=xl/tables/table9.xml><?xml version="1.0" encoding="utf-8"?>
<table xmlns="http://schemas.openxmlformats.org/spreadsheetml/2006/main" id="9" name="ListDecisionStatus" displayName="ListDecisionStatus" ref="AA4:AA8" headerRowCount="1">
  <tableColumns count="1">
    <tableColumn id="1" name="Decision Status"/>
  </tableColumns>
  <tableStyleInfo name="TableStyleLight1" showRowStripes="0"/>
</table>
</file>

<file path=xl/tables/table10.xml><?xml version="1.0" encoding="utf-8"?>
<table xmlns="http://schemas.openxmlformats.org/spreadsheetml/2006/main" id="10" name="ListDepType" displayName="ListDepType" ref="G4:G8" headerRowCount="1">
  <tableColumns count="1">
    <tableColumn id="1" name="Link Type"/>
  </tableColumns>
  <tableStyleInfo name="TableStyleLight1" showRowStripes="0"/>
</table>
</file>

<file path=xl/tables/table11.xml><?xml version="1.0" encoding="utf-8"?>
<table xmlns="http://schemas.openxmlformats.org/spreadsheetml/2006/main" id="11" name="ListLogType" displayName="ListLogType" ref="W4:W10" headerRowCount="1">
  <tableColumns count="1">
    <tableColumn id="1" name="Log Type"/>
  </tableColumns>
  <tableStyleInfo name="TableStyleLight1" showRowStripes="0"/>
</table>
</file>

<file path=xl/tables/table12.xml><?xml version="1.0" encoding="utf-8"?>
<table xmlns="http://schemas.openxmlformats.org/spreadsheetml/2006/main" id="12" name="ListMode" displayName="ListMode" ref="I4:I6" headerRowCount="1">
  <tableColumns count="1">
    <tableColumn id="1" name="Task Mode"/>
  </tableColumns>
  <tableStyleInfo name="TableStyleLight1" showRowStripes="0"/>
</table>
</file>

<file path=xl/tables/table13.xml><?xml version="1.0" encoding="utf-8"?>
<table xmlns="http://schemas.openxmlformats.org/spreadsheetml/2006/main" id="13" name="ListPeriod" displayName="ListPeriod" ref="S4:S8" headerRowCount="1">
  <tableColumns count="1">
    <tableColumn id="1" name="Gantt Days per Column"/>
  </tableColumns>
  <tableStyleInfo name="TableStyleLight1" showRowStripes="0"/>
</table>
</file>

<file path=xl/tables/table14.xml><?xml version="1.0" encoding="utf-8"?>
<table xmlns="http://schemas.openxmlformats.org/spreadsheetml/2006/main" id="14" name="ListRAG" displayName="ListRAG" ref="U4:U7" headerRowCount="1">
  <tableColumns count="1">
    <tableColumn id="1" name="RAG"/>
  </tableColumns>
  <tableStyleInfo name="TableStyleLight1" showRowStripes="0"/>
</table>
</file>

<file path=xl/tables/table15.xml><?xml version="1.0" encoding="utf-8"?>
<table xmlns="http://schemas.openxmlformats.org/spreadsheetml/2006/main" id="15" name="ListRAIDStatus" displayName="ListRAIDStatus" ref="Y4:Y7" headerRowCount="1">
  <tableColumns count="1">
    <tableColumn id="1" name="RAID Status"/>
  </tableColumns>
  <tableStyleInfo name="TableStyleLight1" showRowStripes="0"/>
</table>
</file>

<file path=xl/tables/table16.xml><?xml version="1.0" encoding="utf-8"?>
<table xmlns="http://schemas.openxmlformats.org/spreadsheetml/2006/main" id="16" name="ListResType" displayName="ListResType" ref="Q4:Q7" headerRowCount="1">
  <tableColumns count="1">
    <tableColumn id="1" name="Resource Type"/>
  </tableColumns>
  <tableStyleInfo name="TableStyleLight1" showRowStripes="0"/>
</table>
</file>

<file path=xl/tables/table17.xml><?xml version="1.0" encoding="utf-8"?>
<table xmlns="http://schemas.openxmlformats.org/spreadsheetml/2006/main" id="17" name="ListWorkingWeek" displayName="ListWorkingWeek" ref="K4:K8" headerRowCount="1">
  <tableColumns count="1">
    <tableColumn id="1" name="Working Week"/>
  </tableColumns>
  <tableStyleInfo name="TableStyleLight1" showRowStripes="0"/>
</table>
</file>

<file path=xl/tables/table18.xml><?xml version="1.0" encoding="utf-8"?>
<table xmlns="http://schemas.openxmlformats.org/spreadsheetml/2006/main" id="18" name="ListYesNo" displayName="ListYesNo" ref="O4:O6" headerRowCount="1">
  <tableColumns count="1">
    <tableColumn id="1" name="Yes / No"/>
  </tableColumns>
  <tableStyleInfo name="TableStyleLight1" showRowStripes="0"/>
</table>
</file>

<file path=xl/tables/table19.xml><?xml version="1.0" encoding="utf-8"?>
<table xmlns="http://schemas.openxmlformats.org/spreadsheetml/2006/main" id="19" name="NextMilestones" displayName="NextMilestones" ref="B44:C49"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0.xml><?xml version="1.0" encoding="utf-8"?>
<table xmlns="http://schemas.openxmlformats.org/spreadsheetml/2006/main" id="20"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1.xml><?xml version="1.0" encoding="utf-8"?>
<table xmlns="http://schemas.openxmlformats.org/spreadsheetml/2006/main" id="21"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2.xml><?xml version="1.0" encoding="utf-8"?>
<table xmlns="http://schemas.openxmlformats.org/spreadsheetml/2006/main" id="22" name="ResourceTable" displayName="ResourceTable" ref="B5:BA55" headerRowCount="1">
  <autoFilter ref="B5:BA55"/>
  <tableColumns count="52">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Accountable For">
      <calculatedColumnFormula>IF(ResourceTable[[#This Row],[Resource Name]]="","",COUNTIF(tsk_Accountable,ResourceTable[[#This Row],[Resource Name]])+COUNTIF(tsk_Accountable,ResourceTable[[#This Row],[Resource Name]]&amp;",*")+COUNTIF(tsk_Accountable,"*, "&amp;ResourceTable[[#This Row],[Resource Name]])+COUNTIF(tsk_Accountable,"*, "&amp;ResourceTable[[#This Row],[Resource Name]]&amp;",*"))</calculatedColumnFormula>
    </tableColumn>
    <tableColumn id="14" name="Consulted On">
      <calculatedColumnFormula>IF(ResourceTable[[#This Row],[Resource Name]]="","",COUNTIF(tsk_Consulted,ResourceTable[[#This Row],[Resource Name]])+COUNTIF(tsk_Consulted,ResourceTable[[#This Row],[Resource Name]]&amp;",*")+COUNTIF(tsk_Consulted,"*, "&amp;ResourceTable[[#This Row],[Resource Name]])+COUNTIF(tsk_Consulted,"*, "&amp;ResourceTable[[#This Row],[Resource Name]]&amp;",*"))</calculatedColumnFormula>
    </tableColumn>
    <tableColumn id="15" name="Informed Of">
      <calculatedColumnFormula>IF(ResourceTable[[#This Row],[Resource Name]]="","",COUNTIF(tsk_Informed,ResourceTable[[#This Row],[Resource Name]])+COUNTIF(tsk_Informed,ResourceTable[[#This Row],[Resource Name]]&amp;",*")+COUNTIF(tsk_Informed,"*, "&amp;ResourceTable[[#This Row],[Resource Name]])+COUNTIF(tsk_Informed,"*, "&amp;ResourceTable[[#This Row],[Resource Name]]&amp;",*"))</calculatedColumnFormula>
    </tableColumn>
    <tableColumn id="16" name="_Focus">
      <calculatedColumnFormula>IF(ResourceTable[[#This Row],[Focus %]]="",FocusFactor,N(ResourceTable[[#This Row],[Focus %]]))</calculatedColumnFormula>
    </tableColumn>
    <tableColumn id="17" name="Jan-26"/>
    <tableColumn id="18" name="Feb-26"/>
    <tableColumn id="19" name="Mar-26"/>
    <tableColumn id="20" name="Apr-26"/>
    <tableColumn id="21" name="May-26"/>
    <tableColumn id="22" name="Jun-26"/>
    <tableColumn id="23" name="Jul-26"/>
    <tableColumn id="24" name="Aug-26"/>
    <tableColumn id="25" name="Sep-26"/>
    <tableColumn id="26" name="Oct-26"/>
    <tableColumn id="27" name="Nov-26"/>
    <tableColumn id="28" name="Dec-26"/>
    <tableColumn id="29" name="Jan-27"/>
    <tableColumn id="30" name="Feb-27"/>
    <tableColumn id="31" name="Mar-27"/>
    <tableColumn id="32" name="Apr-27"/>
    <tableColumn id="33" name="May-27"/>
    <tableColumn id="34" name="Jun-27"/>
    <tableColumn id="35" name="Jul-27"/>
    <tableColumn id="36" name="Aug-27"/>
    <tableColumn id="37" name="Sep-27"/>
    <tableColumn id="38" name="Oct-27"/>
    <tableColumn id="39" name="Nov-27"/>
    <tableColumn id="40" name="Dec-27"/>
    <tableColumn id="41" name="Jan-28"/>
    <tableColumn id="42" name="Feb-28"/>
    <tableColumn id="43" name="Mar-28"/>
    <tableColumn id="44" name="Apr-28"/>
    <tableColumn id="45" name="May-28"/>
    <tableColumn id="46" name="Jun-28"/>
    <tableColumn id="47" name="Jul-28"/>
    <tableColumn id="48" name="Aug-28"/>
    <tableColumn id="49" name="Sep-28"/>
    <tableColumn id="50" name="Oct-28"/>
    <tableColumn id="51" name="Nov-28"/>
    <tableColumn id="52" name="Dec-28"/>
  </tableColumns>
  <tableStyleInfo name="TableStyleLight1" showRowStripes="0"/>
</table>
</file>

<file path=xl/tables/table23.xml><?xml version="1.0" encoding="utf-8"?>
<table xmlns="http://schemas.openxmlformats.org/spreadsheetml/2006/main" id="2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4.xml><?xml version="1.0" encoding="utf-8"?>
<table xmlns="http://schemas.openxmlformats.org/spreadsheetml/2006/main" id="24"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25.xml><?xml version="1.0" encoding="utf-8"?>
<table xmlns="http://schemas.openxmlformats.org/spreadsheetml/2006/main" id="25" name="StageTable" displayName="StageTable" ref="B49:C55" headerRowCount="1">
  <tableColumns count="2">
    <tableColumn id="1" name="Stage"/>
    <tableColumn id="2" name="% Complete"/>
  </tableColumns>
  <tableStyleInfo name="TableStyleLight1" showRowStripes="0"/>
</table>
</file>

<file path=xl/tables/table26.xml><?xml version="1.0" encoding="utf-8"?>
<table xmlns="http://schemas.openxmlformats.org/spreadsheetml/2006/main" id="26" name="StartingSoon" displayName="StartingSoon" ref="A68:G73"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27.xml><?xml version="1.0" encoding="utf-8"?>
<table xmlns="http://schemas.openxmlformats.org/spreadsheetml/2006/main" id="27" name="StatusNotes" displayName="StatusNotes" ref="B84:C90" headerRowCount="1">
  <tableColumns count="2">
    <tableColumn id="1" name="Section"/>
    <tableColumn id="2" name="Notes"/>
  </tableColumns>
  <tableStyleInfo name="TableStyleLight1" showRowStripes="0"/>
</table>
</file>

<file path=xl/tables/table28.xml><?xml version="1.0" encoding="utf-8"?>
<table xmlns="http://schemas.openxmlformats.org/spreadsheetml/2006/main" id="28"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StatusSummary" displayName="StatusSummary" ref="E27:F32"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30.xml><?xml version="1.0" encoding="utf-8"?>
<table xmlns="http://schemas.openxmlformats.org/spreadsheetml/2006/main" id="30" name="Tasks" displayName="Tasks" ref="A5:HG205" headerRowCount="1">
  <autoFilter ref="A5:HG205"/>
  <tableColumns count="215">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Accountable"/>
    <tableColumn id="74" name="Consulted"/>
    <tableColumn id="75" name="Informed"/>
    <tableColumn id="76" name="Expected">
      <calculatedColumnFormula>IF(AND(Tasks[[#This Row],[_IsLeaf]]=1,ISNUMBER(Tasks[[#This Row],[Optimistic]]),ISNUMBER(Tasks[[#This Row],[Pessimistic]])),ROUND((Tasks[[#This Row],[Optimistic]]+4*N(Tasks[[#This Row],[_Days]])+Tasks[[#This Row],[Pessimistic]])/6,1),"")</calculatedColumnFormula>
    </tableColumn>
    <tableColumn id="77" name="Optimistic"/>
    <tableColumn id="78" name="Pessimistic"/>
    <tableColumn id="79" name="Sandbox Duration"/>
    <tableColumn id="80" name="_Level">
      <calculatedColumnFormula>IF(Tasks[[#This Row],[Task Name]]="","",MAX(1,N(Tasks[[#This Row],[Level]])))</calculatedColumnFormula>
    </tableColumn>
    <tableColumn id="81" name="_Row">
      <calculatedColumnFormula>ROW()-ROW(Tasks[[#Headers],[ID]])</calculatedColumnFormula>
    </tableColumn>
    <tableColumn id="82" name="_ParentRow">
      <calculatedColumnFormula>IF(OR(Tasks[[#This Row],[Task Name]]="",Tasks[[#This Row],[_Level]]&lt;=1),0,IFERROR(LOOKUP(2,1/(Tasks[[#Headers],[_Level]]:Tasks[[#This Row],[_Level]]=Tasks[[#This Row],[_Level]]-1),ROW(Tasks[[#Headers],[_Level]]:Tasks[[#This Row],[_Level]])),0))</calculatedColumnFormula>
    </tableColumn>
    <tableColumn id="83" name="_NextLevel">
      <calculatedColumnFormula>IFERROR(N(INDEX(Tasks[_Level],Tasks[[#This Row],[_Row]]+1)),0)</calculatedColumnFormula>
    </tableColumn>
    <tableColumn id="84" name="_IsSummary">
      <calculatedColumnFormula>AND(Tasks[[#This Row],[Task Name]]&lt;&gt;"",Tasks[[#This Row],[_NextLevel]]&gt;Tasks[[#This Row],[_Level]])</calculatedColumnFormula>
    </tableColumn>
    <tableColumn id="85" name="_Descendants">
      <calculatedColumnFormula>IF(Tasks[[#This Row],[_IsSummary]],COUNTIF(Tasks[WBS],Tasks[[#This Row],[WBS]]&amp;".*"),0)</calculatedColumnFormula>
    </tableColumn>
    <tableColumn id="86" name="_IsLeaf">
      <calculatedColumnFormula>IF(AND(Tasks[[#This Row],[Task Name]]&lt;&gt;"",NOT(Tasks[[#This Row],[_IsSummary]])),1,0)</calculatedColumnFormula>
    </tableColumn>
    <tableColumn id="87" name="_Pred1Pos">
      <calculatedColumnFormula>IF(N(Tasks[[#This Row],[_Pred1UID]])=0,0,IFERROR(MATCH(Tasks[[#This Row],[_Pred1UID]],Tasks[UID],0),-1))</calculatedColumnFormula>
    </tableColumn>
    <tableColumn id="88" name="_Pred2Pos">
      <calculatedColumnFormula>IF(N(Tasks[[#This Row],[_Pred2UID]])=0,0,IFERROR(MATCH(Tasks[[#This Row],[_Pred2UID]],Tasks[UID],0),-1))</calculatedColumnFormula>
    </tableColumn>
    <tableColumn id="89" name="_Pred3Pos">
      <calculatedColumnFormula>IF(N(Tasks[[#This Row],[_Pred3UID]])=0,0,IFERROR(MATCH(Tasks[[#This Row],[_Pred3UID]],Tasks[UID],0),-1))</calculatedColumnFormula>
    </tableColumn>
    <tableColumn id="90" name="_Pred4Pos">
      <calculatedColumnFormula>IF(N(Tasks[[#This Row],[_Pred4UID]])=0,0,IFERROR(MATCH(Tasks[[#This Row],[_Pred4UID]],Tasks[UID],0),-1))</calculatedColumnFormula>
    </tableColumn>
    <tableColumn id="91"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92"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93" name="_ConstraintLow">
      <calculatedColumnFormula>IF(OR(Tasks[[#This Row],[_ConstraintCode]]=2,Tasks[[#This Row],[_ConstraintCode]]=3,Tasks[[#This Row],[_ConstraintCode]]=4,Tasks[[#This Row],[_ConstraintCode]]=6),Tasks[[#This Row],[_ConstraintStart]],0)</calculatedColumnFormula>
    </tableColumn>
    <tableColumn id="94" name="_ConstraintHigh">
      <calculatedColumnFormula>IF(OR(Tasks[[#This Row],[_ConstraintCode]]=2,Tasks[[#This Row],[_ConstraintCode]]=3,Tasks[[#This Row],[_ConstraintCode]]=5,Tasks[[#This Row],[_ConstraintCode]]=7),Tasks[[#This Row],[_ConstraintStart]],2958465)</calculatedColumnFormula>
    </tableColumn>
    <tableColumn id="95"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96" name="_LeafCalcFinish">
      <calculatedColumnFormula>IF(NOT(Tasks[[#This Row],[_IsLeaf]]=1),"",IF(N(Tasks[[#This Row],[_Days]])&lt;=0,Tasks[[#This Row],[_LeafCalcStart]],WORKDAY.INTL(Tasks[[#This Row],[_LeafCalcStart]],Tasks[[#This Row],[_Days]]-1,WorkWeek,Holidays)))</calculatedColumnFormula>
    </tableColumn>
    <tableColumn id="97"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8"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9" name="_Pred1Text">
      <calculatedColumnFormula>IF(Tasks[[#This Row],[_Predecessors]]="","",TRIM(MID(SUBSTITUTE(SUBSTITUTE(SUBSTITUTE(UPPER(Tasks[[#This Row],[_Predecessors]]),";",",")," ",""),",",REPT(" ",99)),1,99)))</calculatedColumnFormula>
    </tableColumn>
    <tableColumn id="100"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101"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102"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103" name="_Pred2Text">
      <calculatedColumnFormula>IF(Tasks[[#This Row],[_Pred1Text]]="","",TRIM(MID(SUBSTITUTE(SUBSTITUTE(SUBSTITUTE(UPPER(Tasks[[#This Row],[_Predecessors]]),";",",")," ",""),",",REPT(" ",99)),100,99)))</calculatedColumnFormula>
    </tableColumn>
    <tableColumn id="104"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105"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106"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7" name="_Pred3Text">
      <calculatedColumnFormula>IF(Tasks[[#This Row],[_Pred2Text]]="","",TRIM(MID(SUBSTITUTE(SUBSTITUTE(SUBSTITUTE(UPPER(Tasks[[#This Row],[_Predecessors]]),";",",")," ",""),",",REPT(" ",99)),199,99)))</calculatedColumnFormula>
    </tableColumn>
    <tableColumn id="108"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9"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10"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11" name="_Pred4Text">
      <calculatedColumnFormula>IF(Tasks[[#This Row],[_Pred3Text]]="","",TRIM(MID(SUBSTITUTE(SUBSTITUTE(SUBSTITUTE(UPPER(Tasks[[#This Row],[_Predecessors]]),";",",")," ",""),",",REPT(" ",99)),298,99)))</calculatedColumnFormula>
    </tableColumn>
    <tableColumn id="112"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13"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14"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15" name="_Res1Text">
      <calculatedColumnFormula>IF(OR(Tasks[[#This Row],[Task Name]]="",Tasks[[#This Row],[_Resources]]=""),"",TRIM(MID(SUBSTITUTE(Tasks[[#This Row],[_Resources]],",",REPT(" ",99)),1,99)))</calculatedColumnFormula>
    </tableColumn>
    <tableColumn id="116" name="_Res2Text">
      <calculatedColumnFormula>IF(Tasks[[#This Row],[_Res1Text]]="","",TRIM(MID(SUBSTITUTE(Tasks[[#This Row],[_Resources]],",",REPT(" ",99)),100,99)))</calculatedColumnFormula>
    </tableColumn>
    <tableColumn id="117" name="_Res3Text">
      <calculatedColumnFormula>IF(Tasks[[#This Row],[_Res2Text]]="","",TRIM(MID(SUBSTITUTE(Tasks[[#This Row],[_Resources]],",",REPT(" ",99)),199,99)))</calculatedColumnFormula>
    </tableColumn>
    <tableColumn id="118" name="_Res4Text">
      <calculatedColumnFormula>IF(Tasks[[#This Row],[_Res3Text]]="","",TRIM(MID(SUBSTITUTE(Tasks[[#This Row],[_Resources]],",",REPT(" ",99)),298,99)))</calculatedColumnFormula>
    </tableColumn>
    <tableColumn id="119"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20"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21"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22"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23" name="_Resource1">
      <calculatedColumnFormula>IF(Tasks[[#This Row],[_Res1Text]]="","",IF(Tasks[[#This Row],[_Res1Row]]&gt;0,INDEX(res_Name,Tasks[[#This Row],[_Res1Row]]),TRIM(LEFT(Tasks[[#This Row],[_Res1Text]],FIND("[",Tasks[[#This Row],[_Res1Text]]&amp;"[")-1))))</calculatedColumnFormula>
    </tableColumn>
    <tableColumn id="124"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25" name="_People">
      <calculatedColumnFormula>IF(NOT(Tasks[[#This Row],[_IsLeaf]]=1),0,(Tasks[[#This Row],[_Resource1]]&lt;&gt;"")+(Tasks[[#This Row],[_Res2]]&lt;&gt;"")+(Tasks[[#This Row],[_Res3]]&lt;&gt;"")+(Tasks[[#This Row],[_Res4]]&lt;&gt;""))</calculatedColumnFormula>
    </tableColumn>
    <tableColumn id="126" name="_Res2">
      <calculatedColumnFormula>IF(Tasks[[#This Row],[_Res2Text]]="","",IF(Tasks[[#This Row],[_Res2Row]]&gt;0,INDEX(res_Name,Tasks[[#This Row],[_Res2Row]]),TRIM(LEFT(Tasks[[#This Row],[_Res2Text]],FIND("[",Tasks[[#This Row],[_Res2Text]]&amp;"[")-1))))</calculatedColumnFormula>
    </tableColumn>
    <tableColumn id="127"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8" name="_Res2Work">
      <calculatedColumnFormula>IF(OR(NOT(Tasks[[#This Row],[_IsLeaf]]=1),Tasks[[#This Row],[_Res2Row]]=0),0,N(Tasks[[#This Row],[_Days]])*HoursPerDay*IF(Tasks[[#This Row],[_Res2Units]]="",DefaultUnits,Tasks[[#This Row],[_Res2Units]]))</calculatedColumnFormula>
    </tableColumn>
    <tableColumn id="129" name="_Res2WorkPerWD">
      <calculatedColumnFormula>IF(AND(AND(Tasks[[#This Row],[_IsLeaf]]=1,Tasks[[#This Row],[_LeafTotalWork]]&gt;0),Tasks[[#This Row],[_Res2Work]]&gt;0),Tasks[[#This Row],[_Res2Work]]/(Tasks[[#This Row],[_FinishWorkday]]-Tasks[[#This Row],[_StartWorkday]]+1),0)</calculatedColumnFormula>
    </tableColumn>
    <tableColumn id="130" name="_Res2WorkBefore">
      <calculatedColumnFormula>Tasks[[#This Row],[_Res2WorkPerWD]]*MAX(0,Tasks[[#This Row],[_StartWorkday]]-1)</calculatedColumnFormula>
    </tableColumn>
    <tableColumn id="131" name="_Res2WorkDone">
      <calculatedColumnFormula>Tasks[[#This Row],[_Res2Work]]*Tasks[[#This Row],[_LeafProgress]]</calculatedColumnFormula>
    </tableColumn>
    <tableColumn id="132" name="_Res3">
      <calculatedColumnFormula>IF(Tasks[[#This Row],[_Res3Text]]="","",IF(Tasks[[#This Row],[_Res3Row]]&gt;0,INDEX(res_Name,Tasks[[#This Row],[_Res3Row]]),TRIM(LEFT(Tasks[[#This Row],[_Res3Text]],FIND("[",Tasks[[#This Row],[_Res3Text]]&amp;"[")-1))))</calculatedColumnFormula>
    </tableColumn>
    <tableColumn id="133"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34" name="_Res3Work">
      <calculatedColumnFormula>IF(OR(NOT(Tasks[[#This Row],[_IsLeaf]]=1),Tasks[[#This Row],[_Res3Row]]=0),0,N(Tasks[[#This Row],[_Days]])*HoursPerDay*IF(Tasks[[#This Row],[_Res3Units]]="",DefaultUnits,Tasks[[#This Row],[_Res3Units]]))</calculatedColumnFormula>
    </tableColumn>
    <tableColumn id="135" name="_Res3WorkPerWD">
      <calculatedColumnFormula>IF(AND(AND(Tasks[[#This Row],[_IsLeaf]]=1,Tasks[[#This Row],[_LeafTotalWork]]&gt;0),Tasks[[#This Row],[_Res3Work]]&gt;0),Tasks[[#This Row],[_Res3Work]]/(Tasks[[#This Row],[_FinishWorkday]]-Tasks[[#This Row],[_StartWorkday]]+1),0)</calculatedColumnFormula>
    </tableColumn>
    <tableColumn id="136" name="_Res3WorkBefore">
      <calculatedColumnFormula>Tasks[[#This Row],[_Res3WorkPerWD]]*MAX(0,Tasks[[#This Row],[_StartWorkday]]-1)</calculatedColumnFormula>
    </tableColumn>
    <tableColumn id="137" name="_Res3WorkDone">
      <calculatedColumnFormula>Tasks[[#This Row],[_Res3Work]]*Tasks[[#This Row],[_LeafProgress]]</calculatedColumnFormula>
    </tableColumn>
    <tableColumn id="138" name="_Res4">
      <calculatedColumnFormula>IF(Tasks[[#This Row],[_Res4Text]]="","",IF(Tasks[[#This Row],[_Res4Row]]&gt;0,INDEX(res_Name,Tasks[[#This Row],[_Res4Row]]),TRIM(LEFT(Tasks[[#This Row],[_Res4Text]],FIND("[",Tasks[[#This Row],[_Res4Text]]&amp;"[")-1))))</calculatedColumnFormula>
    </tableColumn>
    <tableColumn id="139"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40" name="_Res4Work">
      <calculatedColumnFormula>IF(OR(NOT(Tasks[[#This Row],[_IsLeaf]]=1),Tasks[[#This Row],[_Res4Row]]=0),0,N(Tasks[[#This Row],[_Days]])*HoursPerDay*IF(Tasks[[#This Row],[_Res4Units]]="",DefaultUnits,Tasks[[#This Row],[_Res4Units]]))</calculatedColumnFormula>
    </tableColumn>
    <tableColumn id="141" name="_Res4WorkPerWD">
      <calculatedColumnFormula>IF(AND(AND(Tasks[[#This Row],[_IsLeaf]]=1,Tasks[[#This Row],[_LeafTotalWork]]&gt;0),Tasks[[#This Row],[_Res4Work]]&gt;0),Tasks[[#This Row],[_Res4Work]]/(Tasks[[#This Row],[_FinishWorkday]]-Tasks[[#This Row],[_StartWorkday]]+1),0)</calculatedColumnFormula>
    </tableColumn>
    <tableColumn id="142" name="_Res4WorkBefore">
      <calculatedColumnFormula>Tasks[[#This Row],[_Res4WorkPerWD]]*MAX(0,Tasks[[#This Row],[_StartWorkday]]-1)</calculatedColumnFormula>
    </tableColumn>
    <tableColumn id="143" name="_Res4WorkDone">
      <calculatedColumnFormula>Tasks[[#This Row],[_Res4Work]]*Tasks[[#This Row],[_LeafProgress]]</calculatedColumnFormula>
    </tableColumn>
    <tableColumn id="144" name="_Pct">
      <calculatedColumnFormula>IF(ISNUMBER(Tasks[[#This Row],[% Complete]]),Tasks[[#This Row],[% Complete]],IF(Tasks[[#This Row],[Stage]]="",0,IFERROR(INDEX(stg_Pct,MATCH(Tasks[[#This Row],[Stage]],stg_Name,0)),0)))</calculatedColumnFormula>
    </tableColumn>
    <tableColumn id="145" name="_LeafProgress">
      <calculatedColumnFormula>IF(NOT(Tasks[[#This Row],[_IsLeaf]]=1),0,IF(N(Tasks[[#This Row],[Actual Finish]])&gt;0,1,MIN(1,Tasks[[#This Row],[_Pct]])))</calculatedColumnFormula>
    </tableColumn>
    <tableColumn id="146" name="_LeafWork">
      <calculatedColumnFormula>IF(OR(NOT(Tasks[[#This Row],[_IsLeaf]]=1),Tasks[[#This Row],[_Res1Row]]=0),0,N(Tasks[[#This Row],[_Days]])*HoursPerDay*IF(Tasks[[#This Row],[_Units1]]="",DefaultUnits,Tasks[[#This Row],[_Units1]]))</calculatedColumnFormula>
    </tableColumn>
    <tableColumn id="147" name="_LeafTotalWork">
      <calculatedColumnFormula>Tasks[[#This Row],[_LeafWork]]+Tasks[[#This Row],[_Res2Work]]+Tasks[[#This Row],[_Res3Work]]+Tasks[[#This Row],[_Res4Work]]</calculatedColumnFormula>
    </tableColumn>
    <tableColumn id="148"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9"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50"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51"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52"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53"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54"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55"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56"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7"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8"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9" name="_LeafLateStart">
      <calculatedColumnFormula>IF(NOT(Tasks[[#This Row],[_IsLeaf]]=1),"",IF(N(Tasks[[#This Row],[_Days]])&lt;=0,Tasks[[#This Row],[_LeafLateFinish]],WORKDAY.INTL(Tasks[[#This Row],[_LeafLateFinish]],-(Tasks[[#This Row],[_Days]]-1),WorkWeek,Holidays)))</calculatedColumnFormula>
    </tableColumn>
    <tableColumn id="160"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61" name="_LeafCritical">
      <calculatedColumnFormula>AND(Tasks[[#This Row],[_IsLeaf]]=1,Tasks[[#This Row],[_LeafProgress]]&lt;1,N(Tasks[[#This Row],[_LeafTotalSlack]])&lt;=CriticalSlackDays)</calculatedColumnFormula>
    </tableColumn>
    <tableColumn id="162" name="_AlapShift">
      <calculatedColumnFormula>IF(AND(Tasks[[#This Row],[_IsLeaf]]=1,Tasks[[#This Row],[_ConstraintCode]]=1,Tasks[[#This Row],[Mode]]&lt;&gt;"Manual",N(Tasks[[#This Row],[Actual Start]])=0),MAX(0,N(Tasks[[#This Row],[Free Slack]])),0)</calculatedColumnFormula>
    </tableColumn>
    <tableColumn id="163" name="_ShownCalcStart">
      <calculatedColumnFormula>IF(NOT(Tasks[[#This Row],[_IsLeaf]]=1),"",IF(Tasks[[#This Row],[_AlapShift]]=0,Tasks[[#This Row],[_LeafCalcStart]],WORKDAY.INTL(Tasks[[#This Row],[_LeafCalcStart]],Tasks[[#This Row],[_AlapShift]],WorkWeek,Holidays)))</calculatedColumnFormula>
    </tableColumn>
    <tableColumn id="164" name="_ShownCalcFinish">
      <calculatedColumnFormula>IF(NOT(Tasks[[#This Row],[_IsLeaf]]=1),"",IF(Tasks[[#This Row],[_AlapShift]]=0,Tasks[[#This Row],[_LeafCalcFinish]],WORKDAY.INTL(Tasks[[#This Row],[_LeafCalcFinish]],Tasks[[#This Row],[_AlapShift]],WorkWeek,Holidays)))</calculatedColumnFormula>
    </tableColumn>
    <tableColumn id="165" name="_ShownFcstStart">
      <calculatedColumnFormula>IF(NOT(Tasks[[#This Row],[_IsLeaf]]=1),"",IF(Tasks[[#This Row],[_AlapShift]]=0,Tasks[[#This Row],[_LeafFcstStart]],WORKDAY.INTL(Tasks[[#This Row],[_LeafFcstStart]],Tasks[[#This Row],[_AlapShift]],WorkWeek,Holidays)))</calculatedColumnFormula>
    </tableColumn>
    <tableColumn id="166" name="_ShownFcstFinish">
      <calculatedColumnFormula>IF(NOT(Tasks[[#This Row],[_IsLeaf]]=1),"",IF(Tasks[[#This Row],[_AlapShift]]=0,Tasks[[#This Row],[_LeafFcstFinish]],WORKDAY.INTL(Tasks[[#This Row],[_LeafFcstFinish]],Tasks[[#This Row],[_AlapShift]],WorkWeek,Holidays)))</calculatedColumnFormula>
    </tableColumn>
    <tableColumn id="167"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8"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9"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70"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71"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72"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73"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74"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75"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76"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7"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8"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9"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80"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81" name="_StartWorkday">
      <calculatedColumnFormula>IF(AND(Tasks[[#This Row],[_IsLeaf]]=1,Tasks[[#This Row],[_LeafTotalWork]]&gt;0),NETWORKDAYS.INTL(ProjectStart,Tasks[[#This Row],[_ShownFcstStart]],WorkWeek,Holidays),0)</calculatedColumnFormula>
    </tableColumn>
    <tableColumn id="182" name="_FinishWorkday">
      <calculatedColumnFormula>IF(AND(Tasks[[#This Row],[_IsLeaf]]=1,Tasks[[#This Row],[_LeafTotalWork]]&gt;0),MAX(Tasks[[#This Row],[_StartWorkday]],NETWORKDAYS.INTL(ProjectStart,Tasks[[#This Row],[_ShownFcstFinish]],WorkWeek,Holidays)),0)</calculatedColumnFormula>
    </tableColumn>
    <tableColumn id="183" name="_WorkPerWorkday">
      <calculatedColumnFormula>IF(AND(Tasks[[#This Row],[_IsLeaf]]=1,Tasks[[#This Row],[_LeafTotalWork]]&gt;0),Tasks[[#This Row],[_LeafWork]]/(Tasks[[#This Row],[_FinishWorkday]]-Tasks[[#This Row],[_StartWorkday]]+1),0)</calculatedColumnFormula>
    </tableColumn>
    <tableColumn id="184" name="_WorkBeforeStart">
      <calculatedColumnFormula>Tasks[[#This Row],[_WorkPerWorkday]]*(Tasks[[#This Row],[_StartWorkday]]-1)</calculatedColumnFormula>
    </tableColumn>
    <tableColumn id="185" name="_WeightDur">
      <calculatedColumnFormula>IF(Tasks[[#This Row],[_IsLeaf]]=1,MAX(N(Tasks[[#This Row],[_Days]]),0.1),0)</calculatedColumnFormula>
    </tableColumn>
    <tableColumn id="186" name="_WeightDone">
      <calculatedColumnFormula>Tasks[[#This Row],[_WeightDur]]*Tasks[[#This Row],[_LeafProgress]]</calculatedColumnFormula>
    </tableColumn>
    <tableColumn id="187" name="_WeightPlanned">
      <calculatedColumnFormula>Tasks[[#This Row],[_WeightDur]]*Tasks[[#This Row],[_PlannedPct]]</calculatedColumnFormula>
    </tableColumn>
    <tableColumn id="188"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9" name="_MilestoneKey">
      <calculatedColumnFormula>IF(AND(Tasks[[#This Row],[_IsLeaf]]=1,N(Tasks[[#This Row],[_Days]])=0,Tasks[[#This Row],[_LeafProgress]]&lt;1),Tasks[[#This Row],[_ShownFcstFinish]]+Tasks[[#This Row],[_Row]]/100000,"")</calculatedColumnFormula>
    </tableColumn>
    <tableColumn id="190"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91" name="_Phase">
      <calculatedColumnFormula>IF(Tasks[[#This Row],[Task Name]]="","",LEFT(Tasks[[#This Row],[WBS]],FIND(".",Tasks[[#This Row],[WBS]]&amp;".")-1))</calculatedColumnFormula>
    </tableColumn>
    <tableColumn id="192" name="_PhaseKey">
      <calculatedColumnFormula>IF(AND(Tasks[[#This Row],[Task Name]]&lt;&gt;"",Tasks[[#This Row],[_Level]]=1),Tasks[[#This Row],[_Row]],"")</calculatedColumnFormula>
    </tableColumn>
    <tableColumn id="193" name="_MilestoneOrder">
      <calculatedColumnFormula>IF(AND(Tasks[[#This Row],[_IsLeaf]]=1,N(Tasks[[#This Row],[_Days]])=0),Tasks[[#This Row],[Planned Finish]]+Tasks[[#This Row],[_Row]]/100000,"")</calculatedColumnFormula>
    </tableColumn>
    <tableColumn id="194" name="_LateKey">
      <calculatedColumnFormula>IF(AND(Tasks[[#This Row],[_IsLeaf]]=1,Tasks[[#This Row],[_LeafProgress]]&lt;1,OR(N(Tasks[[#This Row],[Finish Var]])&gt;0,Tasks[[#This Row],[Status]]="Late Start")),MAX(0,Tasks[[#This Row],[Finish Var]])+1-Tasks[[#This Row],[_Row]]/1000000,"")</calculatedColumnFormula>
    </tableColumn>
    <tableColumn id="195" name="_StartSoonKey">
      <calculatedColumnFormula>IF(AND(Tasks[[#This Row],[_IsLeaf]]=1,N(Tasks[[#This Row],[Actual Start]])=0,Tasks[[#This Row],[_ShownFcstStart]]&gt;=StatusDate,Tasks[[#This Row],[_ShownFcstStart]]&lt;=LookaheadEnd),Tasks[[#This Row],[_ShownFcstStart]]+Tasks[[#This Row],[_Row]]/100000,"")</calculatedColumnFormula>
    </tableColumn>
    <tableColumn id="196"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7" name="_CriticalKey">
      <calculatedColumnFormula>IF(Tasks[[#This Row],[_LeafCritical]],Tasks[[#This Row],[_ShownFcstStart]]+Tasks[[#This Row],[_Row]]/100000,"")</calculatedColumnFormula>
    </tableColumn>
    <tableColumn id="198" name="_LeafWorkDone">
      <calculatedColumnFormula>Tasks[[#This Row],[_LeafWork]]*Tasks[[#This Row],[_LeafProgress]]</calculatedColumnFormula>
    </tableColumn>
    <tableColumn id="199" name="_DoneDate">
      <calculatedColumnFormula>IF(AND(Tasks[[#This Row],[_IsLeaf]]=1,Tasks[[#This Row],[_LeafProgress]]&gt;=1),IF(N(Tasks[[#This Row],[Actual Finish]])&gt;0,Tasks[[#This Row],[Actual Finish]],Tasks[[#This Row],[_ShownFcstFinish]]),"")</calculatedColumnFormula>
    </tableColumn>
    <tableColumn id="200" name="_LeafPoints">
      <calculatedColumnFormula>IF(Tasks[[#This Row],[_IsLeaf]]=1,N(Tasks[[#This Row],[Story Points]]),0)</calculatedColumnFormula>
    </tableColumn>
    <tableColumn id="201" name="_CurrentSprintKey">
      <calculatedColumnFormula>""</calculatedColumnFormula>
    </tableColumn>
    <tableColumn id="202" name="_IsMilestone">
      <calculatedColumnFormula>IF(Tasks[[#This Row],[Task Name]]="",FALSE(),AND(Tasks[[#This Row],[_IsLeaf]]=1,N(Tasks[[#This Row],[_Days]])=0))</calculatedColumnFormula>
    </tableColumn>
    <tableColumn id="203" name="_DoneFrom">
      <calculatedColumnFormula>IF(Tasks[[#This Row],[Task Name]]="",0,IF(AND(Tasks[[#This Row],[_IsLeaf]]=1,NOT(Tasks[[#This Row],[_IsMilestone]]),N(Tasks[[#This Row],[Progress]])&gt;0),Tasks[[#This Row],[Start]],0))</calculatedColumnFormula>
    </tableColumn>
    <tableColumn id="204" name="_DoneTo">
      <calculatedColumnFormula>IF(Tasks[[#This Row],[_DoneFrom]]=0,0,IF(Tasks[[#This Row],[Progress]]&gt;=1,Tasks[[#This Row],[Finish]],MAX(Tasks[[#This Row],[_DoneFrom]],Tasks[[#This Row],[Start]]+ROUND((Tasks[[#This Row],[Finish]]-Tasks[[#This Row],[Start]]+1)*Tasks[[#This Row],[Progress]],0)-1)))</calculatedColumnFormula>
    </tableColumn>
    <tableColumn id="205" name="_RemFrom">
      <calculatedColumnFormula>IF(Tasks[[#This Row],[Task Name]]="",0,IF(OR(NOT(Tasks[[#This Row],[_IsLeaf]]=1),Tasks[[#This Row],[_IsMilestone]],N(Tasks[[#This Row],[Progress]])&gt;=1),0,IF(Tasks[[#This Row],[_DoneTo]]&gt;0,Tasks[[#This Row],[_DoneTo]]+1,Tasks[[#This Row],[Start]])))</calculatedColumnFormula>
    </tableColumn>
    <tableColumn id="206" name="_RemTo">
      <calculatedColumnFormula>IF(Tasks[[#This Row],[_RemFrom]]=0,0,Tasks[[#This Row],[Finish]])</calculatedColumnFormula>
    </tableColumn>
    <tableColumn id="207" name="_ShowPlan">
      <calculatedColumnFormula>IF(Tasks[[#This Row],[Task Name]]="",FALSE(),OR(NOT(BaselineSet),N(Tasks[[#This Row],[Baseline Start]])&gt;0))</calculatedColumnFormula>
    </tableColumn>
    <tableColumn id="208" name="_Days">
      <calculatedColumnFormula>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calculatedColumnFormula>
    </tableColumn>
    <tableColumn id="209"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10"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11" name="_PickKey">
      <calculatedColumnFormula>IF(Tasks[[#This Row],[_IsLeaf]]=1,Tasks[[#This Row],[_Row]],"")</calculatedColumnFormula>
    </tableColumn>
    <tableColumn id="212" name="_PickList">
      <calculatedColumnFormula>IFERROR(INDEX(Tasks[UID],SMALL(Tasks[_PickKey],Tasks[[#This Row],[_Row]]))&amp;" "&amp;INDEX(Tasks[Task Name],SMALL(Tasks[_PickKey],Tasks[[#This Row],[_Row]])),"")</calculatedColumnFormula>
    </tableColumn>
    <tableColumn id="213" name="_SpanDays">
      <calculatedColumnFormula>IF(Tasks[[#This Row],[Task Name]]="","",IF(Tasks[[#This Row],[_IsSummary]],NETWORKDAYS.INTL(Tasks[[#This Row],[Start]],Tasks[[#This Row],[Finish]],WorkWeek,Holidays),N(Tasks[[#This Row],[_Days]])))</calculatedColumnFormula>
    </tableColumn>
    <tableColumn id="214" name="_PertVariance">
      <calculatedColumnFormula>IF(Tasks[[#This Row],[Expected]]="",0,((Tasks[[#This Row],[Pessimistic]]-Tasks[[#This Row],[Optimistic]])/6)^2)</calculatedColumnFormula>
    </tableColumn>
    <tableColumn id="215" name="_PertShift">
      <calculatedColumnFormula>IF(Tasks[[#This Row],[Expected]]="",0,Tasks[[#This Row],[Expected]]-N(Tasks[[#This Row],[_Days]]))</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6.xml"/><Relationship Id="rId11" Type="http://schemas.openxmlformats.org/officeDocument/2006/relationships/table" Target="../tables/table27.xml"/><Relationship Id="rId12" Type="http://schemas.openxmlformats.org/officeDocument/2006/relationships/table" Target="../tables/table28.xml"/><Relationship Id="rId13" Type="http://schemas.openxmlformats.org/officeDocument/2006/relationships/table" Target="../tables/table2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3.xml"/><Relationship Id="rId4" Type="http://schemas.openxmlformats.org/officeDocument/2006/relationships/table" Target="../tables/table24.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7.xml"/><Relationship Id="rId3" Type="http://schemas.openxmlformats.org/officeDocument/2006/relationships/table" Target="../tables/table8.xml"/><Relationship Id="rId4" Type="http://schemas.openxmlformats.org/officeDocument/2006/relationships/table" Target="../tables/table9.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 Id="rId8" Type="http://schemas.openxmlformats.org/officeDocument/2006/relationships/table" Target="../tables/table13.xml"/><Relationship Id="rId9" Type="http://schemas.openxmlformats.org/officeDocument/2006/relationships/table" Target="../tables/table14.xml"/><Relationship Id="rId10" Type="http://schemas.openxmlformats.org/officeDocument/2006/relationships/table" Target="../tables/table15.xml"/><Relationship Id="rId11" Type="http://schemas.openxmlformats.org/officeDocument/2006/relationships/table" Target="../tables/table16.xml"/><Relationship Id="rId12" Type="http://schemas.openxmlformats.org/officeDocument/2006/relationships/table" Target="../tables/table17.xml"/><Relationship Id="rId13" Type="http://schemas.openxmlformats.org/officeDocument/2006/relationships/table" Target="../tables/table18.xml"/><Relationship Id="rId14" Type="http://schemas.openxmlformats.org/officeDocument/2006/relationships/table" Target="../tables/table21.xml"/><Relationship Id="rId15" Type="http://schemas.openxmlformats.org/officeDocument/2006/relationships/table" Target="../tables/table2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6.xml"/><Relationship Id="rId4"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15" hidden="false" customHeight="false" outlineLevel="0" collapsed="false">
      <c r="B12" s="5" t="s">
        <v>14</v>
      </c>
      <c r="C12" s="9" t="s">
        <v>15</v>
      </c>
    </row>
    <row r="13" customFormat="false" ht="15" hidden="false" customHeight="false" outlineLevel="0" collapsed="false">
      <c r="B13" s="5" t="s">
        <v>16</v>
      </c>
      <c r="C13" s="9" t="s">
        <v>17</v>
      </c>
    </row>
    <row r="14" customFormat="false" ht="15" hidden="false" customHeight="false" outlineLevel="0" collapsed="false">
      <c r="B14" s="5" t="s">
        <v>18</v>
      </c>
      <c r="C14" s="9" t="s">
        <v>19</v>
      </c>
    </row>
    <row r="15" customFormat="false" ht="15" hidden="false" customHeight="false" outlineLevel="0" collapsed="false">
      <c r="B15" s="5" t="s">
        <v>20</v>
      </c>
      <c r="C15" s="9" t="s">
        <v>21</v>
      </c>
    </row>
    <row r="16" customFormat="false" ht="15" hidden="false" customHeight="false" outlineLevel="0" collapsed="false">
      <c r="B16" s="5" t="s">
        <v>22</v>
      </c>
      <c r="C16" s="9" t="s">
        <v>23</v>
      </c>
    </row>
    <row r="18" customFormat="false" ht="15" hidden="false" customHeight="false" outlineLevel="0" collapsed="false">
      <c r="B18" s="3" t="s">
        <v>24</v>
      </c>
      <c r="C18" s="4"/>
    </row>
    <row r="19" customFormat="false" ht="15" hidden="false" customHeight="false" outlineLevel="0" collapsed="false">
      <c r="B19" s="5" t="s">
        <v>25</v>
      </c>
      <c r="C19" s="9"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0" t="s">
        <v>29</v>
      </c>
      <c r="C24" s="11" t="s">
        <v>30</v>
      </c>
    </row>
    <row r="26" customFormat="false" ht="15" hidden="false" customHeight="false" outlineLevel="0" collapsed="false">
      <c r="B26" s="3" t="s">
        <v>31</v>
      </c>
      <c r="C26" s="4"/>
    </row>
    <row r="27" customFormat="false" ht="35.05" hidden="false" customHeight="false" outlineLevel="0" collapsed="false">
      <c r="B27" s="10" t="s">
        <v>32</v>
      </c>
      <c r="C27" s="11" t="s">
        <v>33</v>
      </c>
    </row>
    <row r="28" customFormat="false" ht="35.05" hidden="false" customHeight="false" outlineLevel="0" collapsed="false">
      <c r="B28" s="10" t="s">
        <v>34</v>
      </c>
      <c r="C28" s="11" t="s">
        <v>35</v>
      </c>
    </row>
    <row r="29" customFormat="false" ht="57.45" hidden="false" customHeight="false" outlineLevel="0" collapsed="false">
      <c r="B29" s="10" t="s">
        <v>18</v>
      </c>
      <c r="C29" s="11" t="s">
        <v>36</v>
      </c>
    </row>
    <row r="30" customFormat="false" ht="35.05" hidden="false" customHeight="false" outlineLevel="0" collapsed="false">
      <c r="B30" s="10" t="s">
        <v>37</v>
      </c>
      <c r="C30" s="11" t="s">
        <v>38</v>
      </c>
    </row>
    <row r="31" customFormat="false" ht="46.25" hidden="false" customHeight="false" outlineLevel="0" collapsed="false">
      <c r="B31" s="10" t="s">
        <v>39</v>
      </c>
      <c r="C31" s="11" t="s">
        <v>40</v>
      </c>
    </row>
    <row r="32" customFormat="false" ht="35.05" hidden="false" customHeight="false" outlineLevel="0" collapsed="false">
      <c r="B32" s="10" t="s">
        <v>41</v>
      </c>
      <c r="C32" s="11" t="s">
        <v>42</v>
      </c>
    </row>
    <row r="33" customFormat="false" ht="79.85" hidden="false" customHeight="false" outlineLevel="0" collapsed="false">
      <c r="B33" s="10" t="s">
        <v>43</v>
      </c>
      <c r="C33" s="11" t="s">
        <v>44</v>
      </c>
    </row>
    <row r="34" customFormat="false" ht="46.25" hidden="false" customHeight="false" outlineLevel="0" collapsed="false">
      <c r="B34" s="10" t="s">
        <v>45</v>
      </c>
      <c r="C34" s="11" t="s">
        <v>46</v>
      </c>
    </row>
    <row r="35" customFormat="false" ht="68.65" hidden="false" customHeight="false" outlineLevel="0" collapsed="false">
      <c r="B35" s="10" t="s">
        <v>47</v>
      </c>
      <c r="C35" s="11" t="s">
        <v>48</v>
      </c>
    </row>
    <row r="36" customFormat="false" ht="46.25" hidden="false" customHeight="false" outlineLevel="0" collapsed="false">
      <c r="B36" s="10" t="s">
        <v>49</v>
      </c>
      <c r="C36" s="11" t="s">
        <v>50</v>
      </c>
    </row>
    <row r="37" customFormat="false" ht="46.25" hidden="false" customHeight="false" outlineLevel="0" collapsed="false">
      <c r="B37" s="10" t="s">
        <v>51</v>
      </c>
      <c r="C37" s="11" t="s">
        <v>52</v>
      </c>
    </row>
    <row r="39" customFormat="false" ht="15" hidden="false" customHeight="false" outlineLevel="0" collapsed="false">
      <c r="B39" s="3" t="s">
        <v>53</v>
      </c>
      <c r="C39" s="4"/>
    </row>
    <row r="40" customFormat="false" ht="15" hidden="false" customHeight="false" outlineLevel="0" collapsed="false">
      <c r="B40" s="10" t="s">
        <v>54</v>
      </c>
      <c r="C40" s="12" t="s">
        <v>55</v>
      </c>
    </row>
    <row r="41" customFormat="false" ht="15" hidden="false" customHeight="false" outlineLevel="0" collapsed="false">
      <c r="B41" s="10" t="s">
        <v>56</v>
      </c>
      <c r="C41" s="13" t="s">
        <v>57</v>
      </c>
    </row>
    <row r="42" customFormat="false" ht="15" hidden="false" customHeight="false" outlineLevel="0" collapsed="false">
      <c r="B42" s="10" t="s">
        <v>58</v>
      </c>
      <c r="C42" s="11" t="s">
        <v>59</v>
      </c>
    </row>
    <row r="43" customFormat="false" ht="23.85" hidden="false" customHeight="false" outlineLevel="0" collapsed="false">
      <c r="B43" s="10" t="s">
        <v>60</v>
      </c>
      <c r="C43" s="11" t="s">
        <v>61</v>
      </c>
    </row>
    <row r="44" customFormat="false" ht="23.85" hidden="false" customHeight="false" outlineLevel="0" collapsed="false">
      <c r="B44" s="10" t="s">
        <v>62</v>
      </c>
      <c r="C44" s="11" t="s">
        <v>63</v>
      </c>
    </row>
    <row r="45" customFormat="false" ht="23.85" hidden="false" customHeight="false" outlineLevel="0" collapsed="false">
      <c r="B45" s="10" t="s">
        <v>64</v>
      </c>
      <c r="C45" s="11" t="s">
        <v>65</v>
      </c>
    </row>
    <row r="46" customFormat="false" ht="23.85" hidden="false" customHeight="false" outlineLevel="0" collapsed="false">
      <c r="B46" s="10" t="s">
        <v>66</v>
      </c>
      <c r="C46" s="11" t="s">
        <v>67</v>
      </c>
    </row>
    <row r="47" customFormat="false" ht="23.85" hidden="false" customHeight="false" outlineLevel="0" collapsed="false">
      <c r="B47" s="10" t="s">
        <v>68</v>
      </c>
      <c r="C47" s="11" t="s">
        <v>69</v>
      </c>
    </row>
    <row r="48" customFormat="false" ht="35.05" hidden="false" customHeight="false" outlineLevel="0" collapsed="false">
      <c r="B48" s="10" t="s">
        <v>70</v>
      </c>
      <c r="C48" s="11" t="s">
        <v>71</v>
      </c>
    </row>
    <row r="49" customFormat="false" ht="23.85" hidden="false" customHeight="false" outlineLevel="0" collapsed="false">
      <c r="B49" s="10" t="s">
        <v>72</v>
      </c>
      <c r="C49" s="11" t="s">
        <v>73</v>
      </c>
    </row>
    <row r="50" customFormat="false" ht="23.85" hidden="false" customHeight="false" outlineLevel="0" collapsed="false">
      <c r="B50" s="10" t="s">
        <v>74</v>
      </c>
      <c r="C50" s="11" t="s">
        <v>75</v>
      </c>
    </row>
    <row r="52" customFormat="false" ht="15" hidden="false" customHeight="false" outlineLevel="0" collapsed="false">
      <c r="B52" s="3" t="s">
        <v>76</v>
      </c>
      <c r="C52" s="4"/>
    </row>
    <row r="53" customFormat="false" ht="35.05" hidden="false" customHeight="false" outlineLevel="0" collapsed="false">
      <c r="B53" s="10" t="s">
        <v>77</v>
      </c>
      <c r="C53" s="11" t="s">
        <v>78</v>
      </c>
    </row>
    <row r="54" customFormat="false" ht="23.85" hidden="false" customHeight="false" outlineLevel="0" collapsed="false">
      <c r="B54" s="10" t="s">
        <v>79</v>
      </c>
      <c r="C54" s="11" t="s">
        <v>80</v>
      </c>
    </row>
    <row r="55" customFormat="false" ht="15" hidden="false" customHeight="false" outlineLevel="0" collapsed="false">
      <c r="B55" s="10" t="s">
        <v>81</v>
      </c>
      <c r="C55" s="11" t="s">
        <v>82</v>
      </c>
    </row>
    <row r="56" customFormat="false" ht="46.25" hidden="false" customHeight="false" outlineLevel="0" collapsed="false">
      <c r="B56" s="10" t="s">
        <v>83</v>
      </c>
      <c r="C56" s="11" t="s">
        <v>84</v>
      </c>
    </row>
    <row r="57" customFormat="false" ht="15" hidden="false" customHeight="false" outlineLevel="0" collapsed="false">
      <c r="B57" s="10" t="s">
        <v>85</v>
      </c>
      <c r="C57" s="11" t="s">
        <v>86</v>
      </c>
    </row>
    <row r="58" customFormat="false" ht="46.25" hidden="false" customHeight="false" outlineLevel="0" collapsed="false">
      <c r="B58" s="10" t="s">
        <v>87</v>
      </c>
      <c r="C58" s="11" t="s">
        <v>88</v>
      </c>
    </row>
    <row r="59" customFormat="false" ht="23.85" hidden="false" customHeight="false" outlineLevel="0" collapsed="false">
      <c r="B59" s="10" t="s">
        <v>89</v>
      </c>
      <c r="C59" s="11" t="s">
        <v>90</v>
      </c>
    </row>
    <row r="60" customFormat="false" ht="35.05" hidden="false" customHeight="false" outlineLevel="0" collapsed="false">
      <c r="B60" s="10" t="s">
        <v>91</v>
      </c>
      <c r="C60" s="11" t="s">
        <v>92</v>
      </c>
    </row>
    <row r="61" customFormat="false" ht="46.25" hidden="false" customHeight="false" outlineLevel="0" collapsed="false">
      <c r="B61" s="10" t="s">
        <v>93</v>
      </c>
      <c r="C61" s="11" t="s">
        <v>94</v>
      </c>
    </row>
    <row r="62" customFormat="false" ht="35.05" hidden="false" customHeight="false" outlineLevel="0" collapsed="false">
      <c r="B62" s="10" t="s">
        <v>95</v>
      </c>
      <c r="C62" s="11" t="s">
        <v>96</v>
      </c>
    </row>
    <row r="63" customFormat="false" ht="23.85" hidden="false" customHeight="false" outlineLevel="0" collapsed="false">
      <c r="B63" s="10" t="s">
        <v>97</v>
      </c>
      <c r="C63" s="11" t="s">
        <v>98</v>
      </c>
    </row>
    <row r="65" customFormat="false" ht="15" hidden="false" customHeight="false" outlineLevel="0" collapsed="false">
      <c r="B65" s="3" t="s">
        <v>99</v>
      </c>
      <c r="C65" s="4"/>
    </row>
    <row r="66" customFormat="false" ht="46.25" hidden="false" customHeight="false" outlineLevel="0" collapsed="false">
      <c r="B66" s="10" t="s">
        <v>100</v>
      </c>
      <c r="C66" s="11" t="s">
        <v>101</v>
      </c>
    </row>
    <row r="67" customFormat="false" ht="35.05" hidden="false" customHeight="false" outlineLevel="0" collapsed="false">
      <c r="B67" s="10" t="s">
        <v>102</v>
      </c>
      <c r="C67" s="11" t="s">
        <v>103</v>
      </c>
    </row>
    <row r="68" customFormat="false" ht="23.85" hidden="false" customHeight="false" outlineLevel="0" collapsed="false">
      <c r="B68" s="10" t="s">
        <v>104</v>
      </c>
      <c r="C68" s="11" t="s">
        <v>105</v>
      </c>
    </row>
    <row r="70" customFormat="false" ht="15" hidden="false" customHeight="false" outlineLevel="0" collapsed="false">
      <c r="B70" s="3" t="s">
        <v>106</v>
      </c>
      <c r="C70" s="4"/>
    </row>
    <row r="71" customFormat="false" ht="46.25" hidden="false" customHeight="false" outlineLevel="0" collapsed="false">
      <c r="B71" s="10" t="s">
        <v>107</v>
      </c>
      <c r="C71" s="11" t="s">
        <v>108</v>
      </c>
    </row>
    <row r="72" customFormat="false" ht="57.45" hidden="false" customHeight="false" outlineLevel="0" collapsed="false">
      <c r="B72" s="10" t="s">
        <v>109</v>
      </c>
      <c r="C72" s="11" t="s">
        <v>110</v>
      </c>
    </row>
    <row r="73" customFormat="false" ht="23.85" hidden="false" customHeight="false" outlineLevel="0" collapsed="false">
      <c r="B73" s="10" t="s">
        <v>111</v>
      </c>
      <c r="C73" s="11" t="s">
        <v>112</v>
      </c>
    </row>
    <row r="74" customFormat="false" ht="57.45" hidden="false" customHeight="false" outlineLevel="0" collapsed="false">
      <c r="B74" s="10" t="s">
        <v>113</v>
      </c>
      <c r="C74" s="11" t="s">
        <v>114</v>
      </c>
    </row>
    <row r="76" customFormat="false" ht="15" hidden="false" customHeight="false" outlineLevel="0" collapsed="false">
      <c r="B76" s="2" t="str">
        <f aca="false">"Project Planner template "&amp;TemplateVersion&amp;"  -  Excel 2019 or Microsoft 365, desktop, web and iPhone. No macros."</f>
        <v>Project Planner template 1.1  -  Excel 2019 or Microsoft 365, desktop, web and iPhone. No macros.</v>
      </c>
    </row>
  </sheetData>
  <sheetProtection sheet="true" formatColumns="false" formatRows="false" sort="false" autoFilter="false"/>
  <conditionalFormatting sqref="C6">
    <cfRule type="expression" priority="2" aboveAverage="0" equalAverage="0" bottom="0" percent="0" rank="0" text="" dxfId="0">
      <formula>N(C6)=0</formula>
    </cfRule>
  </conditionalFormatting>
  <dataValidations count="6">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s>
  <hyperlinks>
    <hyperlink ref="C12" location="'Settings'!A1" display="Fill in the blue cells above: name, manager, start date, working week, hours per day and the project type (it sets the stages, sprint length and RAG thresholds). Everything else has a sensible default on Settings.  Go to Settings."/>
    <hyperlink ref="C13" location="'Resources'!A1" display="List the people (or roles) with their Allocation %. Leave: type 1 (or 0.5) under each day off in the LEAVE BY DAY grid under the people (or type the days in a month column).  Go to Resources."/>
    <hyperlink ref="C14" location="'Tasks'!A1" display="One row per task: Level (1 = phase, 2 = task ...), Task Name and Duration (3, 3d or 2w). Pick what must come first in Pred1 (a dropdown of the tasks above) and who does it in Res1; + opens links and people 2-4. Dates, the critical path, the Gantt and the reports follow.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ype the status date at the top of Status and follow its steps (progress on Tasks, the Log, the RAG, the commentary). Then the Check sheet, and the snapshot row on TakeSnapshot. A report in about ten minutes.  Go to Status."/>
  </hyperlinks>
  <printOptions headings="false" gridLines="false" gridLinesSet="true" horizontalCentered="false" verticalCentered="false"/>
  <pageMargins left="0.75" right="0.75" top="1" bottom="1"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&amp;LProject Planner template 1.1</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4"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Thu 29-Oct-2026 (+4 working days vs plan)</v>
      </c>
    </row>
    <row r="3" customFormat="false" ht="15" hidden="false" customHeight="false" outlineLevel="0" collapsed="false">
      <c r="B3" s="15" t="str">
        <f aca="false">IF(Sandbox="Yes","SANDBOX ON (Settings &gt; Sandbox): every date and figure here is a what-if, not the plan.",IF(LiveGrids="No","Resource grids are OFF (Settings &gt; Live resource grids): the Resource Report and Tasks &gt; Over-allocated are not up to date.",""))</f>
        <v/>
      </c>
    </row>
    <row r="4" customFormat="false" ht="15" hidden="false" customHeight="false" outlineLevel="0" collapsed="false">
      <c r="B4" s="3" t="s">
        <v>115</v>
      </c>
      <c r="C4" s="3" t="s">
        <v>116</v>
      </c>
    </row>
    <row r="5" customFormat="false" ht="15" hidden="false" customHeight="false" outlineLevel="0" collapsed="false">
      <c r="B5" s="5" t="s">
        <v>117</v>
      </c>
      <c r="C5" s="7" t="n">
        <v>46320</v>
      </c>
      <c r="D5" s="2" t="s">
        <v>118</v>
      </c>
    </row>
    <row r="6" customFormat="false" ht="30" hidden="false" customHeight="true" outlineLevel="0" collapsed="false">
      <c r="B6" s="5" t="s">
        <v>119</v>
      </c>
      <c r="C6" s="9" t="s">
        <v>120</v>
      </c>
    </row>
    <row r="7" customFormat="false" ht="30" hidden="false" customHeight="true" outlineLevel="0" collapsed="false">
      <c r="B7" s="5" t="s">
        <v>121</v>
      </c>
      <c r="C7" s="16" t="s">
        <v>122</v>
      </c>
    </row>
    <row r="8" customFormat="false" ht="30" hidden="false" customHeight="true" outlineLevel="0" collapsed="false">
      <c r="B8" s="5" t="s">
        <v>123</v>
      </c>
      <c r="C8" s="16" t="s">
        <v>124</v>
      </c>
    </row>
    <row r="13" customFormat="false" ht="15" hidden="false" customHeight="false" outlineLevel="0" collapsed="false">
      <c r="B13" s="17" t="s">
        <v>125</v>
      </c>
      <c r="C13" s="17" t="s">
        <v>126</v>
      </c>
      <c r="D13" s="17" t="s">
        <v>127</v>
      </c>
      <c r="E13" s="17" t="s">
        <v>128</v>
      </c>
      <c r="F13" s="18" t="s">
        <v>129</v>
      </c>
      <c r="G13" s="17" t="s">
        <v>130</v>
      </c>
      <c r="H13" s="18" t="s">
        <v>131</v>
      </c>
    </row>
    <row r="14" customFormat="false" ht="15" hidden="false" customHeight="false" outlineLevel="0" collapsed="false">
      <c r="B14" s="19" t="s">
        <v>132</v>
      </c>
      <c r="C14" s="20" t="s">
        <v>133</v>
      </c>
      <c r="D14" s="20" t="str">
        <f aca="false">COUNTIF(StatusRAG[RAG],"Red")&amp;" red, "&amp;COUNTIF(StatusRAG[RAG],"Amber")&amp;" amber"</f>
        <v>0 red, 3 amber</v>
      </c>
      <c r="E14" s="21" t="str">
        <f aca="false">CHOOSE(MAX(IF(COUNTIF(StatusRAG[RAG],"Red")&gt;0,2,0),IF(COUNTIF(StatusRAG[RAG],"Amber")&gt;0,1,0))+1,"Green","Amber","Red")</f>
        <v>Amber</v>
      </c>
      <c r="F14" s="22"/>
      <c r="G14" s="21" t="str">
        <f aca="false">IF(OverallStatus[[#This Row],[PM RAG]]&lt;&gt;"",OverallStatus[[#This Row],[PM RAG]],OverallStatus[[#This Row],[Calculated]])</f>
        <v>Amber</v>
      </c>
      <c r="H14" s="23"/>
    </row>
    <row r="15" customFormat="false" ht="15" hidden="false" customHeight="false" outlineLevel="0" collapsed="false">
      <c r="B15" s="5"/>
    </row>
    <row r="16" customFormat="false" ht="15" hidden="false" customHeight="false" outlineLevel="0" collapsed="false">
      <c r="B16" s="24" t="s">
        <v>125</v>
      </c>
      <c r="C16" s="17" t="s">
        <v>126</v>
      </c>
      <c r="D16" s="17" t="s">
        <v>127</v>
      </c>
      <c r="E16" s="17" t="s">
        <v>128</v>
      </c>
      <c r="F16" s="18" t="s">
        <v>129</v>
      </c>
      <c r="G16" s="17" t="s">
        <v>130</v>
      </c>
      <c r="H16" s="18" t="s">
        <v>131</v>
      </c>
    </row>
    <row r="17" customFormat="false" ht="15" hidden="false" customHeight="false" outlineLevel="0" collapsed="false">
      <c r="B17" s="19" t="s">
        <v>134</v>
      </c>
      <c r="C17" s="20" t="s">
        <v>135</v>
      </c>
      <c r="D17" s="25" t="n">
        <f aca="false">FinishVarianceDays</f>
        <v>4</v>
      </c>
      <c r="E17" s="21" t="str">
        <f aca="false">CHOOSE(IF(N(StatusRAG[[#This Row],[Value]])&gt;=RAGRedSlipDays,2,IF(N(StatusRAG[[#This Row],[Value]])&gt;=RAGAmberSlipDays,1,0))+1,"Green","Amber","Red")</f>
        <v>Amber</v>
      </c>
      <c r="F17" s="22"/>
      <c r="G17" s="21" t="str">
        <f aca="false">IF(StatusRAG[[#This Row],[PM RAG]]&lt;&gt;"",StatusRAG[[#This Row],[PM RAG]],StatusRAG[[#This Row],[Calculated]])</f>
        <v>Amber</v>
      </c>
      <c r="H17" s="23"/>
    </row>
    <row r="18" customFormat="false" ht="15" hidden="false" customHeight="false" outlineLevel="0" collapsed="false">
      <c r="B18" s="19" t="s">
        <v>136</v>
      </c>
      <c r="C18" s="20" t="s">
        <v>137</v>
      </c>
      <c r="D18" s="26" t="n">
        <f aca="false">sch_SPI</f>
        <v>0.905099150141643</v>
      </c>
      <c r="E18" s="21" t="str">
        <f aca="false">CHOOSE(IF(ISNUMBER(StatusRAG[[#This Row],[Value]]),IF(StatusRAG[[#This Row],[Value]]&lt;RAGRedIndex,2,IF(StatusRAG[[#This Row],[Value]]&lt;RAGAmberIndex,1,0)),0)+1,"Green","Amber","Red")</f>
        <v>Amber</v>
      </c>
      <c r="F18" s="22"/>
      <c r="G18" s="21" t="str">
        <f aca="false">IF(StatusRAG[[#This Row],[PM RAG]]&lt;&gt;"",StatusRAG[[#This Row],[PM RAG]],StatusRAG[[#This Row],[Calculated]])</f>
        <v>Amber</v>
      </c>
      <c r="H18" s="23"/>
    </row>
    <row r="19" customFormat="false" ht="15" hidden="false" customHeight="false" outlineLevel="0" collapsed="false">
      <c r="B19" s="19" t="s">
        <v>138</v>
      </c>
      <c r="C19" s="20" t="s">
        <v>139</v>
      </c>
      <c r="D19" s="27" t="n">
        <f aca="false">COUNTIF(tsk_DeadlineCheck,"Late*")</f>
        <v>0</v>
      </c>
      <c r="E19" s="21" t="str">
        <f aca="false">CHOOSE(IF(N(StatusRAG[[#This Row],[Value]])&gt;0,2,0)+1,"Green","Amber","Red")</f>
        <v>Green</v>
      </c>
      <c r="F19" s="22"/>
      <c r="G19" s="21" t="str">
        <f aca="false">IF(StatusRAG[[#This Row],[PM RAG]]&lt;&gt;"",StatusRAG[[#This Row],[PM RAG]],StatusRAG[[#This Row],[Calculated]])</f>
        <v>Green</v>
      </c>
      <c r="H19" s="23"/>
    </row>
    <row r="20" customFormat="false" ht="15" hidden="false" customHeight="false" outlineLevel="0" collapsed="false">
      <c r="B20" s="19" t="s">
        <v>41</v>
      </c>
      <c r="C20" s="20" t="s">
        <v>140</v>
      </c>
      <c r="D20" s="27" t="n">
        <f aca="false">COUNTIFS(tsk_Critical,"Yes",tsk_IsLeaf,1,tsk_Variance,"&gt;0")</f>
        <v>3</v>
      </c>
      <c r="E20" s="21" t="str">
        <f aca="false">CHOOSE(IF(N(StatusRAG[[#This Row],[Value]])&gt;0,1,0)+1,"Green","Amber","Red")</f>
        <v>Amber</v>
      </c>
      <c r="F20" s="22"/>
      <c r="G20" s="21" t="str">
        <f aca="false">IF(StatusRAG[[#This Row],[PM RAG]]&lt;&gt;"",StatusRAG[[#This Row],[PM RAG]],StatusRAG[[#This Row],[Calculated]])</f>
        <v>Amber</v>
      </c>
      <c r="H20" s="23"/>
    </row>
    <row r="21" customFormat="false" ht="15" hidden="false" customHeight="false" outlineLevel="0" collapsed="false">
      <c r="B21" s="19" t="s">
        <v>141</v>
      </c>
      <c r="C21" s="20" t="s">
        <v>142</v>
      </c>
      <c r="D21" s="27" t="n">
        <f aca="false">COUNTIF(tsk_LinkCheck,"?*")+COUNTIF(tsk_WBS,"~?")</f>
        <v>0</v>
      </c>
      <c r="E21" s="21" t="str">
        <f aca="false">CHOOSE(IF(N(StatusRAG[[#This Row],[Value]])&gt;0,1,0)+1,"Green","Amber","Red")</f>
        <v>Green</v>
      </c>
      <c r="F21" s="22"/>
      <c r="G21" s="21" t="str">
        <f aca="false">IF(StatusRAG[[#This Row],[PM RAG]]&lt;&gt;"",StatusRAG[[#This Row],[PM RAG]],StatusRAG[[#This Row],[Calculated]])</f>
        <v>Green</v>
      </c>
      <c r="H21" s="23"/>
    </row>
    <row r="23" customFormat="false" ht="15" hidden="false" customHeight="false" outlineLevel="0" collapsed="false">
      <c r="B23" s="28" t="s">
        <v>143</v>
      </c>
    </row>
    <row r="24" customFormat="false" ht="48" hidden="false" customHeight="true" outlineLevel="0" collapsed="false">
      <c r="B24" s="29" t="str">
        <f aca="false">"Overall "&amp;UPPER(INDEX(ProjectRAG,1))&amp;". Forecast finish "&amp;TEXT(ProjectFinish,"dd-mmm-yyyy")&amp;IF(FinishVarianceDays&gt;0,", "&amp;FinishVarianceDays&amp;" working days later than planned",IF(FinishVarianceDays&lt;0,", "&amp;-FinishVarianceDays&amp;" working days ahead of plan",", on plan"))&amp;". "&amp;"Progress "&amp;TEXT(sch_Progress,"0%")&amp;" against "&amp;TEXT(sch_Planned,"0%")&amp;" planned. "&amp;IF(COUNT(tsk_LateKey)=0,"No tasks late. ",COUNT(tsk_LateKey)&amp;IF(COUNT(tsk_LateKey)=1," task"," tasks")&amp;" late. ")&amp;IFERROR("Next milestone: "&amp;INDEX(tsk_Name,MATCH(SMALL(tsk_MilestoneKey,1),tsk_MilestoneKey,0))&amp;" on "&amp;TEXT(INDEX(tsk_FcFinish,MATCH(SMALL(tsk_MilestoneKey,1),tsk_MilestoneKey,0)),"dd-mmm")&amp;". ","")&amp;IF(Sandbox="Yes","(SANDBOX: what-if dates.)","")</f>
        <v>Overall AMBER. Forecast finish 29-Oct-2026, 4 working days later than planned. Progress 91% against 100% planned. 3 tasks late. Next milestone: Go-live on 29-Oct. </v>
      </c>
      <c r="C24" s="29"/>
      <c r="D24" s="29"/>
      <c r="E24" s="29"/>
      <c r="F24" s="29"/>
      <c r="G24" s="29"/>
      <c r="H24" s="29"/>
    </row>
    <row r="26" customFormat="false" ht="15" hidden="false" customHeight="false" outlineLevel="0" collapsed="false">
      <c r="B26" s="28" t="s">
        <v>144</v>
      </c>
    </row>
    <row r="27" customFormat="false" ht="15" hidden="false" customHeight="false" outlineLevel="0" collapsed="false">
      <c r="B27" s="17" t="s">
        <v>126</v>
      </c>
      <c r="C27" s="17" t="s">
        <v>145</v>
      </c>
      <c r="D27" s="17" t="s">
        <v>127</v>
      </c>
      <c r="E27" s="17" t="s">
        <v>146</v>
      </c>
      <c r="F27" s="17" t="s">
        <v>147</v>
      </c>
    </row>
    <row r="28" customFormat="false" ht="15" hidden="false" customHeight="false" outlineLevel="0" collapsed="false">
      <c r="B28" s="19" t="s">
        <v>148</v>
      </c>
      <c r="C28" s="20" t="s">
        <v>149</v>
      </c>
      <c r="D28" s="30" t="n">
        <f aca="false">MIN(tsk_PlanStart)</f>
        <v>46272</v>
      </c>
      <c r="E28" s="31" t="s">
        <v>150</v>
      </c>
      <c r="F28" s="19" t="n">
        <f aca="false">COUNTIFS(tsk_Status,StatusSummary[[#This Row],[Status]],tsk_IsLeaf,1)</f>
        <v>6</v>
      </c>
    </row>
    <row r="29" customFormat="false" ht="15" hidden="false" customHeight="false" outlineLevel="0" collapsed="false">
      <c r="B29" s="19" t="s">
        <v>151</v>
      </c>
      <c r="C29" s="20" t="s">
        <v>152</v>
      </c>
      <c r="D29" s="30" t="n">
        <f aca="false">MAX(tsk_PlanFinish)</f>
        <v>46318</v>
      </c>
      <c r="E29" s="32" t="s">
        <v>153</v>
      </c>
      <c r="F29" s="19" t="n">
        <f aca="false">COUNTIFS(tsk_Status,StatusSummary[[#This Row],[Status]],tsk_IsLeaf,1)</f>
        <v>0</v>
      </c>
    </row>
    <row r="30" customFormat="false" ht="15" hidden="false" customHeight="false" outlineLevel="0" collapsed="false">
      <c r="B30" s="19" t="s">
        <v>154</v>
      </c>
      <c r="C30" s="20" t="s">
        <v>149</v>
      </c>
      <c r="D30" s="30" t="n">
        <f aca="false">MAX(tsk_FcFinish)</f>
        <v>46324</v>
      </c>
      <c r="E30" s="33" t="s">
        <v>155</v>
      </c>
      <c r="F30" s="19" t="n">
        <f aca="false">COUNTIFS(tsk_Status,StatusSummary[[#This Row],[Status]],tsk_IsLeaf,1)</f>
        <v>1</v>
      </c>
    </row>
    <row r="31" customFormat="false" ht="15" hidden="false" customHeight="false" outlineLevel="0" collapsed="false">
      <c r="B31" s="19" t="s">
        <v>156</v>
      </c>
      <c r="C31" s="20" t="s">
        <v>149</v>
      </c>
      <c r="D31" s="34" t="n">
        <f aca="false">IFERROR(SUM(tsk_WtDone)/SUM(tsk_WtDur),0)</f>
        <v>0.905099150141643</v>
      </c>
      <c r="E31" s="35" t="s">
        <v>157</v>
      </c>
      <c r="F31" s="19" t="n">
        <f aca="false">COUNTIFS(tsk_Status,StatusSummary[[#This Row],[Status]],tsk_IsLeaf,1)</f>
        <v>2</v>
      </c>
    </row>
    <row r="32" customFormat="false" ht="15" hidden="false" customHeight="false" outlineLevel="0" collapsed="false">
      <c r="B32" s="19" t="s">
        <v>158</v>
      </c>
      <c r="C32" s="20" t="s">
        <v>149</v>
      </c>
      <c r="D32" s="34" t="n">
        <f aca="false">IFERROR(SUM(tsk_WtPlanned)/SUM(tsk_WtDur),0)</f>
        <v>1</v>
      </c>
      <c r="E32" s="36" t="s">
        <v>159</v>
      </c>
      <c r="F32" s="19" t="n">
        <f aca="false">COUNTIFS(tsk_Status,StatusSummary[[#This Row],[Status]],tsk_IsLeaf,1)</f>
        <v>0</v>
      </c>
    </row>
    <row r="33" customFormat="false" ht="15" hidden="false" customHeight="false" outlineLevel="0" collapsed="false">
      <c r="B33" s="19" t="s">
        <v>160</v>
      </c>
      <c r="C33" s="20" t="s">
        <v>161</v>
      </c>
      <c r="D33" s="37" t="n">
        <f aca="false">IF(sch_Planned&gt;0,sch_Progress/sch_Planned,"")</f>
        <v>0.905099150141643</v>
      </c>
    </row>
    <row r="34" customFormat="false" ht="15" hidden="false" customHeight="false" outlineLevel="0" collapsed="false">
      <c r="B34" s="19" t="s">
        <v>162</v>
      </c>
      <c r="C34" s="20" t="s">
        <v>149</v>
      </c>
      <c r="D34" s="38" t="n">
        <f aca="false">SUM(tsk_IsLeaf)</f>
        <v>9</v>
      </c>
    </row>
    <row r="35" customFormat="false" ht="15" hidden="false" customHeight="false" outlineLevel="0" collapsed="false">
      <c r="B35" s="19" t="s">
        <v>163</v>
      </c>
      <c r="C35" s="20" t="s">
        <v>149</v>
      </c>
      <c r="D35" s="38" t="n">
        <f aca="false">SUMPRODUCT(tsk_IsLeaf*(tsk_Duration=0)*(tsk_Name&lt;&gt;""))</f>
        <v>3</v>
      </c>
    </row>
    <row r="36" customFormat="false" ht="15" hidden="false" customHeight="false" outlineLevel="0" collapsed="false">
      <c r="B36" s="19" t="s">
        <v>164</v>
      </c>
      <c r="C36" s="20" t="s">
        <v>149</v>
      </c>
      <c r="D36" s="39" t="n">
        <f aca="false">SUMPRODUCT(tsk_Work,tsk_IsLeaf)</f>
        <v>340</v>
      </c>
    </row>
    <row r="37" customFormat="false" ht="15" hidden="false" customHeight="false" outlineLevel="0" collapsed="false">
      <c r="B37" s="19" t="s">
        <v>165</v>
      </c>
      <c r="C37" s="20" t="s">
        <v>166</v>
      </c>
      <c r="D37" s="40" t="str">
        <f aca="false">IF(COUNT(tsk_BaseStart)=0,"Not set (planned = calculated)","Set on "&amp;COUNT(tsk_BaseStart)&amp;" tasks")</f>
        <v>Set on 12 tasks</v>
      </c>
    </row>
    <row r="38" customFormat="false" ht="15" hidden="false" customHeight="false" outlineLevel="0" collapsed="false">
      <c r="B38" s="19" t="s">
        <v>167</v>
      </c>
      <c r="C38" s="20" t="s">
        <v>149</v>
      </c>
      <c r="D38" s="38" t="n">
        <f aca="false">COUNTIFS(tsk_Critical,"Yes",tsk_IsLeaf,1)</f>
        <v>3</v>
      </c>
    </row>
    <row r="39" customFormat="false" ht="15" hidden="false" customHeight="false" outlineLevel="0" collapsed="false">
      <c r="B39" s="19" t="s">
        <v>168</v>
      </c>
      <c r="C39" s="20" t="s">
        <v>169</v>
      </c>
      <c r="D39" s="38" t="n">
        <f aca="false">COUNTIF(tsk_Issues,"?*")</f>
        <v>1</v>
      </c>
    </row>
    <row r="40" customFormat="false" ht="15" hidden="false" customHeight="false" outlineLevel="0" collapsed="false">
      <c r="B40" s="19" t="s">
        <v>170</v>
      </c>
      <c r="C40" s="20" t="s">
        <v>171</v>
      </c>
      <c r="D40" s="30" t="n">
        <f aca="false">PertP50</f>
        <v>46322</v>
      </c>
    </row>
    <row r="41" customFormat="false" ht="15" hidden="false" customHeight="false" outlineLevel="0" collapsed="false">
      <c r="B41" s="19" t="s">
        <v>172</v>
      </c>
      <c r="C41" s="20" t="s">
        <v>171</v>
      </c>
      <c r="D41" s="30" t="n">
        <f aca="false">PertP80</f>
        <v>46323</v>
      </c>
    </row>
    <row r="44" customFormat="false" ht="15" hidden="false" customHeight="false" outlineLevel="0" collapsed="false">
      <c r="B44" s="17" t="s">
        <v>173</v>
      </c>
      <c r="C44" s="17" t="s">
        <v>174</v>
      </c>
    </row>
    <row r="45" customFormat="false" ht="15" hidden="false" customHeight="false" outlineLevel="0" collapsed="false">
      <c r="B45" s="20" t="str">
        <f aca="false">IFERROR(INDEX(tsk_Name,MATCH(SMALL(tsk_MilestoneKey,(ROW()-ROW(NextMilestones[[#Headers],[Next milestones (forecast)]]))),tsk_MilestoneKey,0)),"")</f>
        <v>Go-live</v>
      </c>
      <c r="C45" s="41" t="n">
        <f aca="false">IFERROR(INDEX(tsk_FcFinish,MATCH(SMALL(tsk_MilestoneKey,(ROW()-ROW(NextMilestones[[#Headers],[Next milestones (forecast)]]))),tsk_MilestoneKey,0)),"")</f>
        <v>46324</v>
      </c>
    </row>
    <row r="46" customFormat="false" ht="15" hidden="false" customHeight="false" outlineLevel="0" collapsed="false">
      <c r="B46" s="20" t="str">
        <f aca="false">IFERROR(INDEX(tsk_Name,MATCH(SMALL(tsk_MilestoneKey,(ROW()-ROW(NextMilestones[[#Headers],[Next milestones (forecast)]]))),tsk_MilestoneKey,0)),"")</f>
        <v/>
      </c>
      <c r="C46" s="41" t="str">
        <f aca="false">IFERROR(INDEX(tsk_FcFinish,MATCH(SMALL(tsk_MilestoneKey,(ROW()-ROW(NextMilestones[[#Headers],[Next milestones (forecast)]]))),tsk_MilestoneKey,0)),"")</f>
        <v/>
      </c>
    </row>
    <row r="47" customFormat="false" ht="15" hidden="false" customHeight="false" outlineLevel="0" collapsed="false">
      <c r="B47" s="20" t="str">
        <f aca="false">IFERROR(INDEX(tsk_Name,MATCH(SMALL(tsk_MilestoneKey,(ROW()-ROW(NextMilestones[[#Headers],[Next milestones (forecast)]]))),tsk_MilestoneKey,0)),"")</f>
        <v/>
      </c>
      <c r="C47" s="41" t="str">
        <f aca="false">IFERROR(INDEX(tsk_FcFinish,MATCH(SMALL(tsk_MilestoneKey,(ROW()-ROW(NextMilestones[[#Headers],[Next milestones (forecast)]]))),tsk_MilestoneKey,0)),"")</f>
        <v/>
      </c>
    </row>
    <row r="48" customFormat="false" ht="15" hidden="false" customHeight="false" outlineLevel="0" collapsed="false">
      <c r="B48" s="20" t="str">
        <f aca="false">IFERROR(INDEX(tsk_Name,MATCH(SMALL(tsk_MilestoneKey,(ROW()-ROW(NextMilestones[[#Headers],[Next milestones (forecast)]]))),tsk_MilestoneKey,0)),"")</f>
        <v/>
      </c>
      <c r="C48" s="41" t="str">
        <f aca="false">IFERROR(INDEX(tsk_FcFinish,MATCH(SMALL(tsk_MilestoneKey,(ROW()-ROW(NextMilestones[[#Headers],[Next milestones (forecast)]]))),tsk_MilestoneKey,0)),"")</f>
        <v/>
      </c>
    </row>
    <row r="49" customFormat="false" ht="15" hidden="false" customHeight="false" outlineLevel="0" collapsed="false">
      <c r="B49" s="20" t="str">
        <f aca="false">IFERROR(INDEX(tsk_Name,MATCH(SMALL(tsk_MilestoneKey,(ROW()-ROW(NextMilestones[[#Headers],[Next milestones (forecast)]]))),tsk_MilestoneKey,0)),"")</f>
        <v/>
      </c>
      <c r="C49" s="41" t="str">
        <f aca="false">IFERROR(INDEX(tsk_FcFinish,MATCH(SMALL(tsk_MilestoneKey,(ROW()-ROW(NextMilestones[[#Headers],[Next milestones (forecast)]]))),tsk_MilestoneKey,0)),"")</f>
        <v/>
      </c>
    </row>
    <row r="51" customFormat="false" ht="15" hidden="false" customHeight="false" outlineLevel="0" collapsed="false">
      <c r="B51" s="28" t="str">
        <f aca="false">"LATE TASKS (most days late first)"&amp;": "&amp;COUNT(tsk_LateKey)&amp;IF(COUNT(tsk_LateKey)&gt;ROWS(LateTasks[_Task])," (showing the first "&amp;ROWS(LateTasks[_Task])&amp;")","")</f>
        <v>LATE TASKS (most days late first): 3</v>
      </c>
    </row>
    <row r="52" customFormat="false" ht="23.85" hidden="false" customHeight="false" outlineLevel="0" collapsed="false">
      <c r="A52" s="42" t="s">
        <v>175</v>
      </c>
      <c r="B52" s="17" t="s">
        <v>176</v>
      </c>
      <c r="C52" s="17" t="s">
        <v>177</v>
      </c>
      <c r="D52" s="17" t="s">
        <v>178</v>
      </c>
      <c r="E52" s="17" t="s">
        <v>179</v>
      </c>
      <c r="F52" s="17" t="s">
        <v>146</v>
      </c>
      <c r="G52" s="17" t="s">
        <v>180</v>
      </c>
    </row>
    <row r="53" customFormat="false" ht="15" hidden="false" customHeight="false" outlineLevel="0" collapsed="false">
      <c r="A53" s="43" t="n">
        <f aca="false">IFERROR(MATCH(LARGE(tsk_LateKey,ROW()-ROW(LateTasks[[#Headers],[_Task]])),tsk_LateKey,0),"")</f>
        <v>10</v>
      </c>
      <c r="B53" s="20" t="str">
        <f aca="false">IF(LateTasks[[#This Row],[_Task]]="","",INDEX(tsk_Name,LateTasks[[#This Row],[_Task]])&amp;"")</f>
        <v>System integration testing</v>
      </c>
      <c r="C53" s="20" t="str">
        <f aca="false">IF(LateTasks[[#This Row],[_Task]]="","",INDEX(tsk_ResourceNames,LateTasks[[#This Row],[_Task]])&amp;"")</f>
        <v>Taylor Morgan, Sam Rivera[50%]</v>
      </c>
      <c r="D53" s="44" t="n">
        <f aca="false">IF(LateTasks[[#This Row],[_Task]]="","",IF(N(INDEX(tsk_FcFinish,LateTasks[[#This Row],[_Task]]))=0,"",INDEX(tsk_FcFinish,LateTasks[[#This Row],[_Task]])))</f>
        <v>46323</v>
      </c>
      <c r="E53" s="45" t="n">
        <f aca="false">IF(LateTasks[[#This Row],[_Task]]="","",INDEX(tsk_Variance,LateTasks[[#This Row],[_Task]]))</f>
        <v>4</v>
      </c>
      <c r="F53" s="20" t="str">
        <f aca="false">IF(LateTasks[[#This Row],[_Task]]="","",INDEX(tsk_Status,LateTasks[[#This Row],[_Task]])&amp;"")</f>
        <v>Behind</v>
      </c>
      <c r="G53" s="20" t="str">
        <f aca="false">IF(LateTasks[[#This Row],[_Task]]="","",INDEX(tsk_Critical,LateTasks[[#This Row],[_Task]])&amp;"")</f>
        <v>Yes</v>
      </c>
    </row>
    <row r="54" customFormat="false" ht="15" hidden="false" customHeight="false" outlineLevel="0" collapsed="false">
      <c r="A54" s="43" t="n">
        <f aca="false">IFERROR(MATCH(LARGE(tsk_LateKey,ROW()-ROW(LateTasks[[#Headers],[_Task]])),tsk_LateKey,0),"")</f>
        <v>11</v>
      </c>
      <c r="B54" s="20" t="str">
        <f aca="false">IF(LateTasks[[#This Row],[_Task]]="","",INDEX(tsk_Name,LateTasks[[#This Row],[_Task]])&amp;"")</f>
        <v>Go-live readiness review</v>
      </c>
      <c r="C54" s="20" t="str">
        <f aca="false">IF(LateTasks[[#This Row],[_Task]]="","",INDEX(tsk_ResourceNames,LateTasks[[#This Row],[_Task]])&amp;"")</f>
        <v>Priya Sharma</v>
      </c>
      <c r="D54" s="44" t="n">
        <f aca="false">IF(LateTasks[[#This Row],[_Task]]="","",IF(N(INDEX(tsk_FcFinish,LateTasks[[#This Row],[_Task]]))=0,"",INDEX(tsk_FcFinish,LateTasks[[#This Row],[_Task]])))</f>
        <v>46324</v>
      </c>
      <c r="E54" s="45" t="n">
        <f aca="false">IF(LateTasks[[#This Row],[_Task]]="","",INDEX(tsk_Variance,LateTasks[[#This Row],[_Task]]))</f>
        <v>4</v>
      </c>
      <c r="F54" s="20" t="str">
        <f aca="false">IF(LateTasks[[#This Row],[_Task]]="","",INDEX(tsk_Status,LateTasks[[#This Row],[_Task]])&amp;"")</f>
        <v>Late Start</v>
      </c>
      <c r="G54" s="20" t="str">
        <f aca="false">IF(LateTasks[[#This Row],[_Task]]="","",INDEX(tsk_Critical,LateTasks[[#This Row],[_Task]])&amp;"")</f>
        <v>Yes</v>
      </c>
    </row>
    <row r="55" customFormat="false" ht="15" hidden="false" customHeight="false" outlineLevel="0" collapsed="false">
      <c r="A55" s="43" t="n">
        <f aca="false">IFERROR(MATCH(LARGE(tsk_LateKey,ROW()-ROW(LateTasks[[#Headers],[_Task]])),tsk_LateKey,0),"")</f>
        <v>12</v>
      </c>
      <c r="B55" s="20" t="str">
        <f aca="false">IF(LateTasks[[#This Row],[_Task]]="","",INDEX(tsk_Name,LateTasks[[#This Row],[_Task]])&amp;"")</f>
        <v>Go-live</v>
      </c>
      <c r="C55" s="20" t="str">
        <f aca="false">IF(LateTasks[[#This Row],[_Task]]="","",INDEX(tsk_ResourceNames,LateTasks[[#This Row],[_Task]])&amp;"")</f>
        <v/>
      </c>
      <c r="D55" s="44" t="n">
        <f aca="false">IF(LateTasks[[#This Row],[_Task]]="","",IF(N(INDEX(tsk_FcFinish,LateTasks[[#This Row],[_Task]]))=0,"",INDEX(tsk_FcFinish,LateTasks[[#This Row],[_Task]])))</f>
        <v>46324</v>
      </c>
      <c r="E55" s="45" t="n">
        <f aca="false">IF(LateTasks[[#This Row],[_Task]]="","",INDEX(tsk_Variance,LateTasks[[#This Row],[_Task]]))</f>
        <v>4</v>
      </c>
      <c r="F55" s="20" t="str">
        <f aca="false">IF(LateTasks[[#This Row],[_Task]]="","",INDEX(tsk_Status,LateTasks[[#This Row],[_Task]])&amp;"")</f>
        <v>Late Start</v>
      </c>
      <c r="G55" s="20" t="str">
        <f aca="false">IF(LateTasks[[#This Row],[_Task]]="","",INDEX(tsk_Critical,LateTasks[[#This Row],[_Task]])&amp;"")</f>
        <v>Yes</v>
      </c>
    </row>
    <row r="56" customFormat="false" ht="15" hidden="false" customHeight="false" outlineLevel="0" collapsed="false">
      <c r="A56" s="43" t="str">
        <f aca="false">IFERROR(MATCH(LARGE(tsk_LateKey,ROW()-ROW(LateTasks[[#Headers],[_Task]])),tsk_LateKey,0),"")</f>
        <v/>
      </c>
      <c r="B56" s="20" t="str">
        <f aca="false">IF(LateTasks[[#This Row],[_Task]]="","",INDEX(tsk_Name,LateTasks[[#This Row],[_Task]])&amp;"")</f>
        <v/>
      </c>
      <c r="C56" s="20" t="str">
        <f aca="false">IF(LateTasks[[#This Row],[_Task]]="","",INDEX(tsk_ResourceNames,LateTasks[[#This Row],[_Task]])&amp;"")</f>
        <v/>
      </c>
      <c r="D56" s="44" t="str">
        <f aca="false">IF(LateTasks[[#This Row],[_Task]]="","",IF(N(INDEX(tsk_FcFinish,LateTasks[[#This Row],[_Task]]))=0,"",INDEX(tsk_FcFinish,LateTasks[[#This Row],[_Task]])))</f>
        <v/>
      </c>
      <c r="E56" s="45" t="str">
        <f aca="false">IF(LateTasks[[#This Row],[_Task]]="","",INDEX(tsk_Variance,LateTasks[[#This Row],[_Task]]))</f>
        <v/>
      </c>
      <c r="F56" s="20" t="str">
        <f aca="false">IF(LateTasks[[#This Row],[_Task]]="","",INDEX(tsk_Status,LateTasks[[#This Row],[_Task]])&amp;"")</f>
        <v/>
      </c>
      <c r="G56" s="20" t="str">
        <f aca="false">IF(LateTasks[[#This Row],[_Task]]="","",INDEX(tsk_Critical,LateTasks[[#This Row],[_Task]])&amp;"")</f>
        <v/>
      </c>
    </row>
    <row r="57" customFormat="false" ht="15" hidden="false" customHeight="false" outlineLevel="0" collapsed="false">
      <c r="A57" s="43" t="str">
        <f aca="false">IFERROR(MATCH(LARGE(tsk_LateKey,ROW()-ROW(LateTasks[[#Headers],[_Task]])),tsk_LateKey,0),"")</f>
        <v/>
      </c>
      <c r="B57" s="20" t="str">
        <f aca="false">IF(LateTasks[[#This Row],[_Task]]="","",INDEX(tsk_Name,LateTasks[[#This Row],[_Task]])&amp;"")</f>
        <v/>
      </c>
      <c r="C57" s="20" t="str">
        <f aca="false">IF(LateTasks[[#This Row],[_Task]]="","",INDEX(tsk_ResourceNames,LateTasks[[#This Row],[_Task]])&amp;"")</f>
        <v/>
      </c>
      <c r="D57" s="44" t="str">
        <f aca="false">IF(LateTasks[[#This Row],[_Task]]="","",IF(N(INDEX(tsk_FcFinish,LateTasks[[#This Row],[_Task]]))=0,"",INDEX(tsk_FcFinish,LateTasks[[#This Row],[_Task]])))</f>
        <v/>
      </c>
      <c r="E57" s="45" t="str">
        <f aca="false">IF(LateTasks[[#This Row],[_Task]]="","",INDEX(tsk_Variance,LateTasks[[#This Row],[_Task]]))</f>
        <v/>
      </c>
      <c r="F57" s="20" t="str">
        <f aca="false">IF(LateTasks[[#This Row],[_Task]]="","",INDEX(tsk_Status,LateTasks[[#This Row],[_Task]])&amp;"")</f>
        <v/>
      </c>
      <c r="G57" s="20" t="str">
        <f aca="false">IF(LateTasks[[#This Row],[_Task]]="","",INDEX(tsk_Critical,LateTasks[[#This Row],[_Task]])&amp;"")</f>
        <v/>
      </c>
    </row>
    <row r="59" customFormat="false" ht="15" hidden="false" customHeight="false" outlineLevel="0" collapsed="false">
      <c r="B59" s="28" t="str">
        <f aca="false">"DUE BY "&amp;UPPER(TEXT(LookaheadEnd,"ddd dd-mmm"))&amp;": "&amp;COUNT(tsk_DueSoonKey)&amp;IF(COUNT(tsk_DueSoonKey)&gt;ROWS(DueSoon[_Task])," (showing the first "&amp;ROWS(DueSoon[_Task])&amp;")","")</f>
        <v>DUE BY FRI 06-NOV: 3</v>
      </c>
    </row>
    <row r="60" customFormat="false" ht="23.85" hidden="false" customHeight="false" outlineLevel="0" collapsed="false">
      <c r="A60" s="42" t="s">
        <v>175</v>
      </c>
      <c r="B60" s="17" t="s">
        <v>176</v>
      </c>
      <c r="C60" s="17" t="s">
        <v>177</v>
      </c>
      <c r="D60" s="17" t="s">
        <v>178</v>
      </c>
      <c r="E60" s="17" t="s">
        <v>181</v>
      </c>
      <c r="F60" s="17" t="s">
        <v>182</v>
      </c>
      <c r="G60" s="17" t="s">
        <v>180</v>
      </c>
    </row>
    <row r="61" customFormat="false" ht="15" hidden="false" customHeight="false" outlineLevel="0" collapsed="false">
      <c r="A61" s="43" t="n">
        <f aca="false">IFERROR(MATCH(SMALL(tsk_DueSoonKey,ROW()-ROW(DueSoon[[#Headers],[_Task]])),tsk_DueSoonKey,0),"")</f>
        <v>10</v>
      </c>
      <c r="B61" s="20" t="str">
        <f aca="false">IF(DueSoon[[#This Row],[_Task]]="","",INDEX(tsk_Name,DueSoon[[#This Row],[_Task]])&amp;"")</f>
        <v>System integration testing</v>
      </c>
      <c r="C61" s="20" t="str">
        <f aca="false">IF(DueSoon[[#This Row],[_Task]]="","",INDEX(tsk_ResourceNames,DueSoon[[#This Row],[_Task]])&amp;"")</f>
        <v>Taylor Morgan, Sam Rivera[50%]</v>
      </c>
      <c r="D61" s="44" t="n">
        <f aca="false">IF(DueSoon[[#This Row],[_Task]]="","",IF(N(INDEX(tsk_FcFinish,DueSoon[[#This Row],[_Task]]))=0,"",INDEX(tsk_FcFinish,DueSoon[[#This Row],[_Task]])))</f>
        <v>46323</v>
      </c>
      <c r="E61" s="46" t="n">
        <f aca="false">IF(DueSoon[[#This Row],[_Task]]="","",INDEX(tsk_Progress,DueSoon[[#This Row],[_Task]]))</f>
        <v>0.85</v>
      </c>
      <c r="F61" s="20" t="str">
        <f aca="false">IF(DueSoon[[#This Row],[_Task]]="","",INDEX(tsk_DeadlineCheck,DueSoon[[#This Row],[_Task]])&amp;"")</f>
        <v/>
      </c>
      <c r="G61" s="20" t="str">
        <f aca="false">IF(DueSoon[[#This Row],[_Task]]="","",INDEX(tsk_Critical,DueSoon[[#This Row],[_Task]])&amp;"")</f>
        <v>Yes</v>
      </c>
    </row>
    <row r="62" customFormat="false" ht="15" hidden="false" customHeight="false" outlineLevel="0" collapsed="false">
      <c r="A62" s="43" t="n">
        <f aca="false">IFERROR(MATCH(SMALL(tsk_DueSoonKey,ROW()-ROW(DueSoon[[#Headers],[_Task]])),tsk_DueSoonKey,0),"")</f>
        <v>11</v>
      </c>
      <c r="B62" s="20" t="str">
        <f aca="false">IF(DueSoon[[#This Row],[_Task]]="","",INDEX(tsk_Name,DueSoon[[#This Row],[_Task]])&amp;"")</f>
        <v>Go-live readiness review</v>
      </c>
      <c r="C62" s="20" t="str">
        <f aca="false">IF(DueSoon[[#This Row],[_Task]]="","",INDEX(tsk_ResourceNames,DueSoon[[#This Row],[_Task]])&amp;"")</f>
        <v>Priya Sharma</v>
      </c>
      <c r="D62" s="44" t="n">
        <f aca="false">IF(DueSoon[[#This Row],[_Task]]="","",IF(N(INDEX(tsk_FcFinish,DueSoon[[#This Row],[_Task]]))=0,"",INDEX(tsk_FcFinish,DueSoon[[#This Row],[_Task]])))</f>
        <v>46324</v>
      </c>
      <c r="E62" s="46" t="n">
        <f aca="false">IF(DueSoon[[#This Row],[_Task]]="","",INDEX(tsk_Progress,DueSoon[[#This Row],[_Task]]))</f>
        <v>0</v>
      </c>
      <c r="F62" s="20" t="str">
        <f aca="false">IF(DueSoon[[#This Row],[_Task]]="","",INDEX(tsk_DeadlineCheck,DueSoon[[#This Row],[_Task]])&amp;"")</f>
        <v/>
      </c>
      <c r="G62" s="20" t="str">
        <f aca="false">IF(DueSoon[[#This Row],[_Task]]="","",INDEX(tsk_Critical,DueSoon[[#This Row],[_Task]])&amp;"")</f>
        <v>Yes</v>
      </c>
    </row>
    <row r="63" customFormat="false" ht="15" hidden="false" customHeight="false" outlineLevel="0" collapsed="false">
      <c r="A63" s="43" t="n">
        <f aca="false">IFERROR(MATCH(SMALL(tsk_DueSoonKey,ROW()-ROW(DueSoon[[#Headers],[_Task]])),tsk_DueSoonKey,0),"")</f>
        <v>12</v>
      </c>
      <c r="B63" s="20" t="str">
        <f aca="false">IF(DueSoon[[#This Row],[_Task]]="","",INDEX(tsk_Name,DueSoon[[#This Row],[_Task]])&amp;"")</f>
        <v>Go-live</v>
      </c>
      <c r="C63" s="20" t="str">
        <f aca="false">IF(DueSoon[[#This Row],[_Task]]="","",INDEX(tsk_ResourceNames,DueSoon[[#This Row],[_Task]])&amp;"")</f>
        <v/>
      </c>
      <c r="D63" s="44" t="n">
        <f aca="false">IF(DueSoon[[#This Row],[_Task]]="","",IF(N(INDEX(tsk_FcFinish,DueSoon[[#This Row],[_Task]]))=0,"",INDEX(tsk_FcFinish,DueSoon[[#This Row],[_Task]])))</f>
        <v>46324</v>
      </c>
      <c r="E63" s="46" t="n">
        <f aca="false">IF(DueSoon[[#This Row],[_Task]]="","",INDEX(tsk_Progress,DueSoon[[#This Row],[_Task]]))</f>
        <v>0</v>
      </c>
      <c r="F63" s="20" t="str">
        <f aca="false">IF(DueSoon[[#This Row],[_Task]]="","",INDEX(tsk_DeadlineCheck,DueSoon[[#This Row],[_Task]])&amp;"")</f>
        <v>OK</v>
      </c>
      <c r="G63" s="20" t="str">
        <f aca="false">IF(DueSoon[[#This Row],[_Task]]="","",INDEX(tsk_Critical,DueSoon[[#This Row],[_Task]])&amp;"")</f>
        <v>Yes</v>
      </c>
    </row>
    <row r="64" customFormat="false" ht="15" hidden="false" customHeight="false" outlineLevel="0" collapsed="false">
      <c r="A64" s="43" t="str">
        <f aca="false">IFERROR(MATCH(SMALL(tsk_DueSoonKey,ROW()-ROW(DueSoon[[#Headers],[_Task]])),tsk_DueSoonKey,0),"")</f>
        <v/>
      </c>
      <c r="B64" s="20" t="str">
        <f aca="false">IF(DueSoon[[#This Row],[_Task]]="","",INDEX(tsk_Name,DueSoon[[#This Row],[_Task]])&amp;"")</f>
        <v/>
      </c>
      <c r="C64" s="20" t="str">
        <f aca="false">IF(DueSoon[[#This Row],[_Task]]="","",INDEX(tsk_ResourceNames,DueSoon[[#This Row],[_Task]])&amp;"")</f>
        <v/>
      </c>
      <c r="D64" s="44" t="str">
        <f aca="false">IF(DueSoon[[#This Row],[_Task]]="","",IF(N(INDEX(tsk_FcFinish,DueSoon[[#This Row],[_Task]]))=0,"",INDEX(tsk_FcFinish,DueSoon[[#This Row],[_Task]])))</f>
        <v/>
      </c>
      <c r="E64" s="46" t="str">
        <f aca="false">IF(DueSoon[[#This Row],[_Task]]="","",INDEX(tsk_Progress,DueSoon[[#This Row],[_Task]]))</f>
        <v/>
      </c>
      <c r="F64" s="20" t="str">
        <f aca="false">IF(DueSoon[[#This Row],[_Task]]="","",INDEX(tsk_DeadlineCheck,DueSoon[[#This Row],[_Task]])&amp;"")</f>
        <v/>
      </c>
      <c r="G64" s="20" t="str">
        <f aca="false">IF(DueSoon[[#This Row],[_Task]]="","",INDEX(tsk_Critical,DueSoon[[#This Row],[_Task]])&amp;"")</f>
        <v/>
      </c>
    </row>
    <row r="65" customFormat="false" ht="15" hidden="false" customHeight="false" outlineLevel="0" collapsed="false">
      <c r="A65" s="43" t="str">
        <f aca="false">IFERROR(MATCH(SMALL(tsk_DueSoonKey,ROW()-ROW(DueSoon[[#Headers],[_Task]])),tsk_DueSoonKey,0),"")</f>
        <v/>
      </c>
      <c r="B65" s="20" t="str">
        <f aca="false">IF(DueSoon[[#This Row],[_Task]]="","",INDEX(tsk_Name,DueSoon[[#This Row],[_Task]])&amp;"")</f>
        <v/>
      </c>
      <c r="C65" s="20" t="str">
        <f aca="false">IF(DueSoon[[#This Row],[_Task]]="","",INDEX(tsk_ResourceNames,DueSoon[[#This Row],[_Task]])&amp;"")</f>
        <v/>
      </c>
      <c r="D65" s="44" t="str">
        <f aca="false">IF(DueSoon[[#This Row],[_Task]]="","",IF(N(INDEX(tsk_FcFinish,DueSoon[[#This Row],[_Task]]))=0,"",INDEX(tsk_FcFinish,DueSoon[[#This Row],[_Task]])))</f>
        <v/>
      </c>
      <c r="E65" s="46" t="str">
        <f aca="false">IF(DueSoon[[#This Row],[_Task]]="","",INDEX(tsk_Progress,DueSoon[[#This Row],[_Task]]))</f>
        <v/>
      </c>
      <c r="F65" s="20" t="str">
        <f aca="false">IF(DueSoon[[#This Row],[_Task]]="","",INDEX(tsk_DeadlineCheck,DueSoon[[#This Row],[_Task]])&amp;"")</f>
        <v/>
      </c>
      <c r="G65" s="20" t="str">
        <f aca="false">IF(DueSoon[[#This Row],[_Task]]="","",INDEX(tsk_Critical,DueSoon[[#This Row],[_Task]])&amp;"")</f>
        <v/>
      </c>
    </row>
    <row r="67" customFormat="false" ht="15" hidden="false" customHeight="false" outlineLevel="0" collapsed="false">
      <c r="B67" s="28" t="str">
        <f aca="false">"STARTING BY "&amp;UPPER(TEXT(LookaheadEnd,"ddd dd-mmm"))&amp;" (look-ahead "&amp;LookaheadDays&amp;" working days)"&amp;": "&amp;COUNT(tsk_StartSoonKey)&amp;IF(COUNT(tsk_StartSoonKey)&gt;ROWS(StartingSoon[_Task])," (showing the first "&amp;ROWS(StartingSoon[_Task])&amp;")","")</f>
        <v>STARTING BY FRI 06-NOV (look-ahead 10 working days): 2</v>
      </c>
    </row>
    <row r="68" customFormat="false" ht="23.85" hidden="false" customHeight="false" outlineLevel="0" collapsed="false">
      <c r="A68" s="42" t="s">
        <v>175</v>
      </c>
      <c r="B68" s="17" t="s">
        <v>176</v>
      </c>
      <c r="C68" s="17" t="s">
        <v>177</v>
      </c>
      <c r="D68" s="17" t="s">
        <v>183</v>
      </c>
      <c r="E68" s="17" t="s">
        <v>60</v>
      </c>
      <c r="F68" s="17" t="s">
        <v>83</v>
      </c>
      <c r="G68" s="17" t="s">
        <v>180</v>
      </c>
    </row>
    <row r="69" customFormat="false" ht="15" hidden="false" customHeight="false" outlineLevel="0" collapsed="false">
      <c r="A69" s="43" t="n">
        <f aca="false">IFERROR(MATCH(SMALL(tsk_StartSoonKey,ROW()-ROW(StartingSoon[[#Headers],[_Task]])),tsk_StartSoonKey,0),"")</f>
        <v>11</v>
      </c>
      <c r="B69" s="20" t="str">
        <f aca="false">IF(StartingSoon[[#This Row],[_Task]]="","",INDEX(tsk_Name,StartingSoon[[#This Row],[_Task]])&amp;"")</f>
        <v>Go-live readiness review</v>
      </c>
      <c r="C69" s="20" t="str">
        <f aca="false">IF(StartingSoon[[#This Row],[_Task]]="","",INDEX(tsk_ResourceNames,StartingSoon[[#This Row],[_Task]])&amp;"")</f>
        <v>Priya Sharma</v>
      </c>
      <c r="D69" s="44" t="n">
        <f aca="false">IF(StartingSoon[[#This Row],[_Task]]="","",IF(N(INDEX(tsk_FcStart,StartingSoon[[#This Row],[_Task]]))=0,"",INDEX(tsk_FcStart,StartingSoon[[#This Row],[_Task]])))</f>
        <v>46324</v>
      </c>
      <c r="E69" s="47" t="n">
        <f aca="false">IF(StartingSoon[[#This Row],[_Task]]="","",INDEX(tsk_Duration,StartingSoon[[#This Row],[_Task]]))</f>
        <v>1</v>
      </c>
      <c r="F69" s="20" t="str">
        <f aca="false">IF(StartingSoon[[#This Row],[_Task]]="","",INDEX(tsk_Predecessors,StartingSoon[[#This Row],[_Task]])&amp;"")</f>
        <v>10</v>
      </c>
      <c r="G69" s="20" t="str">
        <f aca="false">IF(StartingSoon[[#This Row],[_Task]]="","",INDEX(tsk_Critical,StartingSoon[[#This Row],[_Task]])&amp;"")</f>
        <v>Yes</v>
      </c>
    </row>
    <row r="70" customFormat="false" ht="15" hidden="false" customHeight="false" outlineLevel="0" collapsed="false">
      <c r="A70" s="43" t="n">
        <f aca="false">IFERROR(MATCH(SMALL(tsk_StartSoonKey,ROW()-ROW(StartingSoon[[#Headers],[_Task]])),tsk_StartSoonKey,0),"")</f>
        <v>12</v>
      </c>
      <c r="B70" s="20" t="str">
        <f aca="false">IF(StartingSoon[[#This Row],[_Task]]="","",INDEX(tsk_Name,StartingSoon[[#This Row],[_Task]])&amp;"")</f>
        <v>Go-live</v>
      </c>
      <c r="C70" s="20" t="str">
        <f aca="false">IF(StartingSoon[[#This Row],[_Task]]="","",INDEX(tsk_ResourceNames,StartingSoon[[#This Row],[_Task]])&amp;"")</f>
        <v/>
      </c>
      <c r="D70" s="44" t="n">
        <f aca="false">IF(StartingSoon[[#This Row],[_Task]]="","",IF(N(INDEX(tsk_FcStart,StartingSoon[[#This Row],[_Task]]))=0,"",INDEX(tsk_FcStart,StartingSoon[[#This Row],[_Task]])))</f>
        <v>46324</v>
      </c>
      <c r="E70" s="47" t="n">
        <f aca="false">IF(StartingSoon[[#This Row],[_Task]]="","",INDEX(tsk_Duration,StartingSoon[[#This Row],[_Task]]))</f>
        <v>0</v>
      </c>
      <c r="F70" s="20" t="str">
        <f aca="false">IF(StartingSoon[[#This Row],[_Task]]="","",INDEX(tsk_Predecessors,StartingSoon[[#This Row],[_Task]])&amp;"")</f>
        <v>11</v>
      </c>
      <c r="G70" s="20" t="str">
        <f aca="false">IF(StartingSoon[[#This Row],[_Task]]="","",INDEX(tsk_Critical,StartingSoon[[#This Row],[_Task]])&amp;"")</f>
        <v>Yes</v>
      </c>
    </row>
    <row r="71" customFormat="false" ht="15" hidden="false" customHeight="false" outlineLevel="0" collapsed="false">
      <c r="A71" s="43" t="str">
        <f aca="false">IFERROR(MATCH(SMALL(tsk_StartSoonKey,ROW()-ROW(StartingSoon[[#Headers],[_Task]])),tsk_StartSoonKey,0),"")</f>
        <v/>
      </c>
      <c r="B71" s="20" t="str">
        <f aca="false">IF(StartingSoon[[#This Row],[_Task]]="","",INDEX(tsk_Name,StartingSoon[[#This Row],[_Task]])&amp;"")</f>
        <v/>
      </c>
      <c r="C71" s="20" t="str">
        <f aca="false">IF(StartingSoon[[#This Row],[_Task]]="","",INDEX(tsk_ResourceNames,StartingSoon[[#This Row],[_Task]])&amp;"")</f>
        <v/>
      </c>
      <c r="D71" s="44" t="str">
        <f aca="false">IF(StartingSoon[[#This Row],[_Task]]="","",IF(N(INDEX(tsk_FcStart,StartingSoon[[#This Row],[_Task]]))=0,"",INDEX(tsk_FcStart,StartingSoon[[#This Row],[_Task]])))</f>
        <v/>
      </c>
      <c r="E71" s="47" t="str">
        <f aca="false">IF(StartingSoon[[#This Row],[_Task]]="","",INDEX(tsk_Duration,StartingSoon[[#This Row],[_Task]]))</f>
        <v/>
      </c>
      <c r="F71" s="20" t="str">
        <f aca="false">IF(StartingSoon[[#This Row],[_Task]]="","",INDEX(tsk_Predecessors,StartingSoon[[#This Row],[_Task]])&amp;"")</f>
        <v/>
      </c>
      <c r="G71" s="20" t="str">
        <f aca="false">IF(StartingSoon[[#This Row],[_Task]]="","",INDEX(tsk_Critical,StartingSoon[[#This Row],[_Task]])&amp;"")</f>
        <v/>
      </c>
    </row>
    <row r="72" customFormat="false" ht="15" hidden="false" customHeight="false" outlineLevel="0" collapsed="false">
      <c r="A72" s="43" t="str">
        <f aca="false">IFERROR(MATCH(SMALL(tsk_StartSoonKey,ROW()-ROW(StartingSoon[[#Headers],[_Task]])),tsk_StartSoonKey,0),"")</f>
        <v/>
      </c>
      <c r="B72" s="20" t="str">
        <f aca="false">IF(StartingSoon[[#This Row],[_Task]]="","",INDEX(tsk_Name,StartingSoon[[#This Row],[_Task]])&amp;"")</f>
        <v/>
      </c>
      <c r="C72" s="20" t="str">
        <f aca="false">IF(StartingSoon[[#This Row],[_Task]]="","",INDEX(tsk_ResourceNames,StartingSoon[[#This Row],[_Task]])&amp;"")</f>
        <v/>
      </c>
      <c r="D72" s="44" t="str">
        <f aca="false">IF(StartingSoon[[#This Row],[_Task]]="","",IF(N(INDEX(tsk_FcStart,StartingSoon[[#This Row],[_Task]]))=0,"",INDEX(tsk_FcStart,StartingSoon[[#This Row],[_Task]])))</f>
        <v/>
      </c>
      <c r="E72" s="47" t="str">
        <f aca="false">IF(StartingSoon[[#This Row],[_Task]]="","",INDEX(tsk_Duration,StartingSoon[[#This Row],[_Task]]))</f>
        <v/>
      </c>
      <c r="F72" s="20" t="str">
        <f aca="false">IF(StartingSoon[[#This Row],[_Task]]="","",INDEX(tsk_Predecessors,StartingSoon[[#This Row],[_Task]])&amp;"")</f>
        <v/>
      </c>
      <c r="G72" s="20" t="str">
        <f aca="false">IF(StartingSoon[[#This Row],[_Task]]="","",INDEX(tsk_Critical,StartingSoon[[#This Row],[_Task]])&amp;"")</f>
        <v/>
      </c>
    </row>
    <row r="73" customFormat="false" ht="15" hidden="false" customHeight="false" outlineLevel="0" collapsed="false">
      <c r="A73" s="43" t="str">
        <f aca="false">IFERROR(MATCH(SMALL(tsk_StartSoonKey,ROW()-ROW(StartingSoon[[#Headers],[_Task]])),tsk_StartSoonKey,0),"")</f>
        <v/>
      </c>
      <c r="B73" s="20" t="str">
        <f aca="false">IF(StartingSoon[[#This Row],[_Task]]="","",INDEX(tsk_Name,StartingSoon[[#This Row],[_Task]])&amp;"")</f>
        <v/>
      </c>
      <c r="C73" s="20" t="str">
        <f aca="false">IF(StartingSoon[[#This Row],[_Task]]="","",INDEX(tsk_ResourceNames,StartingSoon[[#This Row],[_Task]])&amp;"")</f>
        <v/>
      </c>
      <c r="D73" s="44" t="str">
        <f aca="false">IF(StartingSoon[[#This Row],[_Task]]="","",IF(N(INDEX(tsk_FcStart,StartingSoon[[#This Row],[_Task]]))=0,"",INDEX(tsk_FcStart,StartingSoon[[#This Row],[_Task]])))</f>
        <v/>
      </c>
      <c r="E73" s="47" t="str">
        <f aca="false">IF(StartingSoon[[#This Row],[_Task]]="","",INDEX(tsk_Duration,StartingSoon[[#This Row],[_Task]]))</f>
        <v/>
      </c>
      <c r="F73" s="20" t="str">
        <f aca="false">IF(StartingSoon[[#This Row],[_Task]]="","",INDEX(tsk_Predecessors,StartingSoon[[#This Row],[_Task]])&amp;"")</f>
        <v/>
      </c>
      <c r="G73" s="20" t="str">
        <f aca="false">IF(StartingSoon[[#This Row],[_Task]]="","",INDEX(tsk_Critical,StartingSoon[[#This Row],[_Task]])&amp;"")</f>
        <v/>
      </c>
    </row>
    <row r="75" customFormat="false" ht="15" hidden="false" customHeight="false" outlineLevel="0" collapsed="false">
      <c r="B75" s="28" t="str">
        <f aca="false">"OPEN CRITICAL TASKS (by start)"&amp;": "&amp;COUNT(tsk_CriticalKey)&amp;IF(COUNT(tsk_CriticalKey)&gt;ROWS(CriticalTasks[_Task])," (showing the first "&amp;ROWS(CriticalTasks[_Task])&amp;")","")</f>
        <v>OPEN CRITICAL TASKS (by start): 3</v>
      </c>
    </row>
    <row r="76" customFormat="false" ht="23.85" hidden="false" customHeight="false" outlineLevel="0" collapsed="false">
      <c r="A76" s="42" t="s">
        <v>175</v>
      </c>
      <c r="B76" s="17" t="s">
        <v>176</v>
      </c>
      <c r="C76" s="17" t="s">
        <v>177</v>
      </c>
      <c r="D76" s="17" t="s">
        <v>183</v>
      </c>
      <c r="E76" s="17" t="s">
        <v>184</v>
      </c>
      <c r="F76" s="17" t="s">
        <v>182</v>
      </c>
      <c r="G76" s="17" t="s">
        <v>178</v>
      </c>
    </row>
    <row r="77" customFormat="false" ht="15" hidden="false" customHeight="false" outlineLevel="0" collapsed="false">
      <c r="A77" s="43" t="n">
        <f aca="false">IFERROR(MATCH(SMALL(tsk_CriticalKey,ROW()-ROW(CriticalTasks[[#Headers],[_Task]])),tsk_CriticalKey,0),"")</f>
        <v>10</v>
      </c>
      <c r="B77" s="20" t="str">
        <f aca="false">IF(CriticalTasks[[#This Row],[_Task]]="","",INDEX(tsk_Name,CriticalTasks[[#This Row],[_Task]])&amp;"")</f>
        <v>System integration testing</v>
      </c>
      <c r="C77" s="20" t="str">
        <f aca="false">IF(CriticalTasks[[#This Row],[_Task]]="","",INDEX(tsk_ResourceNames,CriticalTasks[[#This Row],[_Task]])&amp;"")</f>
        <v>Taylor Morgan, Sam Rivera[50%]</v>
      </c>
      <c r="D77" s="44" t="n">
        <f aca="false">IF(CriticalTasks[[#This Row],[_Task]]="","",IF(N(INDEX(tsk_FcStart,CriticalTasks[[#This Row],[_Task]]))=0,"",INDEX(tsk_FcStart,CriticalTasks[[#This Row],[_Task]])))</f>
        <v>46302</v>
      </c>
      <c r="E77" s="47" t="n">
        <f aca="false">IF(CriticalTasks[[#This Row],[_Task]]="","",INDEX(tsk_TotalSlack,CriticalTasks[[#This Row],[_Task]]))</f>
        <v>0</v>
      </c>
      <c r="F77" s="20" t="str">
        <f aca="false">IF(CriticalTasks[[#This Row],[_Task]]="","",INDEX(tsk_DeadlineCheck,CriticalTasks[[#This Row],[_Task]])&amp;"")</f>
        <v/>
      </c>
      <c r="G77" s="44" t="n">
        <f aca="false">IF(CriticalTasks[[#This Row],[_Task]]="","",IF(N(INDEX(tsk_FcFinish,CriticalTasks[[#This Row],[_Task]]))=0,"",INDEX(tsk_FcFinish,CriticalTasks[[#This Row],[_Task]])))</f>
        <v>46323</v>
      </c>
    </row>
    <row r="78" customFormat="false" ht="15" hidden="false" customHeight="false" outlineLevel="0" collapsed="false">
      <c r="A78" s="43" t="n">
        <f aca="false">IFERROR(MATCH(SMALL(tsk_CriticalKey,ROW()-ROW(CriticalTasks[[#Headers],[_Task]])),tsk_CriticalKey,0),"")</f>
        <v>11</v>
      </c>
      <c r="B78" s="20" t="str">
        <f aca="false">IF(CriticalTasks[[#This Row],[_Task]]="","",INDEX(tsk_Name,CriticalTasks[[#This Row],[_Task]])&amp;"")</f>
        <v>Go-live readiness review</v>
      </c>
      <c r="C78" s="20" t="str">
        <f aca="false">IF(CriticalTasks[[#This Row],[_Task]]="","",INDEX(tsk_ResourceNames,CriticalTasks[[#This Row],[_Task]])&amp;"")</f>
        <v>Priya Sharma</v>
      </c>
      <c r="D78" s="44" t="n">
        <f aca="false">IF(CriticalTasks[[#This Row],[_Task]]="","",IF(N(INDEX(tsk_FcStart,CriticalTasks[[#This Row],[_Task]]))=0,"",INDEX(tsk_FcStart,CriticalTasks[[#This Row],[_Task]])))</f>
        <v>46324</v>
      </c>
      <c r="E78" s="47" t="n">
        <f aca="false">IF(CriticalTasks[[#This Row],[_Task]]="","",INDEX(tsk_TotalSlack,CriticalTasks[[#This Row],[_Task]]))</f>
        <v>0</v>
      </c>
      <c r="F78" s="20" t="str">
        <f aca="false">IF(CriticalTasks[[#This Row],[_Task]]="","",INDEX(tsk_DeadlineCheck,CriticalTasks[[#This Row],[_Task]])&amp;"")</f>
        <v/>
      </c>
      <c r="G78" s="44" t="n">
        <f aca="false">IF(CriticalTasks[[#This Row],[_Task]]="","",IF(N(INDEX(tsk_FcFinish,CriticalTasks[[#This Row],[_Task]]))=0,"",INDEX(tsk_FcFinish,CriticalTasks[[#This Row],[_Task]])))</f>
        <v>46324</v>
      </c>
    </row>
    <row r="79" customFormat="false" ht="15" hidden="false" customHeight="false" outlineLevel="0" collapsed="false">
      <c r="A79" s="43" t="n">
        <f aca="false">IFERROR(MATCH(SMALL(tsk_CriticalKey,ROW()-ROW(CriticalTasks[[#Headers],[_Task]])),tsk_CriticalKey,0),"")</f>
        <v>12</v>
      </c>
      <c r="B79" s="20" t="str">
        <f aca="false">IF(CriticalTasks[[#This Row],[_Task]]="","",INDEX(tsk_Name,CriticalTasks[[#This Row],[_Task]])&amp;"")</f>
        <v>Go-live</v>
      </c>
      <c r="C79" s="20" t="str">
        <f aca="false">IF(CriticalTasks[[#This Row],[_Task]]="","",INDEX(tsk_ResourceNames,CriticalTasks[[#This Row],[_Task]])&amp;"")</f>
        <v/>
      </c>
      <c r="D79" s="44" t="n">
        <f aca="false">IF(CriticalTasks[[#This Row],[_Task]]="","",IF(N(INDEX(tsk_FcStart,CriticalTasks[[#This Row],[_Task]]))=0,"",INDEX(tsk_FcStart,CriticalTasks[[#This Row],[_Task]])))</f>
        <v>46324</v>
      </c>
      <c r="E79" s="47" t="n">
        <f aca="false">IF(CriticalTasks[[#This Row],[_Task]]="","",INDEX(tsk_TotalSlack,CriticalTasks[[#This Row],[_Task]]))</f>
        <v>0</v>
      </c>
      <c r="F79" s="20" t="str">
        <f aca="false">IF(CriticalTasks[[#This Row],[_Task]]="","",INDEX(tsk_DeadlineCheck,CriticalTasks[[#This Row],[_Task]])&amp;"")</f>
        <v>OK</v>
      </c>
      <c r="G79" s="44" t="n">
        <f aca="false">IF(CriticalTasks[[#This Row],[_Task]]="","",IF(N(INDEX(tsk_FcFinish,CriticalTasks[[#This Row],[_Task]]))=0,"",INDEX(tsk_FcFinish,CriticalTasks[[#This Row],[_Task]])))</f>
        <v>46324</v>
      </c>
    </row>
    <row r="80" customFormat="false" ht="15" hidden="false" customHeight="false" outlineLevel="0" collapsed="false">
      <c r="A80" s="43" t="str">
        <f aca="false">IFERROR(MATCH(SMALL(tsk_CriticalKey,ROW()-ROW(CriticalTasks[[#Headers],[_Task]])),tsk_CriticalKey,0),"")</f>
        <v/>
      </c>
      <c r="B80" s="20" t="str">
        <f aca="false">IF(CriticalTasks[[#This Row],[_Task]]="","",INDEX(tsk_Name,CriticalTasks[[#This Row],[_Task]])&amp;"")</f>
        <v/>
      </c>
      <c r="C80" s="20" t="str">
        <f aca="false">IF(CriticalTasks[[#This Row],[_Task]]="","",INDEX(tsk_ResourceNames,CriticalTasks[[#This Row],[_Task]])&amp;"")</f>
        <v/>
      </c>
      <c r="D80" s="44" t="str">
        <f aca="false">IF(CriticalTasks[[#This Row],[_Task]]="","",IF(N(INDEX(tsk_FcStart,CriticalTasks[[#This Row],[_Task]]))=0,"",INDEX(tsk_FcStart,CriticalTasks[[#This Row],[_Task]])))</f>
        <v/>
      </c>
      <c r="E80" s="47" t="str">
        <f aca="false">IF(CriticalTasks[[#This Row],[_Task]]="","",INDEX(tsk_TotalSlack,CriticalTasks[[#This Row],[_Task]]))</f>
        <v/>
      </c>
      <c r="F80" s="20" t="str">
        <f aca="false">IF(CriticalTasks[[#This Row],[_Task]]="","",INDEX(tsk_DeadlineCheck,CriticalTasks[[#This Row],[_Task]])&amp;"")</f>
        <v/>
      </c>
      <c r="G80" s="44" t="str">
        <f aca="false">IF(CriticalTasks[[#This Row],[_Task]]="","",IF(N(INDEX(tsk_FcFinish,CriticalTasks[[#This Row],[_Task]]))=0,"",INDEX(tsk_FcFinish,CriticalTasks[[#This Row],[_Task]])))</f>
        <v/>
      </c>
    </row>
    <row r="81" customFormat="false" ht="15" hidden="false" customHeight="false" outlineLevel="0" collapsed="false">
      <c r="A81" s="43" t="str">
        <f aca="false">IFERROR(MATCH(SMALL(tsk_CriticalKey,ROW()-ROW(CriticalTasks[[#Headers],[_Task]])),tsk_CriticalKey,0),"")</f>
        <v/>
      </c>
      <c r="B81" s="20" t="str">
        <f aca="false">IF(CriticalTasks[[#This Row],[_Task]]="","",INDEX(tsk_Name,CriticalTasks[[#This Row],[_Task]])&amp;"")</f>
        <v/>
      </c>
      <c r="C81" s="20" t="str">
        <f aca="false">IF(CriticalTasks[[#This Row],[_Task]]="","",INDEX(tsk_ResourceNames,CriticalTasks[[#This Row],[_Task]])&amp;"")</f>
        <v/>
      </c>
      <c r="D81" s="44" t="str">
        <f aca="false">IF(CriticalTasks[[#This Row],[_Task]]="","",IF(N(INDEX(tsk_FcStart,CriticalTasks[[#This Row],[_Task]]))=0,"",INDEX(tsk_FcStart,CriticalTasks[[#This Row],[_Task]])))</f>
        <v/>
      </c>
      <c r="E81" s="47" t="str">
        <f aca="false">IF(CriticalTasks[[#This Row],[_Task]]="","",INDEX(tsk_TotalSlack,CriticalTasks[[#This Row],[_Task]]))</f>
        <v/>
      </c>
      <c r="F81" s="20" t="str">
        <f aca="false">IF(CriticalTasks[[#This Row],[_Task]]="","",INDEX(tsk_DeadlineCheck,CriticalTasks[[#This Row],[_Task]])&amp;"")</f>
        <v/>
      </c>
      <c r="G81" s="44" t="str">
        <f aca="false">IF(CriticalTasks[[#This Row],[_Task]]="","",IF(N(INDEX(tsk_FcFinish,CriticalTasks[[#This Row],[_Task]]))=0,"",INDEX(tsk_FcFinish,CriticalTasks[[#This Row],[_Task]])))</f>
        <v/>
      </c>
    </row>
    <row r="83" customFormat="false" ht="15" hidden="false" customHeight="false" outlineLevel="0" collapsed="false">
      <c r="B83" s="28" t="s">
        <v>185</v>
      </c>
    </row>
    <row r="84" customFormat="false" ht="15" hidden="false" customHeight="false" outlineLevel="0" collapsed="false">
      <c r="B84" s="17" t="s">
        <v>186</v>
      </c>
      <c r="C84" s="18" t="s">
        <v>187</v>
      </c>
    </row>
    <row r="85" customFormat="false" ht="36" hidden="false" customHeight="true" outlineLevel="0" collapsed="false">
      <c r="B85" s="48" t="s">
        <v>74</v>
      </c>
      <c r="C85" s="49"/>
    </row>
    <row r="86" customFormat="false" ht="36" hidden="false" customHeight="true" outlineLevel="0" collapsed="false">
      <c r="B86" s="48" t="s">
        <v>188</v>
      </c>
      <c r="C86" s="49"/>
    </row>
    <row r="87" customFormat="false" ht="36" hidden="false" customHeight="true" outlineLevel="0" collapsed="false">
      <c r="B87" s="48" t="s">
        <v>189</v>
      </c>
      <c r="C87" s="49"/>
    </row>
    <row r="88" customFormat="false" ht="36" hidden="false" customHeight="true" outlineLevel="0" collapsed="false">
      <c r="B88" s="48" t="s">
        <v>190</v>
      </c>
      <c r="C88" s="49"/>
    </row>
    <row r="89" customFormat="false" ht="36" hidden="false" customHeight="true" outlineLevel="0" collapsed="false">
      <c r="B89" s="48" t="s">
        <v>191</v>
      </c>
      <c r="C89" s="49"/>
    </row>
    <row r="90" customFormat="false" ht="36" hidden="false" customHeight="true" outlineLevel="0" collapsed="false">
      <c r="B90" s="48" t="s">
        <v>192</v>
      </c>
      <c r="C90" s="49"/>
    </row>
  </sheetData>
  <sheetProtection sheet="true" formatColumns="false" formatRows="false" sort="false" autoFilter="false"/>
  <mergeCells count="1">
    <mergeCell ref="B24:H24"/>
  </mergeCells>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19">
      <formula>E14="Green"</formula>
    </cfRule>
    <cfRule type="expression" priority="4" aboveAverage="0" equalAverage="0" bottom="0" percent="0" rank="0" text="" dxfId="20">
      <formula>E14="Amber"</formula>
    </cfRule>
    <cfRule type="expression" priority="5" aboveAverage="0" equalAverage="0" bottom="0" percent="0" rank="0" text="" dxfId="21">
      <formula>E14="Red"</formula>
    </cfRule>
  </conditionalFormatting>
  <conditionalFormatting sqref="D39">
    <cfRule type="expression" priority="6" aboveAverage="0" equalAverage="0" bottom="0" percent="0" rank="0" text="" dxfId="22">
      <formula>D39&gt;0</formula>
    </cfRule>
    <cfRule type="expression" priority="7" aboveAverage="0" equalAverage="0" bottom="0" percent="0" rank="0" text="" dxfId="23">
      <formula>D39&lt;=0</formula>
    </cfRule>
  </conditionalFormatting>
  <conditionalFormatting sqref="E53:E57">
    <cfRule type="expression" priority="8" aboveAverage="0" equalAverage="0" bottom="0" percent="0" rank="0" text="" dxfId="24">
      <formula>AND(ISNUMBER(E53),E53&gt;0)</formula>
    </cfRule>
  </conditionalFormatting>
  <conditionalFormatting sqref="G53:G57">
    <cfRule type="expression" priority="9" aboveAverage="0" equalAverage="0" bottom="0" percent="0" rank="0" text="" dxfId="25">
      <formula>G53="Yes"</formula>
    </cfRule>
  </conditionalFormatting>
  <conditionalFormatting sqref="G61:G65">
    <cfRule type="expression" priority="10" aboveAverage="0" equalAverage="0" bottom="0" percent="0" rank="0" text="" dxfId="25">
      <formula>G61="Yes"</formula>
    </cfRule>
  </conditionalFormatting>
  <conditionalFormatting sqref="F61:F65">
    <cfRule type="expression" priority="11" aboveAverage="0" equalAverage="0" bottom="0" percent="0" rank="0" text="" dxfId="24">
      <formula>LEFT(F61,4)="Late"</formula>
    </cfRule>
  </conditionalFormatting>
  <conditionalFormatting sqref="G69:G73">
    <cfRule type="expression" priority="12" aboveAverage="0" equalAverage="0" bottom="0" percent="0" rank="0" text="" dxfId="25">
      <formula>G69="Yes"</formula>
    </cfRule>
  </conditionalFormatting>
  <conditionalFormatting sqref="F77:F81">
    <cfRule type="expression" priority="13" aboveAverage="0" equalAverage="0" bottom="0" percent="0" rank="0" text="" dxfId="24">
      <formula>LEFT(F77,4)="Late"</formula>
    </cfRule>
  </conditionalFormatting>
  <dataValidations count="2">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 allowBlank="false" errorStyle="stop" operator="between" showDropDown="false" showErrorMessage="false" showInputMessage="false" sqref="F14 F17:F21" type="list">
      <formula1>L_RAG</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true" verticalCentered="false"/>
  <pageMargins left="0.75" right="0.75" top="0.6" bottom="0.6" header="0.3" footer="0.3"/>
  <pageSetup paperSize="1" scale="100" fitToWidth="1" fitToHeight="1" pageOrder="downThenOver" orientation="portrait" blackAndWhite="false" draft="false" cellComments="none" horizontalDpi="300" verticalDpi="300" copies="1"/>
  <headerFooter differentFirst="false" differentOddEven="false">
    <oddHeader>&amp;L&amp;"Arial,Regular"&amp;8 &amp;A&amp;R&amp;"Arial,Regular"&amp;8 &amp;F</oddHeader>
    <oddFooter>&amp;L&amp;"Arial,Regular"&amp;8 Project Planner template 1.1&amp;R&amp;"Arial,Regular"&amp;8 Page &amp;P of &amp;N</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4" t="str">
        <f aca="false">ProjectName&amp;"  -  Roadmap"</f>
        <v>Customer Portal Implementation  -  Roadmap</v>
      </c>
    </row>
    <row r="2" customFormat="false" ht="15" hidden="false" customHeight="false" outlineLevel="0" collapsed="false">
      <c r="A2" s="50" t="str">
        <f aca="false">"Status date "&amp;TEXT(StatusDate,"dd-mmm-yyyy")&amp;"   Forecast finish "&amp;TEXT(ProjectFinish,"dd-mmm-yyyy")&amp;" ("&amp;TEXT(FinishVarianceDays,"+0;-0;0")&amp;" working days vs plan)"</f>
        <v>Status date 25-Oct-2026   Forecast finish 29-Oct-2026 (+4 working days vs plan)</v>
      </c>
    </row>
    <row r="4" customFormat="false" ht="15" hidden="false" customHeight="false" outlineLevel="0" collapsed="false">
      <c r="R4" s="51" t="str">
        <f aca="false">IF(OR(COLUMN()-COLUMN(rm_Origin)=1,MONTH(EDATE(RoadmapStart,COLUMN()-COLUMN(rm_Origin)-1))=1),TEXT(EDATE(RoadmapStart,COLUMN()-COLUMN(rm_Origin)-1),"yyyy"),"")</f>
        <v>2026</v>
      </c>
      <c r="S4" s="51" t="str">
        <f aca="false">IF(OR(COLUMN()-COLUMN(rm_Origin)=1,MONTH(EDATE(RoadmapStart,COLUMN()-COLUMN(rm_Origin)-1))=1),TEXT(EDATE(RoadmapStart,COLUMN()-COLUMN(rm_Origin)-1),"yyyy"),"")</f>
        <v/>
      </c>
      <c r="T4" s="51" t="str">
        <f aca="false">IF(OR(COLUMN()-COLUMN(rm_Origin)=1,MONTH(EDATE(RoadmapStart,COLUMN()-COLUMN(rm_Origin)-1))=1),TEXT(EDATE(RoadmapStart,COLUMN()-COLUMN(rm_Origin)-1),"yyyy"),"")</f>
        <v/>
      </c>
      <c r="U4" s="51" t="str">
        <f aca="false">IF(OR(COLUMN()-COLUMN(rm_Origin)=1,MONTH(EDATE(RoadmapStart,COLUMN()-COLUMN(rm_Origin)-1))=1),TEXT(EDATE(RoadmapStart,COLUMN()-COLUMN(rm_Origin)-1),"yyyy"),"")</f>
        <v/>
      </c>
      <c r="V4" s="51" t="str">
        <f aca="false">IF(OR(COLUMN()-COLUMN(rm_Origin)=1,MONTH(EDATE(RoadmapStart,COLUMN()-COLUMN(rm_Origin)-1))=1),TEXT(EDATE(RoadmapStart,COLUMN()-COLUMN(rm_Origin)-1),"yyyy"),"")</f>
        <v>2027</v>
      </c>
      <c r="W4" s="51" t="str">
        <f aca="false">IF(OR(COLUMN()-COLUMN(rm_Origin)=1,MONTH(EDATE(RoadmapStart,COLUMN()-COLUMN(rm_Origin)-1))=1),TEXT(EDATE(RoadmapStart,COLUMN()-COLUMN(rm_Origin)-1),"yyyy"),"")</f>
        <v/>
      </c>
      <c r="X4" s="51" t="str">
        <f aca="false">IF(OR(COLUMN()-COLUMN(rm_Origin)=1,MONTH(EDATE(RoadmapStart,COLUMN()-COLUMN(rm_Origin)-1))=1),TEXT(EDATE(RoadmapStart,COLUMN()-COLUMN(rm_Origin)-1),"yyyy"),"")</f>
        <v/>
      </c>
      <c r="Y4" s="51" t="str">
        <f aca="false">IF(OR(COLUMN()-COLUMN(rm_Origin)=1,MONTH(EDATE(RoadmapStart,COLUMN()-COLUMN(rm_Origin)-1))=1),TEXT(EDATE(RoadmapStart,COLUMN()-COLUMN(rm_Origin)-1),"yyyy"),"")</f>
        <v/>
      </c>
      <c r="Z4" s="51" t="str">
        <f aca="false">IF(OR(COLUMN()-COLUMN(rm_Origin)=1,MONTH(EDATE(RoadmapStart,COLUMN()-COLUMN(rm_Origin)-1))=1),TEXT(EDATE(RoadmapStart,COLUMN()-COLUMN(rm_Origin)-1),"yyyy"),"")</f>
        <v/>
      </c>
      <c r="AA4" s="51" t="str">
        <f aca="false">IF(OR(COLUMN()-COLUMN(rm_Origin)=1,MONTH(EDATE(RoadmapStart,COLUMN()-COLUMN(rm_Origin)-1))=1),TEXT(EDATE(RoadmapStart,COLUMN()-COLUMN(rm_Origin)-1),"yyyy"),"")</f>
        <v/>
      </c>
      <c r="AB4" s="51" t="str">
        <f aca="false">IF(OR(COLUMN()-COLUMN(rm_Origin)=1,MONTH(EDATE(RoadmapStart,COLUMN()-COLUMN(rm_Origin)-1))=1),TEXT(EDATE(RoadmapStart,COLUMN()-COLUMN(rm_Origin)-1),"yyyy"),"")</f>
        <v/>
      </c>
      <c r="AC4" s="51" t="str">
        <f aca="false">IF(OR(COLUMN()-COLUMN(rm_Origin)=1,MONTH(EDATE(RoadmapStart,COLUMN()-COLUMN(rm_Origin)-1))=1),TEXT(EDATE(RoadmapStart,COLUMN()-COLUMN(rm_Origin)-1),"yyyy"),"")</f>
        <v/>
      </c>
      <c r="AD4" s="51" t="str">
        <f aca="false">IF(OR(COLUMN()-COLUMN(rm_Origin)=1,MONTH(EDATE(RoadmapStart,COLUMN()-COLUMN(rm_Origin)-1))=1),TEXT(EDATE(RoadmapStart,COLUMN()-COLUMN(rm_Origin)-1),"yyyy"),"")</f>
        <v/>
      </c>
      <c r="AE4" s="51" t="str">
        <f aca="false">IF(OR(COLUMN()-COLUMN(rm_Origin)=1,MONTH(EDATE(RoadmapStart,COLUMN()-COLUMN(rm_Origin)-1))=1),TEXT(EDATE(RoadmapStart,COLUMN()-COLUMN(rm_Origin)-1),"yyyy"),"")</f>
        <v/>
      </c>
      <c r="AF4" s="51" t="str">
        <f aca="false">IF(OR(COLUMN()-COLUMN(rm_Origin)=1,MONTH(EDATE(RoadmapStart,COLUMN()-COLUMN(rm_Origin)-1))=1),TEXT(EDATE(RoadmapStart,COLUMN()-COLUMN(rm_Origin)-1),"yyyy"),"")</f>
        <v/>
      </c>
      <c r="AG4" s="51" t="str">
        <f aca="false">IF(OR(COLUMN()-COLUMN(rm_Origin)=1,MONTH(EDATE(RoadmapStart,COLUMN()-COLUMN(rm_Origin)-1))=1),TEXT(EDATE(RoadmapStart,COLUMN()-COLUMN(rm_Origin)-1),"yyyy"),"")</f>
        <v/>
      </c>
      <c r="AH4" s="51" t="str">
        <f aca="false">IF(OR(COLUMN()-COLUMN(rm_Origin)=1,MONTH(EDATE(RoadmapStart,COLUMN()-COLUMN(rm_Origin)-1))=1),TEXT(EDATE(RoadmapStart,COLUMN()-COLUMN(rm_Origin)-1),"yyyy"),"")</f>
        <v>2028</v>
      </c>
      <c r="AI4" s="51" t="str">
        <f aca="false">IF(OR(COLUMN()-COLUMN(rm_Origin)=1,MONTH(EDATE(RoadmapStart,COLUMN()-COLUMN(rm_Origin)-1))=1),TEXT(EDATE(RoadmapStart,COLUMN()-COLUMN(rm_Origin)-1),"yyyy"),"")</f>
        <v/>
      </c>
    </row>
    <row r="5" customFormat="false" ht="15" hidden="false" customHeight="false" outlineLevel="0" collapsed="false">
      <c r="R5" s="52" t="n">
        <f aca="false">EDATE(RoadmapStart,COLUMN()-COLUMN(rm_Origin)-1)</f>
        <v>46266</v>
      </c>
      <c r="S5" s="52" t="n">
        <f aca="false">EDATE(RoadmapStart,COLUMN()-COLUMN(rm_Origin)-1)</f>
        <v>46296</v>
      </c>
      <c r="T5" s="52" t="n">
        <f aca="false">EDATE(RoadmapStart,COLUMN()-COLUMN(rm_Origin)-1)</f>
        <v>46327</v>
      </c>
      <c r="U5" s="52" t="n">
        <f aca="false">EDATE(RoadmapStart,COLUMN()-COLUMN(rm_Origin)-1)</f>
        <v>46357</v>
      </c>
      <c r="V5" s="52" t="n">
        <f aca="false">EDATE(RoadmapStart,COLUMN()-COLUMN(rm_Origin)-1)</f>
        <v>46388</v>
      </c>
      <c r="W5" s="52" t="n">
        <f aca="false">EDATE(RoadmapStart,COLUMN()-COLUMN(rm_Origin)-1)</f>
        <v>46419</v>
      </c>
      <c r="X5" s="52" t="n">
        <f aca="false">EDATE(RoadmapStart,COLUMN()-COLUMN(rm_Origin)-1)</f>
        <v>46447</v>
      </c>
      <c r="Y5" s="52" t="n">
        <f aca="false">EDATE(RoadmapStart,COLUMN()-COLUMN(rm_Origin)-1)</f>
        <v>46478</v>
      </c>
      <c r="Z5" s="52" t="n">
        <f aca="false">EDATE(RoadmapStart,COLUMN()-COLUMN(rm_Origin)-1)</f>
        <v>46508</v>
      </c>
      <c r="AA5" s="52" t="n">
        <f aca="false">EDATE(RoadmapStart,COLUMN()-COLUMN(rm_Origin)-1)</f>
        <v>46539</v>
      </c>
      <c r="AB5" s="52" t="n">
        <f aca="false">EDATE(RoadmapStart,COLUMN()-COLUMN(rm_Origin)-1)</f>
        <v>46569</v>
      </c>
      <c r="AC5" s="52" t="n">
        <f aca="false">EDATE(RoadmapStart,COLUMN()-COLUMN(rm_Origin)-1)</f>
        <v>46600</v>
      </c>
      <c r="AD5" s="52" t="n">
        <f aca="false">EDATE(RoadmapStart,COLUMN()-COLUMN(rm_Origin)-1)</f>
        <v>46631</v>
      </c>
      <c r="AE5" s="52" t="n">
        <f aca="false">EDATE(RoadmapStart,COLUMN()-COLUMN(rm_Origin)-1)</f>
        <v>46661</v>
      </c>
      <c r="AF5" s="52" t="n">
        <f aca="false">EDATE(RoadmapStart,COLUMN()-COLUMN(rm_Origin)-1)</f>
        <v>46692</v>
      </c>
      <c r="AG5" s="52" t="n">
        <f aca="false">EDATE(RoadmapStart,COLUMN()-COLUMN(rm_Origin)-1)</f>
        <v>46722</v>
      </c>
      <c r="AH5" s="52" t="n">
        <f aca="false">EDATE(RoadmapStart,COLUMN()-COLUMN(rm_Origin)-1)</f>
        <v>46753</v>
      </c>
      <c r="AI5" s="52" t="n">
        <f aca="false">EDATE(RoadmapStart,COLUMN()-COLUMN(rm_Origin)-1)</f>
        <v>46784</v>
      </c>
    </row>
    <row r="6" customFormat="false" ht="15" hidden="false" customHeight="false" outlineLevel="0" collapsed="false">
      <c r="C6" s="28" t="str">
        <f aca="false">"Phases"&amp;": "&amp;COUNT(tsk_PhaseKey)&amp;IF(COUNT(tsk_PhaseKey)&gt;ROWS(RoadmapPhases[_Task])," (showing the first "&amp;ROWS(RoadmapPhases[_Task])&amp;")","")</f>
        <v>Phases: 3</v>
      </c>
    </row>
    <row r="7" customFormat="false" ht="35.05" hidden="false" customHeight="false" outlineLevel="0" collapsed="false">
      <c r="B7" s="42" t="s">
        <v>175</v>
      </c>
      <c r="C7" s="17" t="s">
        <v>193</v>
      </c>
      <c r="D7" s="17" t="s">
        <v>194</v>
      </c>
      <c r="E7" s="17" t="s">
        <v>195</v>
      </c>
      <c r="F7" s="17" t="s">
        <v>196</v>
      </c>
      <c r="G7" s="17" t="s">
        <v>197</v>
      </c>
      <c r="H7" s="17" t="s">
        <v>183</v>
      </c>
      <c r="I7" s="17" t="s">
        <v>178</v>
      </c>
      <c r="J7" s="17" t="s">
        <v>181</v>
      </c>
      <c r="K7" s="17" t="s">
        <v>179</v>
      </c>
      <c r="L7" s="17" t="s">
        <v>198</v>
      </c>
      <c r="M7" s="17" t="s">
        <v>130</v>
      </c>
      <c r="N7" s="17" t="s">
        <v>199</v>
      </c>
      <c r="O7" s="17" t="s">
        <v>200</v>
      </c>
      <c r="P7" s="42" t="s">
        <v>201</v>
      </c>
    </row>
    <row r="8" customFormat="false" ht="15" hidden="false" customHeight="false" outlineLevel="0" collapsed="false">
      <c r="B8" s="43" t="n">
        <f aca="false">IFERROR(MATCH(SMALL(tsk_PhaseKey,ROW()-ROW(RoadmapPhases[[#Headers],[_Task]])),tsk_PhaseKey,0),"")</f>
        <v>1</v>
      </c>
      <c r="C8" s="20" t="str">
        <f aca="false">IF(RoadmapPhases[[#This Row],[_Task]]="","",INDEX(tsk_WBS,RoadmapPhases[[#This Row],[_Task]])&amp;"")</f>
        <v>1</v>
      </c>
      <c r="D8" s="20" t="str">
        <f aca="false">IF(RoadmapPhases[[#This Row],[_Task]]="","",INDEX(tsk_Name,RoadmapPhases[[#This Row],[_Task]])&amp;"")</f>
        <v>Initiation</v>
      </c>
      <c r="E8" s="20" t="str">
        <f aca="false">IF(RoadmapPhases[[#This Row],[_Task]]="","",INDEX(tsk_Owner,RoadmapPhases[[#This Row],[_Task]])&amp;"")</f>
        <v>Priya Sharma</v>
      </c>
      <c r="F8" s="53" t="n">
        <f aca="false">IF(RoadmapPhases[[#This Row],[_Task]]="","",IF(N(INDEX(tsk_PlanStart,RoadmapPhases[[#This Row],[_Task]]))=0,"",INDEX(tsk_PlanStart,RoadmapPhases[[#This Row],[_Task]])))</f>
        <v>46272</v>
      </c>
      <c r="G8" s="53" t="n">
        <f aca="false">IF(RoadmapPhases[[#This Row],[_Task]]="","",IF(N(INDEX(tsk_PlanFinish,RoadmapPhases[[#This Row],[_Task]]))=0,"",INDEX(tsk_PlanFinish,RoadmapPhases[[#This Row],[_Task]])))</f>
        <v>46276</v>
      </c>
      <c r="H8" s="53" t="n">
        <f aca="false">IF(RoadmapPhases[[#This Row],[_Task]]="","",IF(N(INDEX(tsk_FcStart,RoadmapPhases[[#This Row],[_Task]]))=0,"",INDEX(tsk_FcStart,RoadmapPhases[[#This Row],[_Task]])))</f>
        <v>46272</v>
      </c>
      <c r="I8" s="53" t="n">
        <f aca="false">IF(RoadmapPhases[[#This Row],[_Task]]="","",IF(N(INDEX(tsk_FcFinish,RoadmapPhases[[#This Row],[_Task]]))=0,"",INDEX(tsk_FcFinish,RoadmapPhases[[#This Row],[_Task]])))</f>
        <v>46279</v>
      </c>
      <c r="J8" s="46" t="n">
        <f aca="false">IF(RoadmapPhases[[#This Row],[_Task]]="","",INDEX(tsk_Progress,RoadmapPhases[[#This Row],[_Task]]))</f>
        <v>1</v>
      </c>
      <c r="K8" s="45" t="n">
        <f aca="false">IF(RoadmapPhases[[#This Row],[_Task]]="","",INDEX(tsk_Variance,RoadmapPhases[[#This Row],[_Task]]))</f>
        <v>1</v>
      </c>
      <c r="L8" s="47" t="str">
        <f aca="false">IF(RoadmapPhases[[#This Row],[_Task]]="","",COUNTIFS(tsk_Phase,RoadmapPhases[[#This Row],[WBS]],tsk_IsLeaf,1,tsk_Duration,"&gt;0",tsk_Progress,"&gt;=1")&amp;" of "&amp;COUNTIFS(tsk_Phase,RoadmapPhases[[#This Row],[WBS]],tsk_IsLeaf,1,tsk_Duration,"&gt;0")&amp;" done")</f>
        <v>2 of 2 done</v>
      </c>
      <c r="M8" s="21" t="str">
        <f aca="false">IF(RoadmapPhases[[#This Row],[_Task]]="","",CHOOSE(IF(N(RoadmapPhases[[#This Row],[Finish Var]])&gt;=RAGRedSlipDays,2,IF(N(RoadmapPhases[[#This Row],[Finish Var]])&gt;=RAGAmberSlipDays,1,0))+1,"Green","Amber","Red"))</f>
        <v>Green</v>
      </c>
      <c r="N8" s="20" t="str">
        <f aca="false">IF(OR(RoadmapPhases[[#This Row],[_Task]]="",RoadmapPhases[[#This Row],[_Milestone]]=""),"",INDEX(tsk_Name,RoadmapPhases[[#This Row],[_Milestone]])&amp;" ("&amp;TEXT(INDEX(tsk_FcFinish,RoadmapPhases[[#This Row],[_Milestone]]),"dd-mmm")&amp;")")</f>
        <v/>
      </c>
      <c r="O8" s="20" t="str">
        <f aca="false">IF(RoadmapPhases[[#This Row],[_Task]]="","",HYPERLINK("#"&amp;ADDRESS(ROW(Tasks[[#Headers],[Task Name]])+RoadmapPhases[[#This Row],[_Task]],COLUMN(Tasks[[#Headers],[Task Name]]),1,1,"Tasks"),"Go to phase"))</f>
        <v>Go to phase</v>
      </c>
      <c r="P8" s="43" t="str">
        <f aca="false">IF(RoadmapPhases[[#This Row],[_Task]]="","",IFERROR(MATCH(_xlfn.MINIFS(tsk_MilestoneKey,tsk_Phase,RoadmapPhases[[#This Row],[WBS]]),tsk_MilestoneKey,0),""))</f>
        <v/>
      </c>
    </row>
    <row r="9" customFormat="false" ht="15" hidden="false" customHeight="false" outlineLevel="0" collapsed="false">
      <c r="B9" s="43" t="n">
        <f aca="false">IFERROR(MATCH(SMALL(tsk_PhaseKey,ROW()-ROW(RoadmapPhases[[#Headers],[_Task]])),tsk_PhaseKey,0),"")</f>
        <v>5</v>
      </c>
      <c r="C9" s="20" t="str">
        <f aca="false">IF(RoadmapPhases[[#This Row],[_Task]]="","",INDEX(tsk_WBS,RoadmapPhases[[#This Row],[_Task]])&amp;"")</f>
        <v>2</v>
      </c>
      <c r="D9" s="20" t="str">
        <f aca="false">IF(RoadmapPhases[[#This Row],[_Task]]="","",INDEX(tsk_Name,RoadmapPhases[[#This Row],[_Task]])&amp;"")</f>
        <v>Requirements &amp; Design</v>
      </c>
      <c r="E9" s="20" t="str">
        <f aca="false">IF(RoadmapPhases[[#This Row],[_Task]]="","",INDEX(tsk_Owner,RoadmapPhases[[#This Row],[_Task]])&amp;"")</f>
        <v>Morgan Patel</v>
      </c>
      <c r="F9" s="53" t="n">
        <f aca="false">IF(RoadmapPhases[[#This Row],[_Task]]="","",IF(N(INDEX(tsk_PlanStart,RoadmapPhases[[#This Row],[_Task]]))=0,"",INDEX(tsk_PlanStart,RoadmapPhases[[#This Row],[_Task]])))</f>
        <v>46279</v>
      </c>
      <c r="G9" s="53" t="n">
        <f aca="false">IF(RoadmapPhases[[#This Row],[_Task]]="","",IF(N(INDEX(tsk_PlanFinish,RoadmapPhases[[#This Row],[_Task]]))=0,"",INDEX(tsk_PlanFinish,RoadmapPhases[[#This Row],[_Task]])))</f>
        <v>46296</v>
      </c>
      <c r="H9" s="53" t="n">
        <f aca="false">IF(RoadmapPhases[[#This Row],[_Task]]="","",IF(N(INDEX(tsk_FcStart,RoadmapPhases[[#This Row],[_Task]]))=0,"",INDEX(tsk_FcStart,RoadmapPhases[[#This Row],[_Task]])))</f>
        <v>46280</v>
      </c>
      <c r="I9" s="53" t="n">
        <f aca="false">IF(RoadmapPhases[[#This Row],[_Task]]="","",IF(N(INDEX(tsk_FcFinish,RoadmapPhases[[#This Row],[_Task]]))=0,"",INDEX(tsk_FcFinish,RoadmapPhases[[#This Row],[_Task]])))</f>
        <v>46301</v>
      </c>
      <c r="J9" s="46" t="n">
        <f aca="false">IF(RoadmapPhases[[#This Row],[_Task]]="","",INDEX(tsk_Progress,RoadmapPhases[[#This Row],[_Task]]))</f>
        <v>1</v>
      </c>
      <c r="K9" s="45" t="n">
        <f aca="false">IF(RoadmapPhases[[#This Row],[_Task]]="","",INDEX(tsk_Variance,RoadmapPhases[[#This Row],[_Task]]))</f>
        <v>3</v>
      </c>
      <c r="L9" s="47" t="str">
        <f aca="false">IF(RoadmapPhases[[#This Row],[_Task]]="","",COUNTIFS(tsk_Phase,RoadmapPhases[[#This Row],[WBS]],tsk_IsLeaf,1,tsk_Duration,"&gt;0",tsk_Progress,"&gt;=1")&amp;" of "&amp;COUNTIFS(tsk_Phase,RoadmapPhases[[#This Row],[WBS]],tsk_IsLeaf,1,tsk_Duration,"&gt;0")&amp;" done")</f>
        <v>2 of 2 done</v>
      </c>
      <c r="M9" s="21" t="str">
        <f aca="false">IF(RoadmapPhases[[#This Row],[_Task]]="","",CHOOSE(IF(N(RoadmapPhases[[#This Row],[Finish Var]])&gt;=RAGRedSlipDays,2,IF(N(RoadmapPhases[[#This Row],[Finish Var]])&gt;=RAGAmberSlipDays,1,0))+1,"Green","Amber","Red"))</f>
        <v>Amber</v>
      </c>
      <c r="N9" s="20" t="str">
        <f aca="false">IF(OR(RoadmapPhases[[#This Row],[_Task]]="",RoadmapPhases[[#This Row],[_Milestone]]=""),"",INDEX(tsk_Name,RoadmapPhases[[#This Row],[_Milestone]])&amp;" ("&amp;TEXT(INDEX(tsk_FcFinish,RoadmapPhases[[#This Row],[_Milestone]]),"dd-mmm")&amp;")")</f>
        <v/>
      </c>
      <c r="O9" s="20" t="str">
        <f aca="false">IF(RoadmapPhases[[#This Row],[_Task]]="","",HYPERLINK("#"&amp;ADDRESS(ROW(Tasks[[#Headers],[Task Name]])+RoadmapPhases[[#This Row],[_Task]],COLUMN(Tasks[[#Headers],[Task Name]]),1,1,"Tasks"),"Go to phase"))</f>
        <v>Go to phase</v>
      </c>
      <c r="P9" s="43" t="str">
        <f aca="false">IF(RoadmapPhases[[#This Row],[_Task]]="","",IFERROR(MATCH(_xlfn.MINIFS(tsk_MilestoneKey,tsk_Phase,RoadmapPhases[[#This Row],[WBS]]),tsk_MilestoneKey,0),""))</f>
        <v/>
      </c>
    </row>
    <row r="10" customFormat="false" ht="15" hidden="false" customHeight="false" outlineLevel="0" collapsed="false">
      <c r="B10" s="43" t="n">
        <f aca="false">IFERROR(MATCH(SMALL(tsk_PhaseKey,ROW()-ROW(RoadmapPhases[[#Headers],[_Task]])),tsk_PhaseKey,0),"")</f>
        <v>9</v>
      </c>
      <c r="C10" s="20" t="str">
        <f aca="false">IF(RoadmapPhases[[#This Row],[_Task]]="","",INDEX(tsk_WBS,RoadmapPhases[[#This Row],[_Task]])&amp;"")</f>
        <v>3</v>
      </c>
      <c r="D10" s="20" t="str">
        <f aca="false">IF(RoadmapPhases[[#This Row],[_Task]]="","",INDEX(tsk_Name,RoadmapPhases[[#This Row],[_Task]])&amp;"")</f>
        <v>Test &amp; Release</v>
      </c>
      <c r="E10" s="20" t="str">
        <f aca="false">IF(RoadmapPhases[[#This Row],[_Task]]="","",INDEX(tsk_Owner,RoadmapPhases[[#This Row],[_Task]])&amp;"")</f>
        <v>Taylor Morgan</v>
      </c>
      <c r="F10" s="53" t="n">
        <f aca="false">IF(RoadmapPhases[[#This Row],[_Task]]="","",IF(N(INDEX(tsk_PlanStart,RoadmapPhases[[#This Row],[_Task]]))=0,"",INDEX(tsk_PlanStart,RoadmapPhases[[#This Row],[_Task]])))</f>
        <v>46297</v>
      </c>
      <c r="G10" s="53" t="n">
        <f aca="false">IF(RoadmapPhases[[#This Row],[_Task]]="","",IF(N(INDEX(tsk_PlanFinish,RoadmapPhases[[#This Row],[_Task]]))=0,"",INDEX(tsk_PlanFinish,RoadmapPhases[[#This Row],[_Task]])))</f>
        <v>46318</v>
      </c>
      <c r="H10" s="53" t="n">
        <f aca="false">IF(RoadmapPhases[[#This Row],[_Task]]="","",IF(N(INDEX(tsk_FcStart,RoadmapPhases[[#This Row],[_Task]]))=0,"",INDEX(tsk_FcStart,RoadmapPhases[[#This Row],[_Task]])))</f>
        <v>46302</v>
      </c>
      <c r="I10" s="53" t="n">
        <f aca="false">IF(RoadmapPhases[[#This Row],[_Task]]="","",IF(N(INDEX(tsk_FcFinish,RoadmapPhases[[#This Row],[_Task]]))=0,"",INDEX(tsk_FcFinish,RoadmapPhases[[#This Row],[_Task]])))</f>
        <v>46324</v>
      </c>
      <c r="J10" s="46" t="n">
        <f aca="false">IF(RoadmapPhases[[#This Row],[_Task]]="","",INDEX(tsk_Progress,RoadmapPhases[[#This Row],[_Task]]))</f>
        <v>0.791925465838509</v>
      </c>
      <c r="K10" s="45" t="n">
        <f aca="false">IF(RoadmapPhases[[#This Row],[_Task]]="","",INDEX(tsk_Variance,RoadmapPhases[[#This Row],[_Task]]))</f>
        <v>4</v>
      </c>
      <c r="L10" s="47" t="str">
        <f aca="false">IF(RoadmapPhases[[#This Row],[_Task]]="","",COUNTIFS(tsk_Phase,RoadmapPhases[[#This Row],[WBS]],tsk_IsLeaf,1,tsk_Duration,"&gt;0",tsk_Progress,"&gt;=1")&amp;" of "&amp;COUNTIFS(tsk_Phase,RoadmapPhases[[#This Row],[WBS]],tsk_IsLeaf,1,tsk_Duration,"&gt;0")&amp;" done")</f>
        <v>0 of 2 done</v>
      </c>
      <c r="M10" s="21" t="str">
        <f aca="false">IF(RoadmapPhases[[#This Row],[_Task]]="","",CHOOSE(IF(N(RoadmapPhases[[#This Row],[Finish Var]])&gt;=RAGRedSlipDays,2,IF(N(RoadmapPhases[[#This Row],[Finish Var]])&gt;=RAGAmberSlipDays,1,0))+1,"Green","Amber","Red"))</f>
        <v>Amber</v>
      </c>
      <c r="N10" s="20" t="str">
        <f aca="false">IF(OR(RoadmapPhases[[#This Row],[_Task]]="",RoadmapPhases[[#This Row],[_Milestone]]=""),"",INDEX(tsk_Name,RoadmapPhases[[#This Row],[_Milestone]])&amp;" ("&amp;TEXT(INDEX(tsk_FcFinish,RoadmapPhases[[#This Row],[_Milestone]]),"dd-mmm")&amp;")")</f>
        <v>Go-live (29-Oct)</v>
      </c>
      <c r="O10" s="20" t="str">
        <f aca="false">IF(RoadmapPhases[[#This Row],[_Task]]="","",HYPERLINK("#"&amp;ADDRESS(ROW(Tasks[[#Headers],[Task Name]])+RoadmapPhases[[#This Row],[_Task]],COLUMN(Tasks[[#Headers],[Task Name]]),1,1,"Tasks"),"Go to phase"))</f>
        <v>Go to phase</v>
      </c>
      <c r="P10" s="43" t="n">
        <f aca="false">IF(RoadmapPhases[[#This Row],[_Task]]="","",IFERROR(MATCH(_xlfn.MINIFS(tsk_MilestoneKey,tsk_Phase,RoadmapPhases[[#This Row],[WBS]]),tsk_MilestoneKey,0),""))</f>
        <v>12</v>
      </c>
    </row>
    <row r="11" customFormat="false" ht="15" hidden="false" customHeight="false" outlineLevel="0" collapsed="false">
      <c r="B11" s="43" t="str">
        <f aca="false">IFERROR(MATCH(SMALL(tsk_PhaseKey,ROW()-ROW(RoadmapPhases[[#Headers],[_Task]])),tsk_PhaseKey,0),"")</f>
        <v/>
      </c>
      <c r="C11" s="20" t="str">
        <f aca="false">IF(RoadmapPhases[[#This Row],[_Task]]="","",INDEX(tsk_WBS,RoadmapPhases[[#This Row],[_Task]])&amp;"")</f>
        <v/>
      </c>
      <c r="D11" s="20" t="str">
        <f aca="false">IF(RoadmapPhases[[#This Row],[_Task]]="","",INDEX(tsk_Name,RoadmapPhases[[#This Row],[_Task]])&amp;"")</f>
        <v/>
      </c>
      <c r="E11" s="20" t="str">
        <f aca="false">IF(RoadmapPhases[[#This Row],[_Task]]="","",INDEX(tsk_Owner,RoadmapPhases[[#This Row],[_Task]])&amp;"")</f>
        <v/>
      </c>
      <c r="F11" s="53" t="str">
        <f aca="false">IF(RoadmapPhases[[#This Row],[_Task]]="","",IF(N(INDEX(tsk_PlanStart,RoadmapPhases[[#This Row],[_Task]]))=0,"",INDEX(tsk_PlanStart,RoadmapPhases[[#This Row],[_Task]])))</f>
        <v/>
      </c>
      <c r="G11" s="53" t="str">
        <f aca="false">IF(RoadmapPhases[[#This Row],[_Task]]="","",IF(N(INDEX(tsk_PlanFinish,RoadmapPhases[[#This Row],[_Task]]))=0,"",INDEX(tsk_PlanFinish,RoadmapPhases[[#This Row],[_Task]])))</f>
        <v/>
      </c>
      <c r="H11" s="53" t="str">
        <f aca="false">IF(RoadmapPhases[[#This Row],[_Task]]="","",IF(N(INDEX(tsk_FcStart,RoadmapPhases[[#This Row],[_Task]]))=0,"",INDEX(tsk_FcStart,RoadmapPhases[[#This Row],[_Task]])))</f>
        <v/>
      </c>
      <c r="I11" s="53" t="str">
        <f aca="false">IF(RoadmapPhases[[#This Row],[_Task]]="","",IF(N(INDEX(tsk_FcFinish,RoadmapPhases[[#This Row],[_Task]]))=0,"",INDEX(tsk_FcFinish,RoadmapPhases[[#This Row],[_Task]])))</f>
        <v/>
      </c>
      <c r="J11" s="46" t="str">
        <f aca="false">IF(RoadmapPhases[[#This Row],[_Task]]="","",INDEX(tsk_Progress,RoadmapPhases[[#This Row],[_Task]]))</f>
        <v/>
      </c>
      <c r="K11" s="45" t="str">
        <f aca="false">IF(RoadmapPhases[[#This Row],[_Task]]="","",INDEX(tsk_Variance,RoadmapPhases[[#This Row],[_Task]]))</f>
        <v/>
      </c>
      <c r="L11" s="47" t="str">
        <f aca="false">IF(RoadmapPhases[[#This Row],[_Task]]="","",COUNTIFS(tsk_Phase,RoadmapPhases[[#This Row],[WBS]],tsk_IsLeaf,1,tsk_Duration,"&gt;0",tsk_Progress,"&gt;=1")&amp;" of "&amp;COUNTIFS(tsk_Phase,RoadmapPhases[[#This Row],[WBS]],tsk_IsLeaf,1,tsk_Duration,"&gt;0")&amp;" done")</f>
        <v/>
      </c>
      <c r="M11" s="21" t="str">
        <f aca="false">IF(RoadmapPhases[[#This Row],[_Task]]="","",CHOOSE(IF(N(RoadmapPhases[[#This Row],[Finish Var]])&gt;=RAGRedSlipDays,2,IF(N(RoadmapPhases[[#This Row],[Finish Var]])&gt;=RAGAmberSlipDays,1,0))+1,"Green","Amber","Red"))</f>
        <v/>
      </c>
      <c r="N11" s="20" t="str">
        <f aca="false">IF(OR(RoadmapPhases[[#This Row],[_Task]]="",RoadmapPhases[[#This Row],[_Milestone]]=""),"",INDEX(tsk_Name,RoadmapPhases[[#This Row],[_Milestone]])&amp;" ("&amp;TEXT(INDEX(tsk_FcFinish,RoadmapPhases[[#This Row],[_Milestone]]),"dd-mmm")&amp;")")</f>
        <v/>
      </c>
      <c r="O11" s="20" t="str">
        <f aca="false">IF(RoadmapPhases[[#This Row],[_Task]]="","",HYPERLINK("#"&amp;ADDRESS(ROW(Tasks[[#Headers],[Task Name]])+RoadmapPhases[[#This Row],[_Task]],COLUMN(Tasks[[#Headers],[Task Name]]),1,1,"Tasks"),"Go to phase"))</f>
        <v/>
      </c>
      <c r="P11" s="43" t="str">
        <f aca="false">IF(RoadmapPhases[[#This Row],[_Task]]="","",IFERROR(MATCH(_xlfn.MINIFS(tsk_MilestoneKey,tsk_Phase,RoadmapPhases[[#This Row],[WBS]]),tsk_MilestoneKey,0),""))</f>
        <v/>
      </c>
    </row>
    <row r="12" customFormat="false" ht="15" hidden="false" customHeight="false" outlineLevel="0" collapsed="false">
      <c r="B12" s="43" t="str">
        <f aca="false">IFERROR(MATCH(SMALL(tsk_PhaseKey,ROW()-ROW(RoadmapPhases[[#Headers],[_Task]])),tsk_PhaseKey,0),"")</f>
        <v/>
      </c>
      <c r="C12" s="20" t="str">
        <f aca="false">IF(RoadmapPhases[[#This Row],[_Task]]="","",INDEX(tsk_WBS,RoadmapPhases[[#This Row],[_Task]])&amp;"")</f>
        <v/>
      </c>
      <c r="D12" s="20" t="str">
        <f aca="false">IF(RoadmapPhases[[#This Row],[_Task]]="","",INDEX(tsk_Name,RoadmapPhases[[#This Row],[_Task]])&amp;"")</f>
        <v/>
      </c>
      <c r="E12" s="20" t="str">
        <f aca="false">IF(RoadmapPhases[[#This Row],[_Task]]="","",INDEX(tsk_Owner,RoadmapPhases[[#This Row],[_Task]])&amp;"")</f>
        <v/>
      </c>
      <c r="F12" s="53" t="str">
        <f aca="false">IF(RoadmapPhases[[#This Row],[_Task]]="","",IF(N(INDEX(tsk_PlanStart,RoadmapPhases[[#This Row],[_Task]]))=0,"",INDEX(tsk_PlanStart,RoadmapPhases[[#This Row],[_Task]])))</f>
        <v/>
      </c>
      <c r="G12" s="53" t="str">
        <f aca="false">IF(RoadmapPhases[[#This Row],[_Task]]="","",IF(N(INDEX(tsk_PlanFinish,RoadmapPhases[[#This Row],[_Task]]))=0,"",INDEX(tsk_PlanFinish,RoadmapPhases[[#This Row],[_Task]])))</f>
        <v/>
      </c>
      <c r="H12" s="53" t="str">
        <f aca="false">IF(RoadmapPhases[[#This Row],[_Task]]="","",IF(N(INDEX(tsk_FcStart,RoadmapPhases[[#This Row],[_Task]]))=0,"",INDEX(tsk_FcStart,RoadmapPhases[[#This Row],[_Task]])))</f>
        <v/>
      </c>
      <c r="I12" s="53" t="str">
        <f aca="false">IF(RoadmapPhases[[#This Row],[_Task]]="","",IF(N(INDEX(tsk_FcFinish,RoadmapPhases[[#This Row],[_Task]]))=0,"",INDEX(tsk_FcFinish,RoadmapPhases[[#This Row],[_Task]])))</f>
        <v/>
      </c>
      <c r="J12" s="46" t="str">
        <f aca="false">IF(RoadmapPhases[[#This Row],[_Task]]="","",INDEX(tsk_Progress,RoadmapPhases[[#This Row],[_Task]]))</f>
        <v/>
      </c>
      <c r="K12" s="45" t="str">
        <f aca="false">IF(RoadmapPhases[[#This Row],[_Task]]="","",INDEX(tsk_Variance,RoadmapPhases[[#This Row],[_Task]]))</f>
        <v/>
      </c>
      <c r="L12" s="47" t="str">
        <f aca="false">IF(RoadmapPhases[[#This Row],[_Task]]="","",COUNTIFS(tsk_Phase,RoadmapPhases[[#This Row],[WBS]],tsk_IsLeaf,1,tsk_Duration,"&gt;0",tsk_Progress,"&gt;=1")&amp;" of "&amp;COUNTIFS(tsk_Phase,RoadmapPhases[[#This Row],[WBS]],tsk_IsLeaf,1,tsk_Duration,"&gt;0")&amp;" done")</f>
        <v/>
      </c>
      <c r="M12" s="21" t="str">
        <f aca="false">IF(RoadmapPhases[[#This Row],[_Task]]="","",CHOOSE(IF(N(RoadmapPhases[[#This Row],[Finish Var]])&gt;=RAGRedSlipDays,2,IF(N(RoadmapPhases[[#This Row],[Finish Var]])&gt;=RAGAmberSlipDays,1,0))+1,"Green","Amber","Red"))</f>
        <v/>
      </c>
      <c r="N12" s="20" t="str">
        <f aca="false">IF(OR(RoadmapPhases[[#This Row],[_Task]]="",RoadmapPhases[[#This Row],[_Milestone]]=""),"",INDEX(tsk_Name,RoadmapPhases[[#This Row],[_Milestone]])&amp;" ("&amp;TEXT(INDEX(tsk_FcFinish,RoadmapPhases[[#This Row],[_Milestone]]),"dd-mmm")&amp;")")</f>
        <v/>
      </c>
      <c r="O12" s="20" t="str">
        <f aca="false">IF(RoadmapPhases[[#This Row],[_Task]]="","",HYPERLINK("#"&amp;ADDRESS(ROW(Tasks[[#Headers],[Task Name]])+RoadmapPhases[[#This Row],[_Task]],COLUMN(Tasks[[#Headers],[Task Name]]),1,1,"Tasks"),"Go to phase"))</f>
        <v/>
      </c>
      <c r="P12" s="43" t="str">
        <f aca="false">IF(RoadmapPhases[[#This Row],[_Task]]="","",IFERROR(MATCH(_xlfn.MINIFS(tsk_MilestoneKey,tsk_Phase,RoadmapPhases[[#This Row],[WBS]]),tsk_MilestoneKey,0),""))</f>
        <v/>
      </c>
    </row>
    <row r="13" customFormat="false" ht="15" hidden="false" customHeight="false" outlineLevel="0" collapsed="false">
      <c r="B13" s="43" t="str">
        <f aca="false">IFERROR(MATCH(SMALL(tsk_PhaseKey,ROW()-ROW(RoadmapPhases[[#Headers],[_Task]])),tsk_PhaseKey,0),"")</f>
        <v/>
      </c>
      <c r="C13" s="20" t="str">
        <f aca="false">IF(RoadmapPhases[[#This Row],[_Task]]="","",INDEX(tsk_WBS,RoadmapPhases[[#This Row],[_Task]])&amp;"")</f>
        <v/>
      </c>
      <c r="D13" s="20" t="str">
        <f aca="false">IF(RoadmapPhases[[#This Row],[_Task]]="","",INDEX(tsk_Name,RoadmapPhases[[#This Row],[_Task]])&amp;"")</f>
        <v/>
      </c>
      <c r="E13" s="20" t="str">
        <f aca="false">IF(RoadmapPhases[[#This Row],[_Task]]="","",INDEX(tsk_Owner,RoadmapPhases[[#This Row],[_Task]])&amp;"")</f>
        <v/>
      </c>
      <c r="F13" s="53" t="str">
        <f aca="false">IF(RoadmapPhases[[#This Row],[_Task]]="","",IF(N(INDEX(tsk_PlanStart,RoadmapPhases[[#This Row],[_Task]]))=0,"",INDEX(tsk_PlanStart,RoadmapPhases[[#This Row],[_Task]])))</f>
        <v/>
      </c>
      <c r="G13" s="53" t="str">
        <f aca="false">IF(RoadmapPhases[[#This Row],[_Task]]="","",IF(N(INDEX(tsk_PlanFinish,RoadmapPhases[[#This Row],[_Task]]))=0,"",INDEX(tsk_PlanFinish,RoadmapPhases[[#This Row],[_Task]])))</f>
        <v/>
      </c>
      <c r="H13" s="53" t="str">
        <f aca="false">IF(RoadmapPhases[[#This Row],[_Task]]="","",IF(N(INDEX(tsk_FcStart,RoadmapPhases[[#This Row],[_Task]]))=0,"",INDEX(tsk_FcStart,RoadmapPhases[[#This Row],[_Task]])))</f>
        <v/>
      </c>
      <c r="I13" s="53" t="str">
        <f aca="false">IF(RoadmapPhases[[#This Row],[_Task]]="","",IF(N(INDEX(tsk_FcFinish,RoadmapPhases[[#This Row],[_Task]]))=0,"",INDEX(tsk_FcFinish,RoadmapPhases[[#This Row],[_Task]])))</f>
        <v/>
      </c>
      <c r="J13" s="46" t="str">
        <f aca="false">IF(RoadmapPhases[[#This Row],[_Task]]="","",INDEX(tsk_Progress,RoadmapPhases[[#This Row],[_Task]]))</f>
        <v/>
      </c>
      <c r="K13" s="45" t="str">
        <f aca="false">IF(RoadmapPhases[[#This Row],[_Task]]="","",INDEX(tsk_Variance,RoadmapPhases[[#This Row],[_Task]]))</f>
        <v/>
      </c>
      <c r="L13" s="47" t="str">
        <f aca="false">IF(RoadmapPhases[[#This Row],[_Task]]="","",COUNTIFS(tsk_Phase,RoadmapPhases[[#This Row],[WBS]],tsk_IsLeaf,1,tsk_Duration,"&gt;0",tsk_Progress,"&gt;=1")&amp;" of "&amp;COUNTIFS(tsk_Phase,RoadmapPhases[[#This Row],[WBS]],tsk_IsLeaf,1,tsk_Duration,"&gt;0")&amp;" done")</f>
        <v/>
      </c>
      <c r="M13" s="21" t="str">
        <f aca="false">IF(RoadmapPhases[[#This Row],[_Task]]="","",CHOOSE(IF(N(RoadmapPhases[[#This Row],[Finish Var]])&gt;=RAGRedSlipDays,2,IF(N(RoadmapPhases[[#This Row],[Finish Var]])&gt;=RAGAmberSlipDays,1,0))+1,"Green","Amber","Red"))</f>
        <v/>
      </c>
      <c r="N13" s="20" t="str">
        <f aca="false">IF(OR(RoadmapPhases[[#This Row],[_Task]]="",RoadmapPhases[[#This Row],[_Milestone]]=""),"",INDEX(tsk_Name,RoadmapPhases[[#This Row],[_Milestone]])&amp;" ("&amp;TEXT(INDEX(tsk_FcFinish,RoadmapPhases[[#This Row],[_Milestone]]),"dd-mmm")&amp;")")</f>
        <v/>
      </c>
      <c r="O13" s="20" t="str">
        <f aca="false">IF(RoadmapPhases[[#This Row],[_Task]]="","",HYPERLINK("#"&amp;ADDRESS(ROW(Tasks[[#Headers],[Task Name]])+RoadmapPhases[[#This Row],[_Task]],COLUMN(Tasks[[#Headers],[Task Name]]),1,1,"Tasks"),"Go to phase"))</f>
        <v/>
      </c>
      <c r="P13" s="43" t="str">
        <f aca="false">IF(RoadmapPhases[[#This Row],[_Task]]="","",IFERROR(MATCH(_xlfn.MINIFS(tsk_MilestoneKey,tsk_Phase,RoadmapPhases[[#This Row],[WBS]]),tsk_MilestoneKey,0),""))</f>
        <v/>
      </c>
    </row>
    <row r="14" customFormat="false" ht="15" hidden="false" customHeight="false" outlineLevel="0" collapsed="false">
      <c r="B14" s="43" t="str">
        <f aca="false">IFERROR(MATCH(SMALL(tsk_PhaseKey,ROW()-ROW(RoadmapPhases[[#Headers],[_Task]])),tsk_PhaseKey,0),"")</f>
        <v/>
      </c>
      <c r="C14" s="20" t="str">
        <f aca="false">IF(RoadmapPhases[[#This Row],[_Task]]="","",INDEX(tsk_WBS,RoadmapPhases[[#This Row],[_Task]])&amp;"")</f>
        <v/>
      </c>
      <c r="D14" s="20" t="str">
        <f aca="false">IF(RoadmapPhases[[#This Row],[_Task]]="","",INDEX(tsk_Name,RoadmapPhases[[#This Row],[_Task]])&amp;"")</f>
        <v/>
      </c>
      <c r="E14" s="20" t="str">
        <f aca="false">IF(RoadmapPhases[[#This Row],[_Task]]="","",INDEX(tsk_Owner,RoadmapPhases[[#This Row],[_Task]])&amp;"")</f>
        <v/>
      </c>
      <c r="F14" s="53" t="str">
        <f aca="false">IF(RoadmapPhases[[#This Row],[_Task]]="","",IF(N(INDEX(tsk_PlanStart,RoadmapPhases[[#This Row],[_Task]]))=0,"",INDEX(tsk_PlanStart,RoadmapPhases[[#This Row],[_Task]])))</f>
        <v/>
      </c>
      <c r="G14" s="53" t="str">
        <f aca="false">IF(RoadmapPhases[[#This Row],[_Task]]="","",IF(N(INDEX(tsk_PlanFinish,RoadmapPhases[[#This Row],[_Task]]))=0,"",INDEX(tsk_PlanFinish,RoadmapPhases[[#This Row],[_Task]])))</f>
        <v/>
      </c>
      <c r="H14" s="53" t="str">
        <f aca="false">IF(RoadmapPhases[[#This Row],[_Task]]="","",IF(N(INDEX(tsk_FcStart,RoadmapPhases[[#This Row],[_Task]]))=0,"",INDEX(tsk_FcStart,RoadmapPhases[[#This Row],[_Task]])))</f>
        <v/>
      </c>
      <c r="I14" s="53" t="str">
        <f aca="false">IF(RoadmapPhases[[#This Row],[_Task]]="","",IF(N(INDEX(tsk_FcFinish,RoadmapPhases[[#This Row],[_Task]]))=0,"",INDEX(tsk_FcFinish,RoadmapPhases[[#This Row],[_Task]])))</f>
        <v/>
      </c>
      <c r="J14" s="46" t="str">
        <f aca="false">IF(RoadmapPhases[[#This Row],[_Task]]="","",INDEX(tsk_Progress,RoadmapPhases[[#This Row],[_Task]]))</f>
        <v/>
      </c>
      <c r="K14" s="45" t="str">
        <f aca="false">IF(RoadmapPhases[[#This Row],[_Task]]="","",INDEX(tsk_Variance,RoadmapPhases[[#This Row],[_Task]]))</f>
        <v/>
      </c>
      <c r="L14" s="47" t="str">
        <f aca="false">IF(RoadmapPhases[[#This Row],[_Task]]="","",COUNTIFS(tsk_Phase,RoadmapPhases[[#This Row],[WBS]],tsk_IsLeaf,1,tsk_Duration,"&gt;0",tsk_Progress,"&gt;=1")&amp;" of "&amp;COUNTIFS(tsk_Phase,RoadmapPhases[[#This Row],[WBS]],tsk_IsLeaf,1,tsk_Duration,"&gt;0")&amp;" done")</f>
        <v/>
      </c>
      <c r="M14" s="21" t="str">
        <f aca="false">IF(RoadmapPhases[[#This Row],[_Task]]="","",CHOOSE(IF(N(RoadmapPhases[[#This Row],[Finish Var]])&gt;=RAGRedSlipDays,2,IF(N(RoadmapPhases[[#This Row],[Finish Var]])&gt;=RAGAmberSlipDays,1,0))+1,"Green","Amber","Red"))</f>
        <v/>
      </c>
      <c r="N14" s="20" t="str">
        <f aca="false">IF(OR(RoadmapPhases[[#This Row],[_Task]]="",RoadmapPhases[[#This Row],[_Milestone]]=""),"",INDEX(tsk_Name,RoadmapPhases[[#This Row],[_Milestone]])&amp;" ("&amp;TEXT(INDEX(tsk_FcFinish,RoadmapPhases[[#This Row],[_Milestone]]),"dd-mmm")&amp;")")</f>
        <v/>
      </c>
      <c r="O14" s="20" t="str">
        <f aca="false">IF(RoadmapPhases[[#This Row],[_Task]]="","",HYPERLINK("#"&amp;ADDRESS(ROW(Tasks[[#Headers],[Task Name]])+RoadmapPhases[[#This Row],[_Task]],COLUMN(Tasks[[#Headers],[Task Name]]),1,1,"Tasks"),"Go to phase"))</f>
        <v/>
      </c>
      <c r="P14" s="43" t="str">
        <f aca="false">IF(RoadmapPhases[[#This Row],[_Task]]="","",IFERROR(MATCH(_xlfn.MINIFS(tsk_MilestoneKey,tsk_Phase,RoadmapPhases[[#This Row],[WBS]]),tsk_MilestoneKey,0),""))</f>
        <v/>
      </c>
    </row>
    <row r="15" customFormat="false" ht="15" hidden="false" customHeight="false" outlineLevel="0" collapsed="false">
      <c r="B15" s="43" t="str">
        <f aca="false">IFERROR(MATCH(SMALL(tsk_PhaseKey,ROW()-ROW(RoadmapPhases[[#Headers],[_Task]])),tsk_PhaseKey,0),"")</f>
        <v/>
      </c>
      <c r="C15" s="20" t="str">
        <f aca="false">IF(RoadmapPhases[[#This Row],[_Task]]="","",INDEX(tsk_WBS,RoadmapPhases[[#This Row],[_Task]])&amp;"")</f>
        <v/>
      </c>
      <c r="D15" s="20" t="str">
        <f aca="false">IF(RoadmapPhases[[#This Row],[_Task]]="","",INDEX(tsk_Name,RoadmapPhases[[#This Row],[_Task]])&amp;"")</f>
        <v/>
      </c>
      <c r="E15" s="20" t="str">
        <f aca="false">IF(RoadmapPhases[[#This Row],[_Task]]="","",INDEX(tsk_Owner,RoadmapPhases[[#This Row],[_Task]])&amp;"")</f>
        <v/>
      </c>
      <c r="F15" s="53" t="str">
        <f aca="false">IF(RoadmapPhases[[#This Row],[_Task]]="","",IF(N(INDEX(tsk_PlanStart,RoadmapPhases[[#This Row],[_Task]]))=0,"",INDEX(tsk_PlanStart,RoadmapPhases[[#This Row],[_Task]])))</f>
        <v/>
      </c>
      <c r="G15" s="53" t="str">
        <f aca="false">IF(RoadmapPhases[[#This Row],[_Task]]="","",IF(N(INDEX(tsk_PlanFinish,RoadmapPhases[[#This Row],[_Task]]))=0,"",INDEX(tsk_PlanFinish,RoadmapPhases[[#This Row],[_Task]])))</f>
        <v/>
      </c>
      <c r="H15" s="53" t="str">
        <f aca="false">IF(RoadmapPhases[[#This Row],[_Task]]="","",IF(N(INDEX(tsk_FcStart,RoadmapPhases[[#This Row],[_Task]]))=0,"",INDEX(tsk_FcStart,RoadmapPhases[[#This Row],[_Task]])))</f>
        <v/>
      </c>
      <c r="I15" s="53" t="str">
        <f aca="false">IF(RoadmapPhases[[#This Row],[_Task]]="","",IF(N(INDEX(tsk_FcFinish,RoadmapPhases[[#This Row],[_Task]]))=0,"",INDEX(tsk_FcFinish,RoadmapPhases[[#This Row],[_Task]])))</f>
        <v/>
      </c>
      <c r="J15" s="46" t="str">
        <f aca="false">IF(RoadmapPhases[[#This Row],[_Task]]="","",INDEX(tsk_Progress,RoadmapPhases[[#This Row],[_Task]]))</f>
        <v/>
      </c>
      <c r="K15" s="45" t="str">
        <f aca="false">IF(RoadmapPhases[[#This Row],[_Task]]="","",INDEX(tsk_Variance,RoadmapPhases[[#This Row],[_Task]]))</f>
        <v/>
      </c>
      <c r="L15" s="47" t="str">
        <f aca="false">IF(RoadmapPhases[[#This Row],[_Task]]="","",COUNTIFS(tsk_Phase,RoadmapPhases[[#This Row],[WBS]],tsk_IsLeaf,1,tsk_Duration,"&gt;0",tsk_Progress,"&gt;=1")&amp;" of "&amp;COUNTIFS(tsk_Phase,RoadmapPhases[[#This Row],[WBS]],tsk_IsLeaf,1,tsk_Duration,"&gt;0")&amp;" done")</f>
        <v/>
      </c>
      <c r="M15" s="21" t="str">
        <f aca="false">IF(RoadmapPhases[[#This Row],[_Task]]="","",CHOOSE(IF(N(RoadmapPhases[[#This Row],[Finish Var]])&gt;=RAGRedSlipDays,2,IF(N(RoadmapPhases[[#This Row],[Finish Var]])&gt;=RAGAmberSlipDays,1,0))+1,"Green","Amber","Red"))</f>
        <v/>
      </c>
      <c r="N15" s="20" t="str">
        <f aca="false">IF(OR(RoadmapPhases[[#This Row],[_Task]]="",RoadmapPhases[[#This Row],[_Milestone]]=""),"",INDEX(tsk_Name,RoadmapPhases[[#This Row],[_Milestone]])&amp;" ("&amp;TEXT(INDEX(tsk_FcFinish,RoadmapPhases[[#This Row],[_Milestone]]),"dd-mmm")&amp;")")</f>
        <v/>
      </c>
      <c r="O15" s="20" t="str">
        <f aca="false">IF(RoadmapPhases[[#This Row],[_Task]]="","",HYPERLINK("#"&amp;ADDRESS(ROW(Tasks[[#Headers],[Task Name]])+RoadmapPhases[[#This Row],[_Task]],COLUMN(Tasks[[#Headers],[Task Name]]),1,1,"Tasks"),"Go to phase"))</f>
        <v/>
      </c>
      <c r="P15" s="43" t="str">
        <f aca="false">IF(RoadmapPhases[[#This Row],[_Task]]="","",IFERROR(MATCH(_xlfn.MINIFS(tsk_MilestoneKey,tsk_Phase,RoadmapPhases[[#This Row],[WBS]]),tsk_MilestoneKey,0),""))</f>
        <v/>
      </c>
    </row>
    <row r="16" customFormat="false" ht="15" hidden="false" customHeight="false" outlineLevel="0" collapsed="false">
      <c r="B16" s="43" t="str">
        <f aca="false">IFERROR(MATCH(SMALL(tsk_PhaseKey,ROW()-ROW(RoadmapPhases[[#Headers],[_Task]])),tsk_PhaseKey,0),"")</f>
        <v/>
      </c>
      <c r="C16" s="20" t="str">
        <f aca="false">IF(RoadmapPhases[[#This Row],[_Task]]="","",INDEX(tsk_WBS,RoadmapPhases[[#This Row],[_Task]])&amp;"")</f>
        <v/>
      </c>
      <c r="D16" s="20" t="str">
        <f aca="false">IF(RoadmapPhases[[#This Row],[_Task]]="","",INDEX(tsk_Name,RoadmapPhases[[#This Row],[_Task]])&amp;"")</f>
        <v/>
      </c>
      <c r="E16" s="20" t="str">
        <f aca="false">IF(RoadmapPhases[[#This Row],[_Task]]="","",INDEX(tsk_Owner,RoadmapPhases[[#This Row],[_Task]])&amp;"")</f>
        <v/>
      </c>
      <c r="F16" s="53" t="str">
        <f aca="false">IF(RoadmapPhases[[#This Row],[_Task]]="","",IF(N(INDEX(tsk_PlanStart,RoadmapPhases[[#This Row],[_Task]]))=0,"",INDEX(tsk_PlanStart,RoadmapPhases[[#This Row],[_Task]])))</f>
        <v/>
      </c>
      <c r="G16" s="53" t="str">
        <f aca="false">IF(RoadmapPhases[[#This Row],[_Task]]="","",IF(N(INDEX(tsk_PlanFinish,RoadmapPhases[[#This Row],[_Task]]))=0,"",INDEX(tsk_PlanFinish,RoadmapPhases[[#This Row],[_Task]])))</f>
        <v/>
      </c>
      <c r="H16" s="53" t="str">
        <f aca="false">IF(RoadmapPhases[[#This Row],[_Task]]="","",IF(N(INDEX(tsk_FcStart,RoadmapPhases[[#This Row],[_Task]]))=0,"",INDEX(tsk_FcStart,RoadmapPhases[[#This Row],[_Task]])))</f>
        <v/>
      </c>
      <c r="I16" s="53" t="str">
        <f aca="false">IF(RoadmapPhases[[#This Row],[_Task]]="","",IF(N(INDEX(tsk_FcFinish,RoadmapPhases[[#This Row],[_Task]]))=0,"",INDEX(tsk_FcFinish,RoadmapPhases[[#This Row],[_Task]])))</f>
        <v/>
      </c>
      <c r="J16" s="46" t="str">
        <f aca="false">IF(RoadmapPhases[[#This Row],[_Task]]="","",INDEX(tsk_Progress,RoadmapPhases[[#This Row],[_Task]]))</f>
        <v/>
      </c>
      <c r="K16" s="45" t="str">
        <f aca="false">IF(RoadmapPhases[[#This Row],[_Task]]="","",INDEX(tsk_Variance,RoadmapPhases[[#This Row],[_Task]]))</f>
        <v/>
      </c>
      <c r="L16" s="47" t="str">
        <f aca="false">IF(RoadmapPhases[[#This Row],[_Task]]="","",COUNTIFS(tsk_Phase,RoadmapPhases[[#This Row],[WBS]],tsk_IsLeaf,1,tsk_Duration,"&gt;0",tsk_Progress,"&gt;=1")&amp;" of "&amp;COUNTIFS(tsk_Phase,RoadmapPhases[[#This Row],[WBS]],tsk_IsLeaf,1,tsk_Duration,"&gt;0")&amp;" done")</f>
        <v/>
      </c>
      <c r="M16" s="21" t="str">
        <f aca="false">IF(RoadmapPhases[[#This Row],[_Task]]="","",CHOOSE(IF(N(RoadmapPhases[[#This Row],[Finish Var]])&gt;=RAGRedSlipDays,2,IF(N(RoadmapPhases[[#This Row],[Finish Var]])&gt;=RAGAmberSlipDays,1,0))+1,"Green","Amber","Red"))</f>
        <v/>
      </c>
      <c r="N16" s="20" t="str">
        <f aca="false">IF(OR(RoadmapPhases[[#This Row],[_Task]]="",RoadmapPhases[[#This Row],[_Milestone]]=""),"",INDEX(tsk_Name,RoadmapPhases[[#This Row],[_Milestone]])&amp;" ("&amp;TEXT(INDEX(tsk_FcFinish,RoadmapPhases[[#This Row],[_Milestone]]),"dd-mmm")&amp;")")</f>
        <v/>
      </c>
      <c r="O16" s="20" t="str">
        <f aca="false">IF(RoadmapPhases[[#This Row],[_Task]]="","",HYPERLINK("#"&amp;ADDRESS(ROW(Tasks[[#Headers],[Task Name]])+RoadmapPhases[[#This Row],[_Task]],COLUMN(Tasks[[#Headers],[Task Name]]),1,1,"Tasks"),"Go to phase"))</f>
        <v/>
      </c>
      <c r="P16" s="43" t="str">
        <f aca="false">IF(RoadmapPhases[[#This Row],[_Task]]="","",IFERROR(MATCH(_xlfn.MINIFS(tsk_MilestoneKey,tsk_Phase,RoadmapPhases[[#This Row],[WBS]]),tsk_MilestoneKey,0),""))</f>
        <v/>
      </c>
    </row>
    <row r="17" customFormat="false" ht="15" hidden="false" customHeight="false" outlineLevel="0" collapsed="false">
      <c r="B17" s="43" t="str">
        <f aca="false">IFERROR(MATCH(SMALL(tsk_PhaseKey,ROW()-ROW(RoadmapPhases[[#Headers],[_Task]])),tsk_PhaseKey,0),"")</f>
        <v/>
      </c>
      <c r="C17" s="20" t="str">
        <f aca="false">IF(RoadmapPhases[[#This Row],[_Task]]="","",INDEX(tsk_WBS,RoadmapPhases[[#This Row],[_Task]])&amp;"")</f>
        <v/>
      </c>
      <c r="D17" s="20" t="str">
        <f aca="false">IF(RoadmapPhases[[#This Row],[_Task]]="","",INDEX(tsk_Name,RoadmapPhases[[#This Row],[_Task]])&amp;"")</f>
        <v/>
      </c>
      <c r="E17" s="20" t="str">
        <f aca="false">IF(RoadmapPhases[[#This Row],[_Task]]="","",INDEX(tsk_Owner,RoadmapPhases[[#This Row],[_Task]])&amp;"")</f>
        <v/>
      </c>
      <c r="F17" s="53" t="str">
        <f aca="false">IF(RoadmapPhases[[#This Row],[_Task]]="","",IF(N(INDEX(tsk_PlanStart,RoadmapPhases[[#This Row],[_Task]]))=0,"",INDEX(tsk_PlanStart,RoadmapPhases[[#This Row],[_Task]])))</f>
        <v/>
      </c>
      <c r="G17" s="53" t="str">
        <f aca="false">IF(RoadmapPhases[[#This Row],[_Task]]="","",IF(N(INDEX(tsk_PlanFinish,RoadmapPhases[[#This Row],[_Task]]))=0,"",INDEX(tsk_PlanFinish,RoadmapPhases[[#This Row],[_Task]])))</f>
        <v/>
      </c>
      <c r="H17" s="53" t="str">
        <f aca="false">IF(RoadmapPhases[[#This Row],[_Task]]="","",IF(N(INDEX(tsk_FcStart,RoadmapPhases[[#This Row],[_Task]]))=0,"",INDEX(tsk_FcStart,RoadmapPhases[[#This Row],[_Task]])))</f>
        <v/>
      </c>
      <c r="I17" s="53" t="str">
        <f aca="false">IF(RoadmapPhases[[#This Row],[_Task]]="","",IF(N(INDEX(tsk_FcFinish,RoadmapPhases[[#This Row],[_Task]]))=0,"",INDEX(tsk_FcFinish,RoadmapPhases[[#This Row],[_Task]])))</f>
        <v/>
      </c>
      <c r="J17" s="46" t="str">
        <f aca="false">IF(RoadmapPhases[[#This Row],[_Task]]="","",INDEX(tsk_Progress,RoadmapPhases[[#This Row],[_Task]]))</f>
        <v/>
      </c>
      <c r="K17" s="45" t="str">
        <f aca="false">IF(RoadmapPhases[[#This Row],[_Task]]="","",INDEX(tsk_Variance,RoadmapPhases[[#This Row],[_Task]]))</f>
        <v/>
      </c>
      <c r="L17" s="47" t="str">
        <f aca="false">IF(RoadmapPhases[[#This Row],[_Task]]="","",COUNTIFS(tsk_Phase,RoadmapPhases[[#This Row],[WBS]],tsk_IsLeaf,1,tsk_Duration,"&gt;0",tsk_Progress,"&gt;=1")&amp;" of "&amp;COUNTIFS(tsk_Phase,RoadmapPhases[[#This Row],[WBS]],tsk_IsLeaf,1,tsk_Duration,"&gt;0")&amp;" done")</f>
        <v/>
      </c>
      <c r="M17" s="21" t="str">
        <f aca="false">IF(RoadmapPhases[[#This Row],[_Task]]="","",CHOOSE(IF(N(RoadmapPhases[[#This Row],[Finish Var]])&gt;=RAGRedSlipDays,2,IF(N(RoadmapPhases[[#This Row],[Finish Var]])&gt;=RAGAmberSlipDays,1,0))+1,"Green","Amber","Red"))</f>
        <v/>
      </c>
      <c r="N17" s="20" t="str">
        <f aca="false">IF(OR(RoadmapPhases[[#This Row],[_Task]]="",RoadmapPhases[[#This Row],[_Milestone]]=""),"",INDEX(tsk_Name,RoadmapPhases[[#This Row],[_Milestone]])&amp;" ("&amp;TEXT(INDEX(tsk_FcFinish,RoadmapPhases[[#This Row],[_Milestone]]),"dd-mmm")&amp;")")</f>
        <v/>
      </c>
      <c r="O17" s="20" t="str">
        <f aca="false">IF(RoadmapPhases[[#This Row],[_Task]]="","",HYPERLINK("#"&amp;ADDRESS(ROW(Tasks[[#Headers],[Task Name]])+RoadmapPhases[[#This Row],[_Task]],COLUMN(Tasks[[#Headers],[Task Name]]),1,1,"Tasks"),"Go to phase"))</f>
        <v/>
      </c>
      <c r="P17" s="43" t="str">
        <f aca="false">IF(RoadmapPhases[[#This Row],[_Task]]="","",IFERROR(MATCH(_xlfn.MINIFS(tsk_MilestoneKey,tsk_Phase,RoadmapPhases[[#This Row],[WBS]]),tsk_MilestoneKey,0),""))</f>
        <v/>
      </c>
    </row>
    <row r="19" customFormat="false" ht="15" hidden="false" customHeight="false" outlineLevel="0" collapsed="false">
      <c r="C19" s="28" t="str">
        <f aca="false">"Milestones (in planned order)"&amp;": "&amp;COUNT(tsk_MilestoneOrder)&amp;IF(COUNT(tsk_MilestoneOrder)&gt;ROWS(RoadmapMilestones[_Task])," (showing the first "&amp;ROWS(RoadmapMilestones[_Task])&amp;")","")</f>
        <v>Milestones (in planned order): 3</v>
      </c>
    </row>
    <row r="20" customFormat="false" ht="23.85" hidden="false" customHeight="false" outlineLevel="0" collapsed="false">
      <c r="B20" s="42" t="s">
        <v>175</v>
      </c>
      <c r="C20" s="17" t="s">
        <v>193</v>
      </c>
      <c r="D20" s="17" t="s">
        <v>202</v>
      </c>
      <c r="E20" s="17" t="s">
        <v>203</v>
      </c>
      <c r="F20" s="17" t="s">
        <v>204</v>
      </c>
      <c r="G20" s="17" t="s">
        <v>205</v>
      </c>
      <c r="H20" s="17" t="s">
        <v>182</v>
      </c>
      <c r="I20" s="17" t="s">
        <v>146</v>
      </c>
      <c r="J20" s="17" t="s">
        <v>179</v>
      </c>
    </row>
    <row r="21" customFormat="false" ht="15" hidden="false" customHeight="false" outlineLevel="0" collapsed="false">
      <c r="B21" s="43" t="n">
        <f aca="false">IFERROR(MATCH(SMALL(tsk_MilestoneOrder,ROW()-ROW(RoadmapMilestones[[#Headers],[_Task]])),tsk_MilestoneOrder,0),"")</f>
        <v>4</v>
      </c>
      <c r="C21" s="20" t="str">
        <f aca="false">IF(RoadmapMilestones[[#This Row],[_Task]]="","",INDEX(tsk_WBS,RoadmapMilestones[[#This Row],[_Task]])&amp;"")</f>
        <v>1.3</v>
      </c>
      <c r="D21" s="20" t="str">
        <f aca="false">IF(RoadmapMilestones[[#This Row],[_Task]]="","",INDEX(tsk_Name,RoadmapMilestones[[#This Row],[_Task]])&amp;"")</f>
        <v>Kickoff complete</v>
      </c>
      <c r="E21" s="53" t="n">
        <f aca="false">IF(RoadmapMilestones[[#This Row],[_Task]]="","",IF(N(INDEX(tsk_PlanFinish,RoadmapMilestones[[#This Row],[_Task]]))=0,"",INDEX(tsk_PlanFinish,RoadmapMilestones[[#This Row],[_Task]])))</f>
        <v>46276</v>
      </c>
      <c r="F21" s="53" t="str">
        <f aca="false">IF(RoadmapMilestones[[#This Row],[_Task]]="","",IF(N(INDEX(tsk_Deadline,RoadmapMilestones[[#This Row],[_Task]]))=0,"",INDEX(tsk_Deadline,RoadmapMilestones[[#This Row],[_Task]])))</f>
        <v/>
      </c>
      <c r="G21" s="53" t="n">
        <f aca="false">IF(RoadmapMilestones[[#This Row],[_Task]]="","",IF(N(INDEX(tsk_FcFinish,RoadmapMilestones[[#This Row],[_Task]]))=0,"",INDEX(tsk_FcFinish,RoadmapMilestones[[#This Row],[_Task]])))</f>
        <v>46279</v>
      </c>
      <c r="H21" s="20" t="str">
        <f aca="false">IF(RoadmapMilestones[[#This Row],[_Task]]="","",INDEX(tsk_DeadlineCheck,RoadmapMilestones[[#This Row],[_Task]])&amp;"")</f>
        <v/>
      </c>
      <c r="I21" s="20" t="str">
        <f aca="false">IF(RoadmapMilestones[[#This Row],[_Task]]="","",INDEX(tsk_Status,RoadmapMilestones[[#This Row],[_Task]])&amp;"")</f>
        <v>Complete</v>
      </c>
      <c r="J21" s="45" t="n">
        <f aca="false">IF(RoadmapMilestones[[#This Row],[_Task]]="","",INDEX(tsk_Variance,RoadmapMilestones[[#This Row],[_Task]]))</f>
        <v>1</v>
      </c>
    </row>
    <row r="22" customFormat="false" ht="15" hidden="false" customHeight="false" outlineLevel="0" collapsed="false">
      <c r="B22" s="43" t="n">
        <f aca="false">IFERROR(MATCH(SMALL(tsk_MilestoneOrder,ROW()-ROW(RoadmapMilestones[[#Headers],[_Task]])),tsk_MilestoneOrder,0),"")</f>
        <v>8</v>
      </c>
      <c r="C22" s="20" t="str">
        <f aca="false">IF(RoadmapMilestones[[#This Row],[_Task]]="","",INDEX(tsk_WBS,RoadmapMilestones[[#This Row],[_Task]])&amp;"")</f>
        <v>2.3</v>
      </c>
      <c r="D22" s="20" t="str">
        <f aca="false">IF(RoadmapMilestones[[#This Row],[_Task]]="","",INDEX(tsk_Name,RoadmapMilestones[[#This Row],[_Task]])&amp;"")</f>
        <v>Design sign-off</v>
      </c>
      <c r="E22" s="53" t="n">
        <f aca="false">IF(RoadmapMilestones[[#This Row],[_Task]]="","",IF(N(INDEX(tsk_PlanFinish,RoadmapMilestones[[#This Row],[_Task]]))=0,"",INDEX(tsk_PlanFinish,RoadmapMilestones[[#This Row],[_Task]])))</f>
        <v>46296</v>
      </c>
      <c r="F22" s="53" t="str">
        <f aca="false">IF(RoadmapMilestones[[#This Row],[_Task]]="","",IF(N(INDEX(tsk_Deadline,RoadmapMilestones[[#This Row],[_Task]]))=0,"",INDEX(tsk_Deadline,RoadmapMilestones[[#This Row],[_Task]])))</f>
        <v/>
      </c>
      <c r="G22" s="53" t="n">
        <f aca="false">IF(RoadmapMilestones[[#This Row],[_Task]]="","",IF(N(INDEX(tsk_FcFinish,RoadmapMilestones[[#This Row],[_Task]]))=0,"",INDEX(tsk_FcFinish,RoadmapMilestones[[#This Row],[_Task]])))</f>
        <v>46301</v>
      </c>
      <c r="H22" s="20" t="str">
        <f aca="false">IF(RoadmapMilestones[[#This Row],[_Task]]="","",INDEX(tsk_DeadlineCheck,RoadmapMilestones[[#This Row],[_Task]])&amp;"")</f>
        <v/>
      </c>
      <c r="I22" s="20" t="str">
        <f aca="false">IF(RoadmapMilestones[[#This Row],[_Task]]="","",INDEX(tsk_Status,RoadmapMilestones[[#This Row],[_Task]])&amp;"")</f>
        <v>Complete</v>
      </c>
      <c r="J22" s="45" t="n">
        <f aca="false">IF(RoadmapMilestones[[#This Row],[_Task]]="","",INDEX(tsk_Variance,RoadmapMilestones[[#This Row],[_Task]]))</f>
        <v>3</v>
      </c>
    </row>
    <row r="23" customFormat="false" ht="15" hidden="false" customHeight="false" outlineLevel="0" collapsed="false">
      <c r="B23" s="43" t="n">
        <f aca="false">IFERROR(MATCH(SMALL(tsk_MilestoneOrder,ROW()-ROW(RoadmapMilestones[[#Headers],[_Task]])),tsk_MilestoneOrder,0),"")</f>
        <v>12</v>
      </c>
      <c r="C23" s="20" t="str">
        <f aca="false">IF(RoadmapMilestones[[#This Row],[_Task]]="","",INDEX(tsk_WBS,RoadmapMilestones[[#This Row],[_Task]])&amp;"")</f>
        <v>3.3</v>
      </c>
      <c r="D23" s="20" t="str">
        <f aca="false">IF(RoadmapMilestones[[#This Row],[_Task]]="","",INDEX(tsk_Name,RoadmapMilestones[[#This Row],[_Task]])&amp;"")</f>
        <v>Go-live</v>
      </c>
      <c r="E23" s="53" t="n">
        <f aca="false">IF(RoadmapMilestones[[#This Row],[_Task]]="","",IF(N(INDEX(tsk_PlanFinish,RoadmapMilestones[[#This Row],[_Task]]))=0,"",INDEX(tsk_PlanFinish,RoadmapMilestones[[#This Row],[_Task]])))</f>
        <v>46318</v>
      </c>
      <c r="F23" s="53" t="n">
        <f aca="false">IF(RoadmapMilestones[[#This Row],[_Task]]="","",IF(N(INDEX(tsk_Deadline,RoadmapMilestones[[#This Row],[_Task]]))=0,"",INDEX(tsk_Deadline,RoadmapMilestones[[#This Row],[_Task]])))</f>
        <v>46374</v>
      </c>
      <c r="G23" s="53" t="n">
        <f aca="false">IF(RoadmapMilestones[[#This Row],[_Task]]="","",IF(N(INDEX(tsk_FcFinish,RoadmapMilestones[[#This Row],[_Task]]))=0,"",INDEX(tsk_FcFinish,RoadmapMilestones[[#This Row],[_Task]])))</f>
        <v>46324</v>
      </c>
      <c r="H23" s="20" t="str">
        <f aca="false">IF(RoadmapMilestones[[#This Row],[_Task]]="","",INDEX(tsk_DeadlineCheck,RoadmapMilestones[[#This Row],[_Task]])&amp;"")</f>
        <v>OK</v>
      </c>
      <c r="I23" s="20" t="str">
        <f aca="false">IF(RoadmapMilestones[[#This Row],[_Task]]="","",INDEX(tsk_Status,RoadmapMilestones[[#This Row],[_Task]])&amp;"")</f>
        <v>Late Start</v>
      </c>
      <c r="J23" s="45" t="n">
        <f aca="false">IF(RoadmapMilestones[[#This Row],[_Task]]="","",INDEX(tsk_Variance,RoadmapMilestones[[#This Row],[_Task]]))</f>
        <v>4</v>
      </c>
    </row>
    <row r="24" customFormat="false" ht="15" hidden="false" customHeight="false" outlineLevel="0" collapsed="false">
      <c r="B24" s="43" t="str">
        <f aca="false">IFERROR(MATCH(SMALL(tsk_MilestoneOrder,ROW()-ROW(RoadmapMilestones[[#Headers],[_Task]])),tsk_MilestoneOrder,0),"")</f>
        <v/>
      </c>
      <c r="C24" s="20" t="str">
        <f aca="false">IF(RoadmapMilestones[[#This Row],[_Task]]="","",INDEX(tsk_WBS,RoadmapMilestones[[#This Row],[_Task]])&amp;"")</f>
        <v/>
      </c>
      <c r="D24" s="20" t="str">
        <f aca="false">IF(RoadmapMilestones[[#This Row],[_Task]]="","",INDEX(tsk_Name,RoadmapMilestones[[#This Row],[_Task]])&amp;"")</f>
        <v/>
      </c>
      <c r="E24" s="53" t="str">
        <f aca="false">IF(RoadmapMilestones[[#This Row],[_Task]]="","",IF(N(INDEX(tsk_PlanFinish,RoadmapMilestones[[#This Row],[_Task]]))=0,"",INDEX(tsk_PlanFinish,RoadmapMilestones[[#This Row],[_Task]])))</f>
        <v/>
      </c>
      <c r="F24" s="53" t="str">
        <f aca="false">IF(RoadmapMilestones[[#This Row],[_Task]]="","",IF(N(INDEX(tsk_Deadline,RoadmapMilestones[[#This Row],[_Task]]))=0,"",INDEX(tsk_Deadline,RoadmapMilestones[[#This Row],[_Task]])))</f>
        <v/>
      </c>
      <c r="G24" s="53" t="str">
        <f aca="false">IF(RoadmapMilestones[[#This Row],[_Task]]="","",IF(N(INDEX(tsk_FcFinish,RoadmapMilestones[[#This Row],[_Task]]))=0,"",INDEX(tsk_FcFinish,RoadmapMilestones[[#This Row],[_Task]])))</f>
        <v/>
      </c>
      <c r="H24" s="20" t="str">
        <f aca="false">IF(RoadmapMilestones[[#This Row],[_Task]]="","",INDEX(tsk_DeadlineCheck,RoadmapMilestones[[#This Row],[_Task]])&amp;"")</f>
        <v/>
      </c>
      <c r="I24" s="20" t="str">
        <f aca="false">IF(RoadmapMilestones[[#This Row],[_Task]]="","",INDEX(tsk_Status,RoadmapMilestones[[#This Row],[_Task]])&amp;"")</f>
        <v/>
      </c>
      <c r="J24" s="45" t="str">
        <f aca="false">IF(RoadmapMilestones[[#This Row],[_Task]]="","",INDEX(tsk_Variance,RoadmapMilestones[[#This Row],[_Task]]))</f>
        <v/>
      </c>
    </row>
    <row r="25" customFormat="false" ht="15" hidden="false" customHeight="false" outlineLevel="0" collapsed="false">
      <c r="B25" s="43" t="str">
        <f aca="false">IFERROR(MATCH(SMALL(tsk_MilestoneOrder,ROW()-ROW(RoadmapMilestones[[#Headers],[_Task]])),tsk_MilestoneOrder,0),"")</f>
        <v/>
      </c>
      <c r="C25" s="20" t="str">
        <f aca="false">IF(RoadmapMilestones[[#This Row],[_Task]]="","",INDEX(tsk_WBS,RoadmapMilestones[[#This Row],[_Task]])&amp;"")</f>
        <v/>
      </c>
      <c r="D25" s="20" t="str">
        <f aca="false">IF(RoadmapMilestones[[#This Row],[_Task]]="","",INDEX(tsk_Name,RoadmapMilestones[[#This Row],[_Task]])&amp;"")</f>
        <v/>
      </c>
      <c r="E25" s="53" t="str">
        <f aca="false">IF(RoadmapMilestones[[#This Row],[_Task]]="","",IF(N(INDEX(tsk_PlanFinish,RoadmapMilestones[[#This Row],[_Task]]))=0,"",INDEX(tsk_PlanFinish,RoadmapMilestones[[#This Row],[_Task]])))</f>
        <v/>
      </c>
      <c r="F25" s="53" t="str">
        <f aca="false">IF(RoadmapMilestones[[#This Row],[_Task]]="","",IF(N(INDEX(tsk_Deadline,RoadmapMilestones[[#This Row],[_Task]]))=0,"",INDEX(tsk_Deadline,RoadmapMilestones[[#This Row],[_Task]])))</f>
        <v/>
      </c>
      <c r="G25" s="53" t="str">
        <f aca="false">IF(RoadmapMilestones[[#This Row],[_Task]]="","",IF(N(INDEX(tsk_FcFinish,RoadmapMilestones[[#This Row],[_Task]]))=0,"",INDEX(tsk_FcFinish,RoadmapMilestones[[#This Row],[_Task]])))</f>
        <v/>
      </c>
      <c r="H25" s="20" t="str">
        <f aca="false">IF(RoadmapMilestones[[#This Row],[_Task]]="","",INDEX(tsk_DeadlineCheck,RoadmapMilestones[[#This Row],[_Task]])&amp;"")</f>
        <v/>
      </c>
      <c r="I25" s="20" t="str">
        <f aca="false">IF(RoadmapMilestones[[#This Row],[_Task]]="","",INDEX(tsk_Status,RoadmapMilestones[[#This Row],[_Task]])&amp;"")</f>
        <v/>
      </c>
      <c r="J25" s="45" t="str">
        <f aca="false">IF(RoadmapMilestones[[#This Row],[_Task]]="","",INDEX(tsk_Variance,RoadmapMilestones[[#This Row],[_Task]]))</f>
        <v/>
      </c>
    </row>
    <row r="26" customFormat="false" ht="15" hidden="false" customHeight="false" outlineLevel="0" collapsed="false">
      <c r="B26" s="43" t="str">
        <f aca="false">IFERROR(MATCH(SMALL(tsk_MilestoneOrder,ROW()-ROW(RoadmapMilestones[[#Headers],[_Task]])),tsk_MilestoneOrder,0),"")</f>
        <v/>
      </c>
      <c r="C26" s="20" t="str">
        <f aca="false">IF(RoadmapMilestones[[#This Row],[_Task]]="","",INDEX(tsk_WBS,RoadmapMilestones[[#This Row],[_Task]])&amp;"")</f>
        <v/>
      </c>
      <c r="D26" s="20" t="str">
        <f aca="false">IF(RoadmapMilestones[[#This Row],[_Task]]="","",INDEX(tsk_Name,RoadmapMilestones[[#This Row],[_Task]])&amp;"")</f>
        <v/>
      </c>
      <c r="E26" s="53" t="str">
        <f aca="false">IF(RoadmapMilestones[[#This Row],[_Task]]="","",IF(N(INDEX(tsk_PlanFinish,RoadmapMilestones[[#This Row],[_Task]]))=0,"",INDEX(tsk_PlanFinish,RoadmapMilestones[[#This Row],[_Task]])))</f>
        <v/>
      </c>
      <c r="F26" s="53" t="str">
        <f aca="false">IF(RoadmapMilestones[[#This Row],[_Task]]="","",IF(N(INDEX(tsk_Deadline,RoadmapMilestones[[#This Row],[_Task]]))=0,"",INDEX(tsk_Deadline,RoadmapMilestones[[#This Row],[_Task]])))</f>
        <v/>
      </c>
      <c r="G26" s="53" t="str">
        <f aca="false">IF(RoadmapMilestones[[#This Row],[_Task]]="","",IF(N(INDEX(tsk_FcFinish,RoadmapMilestones[[#This Row],[_Task]]))=0,"",INDEX(tsk_FcFinish,RoadmapMilestones[[#This Row],[_Task]])))</f>
        <v/>
      </c>
      <c r="H26" s="20" t="str">
        <f aca="false">IF(RoadmapMilestones[[#This Row],[_Task]]="","",INDEX(tsk_DeadlineCheck,RoadmapMilestones[[#This Row],[_Task]])&amp;"")</f>
        <v/>
      </c>
      <c r="I26" s="20" t="str">
        <f aca="false">IF(RoadmapMilestones[[#This Row],[_Task]]="","",INDEX(tsk_Status,RoadmapMilestones[[#This Row],[_Task]])&amp;"")</f>
        <v/>
      </c>
      <c r="J26" s="45" t="str">
        <f aca="false">IF(RoadmapMilestones[[#This Row],[_Task]]="","",INDEX(tsk_Variance,RoadmapMilestones[[#This Row],[_Task]]))</f>
        <v/>
      </c>
    </row>
    <row r="27" customFormat="false" ht="15" hidden="false" customHeight="false" outlineLevel="0" collapsed="false">
      <c r="B27" s="43" t="str">
        <f aca="false">IFERROR(MATCH(SMALL(tsk_MilestoneOrder,ROW()-ROW(RoadmapMilestones[[#Headers],[_Task]])),tsk_MilestoneOrder,0),"")</f>
        <v/>
      </c>
      <c r="C27" s="20" t="str">
        <f aca="false">IF(RoadmapMilestones[[#This Row],[_Task]]="","",INDEX(tsk_WBS,RoadmapMilestones[[#This Row],[_Task]])&amp;"")</f>
        <v/>
      </c>
      <c r="D27" s="20" t="str">
        <f aca="false">IF(RoadmapMilestones[[#This Row],[_Task]]="","",INDEX(tsk_Name,RoadmapMilestones[[#This Row],[_Task]])&amp;"")</f>
        <v/>
      </c>
      <c r="E27" s="53" t="str">
        <f aca="false">IF(RoadmapMilestones[[#This Row],[_Task]]="","",IF(N(INDEX(tsk_PlanFinish,RoadmapMilestones[[#This Row],[_Task]]))=0,"",INDEX(tsk_PlanFinish,RoadmapMilestones[[#This Row],[_Task]])))</f>
        <v/>
      </c>
      <c r="F27" s="53" t="str">
        <f aca="false">IF(RoadmapMilestones[[#This Row],[_Task]]="","",IF(N(INDEX(tsk_Deadline,RoadmapMilestones[[#This Row],[_Task]]))=0,"",INDEX(tsk_Deadline,RoadmapMilestones[[#This Row],[_Task]])))</f>
        <v/>
      </c>
      <c r="G27" s="53" t="str">
        <f aca="false">IF(RoadmapMilestones[[#This Row],[_Task]]="","",IF(N(INDEX(tsk_FcFinish,RoadmapMilestones[[#This Row],[_Task]]))=0,"",INDEX(tsk_FcFinish,RoadmapMilestones[[#This Row],[_Task]])))</f>
        <v/>
      </c>
      <c r="H27" s="20" t="str">
        <f aca="false">IF(RoadmapMilestones[[#This Row],[_Task]]="","",INDEX(tsk_DeadlineCheck,RoadmapMilestones[[#This Row],[_Task]])&amp;"")</f>
        <v/>
      </c>
      <c r="I27" s="20" t="str">
        <f aca="false">IF(RoadmapMilestones[[#This Row],[_Task]]="","",INDEX(tsk_Status,RoadmapMilestones[[#This Row],[_Task]])&amp;"")</f>
        <v/>
      </c>
      <c r="J27" s="45" t="str">
        <f aca="false">IF(RoadmapMilestones[[#This Row],[_Task]]="","",INDEX(tsk_Variance,RoadmapMilestones[[#This Row],[_Task]]))</f>
        <v/>
      </c>
    </row>
    <row r="28" customFormat="false" ht="15" hidden="false" customHeight="false" outlineLevel="0" collapsed="false">
      <c r="B28" s="43" t="str">
        <f aca="false">IFERROR(MATCH(SMALL(tsk_MilestoneOrder,ROW()-ROW(RoadmapMilestones[[#Headers],[_Task]])),tsk_MilestoneOrder,0),"")</f>
        <v/>
      </c>
      <c r="C28" s="20" t="str">
        <f aca="false">IF(RoadmapMilestones[[#This Row],[_Task]]="","",INDEX(tsk_WBS,RoadmapMilestones[[#This Row],[_Task]])&amp;"")</f>
        <v/>
      </c>
      <c r="D28" s="20" t="str">
        <f aca="false">IF(RoadmapMilestones[[#This Row],[_Task]]="","",INDEX(tsk_Name,RoadmapMilestones[[#This Row],[_Task]])&amp;"")</f>
        <v/>
      </c>
      <c r="E28" s="53" t="str">
        <f aca="false">IF(RoadmapMilestones[[#This Row],[_Task]]="","",IF(N(INDEX(tsk_PlanFinish,RoadmapMilestones[[#This Row],[_Task]]))=0,"",INDEX(tsk_PlanFinish,RoadmapMilestones[[#This Row],[_Task]])))</f>
        <v/>
      </c>
      <c r="F28" s="53" t="str">
        <f aca="false">IF(RoadmapMilestones[[#This Row],[_Task]]="","",IF(N(INDEX(tsk_Deadline,RoadmapMilestones[[#This Row],[_Task]]))=0,"",INDEX(tsk_Deadline,RoadmapMilestones[[#This Row],[_Task]])))</f>
        <v/>
      </c>
      <c r="G28" s="53" t="str">
        <f aca="false">IF(RoadmapMilestones[[#This Row],[_Task]]="","",IF(N(INDEX(tsk_FcFinish,RoadmapMilestones[[#This Row],[_Task]]))=0,"",INDEX(tsk_FcFinish,RoadmapMilestones[[#This Row],[_Task]])))</f>
        <v/>
      </c>
      <c r="H28" s="20" t="str">
        <f aca="false">IF(RoadmapMilestones[[#This Row],[_Task]]="","",INDEX(tsk_DeadlineCheck,RoadmapMilestones[[#This Row],[_Task]])&amp;"")</f>
        <v/>
      </c>
      <c r="I28" s="20" t="str">
        <f aca="false">IF(RoadmapMilestones[[#This Row],[_Task]]="","",INDEX(tsk_Status,RoadmapMilestones[[#This Row],[_Task]])&amp;"")</f>
        <v/>
      </c>
      <c r="J28" s="45" t="str">
        <f aca="false">IF(RoadmapMilestones[[#This Row],[_Task]]="","",INDEX(tsk_Variance,RoadmapMilestones[[#This Row],[_Task]]))</f>
        <v/>
      </c>
    </row>
    <row r="29" customFormat="false" ht="15" hidden="false" customHeight="false" outlineLevel="0" collapsed="false">
      <c r="B29" s="43" t="str">
        <f aca="false">IFERROR(MATCH(SMALL(tsk_MilestoneOrder,ROW()-ROW(RoadmapMilestones[[#Headers],[_Task]])),tsk_MilestoneOrder,0),"")</f>
        <v/>
      </c>
      <c r="C29" s="20" t="str">
        <f aca="false">IF(RoadmapMilestones[[#This Row],[_Task]]="","",INDEX(tsk_WBS,RoadmapMilestones[[#This Row],[_Task]])&amp;"")</f>
        <v/>
      </c>
      <c r="D29" s="20" t="str">
        <f aca="false">IF(RoadmapMilestones[[#This Row],[_Task]]="","",INDEX(tsk_Name,RoadmapMilestones[[#This Row],[_Task]])&amp;"")</f>
        <v/>
      </c>
      <c r="E29" s="53" t="str">
        <f aca="false">IF(RoadmapMilestones[[#This Row],[_Task]]="","",IF(N(INDEX(tsk_PlanFinish,RoadmapMilestones[[#This Row],[_Task]]))=0,"",INDEX(tsk_PlanFinish,RoadmapMilestones[[#This Row],[_Task]])))</f>
        <v/>
      </c>
      <c r="F29" s="53" t="str">
        <f aca="false">IF(RoadmapMilestones[[#This Row],[_Task]]="","",IF(N(INDEX(tsk_Deadline,RoadmapMilestones[[#This Row],[_Task]]))=0,"",INDEX(tsk_Deadline,RoadmapMilestones[[#This Row],[_Task]])))</f>
        <v/>
      </c>
      <c r="G29" s="53" t="str">
        <f aca="false">IF(RoadmapMilestones[[#This Row],[_Task]]="","",IF(N(INDEX(tsk_FcFinish,RoadmapMilestones[[#This Row],[_Task]]))=0,"",INDEX(tsk_FcFinish,RoadmapMilestones[[#This Row],[_Task]])))</f>
        <v/>
      </c>
      <c r="H29" s="20" t="str">
        <f aca="false">IF(RoadmapMilestones[[#This Row],[_Task]]="","",INDEX(tsk_DeadlineCheck,RoadmapMilestones[[#This Row],[_Task]])&amp;"")</f>
        <v/>
      </c>
      <c r="I29" s="20" t="str">
        <f aca="false">IF(RoadmapMilestones[[#This Row],[_Task]]="","",INDEX(tsk_Status,RoadmapMilestones[[#This Row],[_Task]])&amp;"")</f>
        <v/>
      </c>
      <c r="J29" s="45" t="str">
        <f aca="false">IF(RoadmapMilestones[[#This Row],[_Task]]="","",INDEX(tsk_Variance,RoadmapMilestones[[#This Row],[_Task]]))</f>
        <v/>
      </c>
    </row>
    <row r="30" customFormat="false" ht="15" hidden="false" customHeight="false" outlineLevel="0" collapsed="false">
      <c r="B30" s="43" t="str">
        <f aca="false">IFERROR(MATCH(SMALL(tsk_MilestoneOrder,ROW()-ROW(RoadmapMilestones[[#Headers],[_Task]])),tsk_MilestoneOrder,0),"")</f>
        <v/>
      </c>
      <c r="C30" s="20" t="str">
        <f aca="false">IF(RoadmapMilestones[[#This Row],[_Task]]="","",INDEX(tsk_WBS,RoadmapMilestones[[#This Row],[_Task]])&amp;"")</f>
        <v/>
      </c>
      <c r="D30" s="20" t="str">
        <f aca="false">IF(RoadmapMilestones[[#This Row],[_Task]]="","",INDEX(tsk_Name,RoadmapMilestones[[#This Row],[_Task]])&amp;"")</f>
        <v/>
      </c>
      <c r="E30" s="53" t="str">
        <f aca="false">IF(RoadmapMilestones[[#This Row],[_Task]]="","",IF(N(INDEX(tsk_PlanFinish,RoadmapMilestones[[#This Row],[_Task]]))=0,"",INDEX(tsk_PlanFinish,RoadmapMilestones[[#This Row],[_Task]])))</f>
        <v/>
      </c>
      <c r="F30" s="53" t="str">
        <f aca="false">IF(RoadmapMilestones[[#This Row],[_Task]]="","",IF(N(INDEX(tsk_Deadline,RoadmapMilestones[[#This Row],[_Task]]))=0,"",INDEX(tsk_Deadline,RoadmapMilestones[[#This Row],[_Task]])))</f>
        <v/>
      </c>
      <c r="G30" s="53" t="str">
        <f aca="false">IF(RoadmapMilestones[[#This Row],[_Task]]="","",IF(N(INDEX(tsk_FcFinish,RoadmapMilestones[[#This Row],[_Task]]))=0,"",INDEX(tsk_FcFinish,RoadmapMilestones[[#This Row],[_Task]])))</f>
        <v/>
      </c>
      <c r="H30" s="20" t="str">
        <f aca="false">IF(RoadmapMilestones[[#This Row],[_Task]]="","",INDEX(tsk_DeadlineCheck,RoadmapMilestones[[#This Row],[_Task]])&amp;"")</f>
        <v/>
      </c>
      <c r="I30" s="20" t="str">
        <f aca="false">IF(RoadmapMilestones[[#This Row],[_Task]]="","",INDEX(tsk_Status,RoadmapMilestones[[#This Row],[_Task]])&amp;"")</f>
        <v/>
      </c>
      <c r="J30" s="45" t="str">
        <f aca="false">IF(RoadmapMilestones[[#This Row],[_Task]]="","",INDEX(tsk_Variance,RoadmapMilestones[[#This Row],[_Task]]))</f>
        <v/>
      </c>
    </row>
    <row r="31" customFormat="false" ht="15" hidden="false" customHeight="false" outlineLevel="0" collapsed="false">
      <c r="B31" s="43" t="str">
        <f aca="false">IFERROR(MATCH(SMALL(tsk_MilestoneOrder,ROW()-ROW(RoadmapMilestones[[#Headers],[_Task]])),tsk_MilestoneOrder,0),"")</f>
        <v/>
      </c>
      <c r="C31" s="20" t="str">
        <f aca="false">IF(RoadmapMilestones[[#This Row],[_Task]]="","",INDEX(tsk_WBS,RoadmapMilestones[[#This Row],[_Task]])&amp;"")</f>
        <v/>
      </c>
      <c r="D31" s="20" t="str">
        <f aca="false">IF(RoadmapMilestones[[#This Row],[_Task]]="","",INDEX(tsk_Name,RoadmapMilestones[[#This Row],[_Task]])&amp;"")</f>
        <v/>
      </c>
      <c r="E31" s="53" t="str">
        <f aca="false">IF(RoadmapMilestones[[#This Row],[_Task]]="","",IF(N(INDEX(tsk_PlanFinish,RoadmapMilestones[[#This Row],[_Task]]))=0,"",INDEX(tsk_PlanFinish,RoadmapMilestones[[#This Row],[_Task]])))</f>
        <v/>
      </c>
      <c r="F31" s="53" t="str">
        <f aca="false">IF(RoadmapMilestones[[#This Row],[_Task]]="","",IF(N(INDEX(tsk_Deadline,RoadmapMilestones[[#This Row],[_Task]]))=0,"",INDEX(tsk_Deadline,RoadmapMilestones[[#This Row],[_Task]])))</f>
        <v/>
      </c>
      <c r="G31" s="53" t="str">
        <f aca="false">IF(RoadmapMilestones[[#This Row],[_Task]]="","",IF(N(INDEX(tsk_FcFinish,RoadmapMilestones[[#This Row],[_Task]]))=0,"",INDEX(tsk_FcFinish,RoadmapMilestones[[#This Row],[_Task]])))</f>
        <v/>
      </c>
      <c r="H31" s="20" t="str">
        <f aca="false">IF(RoadmapMilestones[[#This Row],[_Task]]="","",INDEX(tsk_DeadlineCheck,RoadmapMilestones[[#This Row],[_Task]])&amp;"")</f>
        <v/>
      </c>
      <c r="I31" s="20" t="str">
        <f aca="false">IF(RoadmapMilestones[[#This Row],[_Task]]="","",INDEX(tsk_Status,RoadmapMilestones[[#This Row],[_Task]])&amp;"")</f>
        <v/>
      </c>
      <c r="J31" s="45" t="str">
        <f aca="false">IF(RoadmapMilestones[[#This Row],[_Task]]="","",INDEX(tsk_Variance,RoadmapMilestones[[#This Row],[_Task]]))</f>
        <v/>
      </c>
    </row>
    <row r="32" customFormat="false" ht="15" hidden="false" customHeight="false" outlineLevel="0" collapsed="false">
      <c r="B32" s="43" t="str">
        <f aca="false">IFERROR(MATCH(SMALL(tsk_MilestoneOrder,ROW()-ROW(RoadmapMilestones[[#Headers],[_Task]])),tsk_MilestoneOrder,0),"")</f>
        <v/>
      </c>
      <c r="C32" s="20" t="str">
        <f aca="false">IF(RoadmapMilestones[[#This Row],[_Task]]="","",INDEX(tsk_WBS,RoadmapMilestones[[#This Row],[_Task]])&amp;"")</f>
        <v/>
      </c>
      <c r="D32" s="20" t="str">
        <f aca="false">IF(RoadmapMilestones[[#This Row],[_Task]]="","",INDEX(tsk_Name,RoadmapMilestones[[#This Row],[_Task]])&amp;"")</f>
        <v/>
      </c>
      <c r="E32" s="53" t="str">
        <f aca="false">IF(RoadmapMilestones[[#This Row],[_Task]]="","",IF(N(INDEX(tsk_PlanFinish,RoadmapMilestones[[#This Row],[_Task]]))=0,"",INDEX(tsk_PlanFinish,RoadmapMilestones[[#This Row],[_Task]])))</f>
        <v/>
      </c>
      <c r="F32" s="53" t="str">
        <f aca="false">IF(RoadmapMilestones[[#This Row],[_Task]]="","",IF(N(INDEX(tsk_Deadline,RoadmapMilestones[[#This Row],[_Task]]))=0,"",INDEX(tsk_Deadline,RoadmapMilestones[[#This Row],[_Task]])))</f>
        <v/>
      </c>
      <c r="G32" s="53" t="str">
        <f aca="false">IF(RoadmapMilestones[[#This Row],[_Task]]="","",IF(N(INDEX(tsk_FcFinish,RoadmapMilestones[[#This Row],[_Task]]))=0,"",INDEX(tsk_FcFinish,RoadmapMilestones[[#This Row],[_Task]])))</f>
        <v/>
      </c>
      <c r="H32" s="20" t="str">
        <f aca="false">IF(RoadmapMilestones[[#This Row],[_Task]]="","",INDEX(tsk_DeadlineCheck,RoadmapMilestones[[#This Row],[_Task]])&amp;"")</f>
        <v/>
      </c>
      <c r="I32" s="20" t="str">
        <f aca="false">IF(RoadmapMilestones[[#This Row],[_Task]]="","",INDEX(tsk_Status,RoadmapMilestones[[#This Row],[_Task]])&amp;"")</f>
        <v/>
      </c>
      <c r="J32" s="45" t="str">
        <f aca="false">IF(RoadmapMilestones[[#This Row],[_Task]]="","",INDEX(tsk_Variance,RoadmapMilestones[[#This Row],[_Task]]))</f>
        <v/>
      </c>
    </row>
    <row r="33" customFormat="false" ht="15" hidden="false" customHeight="false" outlineLevel="0" collapsed="false">
      <c r="B33" s="43" t="str">
        <f aca="false">IFERROR(MATCH(SMALL(tsk_MilestoneOrder,ROW()-ROW(RoadmapMilestones[[#Headers],[_Task]])),tsk_MilestoneOrder,0),"")</f>
        <v/>
      </c>
      <c r="C33" s="20" t="str">
        <f aca="false">IF(RoadmapMilestones[[#This Row],[_Task]]="","",INDEX(tsk_WBS,RoadmapMilestones[[#This Row],[_Task]])&amp;"")</f>
        <v/>
      </c>
      <c r="D33" s="20" t="str">
        <f aca="false">IF(RoadmapMilestones[[#This Row],[_Task]]="","",INDEX(tsk_Name,RoadmapMilestones[[#This Row],[_Task]])&amp;"")</f>
        <v/>
      </c>
      <c r="E33" s="53" t="str">
        <f aca="false">IF(RoadmapMilestones[[#This Row],[_Task]]="","",IF(N(INDEX(tsk_PlanFinish,RoadmapMilestones[[#This Row],[_Task]]))=0,"",INDEX(tsk_PlanFinish,RoadmapMilestones[[#This Row],[_Task]])))</f>
        <v/>
      </c>
      <c r="F33" s="53" t="str">
        <f aca="false">IF(RoadmapMilestones[[#This Row],[_Task]]="","",IF(N(INDEX(tsk_Deadline,RoadmapMilestones[[#This Row],[_Task]]))=0,"",INDEX(tsk_Deadline,RoadmapMilestones[[#This Row],[_Task]])))</f>
        <v/>
      </c>
      <c r="G33" s="53" t="str">
        <f aca="false">IF(RoadmapMilestones[[#This Row],[_Task]]="","",IF(N(INDEX(tsk_FcFinish,RoadmapMilestones[[#This Row],[_Task]]))=0,"",INDEX(tsk_FcFinish,RoadmapMilestones[[#This Row],[_Task]])))</f>
        <v/>
      </c>
      <c r="H33" s="20" t="str">
        <f aca="false">IF(RoadmapMilestones[[#This Row],[_Task]]="","",INDEX(tsk_DeadlineCheck,RoadmapMilestones[[#This Row],[_Task]])&amp;"")</f>
        <v/>
      </c>
      <c r="I33" s="20" t="str">
        <f aca="false">IF(RoadmapMilestones[[#This Row],[_Task]]="","",INDEX(tsk_Status,RoadmapMilestones[[#This Row],[_Task]])&amp;"")</f>
        <v/>
      </c>
      <c r="J33" s="45" t="str">
        <f aca="false">IF(RoadmapMilestones[[#This Row],[_Task]]="","",INDEX(tsk_Variance,RoadmapMilestones[[#This Row],[_Task]]))</f>
        <v/>
      </c>
    </row>
    <row r="34" customFormat="false" ht="15" hidden="false" customHeight="false" outlineLevel="0" collapsed="false">
      <c r="B34" s="43" t="str">
        <f aca="false">IFERROR(MATCH(SMALL(tsk_MilestoneOrder,ROW()-ROW(RoadmapMilestones[[#Headers],[_Task]])),tsk_MilestoneOrder,0),"")</f>
        <v/>
      </c>
      <c r="C34" s="20" t="str">
        <f aca="false">IF(RoadmapMilestones[[#This Row],[_Task]]="","",INDEX(tsk_WBS,RoadmapMilestones[[#This Row],[_Task]])&amp;"")</f>
        <v/>
      </c>
      <c r="D34" s="20" t="str">
        <f aca="false">IF(RoadmapMilestones[[#This Row],[_Task]]="","",INDEX(tsk_Name,RoadmapMilestones[[#This Row],[_Task]])&amp;"")</f>
        <v/>
      </c>
      <c r="E34" s="53" t="str">
        <f aca="false">IF(RoadmapMilestones[[#This Row],[_Task]]="","",IF(N(INDEX(tsk_PlanFinish,RoadmapMilestones[[#This Row],[_Task]]))=0,"",INDEX(tsk_PlanFinish,RoadmapMilestones[[#This Row],[_Task]])))</f>
        <v/>
      </c>
      <c r="F34" s="53" t="str">
        <f aca="false">IF(RoadmapMilestones[[#This Row],[_Task]]="","",IF(N(INDEX(tsk_Deadline,RoadmapMilestones[[#This Row],[_Task]]))=0,"",INDEX(tsk_Deadline,RoadmapMilestones[[#This Row],[_Task]])))</f>
        <v/>
      </c>
      <c r="G34" s="53" t="str">
        <f aca="false">IF(RoadmapMilestones[[#This Row],[_Task]]="","",IF(N(INDEX(tsk_FcFinish,RoadmapMilestones[[#This Row],[_Task]]))=0,"",INDEX(tsk_FcFinish,RoadmapMilestones[[#This Row],[_Task]])))</f>
        <v/>
      </c>
      <c r="H34" s="20" t="str">
        <f aca="false">IF(RoadmapMilestones[[#This Row],[_Task]]="","",INDEX(tsk_DeadlineCheck,RoadmapMilestones[[#This Row],[_Task]])&amp;"")</f>
        <v/>
      </c>
      <c r="I34" s="20" t="str">
        <f aca="false">IF(RoadmapMilestones[[#This Row],[_Task]]="","",INDEX(tsk_Status,RoadmapMilestones[[#This Row],[_Task]])&amp;"")</f>
        <v/>
      </c>
      <c r="J34" s="45" t="str">
        <f aca="false">IF(RoadmapMilestones[[#This Row],[_Task]]="","",INDEX(tsk_Variance,RoadmapMilestones[[#This Row],[_Task]]))</f>
        <v/>
      </c>
    </row>
    <row r="35" customFormat="false" ht="15" hidden="false" customHeight="false" outlineLevel="0" collapsed="false">
      <c r="B35" s="43" t="str">
        <f aca="false">IFERROR(MATCH(SMALL(tsk_MilestoneOrder,ROW()-ROW(RoadmapMilestones[[#Headers],[_Task]])),tsk_MilestoneOrder,0),"")</f>
        <v/>
      </c>
      <c r="C35" s="20" t="str">
        <f aca="false">IF(RoadmapMilestones[[#This Row],[_Task]]="","",INDEX(tsk_WBS,RoadmapMilestones[[#This Row],[_Task]])&amp;"")</f>
        <v/>
      </c>
      <c r="D35" s="20" t="str">
        <f aca="false">IF(RoadmapMilestones[[#This Row],[_Task]]="","",INDEX(tsk_Name,RoadmapMilestones[[#This Row],[_Task]])&amp;"")</f>
        <v/>
      </c>
      <c r="E35" s="53" t="str">
        <f aca="false">IF(RoadmapMilestones[[#This Row],[_Task]]="","",IF(N(INDEX(tsk_PlanFinish,RoadmapMilestones[[#This Row],[_Task]]))=0,"",INDEX(tsk_PlanFinish,RoadmapMilestones[[#This Row],[_Task]])))</f>
        <v/>
      </c>
      <c r="F35" s="53" t="str">
        <f aca="false">IF(RoadmapMilestones[[#This Row],[_Task]]="","",IF(N(INDEX(tsk_Deadline,RoadmapMilestones[[#This Row],[_Task]]))=0,"",INDEX(tsk_Deadline,RoadmapMilestones[[#This Row],[_Task]])))</f>
        <v/>
      </c>
      <c r="G35" s="53" t="str">
        <f aca="false">IF(RoadmapMilestones[[#This Row],[_Task]]="","",IF(N(INDEX(tsk_FcFinish,RoadmapMilestones[[#This Row],[_Task]]))=0,"",INDEX(tsk_FcFinish,RoadmapMilestones[[#This Row],[_Task]])))</f>
        <v/>
      </c>
      <c r="H35" s="20" t="str">
        <f aca="false">IF(RoadmapMilestones[[#This Row],[_Task]]="","",INDEX(tsk_DeadlineCheck,RoadmapMilestones[[#This Row],[_Task]])&amp;"")</f>
        <v/>
      </c>
      <c r="I35" s="20" t="str">
        <f aca="false">IF(RoadmapMilestones[[#This Row],[_Task]]="","",INDEX(tsk_Status,RoadmapMilestones[[#This Row],[_Task]])&amp;"")</f>
        <v/>
      </c>
      <c r="J35" s="45" t="str">
        <f aca="false">IF(RoadmapMilestones[[#This Row],[_Task]]="","",INDEX(tsk_Variance,RoadmapMilestones[[#This Row],[_Task]]))</f>
        <v/>
      </c>
    </row>
    <row r="37" customFormat="false" ht="15" hidden="false" customHeight="false" outlineLevel="0" collapsed="false">
      <c r="C37" s="54"/>
      <c r="D37" s="55" t="s">
        <v>205</v>
      </c>
      <c r="E37" s="56"/>
      <c r="F37" s="55" t="s">
        <v>206</v>
      </c>
      <c r="G37" s="57"/>
      <c r="H37" s="55" t="s">
        <v>207</v>
      </c>
      <c r="I37" s="58"/>
      <c r="J37" s="55" t="s">
        <v>208</v>
      </c>
    </row>
    <row r="38" customFormat="false" ht="15" hidden="false" customHeight="false" outlineLevel="0" collapsed="false">
      <c r="C38" s="59"/>
      <c r="D38" s="55" t="s">
        <v>202</v>
      </c>
      <c r="E38" s="60"/>
      <c r="F38" s="55" t="s">
        <v>209</v>
      </c>
      <c r="G38" s="61"/>
      <c r="H38" s="55" t="s">
        <v>210</v>
      </c>
    </row>
    <row r="39" customFormat="false" ht="15" hidden="false" customHeight="false" outlineLevel="0" collapsed="false">
      <c r="C39" s="2" t="s">
        <v>211</v>
      </c>
    </row>
  </sheetData>
  <sheetProtection sheet="true" formatColumns="false" formatRows="false" sort="false" autoFilter="false"/>
  <conditionalFormatting sqref="M8:M17">
    <cfRule type="expression" priority="2" aboveAverage="0" equalAverage="0" bottom="0" percent="0" rank="0" text="" dxfId="19">
      <formula>M8="Green"</formula>
    </cfRule>
    <cfRule type="expression" priority="3" aboveAverage="0" equalAverage="0" bottom="0" percent="0" rank="0" text="" dxfId="20">
      <formula>M8="Amber"</formula>
    </cfRule>
    <cfRule type="expression" priority="4" aboveAverage="0" equalAverage="0" bottom="0" percent="0" rank="0" text="" dxfId="21">
      <formula>M8="Red"</formula>
    </cfRule>
  </conditionalFormatting>
  <conditionalFormatting sqref="R8:AI17">
    <cfRule type="expression" priority="5" aboveAverage="0" equalAverage="0" bottom="0" percent="0" rank="0" text="" dxfId="26">
      <formula>AND(AND(ISNUMBER($H8),ISNUMBER($I8),R$5&lt;=$I8,EDATE(R$5,1)&gt;$H8),N($J8)&gt;0,R$5&lt;$H8+($I8-$H8+1)*N($J8))</formula>
    </cfRule>
    <cfRule type="expression" priority="6" aboveAverage="0" equalAverage="0" bottom="0" percent="0" rank="0" text="" dxfId="27">
      <formula>AND(AND(ISNUMBER($H8),ISNUMBER($I8),R$5&lt;=$I8,EDATE(R$5,1)&gt;$H8),N($K8)&gt;0)</formula>
    </cfRule>
    <cfRule type="expression" priority="7" aboveAverage="0" equalAverage="0" bottom="0" percent="0" rank="0" text="" dxfId="28">
      <formula>AND(ISNUMBER($H8),ISNUMBER($I8),R$5&lt;=$I8,EDATE(R$5,1)&gt;$H8)</formula>
    </cfRule>
    <cfRule type="expression" priority="8" aboveAverage="0" equalAverage="0" bottom="0" percent="0" rank="0" text="" dxfId="29">
      <formula>AND(ISNUMBER($F8),ISNUMBER($G8),R$5&lt;=$G8,EDATE(R$5,1)&gt;$F8)</formula>
    </cfRule>
    <cfRule type="expression" priority="9" aboveAverage="0" equalAverage="0" bottom="0" percent="0" rank="0" text="" dxfId="30">
      <formula>AND(StatusDate&gt;=R$5,StatusDate&lt;EDATE(R$5,1))</formula>
    </cfRule>
  </conditionalFormatting>
  <conditionalFormatting sqref="R21:AI35">
    <cfRule type="expression" priority="10" aboveAverage="0" equalAverage="0" bottom="0" percent="0" rank="0" text="" dxfId="31">
      <formula>AND(AND(ISNUMBER($G21),$G21&gt;=R$5,$G21&lt;EDATE(R$5,1)),LEFT($H21,4)="Late")</formula>
    </cfRule>
    <cfRule type="expression" priority="11" aboveAverage="0" equalAverage="0" bottom="0" percent="0" rank="0" text="" dxfId="32">
      <formula>AND(ISNUMBER($G21),$G21&gt;=R$5,$G21&lt;EDATE(R$5,1))</formula>
    </cfRule>
    <cfRule type="expression" priority="12" aboveAverage="0" equalAverage="0" bottom="0" percent="0" rank="0" text="" dxfId="29">
      <formula>AND(ISNUMBER($E21),$E21&gt;=R$5,$E21&lt;EDATE(R$5,1))</formula>
    </cfRule>
    <cfRule type="expression" priority="13" aboveAverage="0" equalAverage="0" bottom="0" percent="0" rank="0" text="" dxfId="33">
      <formula>AND(ISNUMBER($F21),$F21&gt;=R$5,$F21&lt;EDATE(R$5,1))</formula>
    </cfRule>
    <cfRule type="expression" priority="14" aboveAverage="0" equalAverage="0" bottom="0" percent="0" rank="0" text="" dxfId="30">
      <formula>AND(StatusDate&gt;=R$5,StatusDate&lt;EDATE(R$5,1))</formula>
    </cfRule>
  </conditionalFormatting>
  <conditionalFormatting sqref="H21:H35">
    <cfRule type="expression" priority="15" aboveAverage="0" equalAverage="0" bottom="0" percent="0" rank="0" text="" dxfId="24">
      <formula>LEFT($H21,4)="Late"</formula>
    </cfRule>
  </conditionalFormatting>
  <printOptions headings="false" gridLines="false" gridLinesSet="true" horizontalCentered="true" verticalCentered="false"/>
  <pageMargins left="0.75" right="0.75" top="0.6" bottom="0.6" header="0.3" footer="0.3"/>
  <pageSetup paperSize="1" scale="100" fitToWidth="1" fitToHeight="1" pageOrder="downThenOver" orientation="landscape" blackAndWhite="false" draft="false" cellComments="none" horizontalDpi="300" verticalDpi="300" copies="1"/>
  <headerFooter differentFirst="false" differentOddEven="false">
    <oddHeader>&amp;L&amp;"Arial,Regular"&amp;8 &amp;A&amp;R&amp;"Arial,Regular"&amp;8 &amp;F</oddHeader>
    <oddFooter>&amp;L&amp;"Arial,Regular"&amp;8 Project Planner template 1.1&amp;R&amp;"Arial,Regular"&amp;8 Page &amp;P of &amp;N</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T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4" t="s">
        <v>212</v>
      </c>
    </row>
    <row r="2" customFormat="false" ht="15" hidden="false" customHeight="false" outlineLevel="0" collapsed="false">
      <c r="A2" s="2" t="s">
        <v>213</v>
      </c>
    </row>
    <row r="4" customFormat="false" ht="23.85" hidden="false" customHeight="false" outlineLevel="0" collapsed="false">
      <c r="B4" s="17" t="s">
        <v>214</v>
      </c>
      <c r="C4" s="17" t="s">
        <v>127</v>
      </c>
      <c r="D4" s="17" t="s">
        <v>215</v>
      </c>
      <c r="E4" s="17" t="s">
        <v>187</v>
      </c>
      <c r="F4" s="28" t="s">
        <v>216</v>
      </c>
      <c r="G4" s="18" t="s">
        <v>217</v>
      </c>
      <c r="I4" s="18" t="s">
        <v>218</v>
      </c>
      <c r="K4" s="18" t="s">
        <v>219</v>
      </c>
      <c r="M4" s="18" t="s">
        <v>220</v>
      </c>
      <c r="O4" s="18" t="s">
        <v>221</v>
      </c>
      <c r="Q4" s="18" t="s">
        <v>222</v>
      </c>
      <c r="S4" s="18" t="s">
        <v>223</v>
      </c>
      <c r="U4" s="18" t="s">
        <v>130</v>
      </c>
      <c r="W4" s="18" t="s">
        <v>224</v>
      </c>
      <c r="Y4" s="18" t="s">
        <v>225</v>
      </c>
      <c r="AA4" s="18" t="s">
        <v>226</v>
      </c>
      <c r="AC4" s="18" t="s">
        <v>227</v>
      </c>
      <c r="AE4" s="18" t="s">
        <v>228</v>
      </c>
      <c r="AF4" s="18" t="s">
        <v>229</v>
      </c>
      <c r="AG4" s="18" t="s">
        <v>230</v>
      </c>
      <c r="AH4" s="18" t="s">
        <v>231</v>
      </c>
      <c r="AI4" s="18" t="s">
        <v>232</v>
      </c>
      <c r="AJ4" s="18" t="s">
        <v>233</v>
      </c>
      <c r="AK4" s="18" t="s">
        <v>234</v>
      </c>
      <c r="AL4" s="18" t="s">
        <v>235</v>
      </c>
      <c r="AM4" s="18" t="s">
        <v>236</v>
      </c>
      <c r="AN4" s="18" t="s">
        <v>237</v>
      </c>
      <c r="AO4" s="18" t="s">
        <v>238</v>
      </c>
      <c r="AP4" s="18" t="s">
        <v>239</v>
      </c>
      <c r="AQ4" s="18" t="s">
        <v>240</v>
      </c>
      <c r="AR4" s="18" t="s">
        <v>241</v>
      </c>
      <c r="AS4" s="18" t="s">
        <v>242</v>
      </c>
      <c r="AT4" s="18" t="s">
        <v>243</v>
      </c>
    </row>
    <row r="5" customFormat="false" ht="15" hidden="false" customHeight="false" outlineLevel="0" collapsed="false">
      <c r="B5" s="62" t="s">
        <v>244</v>
      </c>
      <c r="C5" s="63" t="n">
        <f aca="false">MAX(1,N(ProjectStartDate))</f>
        <v>46272</v>
      </c>
      <c r="D5" s="64" t="s">
        <v>245</v>
      </c>
      <c r="E5" s="2" t="s">
        <v>246</v>
      </c>
      <c r="G5" s="23" t="s">
        <v>247</v>
      </c>
      <c r="I5" s="23" t="s">
        <v>248</v>
      </c>
      <c r="K5" s="23" t="s">
        <v>9</v>
      </c>
      <c r="M5" s="23" t="s">
        <v>249</v>
      </c>
      <c r="O5" s="23" t="s">
        <v>250</v>
      </c>
      <c r="Q5" s="23" t="s">
        <v>251</v>
      </c>
      <c r="S5" s="23" t="n">
        <v>1</v>
      </c>
      <c r="U5" s="23" t="s">
        <v>252</v>
      </c>
      <c r="W5" s="23" t="s">
        <v>253</v>
      </c>
      <c r="Y5" s="23" t="s">
        <v>254</v>
      </c>
      <c r="AA5" s="23" t="s">
        <v>255</v>
      </c>
      <c r="AC5" s="23" t="s">
        <v>256</v>
      </c>
      <c r="AE5" s="23" t="s">
        <v>12</v>
      </c>
      <c r="AF5" s="23" t="n">
        <v>14</v>
      </c>
      <c r="AG5" s="23" t="n">
        <v>3</v>
      </c>
      <c r="AH5" s="23" t="n">
        <v>10</v>
      </c>
      <c r="AI5" s="23" t="s">
        <v>159</v>
      </c>
      <c r="AJ5" s="23" t="s">
        <v>257</v>
      </c>
      <c r="AK5" s="23" t="s">
        <v>258</v>
      </c>
      <c r="AL5" s="23" t="s">
        <v>259</v>
      </c>
      <c r="AM5" s="23" t="s">
        <v>260</v>
      </c>
      <c r="AN5" s="23" t="s">
        <v>150</v>
      </c>
      <c r="AO5" s="65" t="n">
        <v>0</v>
      </c>
      <c r="AP5" s="65" t="n">
        <v>0.15</v>
      </c>
      <c r="AQ5" s="65" t="n">
        <v>0.4</v>
      </c>
      <c r="AR5" s="65" t="n">
        <v>0.7</v>
      </c>
      <c r="AS5" s="65" t="n">
        <v>0.85</v>
      </c>
      <c r="AT5" s="65" t="n">
        <v>1</v>
      </c>
    </row>
    <row r="6" customFormat="false" ht="15" hidden="false" customHeight="false" outlineLevel="0" collapsed="false">
      <c r="B6" s="62" t="s">
        <v>261</v>
      </c>
      <c r="C6" s="63" t="n">
        <f aca="false">IF(N(StatusDateInput)&gt;0,StatusDateInput,ProjectStart)</f>
        <v>46320</v>
      </c>
      <c r="D6" s="64" t="s">
        <v>262</v>
      </c>
      <c r="E6" s="2" t="s">
        <v>263</v>
      </c>
      <c r="G6" s="23" t="s">
        <v>264</v>
      </c>
      <c r="I6" s="23" t="s">
        <v>265</v>
      </c>
      <c r="K6" s="23" t="s">
        <v>266</v>
      </c>
      <c r="M6" s="23" t="s">
        <v>267</v>
      </c>
      <c r="O6" s="23" t="s">
        <v>268</v>
      </c>
      <c r="Q6" s="23" t="s">
        <v>269</v>
      </c>
      <c r="S6" s="23" t="n">
        <v>7</v>
      </c>
      <c r="U6" s="23" t="s">
        <v>270</v>
      </c>
      <c r="W6" s="23" t="s">
        <v>271</v>
      </c>
      <c r="Y6" s="23" t="s">
        <v>153</v>
      </c>
      <c r="AA6" s="23" t="s">
        <v>272</v>
      </c>
      <c r="AC6" s="23" t="s">
        <v>273</v>
      </c>
      <c r="AE6" s="23" t="s">
        <v>274</v>
      </c>
      <c r="AF6" s="23" t="n">
        <v>28</v>
      </c>
      <c r="AG6" s="23" t="n">
        <v>5</v>
      </c>
      <c r="AH6" s="23" t="n">
        <v>15</v>
      </c>
      <c r="AI6" s="23" t="s">
        <v>159</v>
      </c>
      <c r="AJ6" s="23" t="s">
        <v>275</v>
      </c>
      <c r="AK6" s="23" t="s">
        <v>276</v>
      </c>
      <c r="AL6" s="23" t="s">
        <v>277</v>
      </c>
      <c r="AM6" s="23" t="s">
        <v>278</v>
      </c>
      <c r="AN6" s="23" t="s">
        <v>150</v>
      </c>
      <c r="AO6" s="65" t="n">
        <v>0</v>
      </c>
      <c r="AP6" s="65" t="n">
        <v>0.1</v>
      </c>
      <c r="AQ6" s="65" t="n">
        <v>0.5</v>
      </c>
      <c r="AR6" s="65" t="n">
        <v>0.85</v>
      </c>
      <c r="AS6" s="65" t="n">
        <v>0.95</v>
      </c>
      <c r="AT6" s="65" t="n">
        <v>1</v>
      </c>
    </row>
    <row r="7" customFormat="false" ht="15" hidden="false" customHeight="false" outlineLevel="0" collapsed="false">
      <c r="B7" s="62" t="s">
        <v>279</v>
      </c>
      <c r="C7" s="63" t="n">
        <f aca="false">WORKDAY.INTL(StatusDate-1,1,WorkWeek,Holidays)</f>
        <v>46321</v>
      </c>
      <c r="D7" s="64" t="s">
        <v>280</v>
      </c>
      <c r="E7" s="2"/>
      <c r="G7" s="23" t="s">
        <v>281</v>
      </c>
      <c r="K7" s="23" t="s">
        <v>282</v>
      </c>
      <c r="M7" s="23" t="s">
        <v>283</v>
      </c>
      <c r="Q7" s="23" t="s">
        <v>284</v>
      </c>
      <c r="S7" s="23" t="n">
        <v>30</v>
      </c>
      <c r="U7" s="23" t="s">
        <v>285</v>
      </c>
      <c r="W7" s="23" t="s">
        <v>286</v>
      </c>
      <c r="Y7" s="23" t="s">
        <v>287</v>
      </c>
      <c r="AA7" s="23" t="s">
        <v>288</v>
      </c>
      <c r="AC7" s="23" t="s">
        <v>272</v>
      </c>
      <c r="AE7" s="23" t="s">
        <v>289</v>
      </c>
      <c r="AF7" s="23" t="n">
        <v>14</v>
      </c>
      <c r="AG7" s="23" t="n">
        <v>2</v>
      </c>
      <c r="AH7" s="23" t="n">
        <v>5</v>
      </c>
      <c r="AI7" s="23" t="s">
        <v>159</v>
      </c>
      <c r="AJ7" s="23" t="s">
        <v>257</v>
      </c>
      <c r="AK7" s="23" t="s">
        <v>290</v>
      </c>
      <c r="AL7" s="23" t="s">
        <v>291</v>
      </c>
      <c r="AM7" s="23" t="s">
        <v>292</v>
      </c>
      <c r="AN7" s="23" t="s">
        <v>150</v>
      </c>
      <c r="AO7" s="65" t="n">
        <v>0</v>
      </c>
      <c r="AP7" s="65" t="n">
        <v>0.15</v>
      </c>
      <c r="AQ7" s="65" t="n">
        <v>0.5</v>
      </c>
      <c r="AR7" s="65" t="n">
        <v>0.8</v>
      </c>
      <c r="AS7" s="65" t="n">
        <v>0.95</v>
      </c>
      <c r="AT7" s="65" t="n">
        <v>1</v>
      </c>
    </row>
    <row r="8" customFormat="false" ht="15" hidden="false" customHeight="false" outlineLevel="0" collapsed="false">
      <c r="B8" s="62" t="s">
        <v>293</v>
      </c>
      <c r="C8" s="6" t="s">
        <v>250</v>
      </c>
      <c r="D8" s="64" t="s">
        <v>294</v>
      </c>
      <c r="E8" s="2" t="s">
        <v>295</v>
      </c>
      <c r="G8" s="23" t="s">
        <v>296</v>
      </c>
      <c r="K8" s="23" t="s">
        <v>297</v>
      </c>
      <c r="M8" s="23" t="s">
        <v>298</v>
      </c>
      <c r="S8" s="23" t="n">
        <v>91</v>
      </c>
      <c r="W8" s="23" t="s">
        <v>299</v>
      </c>
      <c r="AA8" s="23" t="s">
        <v>300</v>
      </c>
      <c r="AC8" s="23" t="s">
        <v>288</v>
      </c>
      <c r="AE8" s="23"/>
      <c r="AF8" s="23"/>
      <c r="AG8" s="23"/>
      <c r="AH8" s="23"/>
      <c r="AI8" s="23"/>
      <c r="AJ8" s="23"/>
      <c r="AK8" s="23"/>
      <c r="AL8" s="23"/>
      <c r="AM8" s="23"/>
      <c r="AN8" s="23"/>
      <c r="AO8" s="65"/>
      <c r="AP8" s="65"/>
      <c r="AQ8" s="65"/>
      <c r="AR8" s="65"/>
      <c r="AS8" s="65"/>
      <c r="AT8" s="65"/>
    </row>
    <row r="9" customFormat="false" ht="15" hidden="false" customHeight="false" outlineLevel="0" collapsed="false">
      <c r="B9" s="62" t="s">
        <v>301</v>
      </c>
      <c r="C9" s="65" t="n">
        <v>1</v>
      </c>
      <c r="D9" s="64" t="s">
        <v>302</v>
      </c>
      <c r="E9" s="2" t="s">
        <v>303</v>
      </c>
      <c r="M9" s="23" t="s">
        <v>304</v>
      </c>
      <c r="W9" s="23" t="s">
        <v>305</v>
      </c>
      <c r="AC9" s="23" t="s">
        <v>306</v>
      </c>
      <c r="AE9" s="23"/>
      <c r="AF9" s="23"/>
      <c r="AG9" s="23"/>
      <c r="AH9" s="23"/>
      <c r="AI9" s="23"/>
      <c r="AJ9" s="23"/>
      <c r="AK9" s="23"/>
      <c r="AL9" s="23"/>
      <c r="AM9" s="23"/>
      <c r="AN9" s="23"/>
      <c r="AO9" s="65"/>
      <c r="AP9" s="65"/>
      <c r="AQ9" s="65"/>
      <c r="AR9" s="65"/>
      <c r="AS9" s="65"/>
      <c r="AT9" s="65"/>
    </row>
    <row r="10" customFormat="false" ht="15" hidden="false" customHeight="false" outlineLevel="0" collapsed="false">
      <c r="B10" s="62" t="s">
        <v>307</v>
      </c>
      <c r="C10" s="6" t="s">
        <v>250</v>
      </c>
      <c r="D10" s="64" t="s">
        <v>308</v>
      </c>
      <c r="E10" s="2" t="s">
        <v>309</v>
      </c>
      <c r="M10" s="23" t="s">
        <v>310</v>
      </c>
      <c r="W10" s="23" t="s">
        <v>311</v>
      </c>
      <c r="AE10" s="23"/>
      <c r="AF10" s="23"/>
      <c r="AG10" s="23"/>
      <c r="AH10" s="23"/>
      <c r="AI10" s="23"/>
      <c r="AJ10" s="23"/>
      <c r="AK10" s="23"/>
      <c r="AL10" s="23"/>
      <c r="AM10" s="23"/>
      <c r="AN10" s="23"/>
      <c r="AO10" s="65"/>
      <c r="AP10" s="65"/>
      <c r="AQ10" s="65"/>
      <c r="AR10" s="65"/>
      <c r="AS10" s="65"/>
      <c r="AT10" s="65"/>
    </row>
    <row r="11" customFormat="false" ht="15" hidden="false" customHeight="false" outlineLevel="0" collapsed="false">
      <c r="B11" s="62" t="s">
        <v>312</v>
      </c>
      <c r="C11" s="6" t="s">
        <v>250</v>
      </c>
      <c r="D11" s="64" t="s">
        <v>313</v>
      </c>
      <c r="E11" s="2"/>
      <c r="M11" s="23" t="s">
        <v>314</v>
      </c>
    </row>
    <row r="12" customFormat="false" ht="15" hidden="false" customHeight="false" outlineLevel="0" collapsed="false">
      <c r="B12" s="62" t="s">
        <v>315</v>
      </c>
      <c r="C12" s="6" t="s">
        <v>250</v>
      </c>
      <c r="D12" s="64" t="s">
        <v>316</v>
      </c>
      <c r="E12" s="2"/>
      <c r="M12" s="23" t="s">
        <v>317</v>
      </c>
    </row>
    <row r="13" customFormat="false" ht="15" hidden="false" customHeight="false" outlineLevel="0" collapsed="false">
      <c r="B13" s="62" t="s">
        <v>318</v>
      </c>
      <c r="C13" s="6" t="s">
        <v>250</v>
      </c>
      <c r="D13" s="64" t="s">
        <v>319</v>
      </c>
      <c r="E13" s="2"/>
    </row>
    <row r="14" customFormat="false" ht="15" hidden="false" customHeight="false" outlineLevel="0" collapsed="false">
      <c r="B14" s="62" t="s">
        <v>320</v>
      </c>
      <c r="C14" s="6" t="s">
        <v>250</v>
      </c>
      <c r="D14" s="64" t="s">
        <v>321</v>
      </c>
      <c r="E14" s="2"/>
      <c r="G14" s="2" t="s">
        <v>322</v>
      </c>
    </row>
    <row r="15" customFormat="false" ht="15" hidden="false" customHeight="false" outlineLevel="0" collapsed="false">
      <c r="B15" s="62" t="s">
        <v>323</v>
      </c>
      <c r="C15" s="6" t="s">
        <v>268</v>
      </c>
      <c r="D15" s="64" t="s">
        <v>324</v>
      </c>
      <c r="E15" s="2"/>
    </row>
    <row r="16" customFormat="false" ht="15" hidden="false" customHeight="false" outlineLevel="0" collapsed="false">
      <c r="B16" s="62" t="s">
        <v>325</v>
      </c>
      <c r="C16" s="6" t="s">
        <v>268</v>
      </c>
      <c r="D16" s="64" t="s">
        <v>326</v>
      </c>
      <c r="E16" s="2"/>
    </row>
    <row r="17" customFormat="false" ht="15" hidden="false" customHeight="false" outlineLevel="0" collapsed="false">
      <c r="B17" s="62" t="s">
        <v>327</v>
      </c>
      <c r="C17" s="66" t="str">
        <f aca="false">IF(WorkingWeek="Mon-Fri","0000011",IF(WorkingWeek="Sun-Thu","0000110",IF(WorkingWeek="Mon-Sat","0000001",IF(WorkMon="Yes","0","1")&amp;IF(WorkTue="Yes","0","1")&amp;IF(WorkWed="Yes","0","1")&amp;IF(WorkThu="Yes","0","1")&amp;IF(WorkFri="Yes","0","1")&amp;IF(WorkSat="Yes","0","1")&amp;IF(WorkSun="Yes","0","1"))))</f>
        <v>0000011</v>
      </c>
      <c r="D17" s="64" t="s">
        <v>328</v>
      </c>
      <c r="E17" s="2" t="s">
        <v>329</v>
      </c>
    </row>
    <row r="18" customFormat="false" ht="15" hidden="false" customHeight="false" outlineLevel="0" collapsed="false">
      <c r="B18" s="62" t="s">
        <v>330</v>
      </c>
      <c r="C18" s="7" t="n">
        <f aca="false">MAX(ProjectStart,StatusDate-14)</f>
        <v>46306</v>
      </c>
      <c r="D18" s="64" t="s">
        <v>331</v>
      </c>
      <c r="E18" s="2" t="s">
        <v>332</v>
      </c>
    </row>
    <row r="19" customFormat="false" ht="15" hidden="false" customHeight="false" outlineLevel="0" collapsed="false">
      <c r="B19" s="62" t="s">
        <v>333</v>
      </c>
      <c r="C19" s="7" t="n">
        <f aca="false">ViewFrom-WEEKDAY(ViewFrom,3)</f>
        <v>46300</v>
      </c>
      <c r="D19" s="64" t="s">
        <v>334</v>
      </c>
      <c r="E19" s="2" t="s">
        <v>335</v>
      </c>
    </row>
    <row r="20" customFormat="false" ht="15" hidden="false" customHeight="false" outlineLevel="0" collapsed="false">
      <c r="B20" s="62" t="s">
        <v>336</v>
      </c>
      <c r="C20" s="67" t="n">
        <v>1</v>
      </c>
      <c r="D20" s="64" t="s">
        <v>337</v>
      </c>
      <c r="E20" s="2" t="s">
        <v>338</v>
      </c>
    </row>
    <row r="21" customFormat="false" ht="15" hidden="false" customHeight="false" outlineLevel="0" collapsed="false">
      <c r="B21" s="62" t="s">
        <v>339</v>
      </c>
      <c r="C21" s="67" t="n">
        <v>9</v>
      </c>
      <c r="D21" s="64" t="s">
        <v>340</v>
      </c>
      <c r="E21" s="2" t="s">
        <v>341</v>
      </c>
    </row>
    <row r="22" customFormat="false" ht="15" hidden="false" customHeight="false" outlineLevel="0" collapsed="false">
      <c r="B22" s="62" t="s">
        <v>342</v>
      </c>
      <c r="C22" s="6" t="s">
        <v>250</v>
      </c>
      <c r="D22" s="64" t="s">
        <v>343</v>
      </c>
      <c r="E22" s="2" t="s">
        <v>344</v>
      </c>
    </row>
    <row r="23" customFormat="false" ht="15" hidden="false" customHeight="false" outlineLevel="0" collapsed="false">
      <c r="B23" s="62" t="s">
        <v>345</v>
      </c>
      <c r="C23" s="68" t="n">
        <f aca="false">DATE(YEAR(ProjectStart),MONTH(ProjectStart),1)</f>
        <v>46266</v>
      </c>
      <c r="D23" s="64" t="s">
        <v>346</v>
      </c>
      <c r="E23" s="2" t="s">
        <v>347</v>
      </c>
    </row>
    <row r="24" customFormat="false" ht="15" hidden="false" customHeight="false" outlineLevel="0" collapsed="false">
      <c r="B24" s="62" t="s">
        <v>348</v>
      </c>
      <c r="C24" s="65" t="n">
        <v>0.8</v>
      </c>
      <c r="D24" s="64" t="s">
        <v>349</v>
      </c>
      <c r="E24" s="2" t="s">
        <v>350</v>
      </c>
    </row>
    <row r="25" customFormat="false" ht="15" hidden="false" customHeight="false" outlineLevel="0" collapsed="false">
      <c r="B25" s="62" t="s">
        <v>351</v>
      </c>
      <c r="C25" s="69" t="n">
        <f aca="false">MAX(tsk_People)</f>
        <v>2</v>
      </c>
      <c r="D25" s="64" t="s">
        <v>352</v>
      </c>
      <c r="E25" s="2" t="s">
        <v>353</v>
      </c>
    </row>
    <row r="26" customFormat="false" ht="15" hidden="false" customHeight="false" outlineLevel="0" collapsed="false">
      <c r="B26" s="62" t="s">
        <v>354</v>
      </c>
      <c r="C26" s="67" t="n">
        <v>0</v>
      </c>
      <c r="D26" s="64" t="s">
        <v>355</v>
      </c>
      <c r="E26" s="2" t="s">
        <v>356</v>
      </c>
    </row>
    <row r="27" customFormat="false" ht="15" hidden="false" customHeight="false" outlineLevel="0" collapsed="false">
      <c r="B27" s="62" t="s">
        <v>357</v>
      </c>
      <c r="C27" s="63" t="n">
        <f aca="false">MAX(tsk_LeafFcstFinish)</f>
        <v>46324</v>
      </c>
      <c r="D27" s="64" t="s">
        <v>358</v>
      </c>
      <c r="E27" s="2" t="s">
        <v>359</v>
      </c>
    </row>
    <row r="28" customFormat="false" ht="15" hidden="false" customHeight="false" outlineLevel="0" collapsed="false">
      <c r="B28" s="62" t="s">
        <v>360</v>
      </c>
      <c r="C28" s="63" t="n">
        <f aca="false">MAX(tsk_PlanFinish)</f>
        <v>46318</v>
      </c>
      <c r="D28" s="64" t="s">
        <v>361</v>
      </c>
      <c r="E28" s="2" t="s">
        <v>362</v>
      </c>
    </row>
    <row r="29" customFormat="false" ht="15" hidden="false" customHeight="false" outlineLevel="0" collapsed="false">
      <c r="B29" s="62" t="s">
        <v>363</v>
      </c>
      <c r="C29" s="66" t="n">
        <f aca="false">COUNT(tsk_BaseStart)&gt;0</f>
        <v>1</v>
      </c>
      <c r="D29" s="64" t="s">
        <v>364</v>
      </c>
      <c r="E29" s="2" t="s">
        <v>365</v>
      </c>
    </row>
    <row r="30" customFormat="false" ht="15" hidden="false" customHeight="false" outlineLevel="0" collapsed="false">
      <c r="B30" s="62" t="s">
        <v>366</v>
      </c>
      <c r="C30" s="70" t="n">
        <f aca="false">IF(ProjectFinish&gt;=PlannedFinish,NETWORKDAYS.INTL(PlannedFinish,ProjectFinish,WorkWeek,Holidays)-1,1-NETWORKDAYS.INTL(ProjectFinish,PlannedFinish,WorkWeek,Holidays))</f>
        <v>4</v>
      </c>
      <c r="D30" s="64" t="s">
        <v>367</v>
      </c>
      <c r="E30" s="2" t="s">
        <v>368</v>
      </c>
    </row>
    <row r="31" customFormat="false" ht="15" hidden="false" customHeight="false" outlineLevel="0" collapsed="false">
      <c r="B31" s="62" t="s">
        <v>369</v>
      </c>
      <c r="C31" s="67" t="n">
        <v>10</v>
      </c>
      <c r="D31" s="64" t="s">
        <v>370</v>
      </c>
      <c r="E31" s="2" t="s">
        <v>371</v>
      </c>
    </row>
    <row r="32" customFormat="false" ht="15" hidden="false" customHeight="false" outlineLevel="0" collapsed="false">
      <c r="B32" s="62" t="s">
        <v>372</v>
      </c>
      <c r="C32" s="63" t="n">
        <f aca="false">WORKDAY.INTL(StatusDate-1,LookaheadDays,WorkWeek,Holidays)</f>
        <v>46332</v>
      </c>
      <c r="D32" s="64" t="s">
        <v>373</v>
      </c>
      <c r="E32" s="2"/>
    </row>
    <row r="33" customFormat="false" ht="15" hidden="false" customHeight="false" outlineLevel="0" collapsed="false">
      <c r="B33" s="62" t="s">
        <v>374</v>
      </c>
      <c r="C33" s="67" t="n">
        <f aca="false">IFERROR(INDEX(ProjectPresets[Amber Slip],MATCH(ProjectType,ProjectPresets[Project Type],0)),3)</f>
        <v>3</v>
      </c>
      <c r="D33" s="64" t="s">
        <v>375</v>
      </c>
      <c r="E33" s="2" t="s">
        <v>376</v>
      </c>
    </row>
    <row r="34" customFormat="false" ht="15" hidden="false" customHeight="false" outlineLevel="0" collapsed="false">
      <c r="B34" s="62" t="s">
        <v>377</v>
      </c>
      <c r="C34" s="67" t="n">
        <f aca="false">IFERROR(INDEX(ProjectPresets[Red Slip],MATCH(ProjectType,ProjectPresets[Project Type],0)),10)</f>
        <v>10</v>
      </c>
      <c r="D34" s="64" t="s">
        <v>378</v>
      </c>
      <c r="E34" s="2" t="s">
        <v>379</v>
      </c>
    </row>
    <row r="35" customFormat="false" ht="15" hidden="false" customHeight="false" outlineLevel="0" collapsed="false">
      <c r="B35" s="62" t="s">
        <v>380</v>
      </c>
      <c r="C35" s="71" t="n">
        <v>0.95</v>
      </c>
      <c r="D35" s="64" t="s">
        <v>381</v>
      </c>
      <c r="E35" s="2" t="s">
        <v>382</v>
      </c>
    </row>
    <row r="36" customFormat="false" ht="15" hidden="false" customHeight="false" outlineLevel="0" collapsed="false">
      <c r="B36" s="62" t="s">
        <v>383</v>
      </c>
      <c r="C36" s="71" t="n">
        <v>0.85</v>
      </c>
      <c r="D36" s="64" t="s">
        <v>384</v>
      </c>
      <c r="E36" s="2"/>
    </row>
    <row r="37" customFormat="false" ht="15" hidden="false" customHeight="false" outlineLevel="0" collapsed="false">
      <c r="B37" s="62" t="s">
        <v>385</v>
      </c>
      <c r="C37" s="67" t="n">
        <v>15</v>
      </c>
      <c r="D37" s="64" t="s">
        <v>386</v>
      </c>
      <c r="E37" s="2" t="s">
        <v>387</v>
      </c>
    </row>
    <row r="38" customFormat="false" ht="15" hidden="false" customHeight="false" outlineLevel="0" collapsed="false">
      <c r="B38" s="62" t="s">
        <v>388</v>
      </c>
      <c r="C38" s="67" t="n">
        <v>8</v>
      </c>
      <c r="D38" s="64" t="s">
        <v>389</v>
      </c>
      <c r="E38" s="2"/>
    </row>
    <row r="39" customFormat="false" ht="15" hidden="false" customHeight="false" outlineLevel="0" collapsed="false">
      <c r="B39" s="62" t="s">
        <v>390</v>
      </c>
      <c r="C39" s="7" t="n">
        <f aca="false">MAX(2,ViewFrom-WEEKDAY(ViewFrom,3))</f>
        <v>46300</v>
      </c>
      <c r="D39" s="64" t="s">
        <v>391</v>
      </c>
      <c r="E39" s="2" t="s">
        <v>392</v>
      </c>
    </row>
    <row r="40" customFormat="false" ht="15" hidden="false" customHeight="false" outlineLevel="0" collapsed="false">
      <c r="B40" s="62" t="s">
        <v>393</v>
      </c>
      <c r="C40" s="69" t="n">
        <f aca="false">MAX(tsk_UID)+1</f>
        <v>214</v>
      </c>
      <c r="D40" s="64" t="s">
        <v>394</v>
      </c>
      <c r="E40" s="2" t="s">
        <v>395</v>
      </c>
    </row>
    <row r="41" customFormat="false" ht="15" hidden="false" customHeight="false" outlineLevel="0" collapsed="false">
      <c r="B41" s="62" t="s">
        <v>396</v>
      </c>
      <c r="C41" s="6" t="s">
        <v>268</v>
      </c>
      <c r="D41" s="64" t="s">
        <v>397</v>
      </c>
      <c r="E41" s="2" t="s">
        <v>398</v>
      </c>
    </row>
    <row r="42" customFormat="false" ht="15" hidden="false" customHeight="false" outlineLevel="0" collapsed="false">
      <c r="B42" s="62" t="s">
        <v>399</v>
      </c>
      <c r="C42" s="69" t="n">
        <f aca="false">COUNTIF(tsk_Issues,"*is used twice*")</f>
        <v>0</v>
      </c>
      <c r="D42" s="64" t="s">
        <v>400</v>
      </c>
      <c r="E42" s="2" t="s">
        <v>401</v>
      </c>
    </row>
    <row r="43" customFormat="false" ht="15" hidden="false" customHeight="false" outlineLevel="0" collapsed="false">
      <c r="B43" s="62" t="s">
        <v>402</v>
      </c>
      <c r="C43" s="69" t="n">
        <f aca="false">COUNTIF(tsk_Issues,"No UID*")</f>
        <v>0</v>
      </c>
      <c r="D43" s="64" t="s">
        <v>403</v>
      </c>
      <c r="E43" s="2" t="s">
        <v>404</v>
      </c>
    </row>
    <row r="44" customFormat="false" ht="15" hidden="false" customHeight="false" outlineLevel="0" collapsed="false">
      <c r="B44" s="62" t="s">
        <v>405</v>
      </c>
      <c r="C44" s="6" t="s">
        <v>268</v>
      </c>
      <c r="D44" s="64" t="s">
        <v>70</v>
      </c>
      <c r="E44" s="2" t="s">
        <v>406</v>
      </c>
    </row>
    <row r="45" customFormat="false" ht="15" hidden="false" customHeight="false" outlineLevel="0" collapsed="false">
      <c r="B45" s="62" t="s">
        <v>407</v>
      </c>
      <c r="C45" s="63" t="n">
        <f aca="false">WORKDAY.INTL(ProjectFinish,ROUND(SUMIFS(tsk_PertShift,tsk_Critical,"Yes",tsk_IsLeaf,1),0),WorkWeek,Holidays)</f>
        <v>46322</v>
      </c>
      <c r="D45" s="64" t="s">
        <v>408</v>
      </c>
      <c r="E45" s="2" t="s">
        <v>409</v>
      </c>
    </row>
    <row r="46" customFormat="false" ht="15" hidden="false" customHeight="false" outlineLevel="0" collapsed="false">
      <c r="B46" s="62" t="s">
        <v>410</v>
      </c>
      <c r="C46" s="63" t="n">
        <f aca="false">WORKDAY.INTL(ProjectFinish,ROUND(SUMIFS(tsk_PertShift,tsk_Critical,"Yes",tsk_IsLeaf,1)+0.84*SQRT(SUMIFS(tsk_PertVariance,tsk_Critical,"Yes",tsk_IsLeaf,1)),0),WorkWeek,Holidays)</f>
        <v>46323</v>
      </c>
      <c r="D46" s="64" t="s">
        <v>411</v>
      </c>
      <c r="E46" s="2" t="s">
        <v>412</v>
      </c>
    </row>
    <row r="48" customFormat="false" ht="15" hidden="false" customHeight="false" outlineLevel="0" collapsed="false">
      <c r="B48" s="28" t="s">
        <v>413</v>
      </c>
    </row>
    <row r="49" customFormat="false" ht="15" hidden="false" customHeight="false" outlineLevel="0" collapsed="false">
      <c r="B49" s="18" t="s">
        <v>414</v>
      </c>
      <c r="C49" s="18" t="s">
        <v>415</v>
      </c>
    </row>
    <row r="50" customFormat="false" ht="15" hidden="false" customHeight="false" outlineLevel="0" collapsed="false">
      <c r="B50" s="23" t="str">
        <f aca="false">IFERROR(INDEX(ProjectPresets[[Stage 1]:[Stage 6]],MATCH(ProjectType,ProjectPresets[Project Type],0),ROW()-ROW(StageTable[[#Headers],[Stage]]))&amp;"","")</f>
        <v>Not Started</v>
      </c>
      <c r="C50" s="65" t="n">
        <f aca="false">N(IFERROR(INDEX(ProjectPresets[[% 1]:[% 6]],MATCH(ProjectType,ProjectPresets[Project Type],0),ROW()-ROW(StageTable[[#Headers],[Stage]])),0))</f>
        <v>0</v>
      </c>
    </row>
    <row r="51" customFormat="false" ht="15" hidden="false" customHeight="false" outlineLevel="0" collapsed="false">
      <c r="B51" s="23" t="str">
        <f aca="false">IFERROR(INDEX(ProjectPresets[[Stage 1]:[Stage 6]],MATCH(ProjectType,ProjectPresets[Project Type],0),ROW()-ROW(StageTable[[#Headers],[Stage]]))&amp;"","")</f>
        <v>Design</v>
      </c>
      <c r="C51" s="65" t="n">
        <f aca="false">N(IFERROR(INDEX(ProjectPresets[[% 1]:[% 6]],MATCH(ProjectType,ProjectPresets[Project Type],0),ROW()-ROW(StageTable[[#Headers],[Stage]])),0))</f>
        <v>0.15</v>
      </c>
    </row>
    <row r="52" customFormat="false" ht="15" hidden="false" customHeight="false" outlineLevel="0" collapsed="false">
      <c r="B52" s="23" t="str">
        <f aca="false">IFERROR(INDEX(ProjectPresets[[Stage 1]:[Stage 6]],MATCH(ProjectType,ProjectPresets[Project Type],0),ROW()-ROW(StageTable[[#Headers],[Stage]]))&amp;"","")</f>
        <v>In Development</v>
      </c>
      <c r="C52" s="65" t="n">
        <f aca="false">N(IFERROR(INDEX(ProjectPresets[[% 1]:[% 6]],MATCH(ProjectType,ProjectPresets[Project Type],0),ROW()-ROW(StageTable[[#Headers],[Stage]])),0))</f>
        <v>0.4</v>
      </c>
    </row>
    <row r="53" customFormat="false" ht="15" hidden="false" customHeight="false" outlineLevel="0" collapsed="false">
      <c r="B53" s="23" t="str">
        <f aca="false">IFERROR(INDEX(ProjectPresets[[Stage 1]:[Stage 6]],MATCH(ProjectType,ProjectPresets[Project Type],0),ROW()-ROW(StageTable[[#Headers],[Stage]]))&amp;"","")</f>
        <v>Test Ready</v>
      </c>
      <c r="C53" s="65" t="n">
        <f aca="false">N(IFERROR(INDEX(ProjectPresets[[% 1]:[% 6]],MATCH(ProjectType,ProjectPresets[Project Type],0),ROW()-ROW(StageTable[[#Headers],[Stage]])),0))</f>
        <v>0.7</v>
      </c>
    </row>
    <row r="54" customFormat="false" ht="15" hidden="false" customHeight="false" outlineLevel="0" collapsed="false">
      <c r="B54" s="23" t="str">
        <f aca="false">IFERROR(INDEX(ProjectPresets[[Stage 1]:[Stage 6]],MATCH(ProjectType,ProjectPresets[Project Type],0),ROW()-ROW(StageTable[[#Headers],[Stage]]))&amp;"","")</f>
        <v>In Testing</v>
      </c>
      <c r="C54" s="65" t="n">
        <f aca="false">N(IFERROR(INDEX(ProjectPresets[[% 1]:[% 6]],MATCH(ProjectType,ProjectPresets[Project Type],0),ROW()-ROW(StageTable[[#Headers],[Stage]])),0))</f>
        <v>0.85</v>
      </c>
    </row>
    <row r="55" customFormat="false" ht="15" hidden="false" customHeight="false" outlineLevel="0" collapsed="false">
      <c r="B55" s="23" t="str">
        <f aca="false">IFERROR(INDEX(ProjectPresets[[Stage 1]:[Stage 6]],MATCH(ProjectType,ProjectPresets[Project Type],0),ROW()-ROW(StageTable[[#Headers],[Stage]]))&amp;"","")</f>
        <v>Complete</v>
      </c>
      <c r="C55" s="65" t="n">
        <f aca="false">N(IFERROR(INDEX(ProjectPresets[[% 1]:[% 6]],MATCH(ProjectType,ProjectPresets[Project Type],0),ROW()-ROW(StageTable[[#Headers],[Stage]])),0))</f>
        <v>1</v>
      </c>
    </row>
    <row r="57" customFormat="false" ht="15" hidden="false" customHeight="false" outlineLevel="0" collapsed="false">
      <c r="B57" s="28" t="s">
        <v>416</v>
      </c>
    </row>
    <row r="58" customFormat="false" ht="15" hidden="false" customHeight="false" outlineLevel="0" collapsed="false">
      <c r="B58" s="18" t="s">
        <v>417</v>
      </c>
      <c r="C58" s="18" t="s">
        <v>418</v>
      </c>
    </row>
    <row r="59" customFormat="false" ht="15" hidden="false" customHeight="false" outlineLevel="0" collapsed="false">
      <c r="B59" s="7" t="n">
        <v>46380</v>
      </c>
      <c r="C59" s="23" t="s">
        <v>419</v>
      </c>
    </row>
    <row r="60" customFormat="false" ht="15" hidden="false" customHeight="false" outlineLevel="0" collapsed="false">
      <c r="B60" s="7" t="n">
        <v>46381</v>
      </c>
      <c r="C60" s="23" t="s">
        <v>420</v>
      </c>
    </row>
    <row r="61" customFormat="false" ht="15" hidden="false" customHeight="false" outlineLevel="0" collapsed="false">
      <c r="B61" s="7" t="n">
        <v>46387</v>
      </c>
      <c r="C61" s="23" t="s">
        <v>421</v>
      </c>
    </row>
    <row r="62" customFormat="false" ht="15" hidden="false" customHeight="false" outlineLevel="0" collapsed="false">
      <c r="B62" s="7" t="n">
        <v>46388</v>
      </c>
      <c r="C62" s="23" t="s">
        <v>422</v>
      </c>
    </row>
    <row r="63" customFormat="false" ht="15" hidden="false" customHeight="false" outlineLevel="0" collapsed="false">
      <c r="B63" s="7"/>
      <c r="C63" s="23"/>
    </row>
    <row r="64" customFormat="false" ht="15" hidden="false" customHeight="false" outlineLevel="0" collapsed="false">
      <c r="B64" s="7"/>
      <c r="C64" s="23"/>
    </row>
    <row r="65" customFormat="false" ht="15" hidden="false" customHeight="false" outlineLevel="0" collapsed="false">
      <c r="B65" s="7"/>
      <c r="C65" s="23"/>
    </row>
    <row r="66" customFormat="false" ht="15" hidden="false" customHeight="false" outlineLevel="0" collapsed="false">
      <c r="B66" s="7"/>
      <c r="C66" s="23"/>
    </row>
    <row r="67" customFormat="false" ht="15" hidden="false" customHeight="false" outlineLevel="0" collapsed="false">
      <c r="B67" s="7"/>
      <c r="C67" s="23"/>
    </row>
    <row r="68" customFormat="false" ht="15" hidden="false" customHeight="false" outlineLevel="0" collapsed="false">
      <c r="B68" s="7"/>
      <c r="C68" s="23"/>
    </row>
    <row r="69" customFormat="false" ht="15" hidden="false" customHeight="false" outlineLevel="0" collapsed="false">
      <c r="B69" s="7"/>
      <c r="C69" s="23"/>
    </row>
    <row r="70" customFormat="false" ht="15" hidden="false" customHeight="false" outlineLevel="0" collapsed="false">
      <c r="B70" s="7"/>
      <c r="C70" s="23"/>
    </row>
    <row r="71" customFormat="false" ht="15" hidden="false" customHeight="false" outlineLevel="0" collapsed="false">
      <c r="B71" s="7"/>
      <c r="C71" s="23"/>
    </row>
    <row r="72" customFormat="false" ht="15" hidden="false" customHeight="false" outlineLevel="0" collapsed="false">
      <c r="B72" s="7"/>
      <c r="C72" s="23"/>
    </row>
    <row r="73" customFormat="false" ht="15" hidden="false" customHeight="false" outlineLevel="0" collapsed="false">
      <c r="B73" s="7"/>
      <c r="C73" s="23"/>
    </row>
    <row r="74" customFormat="false" ht="15" hidden="false" customHeight="false" outlineLevel="0" collapsed="false">
      <c r="B74" s="7"/>
      <c r="C74" s="23"/>
    </row>
    <row r="75" customFormat="false" ht="15" hidden="false" customHeight="false" outlineLevel="0" collapsed="false">
      <c r="B75" s="7"/>
      <c r="C75" s="23"/>
    </row>
    <row r="76" customFormat="false" ht="15" hidden="false" customHeight="false" outlineLevel="0" collapsed="false">
      <c r="B76" s="7"/>
      <c r="C76" s="23"/>
    </row>
    <row r="77" customFormat="false" ht="15" hidden="false" customHeight="false" outlineLevel="0" collapsed="false">
      <c r="B77" s="7"/>
      <c r="C77" s="23"/>
    </row>
    <row r="78" customFormat="false" ht="15" hidden="false" customHeight="false" outlineLevel="0" collapsed="false">
      <c r="B78" s="7"/>
      <c r="C78" s="23"/>
    </row>
    <row r="79" customFormat="false" ht="15" hidden="false" customHeight="false" outlineLevel="0" collapsed="false">
      <c r="B79" s="7"/>
      <c r="C79" s="23"/>
    </row>
    <row r="80" customFormat="false" ht="15" hidden="false" customHeight="false" outlineLevel="0" collapsed="false">
      <c r="B80" s="7"/>
      <c r="C80" s="23"/>
    </row>
    <row r="81" customFormat="false" ht="15" hidden="false" customHeight="false" outlineLevel="0" collapsed="false">
      <c r="B81" s="7"/>
      <c r="C81" s="23"/>
    </row>
    <row r="82" customFormat="false" ht="15" hidden="false" customHeight="false" outlineLevel="0" collapsed="false">
      <c r="B82" s="7"/>
      <c r="C82" s="23"/>
    </row>
    <row r="83" customFormat="false" ht="15" hidden="false" customHeight="false" outlineLevel="0" collapsed="false">
      <c r="B83" s="7"/>
      <c r="C83" s="23"/>
    </row>
    <row r="84" customFormat="false" ht="15" hidden="false" customHeight="false" outlineLevel="0" collapsed="false">
      <c r="B84" s="7"/>
      <c r="C84" s="23"/>
    </row>
    <row r="85" customFormat="false" ht="15" hidden="false" customHeight="false" outlineLevel="0" collapsed="false">
      <c r="B85" s="7"/>
      <c r="C85" s="23"/>
    </row>
    <row r="86" customFormat="false" ht="15" hidden="false" customHeight="false" outlineLevel="0" collapsed="false">
      <c r="B86" s="7"/>
      <c r="C86" s="23"/>
    </row>
    <row r="87" customFormat="false" ht="15" hidden="false" customHeight="false" outlineLevel="0" collapsed="false">
      <c r="B87" s="7"/>
      <c r="C87" s="23"/>
    </row>
    <row r="88" customFormat="false" ht="15" hidden="false" customHeight="false" outlineLevel="0" collapsed="false">
      <c r="B88" s="7"/>
      <c r="C88" s="23"/>
    </row>
    <row r="89" customFormat="false" ht="15" hidden="false" customHeight="false" outlineLevel="0" collapsed="false">
      <c r="B89" s="7"/>
      <c r="C89" s="23"/>
    </row>
    <row r="90" customFormat="false" ht="15" hidden="false" customHeight="false" outlineLevel="0" collapsed="false">
      <c r="B90" s="7"/>
      <c r="C90" s="23"/>
    </row>
    <row r="91" customFormat="false" ht="15" hidden="false" customHeight="false" outlineLevel="0" collapsed="false">
      <c r="B91" s="7"/>
      <c r="C91" s="23"/>
    </row>
    <row r="92" customFormat="false" ht="15" hidden="false" customHeight="false" outlineLevel="0" collapsed="false">
      <c r="B92" s="7"/>
      <c r="C92" s="23"/>
    </row>
    <row r="93" customFormat="false" ht="15" hidden="false" customHeight="false" outlineLevel="0" collapsed="false">
      <c r="B93" s="7"/>
      <c r="C93" s="23"/>
    </row>
    <row r="94" customFormat="false" ht="15" hidden="false" customHeight="false" outlineLevel="0" collapsed="false">
      <c r="B94" s="7"/>
      <c r="C94" s="23"/>
    </row>
    <row r="95" customFormat="false" ht="15" hidden="false" customHeight="false" outlineLevel="0" collapsed="false">
      <c r="B95" s="7"/>
      <c r="C95" s="23"/>
    </row>
    <row r="96" customFormat="false" ht="15" hidden="false" customHeight="false" outlineLevel="0" collapsed="false">
      <c r="B96" s="7"/>
      <c r="C96" s="23"/>
    </row>
    <row r="97" customFormat="false" ht="15" hidden="false" customHeight="false" outlineLevel="0" collapsed="false">
      <c r="B97" s="7"/>
      <c r="C97" s="23"/>
    </row>
    <row r="98" customFormat="false" ht="15" hidden="false" customHeight="false" outlineLevel="0" collapsed="false">
      <c r="B98" s="7"/>
      <c r="C98" s="23"/>
    </row>
    <row r="99" customFormat="false" ht="15" hidden="false" customHeight="false" outlineLevel="0" collapsed="false">
      <c r="B99" s="7"/>
      <c r="C99" s="23"/>
    </row>
    <row r="100" customFormat="false" ht="15" hidden="false" customHeight="false" outlineLevel="0" collapsed="false">
      <c r="B100" s="7"/>
      <c r="C100" s="23"/>
    </row>
    <row r="101" customFormat="false" ht="15" hidden="false" customHeight="false" outlineLevel="0" collapsed="false">
      <c r="B101" s="7"/>
      <c r="C101" s="23"/>
    </row>
    <row r="102" customFormat="false" ht="15" hidden="false" customHeight="false" outlineLevel="0" collapsed="false">
      <c r="B102" s="7"/>
      <c r="C102" s="23"/>
    </row>
    <row r="103" customFormat="false" ht="15" hidden="false" customHeight="false" outlineLevel="0" collapsed="false">
      <c r="B103" s="7"/>
      <c r="C103" s="23"/>
    </row>
    <row r="104" customFormat="false" ht="15" hidden="false" customHeight="false" outlineLevel="0" collapsed="false">
      <c r="B104" s="7"/>
      <c r="C104" s="23"/>
    </row>
    <row r="105" customFormat="false" ht="15" hidden="false" customHeight="false" outlineLevel="0" collapsed="false">
      <c r="B105" s="7"/>
      <c r="C105" s="23"/>
    </row>
    <row r="106" customFormat="false" ht="15" hidden="false" customHeight="false" outlineLevel="0" collapsed="false">
      <c r="B106" s="7"/>
      <c r="C106" s="23"/>
    </row>
    <row r="107" customFormat="false" ht="15" hidden="false" customHeight="false" outlineLevel="0" collapsed="false">
      <c r="B107" s="7"/>
      <c r="C107" s="23"/>
    </row>
    <row r="108" customFormat="false" ht="15" hidden="false" customHeight="false" outlineLevel="0" collapsed="false">
      <c r="B108" s="7"/>
      <c r="C108" s="23"/>
    </row>
    <row r="109" customFormat="false" ht="15" hidden="false" customHeight="false" outlineLevel="0" collapsed="false">
      <c r="B109" s="7"/>
      <c r="C109" s="23"/>
    </row>
    <row r="110" customFormat="false" ht="15" hidden="false" customHeight="false" outlineLevel="0" collapsed="false">
      <c r="B110" s="7"/>
      <c r="C110" s="23"/>
    </row>
    <row r="111" customFormat="false" ht="15" hidden="false" customHeight="false" outlineLevel="0" collapsed="false">
      <c r="B111" s="7"/>
      <c r="C111" s="23"/>
    </row>
    <row r="112" customFormat="false" ht="15" hidden="false" customHeight="false" outlineLevel="0" collapsed="false">
      <c r="B112" s="7"/>
      <c r="C112" s="23"/>
    </row>
    <row r="113" customFormat="false" ht="15" hidden="false" customHeight="false" outlineLevel="0" collapsed="false">
      <c r="B113" s="7"/>
      <c r="C113" s="23"/>
    </row>
    <row r="114" customFormat="false" ht="15" hidden="false" customHeight="false" outlineLevel="0" collapsed="false">
      <c r="B114" s="7"/>
      <c r="C114" s="23"/>
    </row>
    <row r="115" customFormat="false" ht="15" hidden="false" customHeight="false" outlineLevel="0" collapsed="false">
      <c r="B115" s="7"/>
      <c r="C115" s="23"/>
    </row>
    <row r="116" customFormat="false" ht="15" hidden="false" customHeight="false" outlineLevel="0" collapsed="false">
      <c r="B116" s="7"/>
      <c r="C116" s="23"/>
    </row>
    <row r="117" customFormat="false" ht="15" hidden="false" customHeight="false" outlineLevel="0" collapsed="false">
      <c r="B117" s="7"/>
      <c r="C117" s="23"/>
    </row>
    <row r="118" customFormat="false" ht="15" hidden="false" customHeight="false" outlineLevel="0" collapsed="false">
      <c r="B118" s="7"/>
      <c r="C118" s="23"/>
    </row>
    <row r="119" customFormat="false" ht="15" hidden="false" customHeight="false" outlineLevel="0" collapsed="false">
      <c r="B119" s="7"/>
      <c r="C119" s="23"/>
    </row>
    <row r="120" customFormat="false" ht="15" hidden="false" customHeight="false" outlineLevel="0" collapsed="false">
      <c r="B120" s="7"/>
      <c r="C120" s="23"/>
    </row>
    <row r="121" customFormat="false" ht="15" hidden="false" customHeight="false" outlineLevel="0" collapsed="false">
      <c r="B121" s="7"/>
      <c r="C121" s="23"/>
    </row>
    <row r="122" customFormat="false" ht="15" hidden="false" customHeight="false" outlineLevel="0" collapsed="false">
      <c r="B122" s="7"/>
      <c r="C122" s="23"/>
    </row>
    <row r="123" customFormat="false" ht="15" hidden="false" customHeight="false" outlineLevel="0" collapsed="false">
      <c r="B123" s="7"/>
      <c r="C123" s="23"/>
    </row>
    <row r="124" customFormat="false" ht="15" hidden="false" customHeight="false" outlineLevel="0" collapsed="false">
      <c r="B124" s="7"/>
      <c r="C124" s="23"/>
    </row>
    <row r="125" customFormat="false" ht="15" hidden="false" customHeight="false" outlineLevel="0" collapsed="false">
      <c r="B125" s="7"/>
      <c r="C125" s="23"/>
    </row>
    <row r="126" customFormat="false" ht="15" hidden="false" customHeight="false" outlineLevel="0" collapsed="false">
      <c r="B126" s="7"/>
      <c r="C126" s="23"/>
    </row>
    <row r="127" customFormat="false" ht="15" hidden="false" customHeight="false" outlineLevel="0" collapsed="false">
      <c r="B127" s="7"/>
      <c r="C127" s="23"/>
    </row>
    <row r="128" customFormat="false" ht="15" hidden="false" customHeight="false" outlineLevel="0" collapsed="false">
      <c r="B128" s="7"/>
      <c r="C128" s="23"/>
    </row>
    <row r="129" customFormat="false" ht="15" hidden="false" customHeight="false" outlineLevel="0" collapsed="false">
      <c r="B129" s="7"/>
      <c r="C129" s="23"/>
    </row>
    <row r="130" customFormat="false" ht="15" hidden="false" customHeight="false" outlineLevel="0" collapsed="false">
      <c r="B130" s="7"/>
      <c r="C130" s="23"/>
    </row>
    <row r="131" customFormat="false" ht="15" hidden="false" customHeight="false" outlineLevel="0" collapsed="false">
      <c r="B131" s="7"/>
      <c r="C131" s="23"/>
    </row>
    <row r="132" customFormat="false" ht="15" hidden="false" customHeight="false" outlineLevel="0" collapsed="false">
      <c r="B132" s="7"/>
      <c r="C132" s="23"/>
    </row>
    <row r="133" customFormat="false" ht="15" hidden="false" customHeight="false" outlineLevel="0" collapsed="false">
      <c r="B133" s="7"/>
      <c r="C133" s="23"/>
    </row>
    <row r="134" customFormat="false" ht="15" hidden="false" customHeight="false" outlineLevel="0" collapsed="false">
      <c r="B134" s="7"/>
      <c r="C134" s="23"/>
    </row>
    <row r="135" customFormat="false" ht="15" hidden="false" customHeight="false" outlineLevel="0" collapsed="false">
      <c r="B135" s="7"/>
      <c r="C135" s="23"/>
    </row>
    <row r="136" customFormat="false" ht="15" hidden="false" customHeight="false" outlineLevel="0" collapsed="false">
      <c r="B136" s="7"/>
      <c r="C136" s="23"/>
    </row>
    <row r="137" customFormat="false" ht="15" hidden="false" customHeight="false" outlineLevel="0" collapsed="false">
      <c r="B137" s="7"/>
      <c r="C137" s="23"/>
    </row>
    <row r="138" customFormat="false" ht="15" hidden="false" customHeight="false" outlineLevel="0" collapsed="false">
      <c r="B138" s="7"/>
      <c r="C138" s="23"/>
    </row>
    <row r="139" customFormat="false" ht="15" hidden="false" customHeight="false" outlineLevel="0" collapsed="false">
      <c r="B139" s="7"/>
      <c r="C139" s="23"/>
    </row>
    <row r="140" customFormat="false" ht="15" hidden="false" customHeight="false" outlineLevel="0" collapsed="false">
      <c r="B140" s="7"/>
      <c r="C140" s="23"/>
    </row>
    <row r="141" customFormat="false" ht="15" hidden="false" customHeight="false" outlineLevel="0" collapsed="false">
      <c r="B141" s="7"/>
      <c r="C141" s="23"/>
    </row>
    <row r="142" customFormat="false" ht="15" hidden="false" customHeight="false" outlineLevel="0" collapsed="false">
      <c r="B142" s="7"/>
      <c r="C142" s="23"/>
    </row>
    <row r="143" customFormat="false" ht="15" hidden="false" customHeight="false" outlineLevel="0" collapsed="false">
      <c r="B143" s="7"/>
      <c r="C143" s="23"/>
    </row>
    <row r="144" customFormat="false" ht="15" hidden="false" customHeight="false" outlineLevel="0" collapsed="false">
      <c r="B144" s="7"/>
      <c r="C144" s="23"/>
    </row>
    <row r="145" customFormat="false" ht="15" hidden="false" customHeight="false" outlineLevel="0" collapsed="false">
      <c r="B145" s="7"/>
      <c r="C145" s="23"/>
    </row>
    <row r="146" customFormat="false" ht="15" hidden="false" customHeight="false" outlineLevel="0" collapsed="false">
      <c r="B146" s="7"/>
      <c r="C146" s="23"/>
    </row>
    <row r="147" customFormat="false" ht="15" hidden="false" customHeight="false" outlineLevel="0" collapsed="false">
      <c r="B147" s="7"/>
      <c r="C147" s="23"/>
    </row>
    <row r="148" customFormat="false" ht="15" hidden="false" customHeight="false" outlineLevel="0" collapsed="false">
      <c r="B148" s="7"/>
      <c r="C148" s="23"/>
    </row>
    <row r="149" customFormat="false" ht="15" hidden="false" customHeight="false" outlineLevel="0" collapsed="false">
      <c r="B149" s="7"/>
      <c r="C149" s="23"/>
    </row>
    <row r="150" customFormat="false" ht="15" hidden="false" customHeight="false" outlineLevel="0" collapsed="false">
      <c r="B150" s="7"/>
      <c r="C150" s="23"/>
    </row>
    <row r="151" customFormat="false" ht="15" hidden="false" customHeight="false" outlineLevel="0" collapsed="false">
      <c r="B151" s="7"/>
      <c r="C151" s="23"/>
    </row>
    <row r="152" customFormat="false" ht="15" hidden="false" customHeight="false" outlineLevel="0" collapsed="false">
      <c r="B152" s="7"/>
      <c r="C152" s="23"/>
    </row>
    <row r="153" customFormat="false" ht="15" hidden="false" customHeight="false" outlineLevel="0" collapsed="false">
      <c r="B153" s="7"/>
      <c r="C153" s="23"/>
    </row>
    <row r="154" customFormat="false" ht="15" hidden="false" customHeight="false" outlineLevel="0" collapsed="false">
      <c r="B154" s="7"/>
      <c r="C154" s="23"/>
    </row>
    <row r="155" customFormat="false" ht="15" hidden="false" customHeight="false" outlineLevel="0" collapsed="false">
      <c r="B155" s="7"/>
      <c r="C155" s="23"/>
    </row>
    <row r="156" customFormat="false" ht="15" hidden="false" customHeight="false" outlineLevel="0" collapsed="false">
      <c r="B156" s="7"/>
      <c r="C156" s="23"/>
    </row>
    <row r="157" customFormat="false" ht="15" hidden="false" customHeight="false" outlineLevel="0" collapsed="false">
      <c r="B157" s="7"/>
      <c r="C157" s="23"/>
    </row>
    <row r="158" customFormat="false" ht="15" hidden="false" customHeight="false" outlineLevel="0" collapsed="false">
      <c r="B158" s="7"/>
      <c r="C158" s="23"/>
    </row>
  </sheetData>
  <dataValidations count="3">
    <dataValidation allowBlank="false" errorStyle="stop" operator="between" showDropDown="false" showErrorMessage="false" showInputMessage="false" sqref="C8 C10:C16 C22 C41 C44" type="list">
      <formula1>L_YesNo</formula1>
      <formula2>0</formula2>
    </dataValidation>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NB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1"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8" min="7" style="0" width="6"/>
    <col collapsed="false" customWidth="true" hidden="true" outlineLevel="1" max="9" min="9" style="0" width="16"/>
    <col collapsed="false" customWidth="true" hidden="true" outlineLevel="1" max="11" min="10" style="0" width="6"/>
    <col collapsed="false" customWidth="true" hidden="true" outlineLevel="1" max="12" min="12" style="0" width="16"/>
    <col collapsed="false" customWidth="true" hidden="true" outlineLevel="1" max="14" min="13" style="0" width="6"/>
    <col collapsed="false" customWidth="true" hidden="true" outlineLevel="1" max="15" min="15" style="0" width="16"/>
    <col collapsed="false" customWidth="true" hidden="true" outlineLevel="1" max="17" min="16" style="0" width="6"/>
    <col collapsed="false" customWidth="true" hidden="true" outlineLevel="1" max="18" min="18" style="0" width="16"/>
    <col collapsed="false" customWidth="true" hidden="false" outlineLevel="0" max="19" min="19" style="0" width="18"/>
    <col collapsed="false" customWidth="true" hidden="false" outlineLevel="0" max="20" min="20" style="0" width="7"/>
    <col collapsed="false" customWidth="true" hidden="true" outlineLevel="1" max="21" min="21" style="0" width="18"/>
    <col collapsed="false" customWidth="true" hidden="true" outlineLevel="1" max="22" min="22" style="0" width="7"/>
    <col collapsed="false" customWidth="true" hidden="true" outlineLevel="1" max="23" min="23" style="0" width="18"/>
    <col collapsed="false" customWidth="true" hidden="true" outlineLevel="1" max="24" min="24" style="0" width="7"/>
    <col collapsed="false" customWidth="true" hidden="true" outlineLevel="1" max="25" min="25" style="0" width="18"/>
    <col collapsed="false" customWidth="true" hidden="true" outlineLevel="1" max="26" min="26" style="0" width="7"/>
    <col collapsed="false" customWidth="true" hidden="true" outlineLevel="1" max="27" min="27" style="0" width="20"/>
    <col collapsed="false" customWidth="true" hidden="false" outlineLevel="0" max="28" min="28" style="0" width="14"/>
    <col collapsed="false" customWidth="true" hidden="false" outlineLevel="0" max="32" min="29" style="0" width="15"/>
    <col collapsed="false" customWidth="true" hidden="true" outlineLevel="0" max="33" min="33" style="0" width="10"/>
    <col collapsed="false" customWidth="true" hidden="false" outlineLevel="0" max="34" min="34" style="0" width="40"/>
    <col collapsed="false" customWidth="true" hidden="false" outlineLevel="0" max="35" min="35" style="0" width="34"/>
    <col collapsed="false" customWidth="true" hidden="false" outlineLevel="0" max="36" min="36" style="0" width="15"/>
    <col collapsed="false" customWidth="true" hidden="true" outlineLevel="1" max="37" min="37" style="0" width="8"/>
    <col collapsed="false" customWidth="true" hidden="true" outlineLevel="1" max="38" min="38" style="0" width="20"/>
    <col collapsed="false" customWidth="true" hidden="true" outlineLevel="1" max="39" min="39" style="0" width="15"/>
    <col collapsed="false" customWidth="true" hidden="false" outlineLevel="0" max="40" min="40" style="0" width="8"/>
    <col collapsed="false" customWidth="true" hidden="true" outlineLevel="1" max="41" min="41" style="0" width="12"/>
    <col collapsed="false" customWidth="true" hidden="true" outlineLevel="1" max="42" min="42" style="0" width="8"/>
    <col collapsed="false" customWidth="true" hidden="true" outlineLevel="1" max="44" min="43" style="0" width="15"/>
    <col collapsed="false" customWidth="true" hidden="true" outlineLevel="1" max="45" min="45" style="0" width="8"/>
    <col collapsed="false" customWidth="true" hidden="true" outlineLevel="1" max="47" min="46" style="0" width="15"/>
    <col collapsed="false" customWidth="true" hidden="true" outlineLevel="1" max="49" min="48" style="0" width="8"/>
    <col collapsed="false" customWidth="true" hidden="true" outlineLevel="1" max="50" min="50" style="0" width="12"/>
    <col collapsed="false" customWidth="true" hidden="true" outlineLevel="1" max="51" min="51" style="0" width="24"/>
    <col collapsed="false" customWidth="true" hidden="true" outlineLevel="1" max="53" min="52" style="0" width="9"/>
    <col collapsed="false" customWidth="true" hidden="true" outlineLevel="1" max="54" min="54" style="0" width="14"/>
    <col collapsed="false" customWidth="true" hidden="true" outlineLevel="1" max="55" min="55" style="0" width="8"/>
    <col collapsed="false" customWidth="true" hidden="true" outlineLevel="1" max="56" min="56" style="0" width="6"/>
    <col collapsed="false" customWidth="true" hidden="false" outlineLevel="0" max="57" min="57" style="0" width="9"/>
    <col collapsed="false" customWidth="true" hidden="true" outlineLevel="1" max="58" min="58" style="0" width="16"/>
    <col collapsed="false" customWidth="true" hidden="true" outlineLevel="1" max="59" min="59" style="0" width="22"/>
    <col collapsed="false" customWidth="true" hidden="true" outlineLevel="1" max="60" min="60" style="0" width="9"/>
    <col collapsed="false" customWidth="true" hidden="false" outlineLevel="0" max="61" min="61" style="0" width="8"/>
    <col collapsed="false" customWidth="true" hidden="true" outlineLevel="1" max="62" min="62" style="0" width="11"/>
    <col collapsed="false" customWidth="true" hidden="false" outlineLevel="0" max="63" min="63" style="0" width="9"/>
    <col collapsed="false" customWidth="true" hidden="true" outlineLevel="1" max="64" min="64" style="0" width="9"/>
    <col collapsed="false" customWidth="true" hidden="true" outlineLevel="1" max="66" min="65" style="0" width="15"/>
    <col collapsed="false" customWidth="true" hidden="true" outlineLevel="1" max="68" min="67" style="0" width="9"/>
    <col collapsed="false" customWidth="true" hidden="true" outlineLevel="1" max="70" min="69" style="0" width="15"/>
    <col collapsed="false" customWidth="true" hidden="true" outlineLevel="1" max="72" min="71" style="0" width="9"/>
    <col collapsed="false" customWidth="true" hidden="false" outlineLevel="0" max="73" min="73" style="0" width="16"/>
    <col collapsed="false" customWidth="true" hidden="true" outlineLevel="1" max="75" min="74" style="0" width="18"/>
    <col collapsed="false" customWidth="true" hidden="false" outlineLevel="0" max="76" min="76" style="0" width="9"/>
    <col collapsed="false" customWidth="true" hidden="true" outlineLevel="1" max="78" min="77" style="0" width="9"/>
    <col collapsed="false" customWidth="true" hidden="true" outlineLevel="1" max="79" min="79" style="0" width="10"/>
    <col collapsed="false" customWidth="true" hidden="true" outlineLevel="2" max="213" min="80" style="0" width="11"/>
    <col collapsed="false" customWidth="true" hidden="true" outlineLevel="2" max="215" min="214" style="0" width="8"/>
    <col collapsed="false" customWidth="true" hidden="false" outlineLevel="0" max="216" min="216" style="0" width="1"/>
    <col collapsed="false" customWidth="true" hidden="false" outlineLevel="0" max="366" min="217" style="0" width="2.9"/>
  </cols>
  <sheetData>
    <row r="1" customFormat="false" ht="19.7" hidden="false" customHeight="false" outlineLevel="0" collapsed="false">
      <c r="A1" s="14" t="str">
        <f aca="false">ProjectName&amp;"  -  Task Entry"</f>
        <v>Customer Portal Implementation  -  Task Entry</v>
      </c>
      <c r="HI1" s="72"/>
      <c r="HJ1" s="73" t="s">
        <v>208</v>
      </c>
      <c r="HT1" s="56"/>
      <c r="HU1" s="73" t="s">
        <v>423</v>
      </c>
      <c r="IE1" s="74"/>
      <c r="IF1" s="73" t="s">
        <v>424</v>
      </c>
      <c r="IP1" s="75"/>
      <c r="IQ1" s="73" t="s">
        <v>425</v>
      </c>
      <c r="JA1" s="57"/>
      <c r="JB1" s="73" t="s">
        <v>426</v>
      </c>
      <c r="JL1" s="76"/>
      <c r="JM1" s="73" t="s">
        <v>427</v>
      </c>
    </row>
    <row r="2" customFormat="false" ht="15" hidden="false" customHeight="false" outlineLevel="0" collapsed="false">
      <c r="A2" s="2" t="s">
        <v>428</v>
      </c>
      <c r="HI2" s="77"/>
      <c r="HJ2" s="73" t="s">
        <v>429</v>
      </c>
      <c r="HT2" s="59"/>
      <c r="HU2" s="73" t="s">
        <v>430</v>
      </c>
      <c r="IE2" s="60"/>
      <c r="IF2" s="73" t="s">
        <v>204</v>
      </c>
      <c r="IP2" s="78"/>
      <c r="IQ2" s="73" t="s">
        <v>431</v>
      </c>
      <c r="JA2" s="79"/>
      <c r="JB2" s="73" t="s">
        <v>432</v>
      </c>
    </row>
    <row r="3" customFormat="false" ht="15" hidden="false" customHeight="false" outlineLevel="0" collapsed="false">
      <c r="A3" s="28" t="str">
        <f aca="false">"Next free UID for a new row: "&amp;NextFreeUID</f>
        <v>Next free UID for a new row: 214</v>
      </c>
      <c r="AA3" s="80" t="s">
        <v>433</v>
      </c>
      <c r="H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N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N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28" t="s">
        <v>434</v>
      </c>
      <c r="F4" s="28" t="s">
        <v>435</v>
      </c>
      <c r="H4" s="28" t="s">
        <v>436</v>
      </c>
      <c r="S4" s="28" t="s">
        <v>437</v>
      </c>
      <c r="T4" s="28" t="s">
        <v>438</v>
      </c>
      <c r="AB4" s="28" t="s">
        <v>439</v>
      </c>
      <c r="AJ4" s="28" t="s">
        <v>440</v>
      </c>
      <c r="AN4" s="28" t="s">
        <v>441</v>
      </c>
      <c r="BE4" s="28" t="s">
        <v>442</v>
      </c>
      <c r="BI4" s="28" t="s">
        <v>443</v>
      </c>
      <c r="BK4" s="28" t="s">
        <v>444</v>
      </c>
      <c r="BU4" s="28" t="s">
        <v>66</v>
      </c>
      <c r="BX4" s="28" t="s">
        <v>445</v>
      </c>
      <c r="CB4" s="28" t="s">
        <v>446</v>
      </c>
      <c r="H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H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I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J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K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L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N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42" hidden="false" customHeight="true" outlineLevel="0" collapsed="false">
      <c r="A5" s="17" t="s">
        <v>447</v>
      </c>
      <c r="B5" s="18" t="s">
        <v>448</v>
      </c>
      <c r="C5" s="18" t="s">
        <v>449</v>
      </c>
      <c r="D5" s="18" t="s">
        <v>450</v>
      </c>
      <c r="E5" s="18" t="s">
        <v>60</v>
      </c>
      <c r="F5" s="18" t="s">
        <v>451</v>
      </c>
      <c r="G5" s="18" t="s">
        <v>452</v>
      </c>
      <c r="H5" s="18" t="s">
        <v>453</v>
      </c>
      <c r="I5" s="18" t="s">
        <v>454</v>
      </c>
      <c r="J5" s="18" t="s">
        <v>455</v>
      </c>
      <c r="K5" s="18" t="s">
        <v>456</v>
      </c>
      <c r="L5" s="18" t="s">
        <v>457</v>
      </c>
      <c r="M5" s="18" t="s">
        <v>458</v>
      </c>
      <c r="N5" s="18" t="s">
        <v>459</v>
      </c>
      <c r="O5" s="18" t="s">
        <v>460</v>
      </c>
      <c r="P5" s="18" t="s">
        <v>461</v>
      </c>
      <c r="Q5" s="18" t="s">
        <v>462</v>
      </c>
      <c r="R5" s="18" t="s">
        <v>83</v>
      </c>
      <c r="S5" s="18" t="s">
        <v>463</v>
      </c>
      <c r="T5" s="18" t="s">
        <v>464</v>
      </c>
      <c r="U5" s="18" t="s">
        <v>465</v>
      </c>
      <c r="V5" s="18" t="s">
        <v>466</v>
      </c>
      <c r="W5" s="18" t="s">
        <v>467</v>
      </c>
      <c r="X5" s="18" t="s">
        <v>468</v>
      </c>
      <c r="Y5" s="18" t="s">
        <v>469</v>
      </c>
      <c r="Z5" s="18" t="s">
        <v>470</v>
      </c>
      <c r="AA5" s="18" t="s">
        <v>177</v>
      </c>
      <c r="AB5" s="18" t="s">
        <v>414</v>
      </c>
      <c r="AC5" s="18" t="s">
        <v>471</v>
      </c>
      <c r="AD5" s="18" t="s">
        <v>472</v>
      </c>
      <c r="AE5" s="17" t="s">
        <v>183</v>
      </c>
      <c r="AF5" s="17" t="s">
        <v>178</v>
      </c>
      <c r="AG5" s="17" t="s">
        <v>473</v>
      </c>
      <c r="AH5" s="18" t="s">
        <v>187</v>
      </c>
      <c r="AI5" s="17" t="s">
        <v>474</v>
      </c>
      <c r="AJ5" s="18" t="s">
        <v>204</v>
      </c>
      <c r="AK5" s="18" t="s">
        <v>85</v>
      </c>
      <c r="AL5" s="18" t="s">
        <v>220</v>
      </c>
      <c r="AM5" s="18" t="s">
        <v>475</v>
      </c>
      <c r="AN5" s="17" t="s">
        <v>179</v>
      </c>
      <c r="AO5" s="17" t="s">
        <v>146</v>
      </c>
      <c r="AP5" s="17" t="s">
        <v>180</v>
      </c>
      <c r="AQ5" s="17" t="s">
        <v>196</v>
      </c>
      <c r="AR5" s="17" t="s">
        <v>197</v>
      </c>
      <c r="AS5" s="17" t="s">
        <v>476</v>
      </c>
      <c r="AT5" s="17" t="s">
        <v>157</v>
      </c>
      <c r="AU5" s="17" t="s">
        <v>477</v>
      </c>
      <c r="AV5" s="17" t="s">
        <v>184</v>
      </c>
      <c r="AW5" s="17" t="s">
        <v>478</v>
      </c>
      <c r="AX5" s="17" t="s">
        <v>182</v>
      </c>
      <c r="AY5" s="17" t="s">
        <v>479</v>
      </c>
      <c r="AZ5" s="18" t="s">
        <v>415</v>
      </c>
      <c r="BA5" s="17" t="s">
        <v>181</v>
      </c>
      <c r="BB5" s="17" t="s">
        <v>480</v>
      </c>
      <c r="BC5" s="17" t="s">
        <v>193</v>
      </c>
      <c r="BD5" s="17" t="s">
        <v>481</v>
      </c>
      <c r="BE5" s="17" t="s">
        <v>251</v>
      </c>
      <c r="BF5" s="18" t="s">
        <v>195</v>
      </c>
      <c r="BG5" s="17" t="s">
        <v>482</v>
      </c>
      <c r="BH5" s="17" t="s">
        <v>483</v>
      </c>
      <c r="BI5" s="18" t="s">
        <v>484</v>
      </c>
      <c r="BJ5" s="18" t="s">
        <v>485</v>
      </c>
      <c r="BK5" s="17" t="s">
        <v>486</v>
      </c>
      <c r="BL5" s="17" t="s">
        <v>487</v>
      </c>
      <c r="BM5" s="17" t="s">
        <v>488</v>
      </c>
      <c r="BN5" s="17" t="s">
        <v>489</v>
      </c>
      <c r="BO5" s="17" t="s">
        <v>490</v>
      </c>
      <c r="BP5" s="17" t="s">
        <v>491</v>
      </c>
      <c r="BQ5" s="18" t="s">
        <v>492</v>
      </c>
      <c r="BR5" s="18" t="s">
        <v>493</v>
      </c>
      <c r="BS5" s="18" t="s">
        <v>494</v>
      </c>
      <c r="BT5" s="18" t="s">
        <v>495</v>
      </c>
      <c r="BU5" s="18" t="s">
        <v>496</v>
      </c>
      <c r="BV5" s="18" t="s">
        <v>497</v>
      </c>
      <c r="BW5" s="18" t="s">
        <v>498</v>
      </c>
      <c r="BX5" s="17" t="s">
        <v>499</v>
      </c>
      <c r="BY5" s="18" t="s">
        <v>500</v>
      </c>
      <c r="BZ5" s="18" t="s">
        <v>501</v>
      </c>
      <c r="CA5" s="18" t="s">
        <v>502</v>
      </c>
      <c r="CB5" s="42" t="s">
        <v>503</v>
      </c>
      <c r="CC5" s="42" t="s">
        <v>504</v>
      </c>
      <c r="CD5" s="42" t="s">
        <v>505</v>
      </c>
      <c r="CE5" s="42" t="s">
        <v>506</v>
      </c>
      <c r="CF5" s="42" t="s">
        <v>507</v>
      </c>
      <c r="CG5" s="42" t="s">
        <v>508</v>
      </c>
      <c r="CH5" s="42" t="s">
        <v>509</v>
      </c>
      <c r="CI5" s="42" t="s">
        <v>510</v>
      </c>
      <c r="CJ5" s="42" t="s">
        <v>511</v>
      </c>
      <c r="CK5" s="42" t="s">
        <v>512</v>
      </c>
      <c r="CL5" s="42" t="s">
        <v>513</v>
      </c>
      <c r="CM5" s="42" t="s">
        <v>514</v>
      </c>
      <c r="CN5" s="42" t="s">
        <v>515</v>
      </c>
      <c r="CO5" s="42" t="s">
        <v>516</v>
      </c>
      <c r="CP5" s="42" t="s">
        <v>517</v>
      </c>
      <c r="CQ5" s="42" t="s">
        <v>518</v>
      </c>
      <c r="CR5" s="42" t="s">
        <v>519</v>
      </c>
      <c r="CS5" s="42" t="s">
        <v>520</v>
      </c>
      <c r="CT5" s="42" t="s">
        <v>521</v>
      </c>
      <c r="CU5" s="42" t="s">
        <v>522</v>
      </c>
      <c r="CV5" s="42" t="s">
        <v>523</v>
      </c>
      <c r="CW5" s="42" t="s">
        <v>524</v>
      </c>
      <c r="CX5" s="42" t="s">
        <v>525</v>
      </c>
      <c r="CY5" s="42" t="s">
        <v>526</v>
      </c>
      <c r="CZ5" s="42" t="s">
        <v>527</v>
      </c>
      <c r="DA5" s="42" t="s">
        <v>528</v>
      </c>
      <c r="DB5" s="42" t="s">
        <v>529</v>
      </c>
      <c r="DC5" s="42" t="s">
        <v>530</v>
      </c>
      <c r="DD5" s="42" t="s">
        <v>531</v>
      </c>
      <c r="DE5" s="42" t="s">
        <v>532</v>
      </c>
      <c r="DF5" s="42" t="s">
        <v>533</v>
      </c>
      <c r="DG5" s="42" t="s">
        <v>534</v>
      </c>
      <c r="DH5" s="42" t="s">
        <v>535</v>
      </c>
      <c r="DI5" s="42" t="s">
        <v>536</v>
      </c>
      <c r="DJ5" s="42" t="s">
        <v>537</v>
      </c>
      <c r="DK5" s="42" t="s">
        <v>538</v>
      </c>
      <c r="DL5" s="42" t="s">
        <v>539</v>
      </c>
      <c r="DM5" s="42" t="s">
        <v>540</v>
      </c>
      <c r="DN5" s="42" t="s">
        <v>541</v>
      </c>
      <c r="DO5" s="42" t="s">
        <v>542</v>
      </c>
      <c r="DP5" s="42" t="s">
        <v>543</v>
      </c>
      <c r="DQ5" s="42" t="s">
        <v>544</v>
      </c>
      <c r="DR5" s="42" t="s">
        <v>545</v>
      </c>
      <c r="DS5" s="42" t="s">
        <v>546</v>
      </c>
      <c r="DT5" s="42" t="s">
        <v>547</v>
      </c>
      <c r="DU5" s="42" t="s">
        <v>548</v>
      </c>
      <c r="DV5" s="42" t="s">
        <v>549</v>
      </c>
      <c r="DW5" s="42" t="s">
        <v>550</v>
      </c>
      <c r="DX5" s="42" t="s">
        <v>551</v>
      </c>
      <c r="DY5" s="42" t="s">
        <v>552</v>
      </c>
      <c r="DZ5" s="42" t="s">
        <v>553</v>
      </c>
      <c r="EA5" s="42" t="s">
        <v>554</v>
      </c>
      <c r="EB5" s="42" t="s">
        <v>555</v>
      </c>
      <c r="EC5" s="42" t="s">
        <v>556</v>
      </c>
      <c r="ED5" s="42" t="s">
        <v>557</v>
      </c>
      <c r="EE5" s="42" t="s">
        <v>558</v>
      </c>
      <c r="EF5" s="42" t="s">
        <v>559</v>
      </c>
      <c r="EG5" s="42" t="s">
        <v>560</v>
      </c>
      <c r="EH5" s="42" t="s">
        <v>561</v>
      </c>
      <c r="EI5" s="42" t="s">
        <v>562</v>
      </c>
      <c r="EJ5" s="42" t="s">
        <v>563</v>
      </c>
      <c r="EK5" s="42" t="s">
        <v>564</v>
      </c>
      <c r="EL5" s="42" t="s">
        <v>565</v>
      </c>
      <c r="EM5" s="42" t="s">
        <v>566</v>
      </c>
      <c r="EN5" s="42" t="s">
        <v>567</v>
      </c>
      <c r="EO5" s="42" t="s">
        <v>568</v>
      </c>
      <c r="EP5" s="42" t="s">
        <v>569</v>
      </c>
      <c r="EQ5" s="42" t="s">
        <v>570</v>
      </c>
      <c r="ER5" s="42" t="s">
        <v>571</v>
      </c>
      <c r="ES5" s="42" t="s">
        <v>572</v>
      </c>
      <c r="ET5" s="42" t="s">
        <v>573</v>
      </c>
      <c r="EU5" s="42" t="s">
        <v>574</v>
      </c>
      <c r="EV5" s="42" t="s">
        <v>575</v>
      </c>
      <c r="EW5" s="42" t="s">
        <v>576</v>
      </c>
      <c r="EX5" s="42" t="s">
        <v>577</v>
      </c>
      <c r="EY5" s="42" t="s">
        <v>578</v>
      </c>
      <c r="EZ5" s="42" t="s">
        <v>579</v>
      </c>
      <c r="FA5" s="42" t="s">
        <v>580</v>
      </c>
      <c r="FB5" s="42" t="s">
        <v>581</v>
      </c>
      <c r="FC5" s="42" t="s">
        <v>582</v>
      </c>
      <c r="FD5" s="42" t="s">
        <v>583</v>
      </c>
      <c r="FE5" s="42" t="s">
        <v>584</v>
      </c>
      <c r="FF5" s="42" t="s">
        <v>585</v>
      </c>
      <c r="FG5" s="42" t="s">
        <v>586</v>
      </c>
      <c r="FH5" s="42" t="s">
        <v>587</v>
      </c>
      <c r="FI5" s="42" t="s">
        <v>588</v>
      </c>
      <c r="FJ5" s="42" t="s">
        <v>589</v>
      </c>
      <c r="FK5" s="42" t="s">
        <v>590</v>
      </c>
      <c r="FL5" s="42" t="s">
        <v>591</v>
      </c>
      <c r="FM5" s="42" t="s">
        <v>592</v>
      </c>
      <c r="FN5" s="42" t="s">
        <v>593</v>
      </c>
      <c r="FO5" s="42" t="s">
        <v>594</v>
      </c>
      <c r="FP5" s="42" t="s">
        <v>595</v>
      </c>
      <c r="FQ5" s="42" t="s">
        <v>596</v>
      </c>
      <c r="FR5" s="42" t="s">
        <v>597</v>
      </c>
      <c r="FS5" s="42" t="s">
        <v>598</v>
      </c>
      <c r="FT5" s="42" t="s">
        <v>599</v>
      </c>
      <c r="FU5" s="42" t="s">
        <v>600</v>
      </c>
      <c r="FV5" s="42" t="s">
        <v>601</v>
      </c>
      <c r="FW5" s="42" t="s">
        <v>602</v>
      </c>
      <c r="FX5" s="42" t="s">
        <v>603</v>
      </c>
      <c r="FY5" s="42" t="s">
        <v>604</v>
      </c>
      <c r="FZ5" s="42" t="s">
        <v>605</v>
      </c>
      <c r="GA5" s="42" t="s">
        <v>606</v>
      </c>
      <c r="GB5" s="42" t="s">
        <v>607</v>
      </c>
      <c r="GC5" s="42" t="s">
        <v>608</v>
      </c>
      <c r="GD5" s="42" t="s">
        <v>609</v>
      </c>
      <c r="GE5" s="42" t="s">
        <v>610</v>
      </c>
      <c r="GF5" s="42" t="s">
        <v>611</v>
      </c>
      <c r="GG5" s="42" t="s">
        <v>612</v>
      </c>
      <c r="GH5" s="42" t="s">
        <v>613</v>
      </c>
      <c r="GI5" s="42" t="s">
        <v>614</v>
      </c>
      <c r="GJ5" s="42" t="s">
        <v>615</v>
      </c>
      <c r="GK5" s="42" t="s">
        <v>616</v>
      </c>
      <c r="GL5" s="42" t="s">
        <v>617</v>
      </c>
      <c r="GM5" s="42" t="s">
        <v>618</v>
      </c>
      <c r="GN5" s="42" t="s">
        <v>619</v>
      </c>
      <c r="GO5" s="42" t="s">
        <v>620</v>
      </c>
      <c r="GP5" s="42" t="s">
        <v>621</v>
      </c>
      <c r="GQ5" s="42" t="s">
        <v>622</v>
      </c>
      <c r="GR5" s="42" t="s">
        <v>623</v>
      </c>
      <c r="GS5" s="42" t="s">
        <v>624</v>
      </c>
      <c r="GT5" s="42" t="s">
        <v>625</v>
      </c>
      <c r="GU5" s="42" t="s">
        <v>626</v>
      </c>
      <c r="GV5" s="42" t="s">
        <v>627</v>
      </c>
      <c r="GW5" s="42" t="s">
        <v>628</v>
      </c>
      <c r="GX5" s="42" t="s">
        <v>629</v>
      </c>
      <c r="GY5" s="42" t="s">
        <v>630</v>
      </c>
      <c r="GZ5" s="42" t="s">
        <v>631</v>
      </c>
      <c r="HA5" s="42" t="s">
        <v>632</v>
      </c>
      <c r="HB5" s="42" t="s">
        <v>633</v>
      </c>
      <c r="HC5" s="42" t="s">
        <v>634</v>
      </c>
      <c r="HD5" s="42" t="s">
        <v>635</v>
      </c>
      <c r="HE5" s="42" t="s">
        <v>636</v>
      </c>
      <c r="HF5" s="42" t="s">
        <v>637</v>
      </c>
      <c r="HG5" s="42" t="s">
        <v>638</v>
      </c>
      <c r="HI5" s="83" t="n">
        <f aca="false">IF(GanttPeriod&lt;28,GanttStart+((COLUMN()-COLUMN(gantt_Origin))-1)*GanttPeriod,EDATE(DATE(YEAR(GanttStart),MONTH(GanttStart)-IF(GanttPeriod&gt;=90,MOD(MONTH(GanttStart)-1,3),0),1),((COLUMN()-COLUMN(gantt_Origin))-1)*IF(GanttPeriod&gt;=90,3,1)))</f>
        <v>46300</v>
      </c>
      <c r="HJ5" s="83" t="n">
        <f aca="false">IF(GanttPeriod&lt;28,GanttStart+((COLUMN()-COLUMN(gantt_Origin))-1)*GanttPeriod,EDATE(DATE(YEAR(GanttStart),MONTH(GanttStart)-IF(GanttPeriod&gt;=90,MOD(MONTH(GanttStart)-1,3),0),1),((COLUMN()-COLUMN(gantt_Origin))-1)*IF(GanttPeriod&gt;=90,3,1)))</f>
        <v>46301</v>
      </c>
      <c r="HK5" s="83" t="n">
        <f aca="false">IF(GanttPeriod&lt;28,GanttStart+((COLUMN()-COLUMN(gantt_Origin))-1)*GanttPeriod,EDATE(DATE(YEAR(GanttStart),MONTH(GanttStart)-IF(GanttPeriod&gt;=90,MOD(MONTH(GanttStart)-1,3),0),1),((COLUMN()-COLUMN(gantt_Origin))-1)*IF(GanttPeriod&gt;=90,3,1)))</f>
        <v>46302</v>
      </c>
      <c r="HL5" s="83" t="n">
        <f aca="false">IF(GanttPeriod&lt;28,GanttStart+((COLUMN()-COLUMN(gantt_Origin))-1)*GanttPeriod,EDATE(DATE(YEAR(GanttStart),MONTH(GanttStart)-IF(GanttPeriod&gt;=90,MOD(MONTH(GanttStart)-1,3),0),1),((COLUMN()-COLUMN(gantt_Origin))-1)*IF(GanttPeriod&gt;=90,3,1)))</f>
        <v>46303</v>
      </c>
      <c r="HM5" s="83" t="n">
        <f aca="false">IF(GanttPeriod&lt;28,GanttStart+((COLUMN()-COLUMN(gantt_Origin))-1)*GanttPeriod,EDATE(DATE(YEAR(GanttStart),MONTH(GanttStart)-IF(GanttPeriod&gt;=90,MOD(MONTH(GanttStart)-1,3),0),1),((COLUMN()-COLUMN(gantt_Origin))-1)*IF(GanttPeriod&gt;=90,3,1)))</f>
        <v>46304</v>
      </c>
      <c r="HN5" s="83" t="n">
        <f aca="false">IF(GanttPeriod&lt;28,GanttStart+((COLUMN()-COLUMN(gantt_Origin))-1)*GanttPeriod,EDATE(DATE(YEAR(GanttStart),MONTH(GanttStart)-IF(GanttPeriod&gt;=90,MOD(MONTH(GanttStart)-1,3),0),1),((COLUMN()-COLUMN(gantt_Origin))-1)*IF(GanttPeriod&gt;=90,3,1)))</f>
        <v>46305</v>
      </c>
      <c r="HO5" s="83" t="n">
        <f aca="false">IF(GanttPeriod&lt;28,GanttStart+((COLUMN()-COLUMN(gantt_Origin))-1)*GanttPeriod,EDATE(DATE(YEAR(GanttStart),MONTH(GanttStart)-IF(GanttPeriod&gt;=90,MOD(MONTH(GanttStart)-1,3),0),1),((COLUMN()-COLUMN(gantt_Origin))-1)*IF(GanttPeriod&gt;=90,3,1)))</f>
        <v>46306</v>
      </c>
      <c r="HP5" s="83" t="n">
        <f aca="false">IF(GanttPeriod&lt;28,GanttStart+((COLUMN()-COLUMN(gantt_Origin))-1)*GanttPeriod,EDATE(DATE(YEAR(GanttStart),MONTH(GanttStart)-IF(GanttPeriod&gt;=90,MOD(MONTH(GanttStart)-1,3),0),1),((COLUMN()-COLUMN(gantt_Origin))-1)*IF(GanttPeriod&gt;=90,3,1)))</f>
        <v>46307</v>
      </c>
      <c r="HQ5" s="83" t="n">
        <f aca="false">IF(GanttPeriod&lt;28,GanttStart+((COLUMN()-COLUMN(gantt_Origin))-1)*GanttPeriod,EDATE(DATE(YEAR(GanttStart),MONTH(GanttStart)-IF(GanttPeriod&gt;=90,MOD(MONTH(GanttStart)-1,3),0),1),((COLUMN()-COLUMN(gantt_Origin))-1)*IF(GanttPeriod&gt;=90,3,1)))</f>
        <v>46308</v>
      </c>
      <c r="HR5" s="83" t="n">
        <f aca="false">IF(GanttPeriod&lt;28,GanttStart+((COLUMN()-COLUMN(gantt_Origin))-1)*GanttPeriod,EDATE(DATE(YEAR(GanttStart),MONTH(GanttStart)-IF(GanttPeriod&gt;=90,MOD(MONTH(GanttStart)-1,3),0),1),((COLUMN()-COLUMN(gantt_Origin))-1)*IF(GanttPeriod&gt;=90,3,1)))</f>
        <v>46309</v>
      </c>
      <c r="HS5" s="83" t="n">
        <f aca="false">IF(GanttPeriod&lt;28,GanttStart+((COLUMN()-COLUMN(gantt_Origin))-1)*GanttPeriod,EDATE(DATE(YEAR(GanttStart),MONTH(GanttStart)-IF(GanttPeriod&gt;=90,MOD(MONTH(GanttStart)-1,3),0),1),((COLUMN()-COLUMN(gantt_Origin))-1)*IF(GanttPeriod&gt;=90,3,1)))</f>
        <v>46310</v>
      </c>
      <c r="HT5" s="83" t="n">
        <f aca="false">IF(GanttPeriod&lt;28,GanttStart+((COLUMN()-COLUMN(gantt_Origin))-1)*GanttPeriod,EDATE(DATE(YEAR(GanttStart),MONTH(GanttStart)-IF(GanttPeriod&gt;=90,MOD(MONTH(GanttStart)-1,3),0),1),((COLUMN()-COLUMN(gantt_Origin))-1)*IF(GanttPeriod&gt;=90,3,1)))</f>
        <v>46311</v>
      </c>
      <c r="HU5" s="83" t="n">
        <f aca="false">IF(GanttPeriod&lt;28,GanttStart+((COLUMN()-COLUMN(gantt_Origin))-1)*GanttPeriod,EDATE(DATE(YEAR(GanttStart),MONTH(GanttStart)-IF(GanttPeriod&gt;=90,MOD(MONTH(GanttStart)-1,3),0),1),((COLUMN()-COLUMN(gantt_Origin))-1)*IF(GanttPeriod&gt;=90,3,1)))</f>
        <v>46312</v>
      </c>
      <c r="HV5" s="83" t="n">
        <f aca="false">IF(GanttPeriod&lt;28,GanttStart+((COLUMN()-COLUMN(gantt_Origin))-1)*GanttPeriod,EDATE(DATE(YEAR(GanttStart),MONTH(GanttStart)-IF(GanttPeriod&gt;=90,MOD(MONTH(GanttStart)-1,3),0),1),((COLUMN()-COLUMN(gantt_Origin))-1)*IF(GanttPeriod&gt;=90,3,1)))</f>
        <v>46313</v>
      </c>
      <c r="HW5" s="83" t="n">
        <f aca="false">IF(GanttPeriod&lt;28,GanttStart+((COLUMN()-COLUMN(gantt_Origin))-1)*GanttPeriod,EDATE(DATE(YEAR(GanttStart),MONTH(GanttStart)-IF(GanttPeriod&gt;=90,MOD(MONTH(GanttStart)-1,3),0),1),((COLUMN()-COLUMN(gantt_Origin))-1)*IF(GanttPeriod&gt;=90,3,1)))</f>
        <v>46314</v>
      </c>
      <c r="HX5" s="83" t="n">
        <f aca="false">IF(GanttPeriod&lt;28,GanttStart+((COLUMN()-COLUMN(gantt_Origin))-1)*GanttPeriod,EDATE(DATE(YEAR(GanttStart),MONTH(GanttStart)-IF(GanttPeriod&gt;=90,MOD(MONTH(GanttStart)-1,3),0),1),((COLUMN()-COLUMN(gantt_Origin))-1)*IF(GanttPeriod&gt;=90,3,1)))</f>
        <v>46315</v>
      </c>
      <c r="HY5" s="83" t="n">
        <f aca="false">IF(GanttPeriod&lt;28,GanttStart+((COLUMN()-COLUMN(gantt_Origin))-1)*GanttPeriod,EDATE(DATE(YEAR(GanttStart),MONTH(GanttStart)-IF(GanttPeriod&gt;=90,MOD(MONTH(GanttStart)-1,3),0),1),((COLUMN()-COLUMN(gantt_Origin))-1)*IF(GanttPeriod&gt;=90,3,1)))</f>
        <v>46316</v>
      </c>
      <c r="HZ5" s="83" t="n">
        <f aca="false">IF(GanttPeriod&lt;28,GanttStart+((COLUMN()-COLUMN(gantt_Origin))-1)*GanttPeriod,EDATE(DATE(YEAR(GanttStart),MONTH(GanttStart)-IF(GanttPeriod&gt;=90,MOD(MONTH(GanttStart)-1,3),0),1),((COLUMN()-COLUMN(gantt_Origin))-1)*IF(GanttPeriod&gt;=90,3,1)))</f>
        <v>46317</v>
      </c>
      <c r="IA5" s="83" t="n">
        <f aca="false">IF(GanttPeriod&lt;28,GanttStart+((COLUMN()-COLUMN(gantt_Origin))-1)*GanttPeriod,EDATE(DATE(YEAR(GanttStart),MONTH(GanttStart)-IF(GanttPeriod&gt;=90,MOD(MONTH(GanttStart)-1,3),0),1),((COLUMN()-COLUMN(gantt_Origin))-1)*IF(GanttPeriod&gt;=90,3,1)))</f>
        <v>46318</v>
      </c>
      <c r="IB5" s="83" t="n">
        <f aca="false">IF(GanttPeriod&lt;28,GanttStart+((COLUMN()-COLUMN(gantt_Origin))-1)*GanttPeriod,EDATE(DATE(YEAR(GanttStart),MONTH(GanttStart)-IF(GanttPeriod&gt;=90,MOD(MONTH(GanttStart)-1,3),0),1),((COLUMN()-COLUMN(gantt_Origin))-1)*IF(GanttPeriod&gt;=90,3,1)))</f>
        <v>46319</v>
      </c>
      <c r="IC5" s="83" t="n">
        <f aca="false">IF(GanttPeriod&lt;28,GanttStart+((COLUMN()-COLUMN(gantt_Origin))-1)*GanttPeriod,EDATE(DATE(YEAR(GanttStart),MONTH(GanttStart)-IF(GanttPeriod&gt;=90,MOD(MONTH(GanttStart)-1,3),0),1),((COLUMN()-COLUMN(gantt_Origin))-1)*IF(GanttPeriod&gt;=90,3,1)))</f>
        <v>46320</v>
      </c>
      <c r="ID5" s="83" t="n">
        <f aca="false">IF(GanttPeriod&lt;28,GanttStart+((COLUMN()-COLUMN(gantt_Origin))-1)*GanttPeriod,EDATE(DATE(YEAR(GanttStart),MONTH(GanttStart)-IF(GanttPeriod&gt;=90,MOD(MONTH(GanttStart)-1,3),0),1),((COLUMN()-COLUMN(gantt_Origin))-1)*IF(GanttPeriod&gt;=90,3,1)))</f>
        <v>46321</v>
      </c>
      <c r="IE5" s="83" t="n">
        <f aca="false">IF(GanttPeriod&lt;28,GanttStart+((COLUMN()-COLUMN(gantt_Origin))-1)*GanttPeriod,EDATE(DATE(YEAR(GanttStart),MONTH(GanttStart)-IF(GanttPeriod&gt;=90,MOD(MONTH(GanttStart)-1,3),0),1),((COLUMN()-COLUMN(gantt_Origin))-1)*IF(GanttPeriod&gt;=90,3,1)))</f>
        <v>46322</v>
      </c>
      <c r="IF5" s="83" t="n">
        <f aca="false">IF(GanttPeriod&lt;28,GanttStart+((COLUMN()-COLUMN(gantt_Origin))-1)*GanttPeriod,EDATE(DATE(YEAR(GanttStart),MONTH(GanttStart)-IF(GanttPeriod&gt;=90,MOD(MONTH(GanttStart)-1,3),0),1),((COLUMN()-COLUMN(gantt_Origin))-1)*IF(GanttPeriod&gt;=90,3,1)))</f>
        <v>46323</v>
      </c>
      <c r="IG5" s="83" t="n">
        <f aca="false">IF(GanttPeriod&lt;28,GanttStart+((COLUMN()-COLUMN(gantt_Origin))-1)*GanttPeriod,EDATE(DATE(YEAR(GanttStart),MONTH(GanttStart)-IF(GanttPeriod&gt;=90,MOD(MONTH(GanttStart)-1,3),0),1),((COLUMN()-COLUMN(gantt_Origin))-1)*IF(GanttPeriod&gt;=90,3,1)))</f>
        <v>46324</v>
      </c>
      <c r="IH5" s="83" t="n">
        <f aca="false">IF(GanttPeriod&lt;28,GanttStart+((COLUMN()-COLUMN(gantt_Origin))-1)*GanttPeriod,EDATE(DATE(YEAR(GanttStart),MONTH(GanttStart)-IF(GanttPeriod&gt;=90,MOD(MONTH(GanttStart)-1,3),0),1),((COLUMN()-COLUMN(gantt_Origin))-1)*IF(GanttPeriod&gt;=90,3,1)))</f>
        <v>46325</v>
      </c>
      <c r="II5" s="83" t="n">
        <f aca="false">IF(GanttPeriod&lt;28,GanttStart+((COLUMN()-COLUMN(gantt_Origin))-1)*GanttPeriod,EDATE(DATE(YEAR(GanttStart),MONTH(GanttStart)-IF(GanttPeriod&gt;=90,MOD(MONTH(GanttStart)-1,3),0),1),((COLUMN()-COLUMN(gantt_Origin))-1)*IF(GanttPeriod&gt;=90,3,1)))</f>
        <v>46326</v>
      </c>
      <c r="IJ5" s="83" t="n">
        <f aca="false">IF(GanttPeriod&lt;28,GanttStart+((COLUMN()-COLUMN(gantt_Origin))-1)*GanttPeriod,EDATE(DATE(YEAR(GanttStart),MONTH(GanttStart)-IF(GanttPeriod&gt;=90,MOD(MONTH(GanttStart)-1,3),0),1),((COLUMN()-COLUMN(gantt_Origin))-1)*IF(GanttPeriod&gt;=90,3,1)))</f>
        <v>46327</v>
      </c>
      <c r="IK5" s="83" t="n">
        <f aca="false">IF(GanttPeriod&lt;28,GanttStart+((COLUMN()-COLUMN(gantt_Origin))-1)*GanttPeriod,EDATE(DATE(YEAR(GanttStart),MONTH(GanttStart)-IF(GanttPeriod&gt;=90,MOD(MONTH(GanttStart)-1,3),0),1),((COLUMN()-COLUMN(gantt_Origin))-1)*IF(GanttPeriod&gt;=90,3,1)))</f>
        <v>46328</v>
      </c>
      <c r="IL5" s="83" t="n">
        <f aca="false">IF(GanttPeriod&lt;28,GanttStart+((COLUMN()-COLUMN(gantt_Origin))-1)*GanttPeriod,EDATE(DATE(YEAR(GanttStart),MONTH(GanttStart)-IF(GanttPeriod&gt;=90,MOD(MONTH(GanttStart)-1,3),0),1),((COLUMN()-COLUMN(gantt_Origin))-1)*IF(GanttPeriod&gt;=90,3,1)))</f>
        <v>46329</v>
      </c>
      <c r="IM5" s="83" t="n">
        <f aca="false">IF(GanttPeriod&lt;28,GanttStart+((COLUMN()-COLUMN(gantt_Origin))-1)*GanttPeriod,EDATE(DATE(YEAR(GanttStart),MONTH(GanttStart)-IF(GanttPeriod&gt;=90,MOD(MONTH(GanttStart)-1,3),0),1),((COLUMN()-COLUMN(gantt_Origin))-1)*IF(GanttPeriod&gt;=90,3,1)))</f>
        <v>46330</v>
      </c>
      <c r="IN5" s="83" t="n">
        <f aca="false">IF(GanttPeriod&lt;28,GanttStart+((COLUMN()-COLUMN(gantt_Origin))-1)*GanttPeriod,EDATE(DATE(YEAR(GanttStart),MONTH(GanttStart)-IF(GanttPeriod&gt;=90,MOD(MONTH(GanttStart)-1,3),0),1),((COLUMN()-COLUMN(gantt_Origin))-1)*IF(GanttPeriod&gt;=90,3,1)))</f>
        <v>46331</v>
      </c>
      <c r="IO5" s="83" t="n">
        <f aca="false">IF(GanttPeriod&lt;28,GanttStart+((COLUMN()-COLUMN(gantt_Origin))-1)*GanttPeriod,EDATE(DATE(YEAR(GanttStart),MONTH(GanttStart)-IF(GanttPeriod&gt;=90,MOD(MONTH(GanttStart)-1,3),0),1),((COLUMN()-COLUMN(gantt_Origin))-1)*IF(GanttPeriod&gt;=90,3,1)))</f>
        <v>46332</v>
      </c>
      <c r="IP5" s="83" t="n">
        <f aca="false">IF(GanttPeriod&lt;28,GanttStart+((COLUMN()-COLUMN(gantt_Origin))-1)*GanttPeriod,EDATE(DATE(YEAR(GanttStart),MONTH(GanttStart)-IF(GanttPeriod&gt;=90,MOD(MONTH(GanttStart)-1,3),0),1),((COLUMN()-COLUMN(gantt_Origin))-1)*IF(GanttPeriod&gt;=90,3,1)))</f>
        <v>46333</v>
      </c>
      <c r="IQ5" s="83" t="n">
        <f aca="false">IF(GanttPeriod&lt;28,GanttStart+((COLUMN()-COLUMN(gantt_Origin))-1)*GanttPeriod,EDATE(DATE(YEAR(GanttStart),MONTH(GanttStart)-IF(GanttPeriod&gt;=90,MOD(MONTH(GanttStart)-1,3),0),1),((COLUMN()-COLUMN(gantt_Origin))-1)*IF(GanttPeriod&gt;=90,3,1)))</f>
        <v>46334</v>
      </c>
      <c r="IR5" s="83" t="n">
        <f aca="false">IF(GanttPeriod&lt;28,GanttStart+((COLUMN()-COLUMN(gantt_Origin))-1)*GanttPeriod,EDATE(DATE(YEAR(GanttStart),MONTH(GanttStart)-IF(GanttPeriod&gt;=90,MOD(MONTH(GanttStart)-1,3),0),1),((COLUMN()-COLUMN(gantt_Origin))-1)*IF(GanttPeriod&gt;=90,3,1)))</f>
        <v>46335</v>
      </c>
      <c r="IS5" s="83" t="n">
        <f aca="false">IF(GanttPeriod&lt;28,GanttStart+((COLUMN()-COLUMN(gantt_Origin))-1)*GanttPeriod,EDATE(DATE(YEAR(GanttStart),MONTH(GanttStart)-IF(GanttPeriod&gt;=90,MOD(MONTH(GanttStart)-1,3),0),1),((COLUMN()-COLUMN(gantt_Origin))-1)*IF(GanttPeriod&gt;=90,3,1)))</f>
        <v>46336</v>
      </c>
      <c r="IT5" s="83" t="n">
        <f aca="false">IF(GanttPeriod&lt;28,GanttStart+((COLUMN()-COLUMN(gantt_Origin))-1)*GanttPeriod,EDATE(DATE(YEAR(GanttStart),MONTH(GanttStart)-IF(GanttPeriod&gt;=90,MOD(MONTH(GanttStart)-1,3),0),1),((COLUMN()-COLUMN(gantt_Origin))-1)*IF(GanttPeriod&gt;=90,3,1)))</f>
        <v>46337</v>
      </c>
      <c r="IU5" s="83" t="n">
        <f aca="false">IF(GanttPeriod&lt;28,GanttStart+((COLUMN()-COLUMN(gantt_Origin))-1)*GanttPeriod,EDATE(DATE(YEAR(GanttStart),MONTH(GanttStart)-IF(GanttPeriod&gt;=90,MOD(MONTH(GanttStart)-1,3),0),1),((COLUMN()-COLUMN(gantt_Origin))-1)*IF(GanttPeriod&gt;=90,3,1)))</f>
        <v>46338</v>
      </c>
      <c r="IV5" s="83" t="n">
        <f aca="false">IF(GanttPeriod&lt;28,GanttStart+((COLUMN()-COLUMN(gantt_Origin))-1)*GanttPeriod,EDATE(DATE(YEAR(GanttStart),MONTH(GanttStart)-IF(GanttPeriod&gt;=90,MOD(MONTH(GanttStart)-1,3),0),1),((COLUMN()-COLUMN(gantt_Origin))-1)*IF(GanttPeriod&gt;=90,3,1)))</f>
        <v>46339</v>
      </c>
      <c r="IW5" s="83" t="n">
        <f aca="false">IF(GanttPeriod&lt;28,GanttStart+((COLUMN()-COLUMN(gantt_Origin))-1)*GanttPeriod,EDATE(DATE(YEAR(GanttStart),MONTH(GanttStart)-IF(GanttPeriod&gt;=90,MOD(MONTH(GanttStart)-1,3),0),1),((COLUMN()-COLUMN(gantt_Origin))-1)*IF(GanttPeriod&gt;=90,3,1)))</f>
        <v>46340</v>
      </c>
      <c r="IX5" s="83" t="n">
        <f aca="false">IF(GanttPeriod&lt;28,GanttStart+((COLUMN()-COLUMN(gantt_Origin))-1)*GanttPeriod,EDATE(DATE(YEAR(GanttStart),MONTH(GanttStart)-IF(GanttPeriod&gt;=90,MOD(MONTH(GanttStart)-1,3),0),1),((COLUMN()-COLUMN(gantt_Origin))-1)*IF(GanttPeriod&gt;=90,3,1)))</f>
        <v>46341</v>
      </c>
      <c r="IY5" s="83" t="n">
        <f aca="false">IF(GanttPeriod&lt;28,GanttStart+((COLUMN()-COLUMN(gantt_Origin))-1)*GanttPeriod,EDATE(DATE(YEAR(GanttStart),MONTH(GanttStart)-IF(GanttPeriod&gt;=90,MOD(MONTH(GanttStart)-1,3),0),1),((COLUMN()-COLUMN(gantt_Origin))-1)*IF(GanttPeriod&gt;=90,3,1)))</f>
        <v>46342</v>
      </c>
      <c r="IZ5" s="83" t="n">
        <f aca="false">IF(GanttPeriod&lt;28,GanttStart+((COLUMN()-COLUMN(gantt_Origin))-1)*GanttPeriod,EDATE(DATE(YEAR(GanttStart),MONTH(GanttStart)-IF(GanttPeriod&gt;=90,MOD(MONTH(GanttStart)-1,3),0),1),((COLUMN()-COLUMN(gantt_Origin))-1)*IF(GanttPeriod&gt;=90,3,1)))</f>
        <v>46343</v>
      </c>
      <c r="JA5" s="83" t="n">
        <f aca="false">IF(GanttPeriod&lt;28,GanttStart+((COLUMN()-COLUMN(gantt_Origin))-1)*GanttPeriod,EDATE(DATE(YEAR(GanttStart),MONTH(GanttStart)-IF(GanttPeriod&gt;=90,MOD(MONTH(GanttStart)-1,3),0),1),((COLUMN()-COLUMN(gantt_Origin))-1)*IF(GanttPeriod&gt;=90,3,1)))</f>
        <v>46344</v>
      </c>
      <c r="JB5" s="83" t="n">
        <f aca="false">IF(GanttPeriod&lt;28,GanttStart+((COLUMN()-COLUMN(gantt_Origin))-1)*GanttPeriod,EDATE(DATE(YEAR(GanttStart),MONTH(GanttStart)-IF(GanttPeriod&gt;=90,MOD(MONTH(GanttStart)-1,3),0),1),((COLUMN()-COLUMN(gantt_Origin))-1)*IF(GanttPeriod&gt;=90,3,1)))</f>
        <v>46345</v>
      </c>
      <c r="JC5" s="83" t="n">
        <f aca="false">IF(GanttPeriod&lt;28,GanttStart+((COLUMN()-COLUMN(gantt_Origin))-1)*GanttPeriod,EDATE(DATE(YEAR(GanttStart),MONTH(GanttStart)-IF(GanttPeriod&gt;=90,MOD(MONTH(GanttStart)-1,3),0),1),((COLUMN()-COLUMN(gantt_Origin))-1)*IF(GanttPeriod&gt;=90,3,1)))</f>
        <v>46346</v>
      </c>
      <c r="JD5" s="83" t="n">
        <f aca="false">IF(GanttPeriod&lt;28,GanttStart+((COLUMN()-COLUMN(gantt_Origin))-1)*GanttPeriod,EDATE(DATE(YEAR(GanttStart),MONTH(GanttStart)-IF(GanttPeriod&gt;=90,MOD(MONTH(GanttStart)-1,3),0),1),((COLUMN()-COLUMN(gantt_Origin))-1)*IF(GanttPeriod&gt;=90,3,1)))</f>
        <v>46347</v>
      </c>
      <c r="JE5" s="83" t="n">
        <f aca="false">IF(GanttPeriod&lt;28,GanttStart+((COLUMN()-COLUMN(gantt_Origin))-1)*GanttPeriod,EDATE(DATE(YEAR(GanttStart),MONTH(GanttStart)-IF(GanttPeriod&gt;=90,MOD(MONTH(GanttStart)-1,3),0),1),((COLUMN()-COLUMN(gantt_Origin))-1)*IF(GanttPeriod&gt;=90,3,1)))</f>
        <v>46348</v>
      </c>
      <c r="JF5" s="83" t="n">
        <f aca="false">IF(GanttPeriod&lt;28,GanttStart+((COLUMN()-COLUMN(gantt_Origin))-1)*GanttPeriod,EDATE(DATE(YEAR(GanttStart),MONTH(GanttStart)-IF(GanttPeriod&gt;=90,MOD(MONTH(GanttStart)-1,3),0),1),((COLUMN()-COLUMN(gantt_Origin))-1)*IF(GanttPeriod&gt;=90,3,1)))</f>
        <v>46349</v>
      </c>
      <c r="JG5" s="83" t="n">
        <f aca="false">IF(GanttPeriod&lt;28,GanttStart+((COLUMN()-COLUMN(gantt_Origin))-1)*GanttPeriod,EDATE(DATE(YEAR(GanttStart),MONTH(GanttStart)-IF(GanttPeriod&gt;=90,MOD(MONTH(GanttStart)-1,3),0),1),((COLUMN()-COLUMN(gantt_Origin))-1)*IF(GanttPeriod&gt;=90,3,1)))</f>
        <v>46350</v>
      </c>
      <c r="JH5" s="83" t="n">
        <f aca="false">IF(GanttPeriod&lt;28,GanttStart+((COLUMN()-COLUMN(gantt_Origin))-1)*GanttPeriod,EDATE(DATE(YEAR(GanttStart),MONTH(GanttStart)-IF(GanttPeriod&gt;=90,MOD(MONTH(GanttStart)-1,3),0),1),((COLUMN()-COLUMN(gantt_Origin))-1)*IF(GanttPeriod&gt;=90,3,1)))</f>
        <v>46351</v>
      </c>
      <c r="JI5" s="83" t="n">
        <f aca="false">IF(GanttPeriod&lt;28,GanttStart+((COLUMN()-COLUMN(gantt_Origin))-1)*GanttPeriod,EDATE(DATE(YEAR(GanttStart),MONTH(GanttStart)-IF(GanttPeriod&gt;=90,MOD(MONTH(GanttStart)-1,3),0),1),((COLUMN()-COLUMN(gantt_Origin))-1)*IF(GanttPeriod&gt;=90,3,1)))</f>
        <v>46352</v>
      </c>
      <c r="JJ5" s="83" t="n">
        <f aca="false">IF(GanttPeriod&lt;28,GanttStart+((COLUMN()-COLUMN(gantt_Origin))-1)*GanttPeriod,EDATE(DATE(YEAR(GanttStart),MONTH(GanttStart)-IF(GanttPeriod&gt;=90,MOD(MONTH(GanttStart)-1,3),0),1),((COLUMN()-COLUMN(gantt_Origin))-1)*IF(GanttPeriod&gt;=90,3,1)))</f>
        <v>46353</v>
      </c>
      <c r="JK5" s="83" t="n">
        <f aca="false">IF(GanttPeriod&lt;28,GanttStart+((COLUMN()-COLUMN(gantt_Origin))-1)*GanttPeriod,EDATE(DATE(YEAR(GanttStart),MONTH(GanttStart)-IF(GanttPeriod&gt;=90,MOD(MONTH(GanttStart)-1,3),0),1),((COLUMN()-COLUMN(gantt_Origin))-1)*IF(GanttPeriod&gt;=90,3,1)))</f>
        <v>46354</v>
      </c>
      <c r="JL5" s="83" t="n">
        <f aca="false">IF(GanttPeriod&lt;28,GanttStart+((COLUMN()-COLUMN(gantt_Origin))-1)*GanttPeriod,EDATE(DATE(YEAR(GanttStart),MONTH(GanttStart)-IF(GanttPeriod&gt;=90,MOD(MONTH(GanttStart)-1,3),0),1),((COLUMN()-COLUMN(gantt_Origin))-1)*IF(GanttPeriod&gt;=90,3,1)))</f>
        <v>46355</v>
      </c>
      <c r="JM5" s="83" t="n">
        <f aca="false">IF(GanttPeriod&lt;28,GanttStart+((COLUMN()-COLUMN(gantt_Origin))-1)*GanttPeriod,EDATE(DATE(YEAR(GanttStart),MONTH(GanttStart)-IF(GanttPeriod&gt;=90,MOD(MONTH(GanttStart)-1,3),0),1),((COLUMN()-COLUMN(gantt_Origin))-1)*IF(GanttPeriod&gt;=90,3,1)))</f>
        <v>46356</v>
      </c>
      <c r="JN5" s="83" t="n">
        <f aca="false">IF(GanttPeriod&lt;28,GanttStart+((COLUMN()-COLUMN(gantt_Origin))-1)*GanttPeriod,EDATE(DATE(YEAR(GanttStart),MONTH(GanttStart)-IF(GanttPeriod&gt;=90,MOD(MONTH(GanttStart)-1,3),0),1),((COLUMN()-COLUMN(gantt_Origin))-1)*IF(GanttPeriod&gt;=90,3,1)))</f>
        <v>46357</v>
      </c>
      <c r="JO5" s="83" t="n">
        <f aca="false">IF(GanttPeriod&lt;28,GanttStart+((COLUMN()-COLUMN(gantt_Origin))-1)*GanttPeriod,EDATE(DATE(YEAR(GanttStart),MONTH(GanttStart)-IF(GanttPeriod&gt;=90,MOD(MONTH(GanttStart)-1,3),0),1),((COLUMN()-COLUMN(gantt_Origin))-1)*IF(GanttPeriod&gt;=90,3,1)))</f>
        <v>46358</v>
      </c>
      <c r="JP5" s="83" t="n">
        <f aca="false">IF(GanttPeriod&lt;28,GanttStart+((COLUMN()-COLUMN(gantt_Origin))-1)*GanttPeriod,EDATE(DATE(YEAR(GanttStart),MONTH(GanttStart)-IF(GanttPeriod&gt;=90,MOD(MONTH(GanttStart)-1,3),0),1),((COLUMN()-COLUMN(gantt_Origin))-1)*IF(GanttPeriod&gt;=90,3,1)))</f>
        <v>46359</v>
      </c>
      <c r="JQ5" s="83" t="n">
        <f aca="false">IF(GanttPeriod&lt;28,GanttStart+((COLUMN()-COLUMN(gantt_Origin))-1)*GanttPeriod,EDATE(DATE(YEAR(GanttStart),MONTH(GanttStart)-IF(GanttPeriod&gt;=90,MOD(MONTH(GanttStart)-1,3),0),1),((COLUMN()-COLUMN(gantt_Origin))-1)*IF(GanttPeriod&gt;=90,3,1)))</f>
        <v>46360</v>
      </c>
      <c r="JR5" s="83" t="n">
        <f aca="false">IF(GanttPeriod&lt;28,GanttStart+((COLUMN()-COLUMN(gantt_Origin))-1)*GanttPeriod,EDATE(DATE(YEAR(GanttStart),MONTH(GanttStart)-IF(GanttPeriod&gt;=90,MOD(MONTH(GanttStart)-1,3),0),1),((COLUMN()-COLUMN(gantt_Origin))-1)*IF(GanttPeriod&gt;=90,3,1)))</f>
        <v>46361</v>
      </c>
      <c r="JS5" s="83" t="n">
        <f aca="false">IF(GanttPeriod&lt;28,GanttStart+((COLUMN()-COLUMN(gantt_Origin))-1)*GanttPeriod,EDATE(DATE(YEAR(GanttStart),MONTH(GanttStart)-IF(GanttPeriod&gt;=90,MOD(MONTH(GanttStart)-1,3),0),1),((COLUMN()-COLUMN(gantt_Origin))-1)*IF(GanttPeriod&gt;=90,3,1)))</f>
        <v>46362</v>
      </c>
      <c r="JT5" s="83" t="n">
        <f aca="false">IF(GanttPeriod&lt;28,GanttStart+((COLUMN()-COLUMN(gantt_Origin))-1)*GanttPeriod,EDATE(DATE(YEAR(GanttStart),MONTH(GanttStart)-IF(GanttPeriod&gt;=90,MOD(MONTH(GanttStart)-1,3),0),1),((COLUMN()-COLUMN(gantt_Origin))-1)*IF(GanttPeriod&gt;=90,3,1)))</f>
        <v>46363</v>
      </c>
      <c r="JU5" s="83" t="n">
        <f aca="false">IF(GanttPeriod&lt;28,GanttStart+((COLUMN()-COLUMN(gantt_Origin))-1)*GanttPeriod,EDATE(DATE(YEAR(GanttStart),MONTH(GanttStart)-IF(GanttPeriod&gt;=90,MOD(MONTH(GanttStart)-1,3),0),1),((COLUMN()-COLUMN(gantt_Origin))-1)*IF(GanttPeriod&gt;=90,3,1)))</f>
        <v>46364</v>
      </c>
      <c r="JV5" s="83" t="n">
        <f aca="false">IF(GanttPeriod&lt;28,GanttStart+((COLUMN()-COLUMN(gantt_Origin))-1)*GanttPeriod,EDATE(DATE(YEAR(GanttStart),MONTH(GanttStart)-IF(GanttPeriod&gt;=90,MOD(MONTH(GanttStart)-1,3),0),1),((COLUMN()-COLUMN(gantt_Origin))-1)*IF(GanttPeriod&gt;=90,3,1)))</f>
        <v>46365</v>
      </c>
      <c r="JW5" s="83" t="n">
        <f aca="false">IF(GanttPeriod&lt;28,GanttStart+((COLUMN()-COLUMN(gantt_Origin))-1)*GanttPeriod,EDATE(DATE(YEAR(GanttStart),MONTH(GanttStart)-IF(GanttPeriod&gt;=90,MOD(MONTH(GanttStart)-1,3),0),1),((COLUMN()-COLUMN(gantt_Origin))-1)*IF(GanttPeriod&gt;=90,3,1)))</f>
        <v>46366</v>
      </c>
      <c r="JX5" s="83" t="n">
        <f aca="false">IF(GanttPeriod&lt;28,GanttStart+((COLUMN()-COLUMN(gantt_Origin))-1)*GanttPeriod,EDATE(DATE(YEAR(GanttStart),MONTH(GanttStart)-IF(GanttPeriod&gt;=90,MOD(MONTH(GanttStart)-1,3),0),1),((COLUMN()-COLUMN(gantt_Origin))-1)*IF(GanttPeriod&gt;=90,3,1)))</f>
        <v>46367</v>
      </c>
      <c r="JY5" s="83" t="n">
        <f aca="false">IF(GanttPeriod&lt;28,GanttStart+((COLUMN()-COLUMN(gantt_Origin))-1)*GanttPeriod,EDATE(DATE(YEAR(GanttStart),MONTH(GanttStart)-IF(GanttPeriod&gt;=90,MOD(MONTH(GanttStart)-1,3),0),1),((COLUMN()-COLUMN(gantt_Origin))-1)*IF(GanttPeriod&gt;=90,3,1)))</f>
        <v>46368</v>
      </c>
      <c r="JZ5" s="83" t="n">
        <f aca="false">IF(GanttPeriod&lt;28,GanttStart+((COLUMN()-COLUMN(gantt_Origin))-1)*GanttPeriod,EDATE(DATE(YEAR(GanttStart),MONTH(GanttStart)-IF(GanttPeriod&gt;=90,MOD(MONTH(GanttStart)-1,3),0),1),((COLUMN()-COLUMN(gantt_Origin))-1)*IF(GanttPeriod&gt;=90,3,1)))</f>
        <v>46369</v>
      </c>
      <c r="KA5" s="83" t="n">
        <f aca="false">IF(GanttPeriod&lt;28,GanttStart+((COLUMN()-COLUMN(gantt_Origin))-1)*GanttPeriod,EDATE(DATE(YEAR(GanttStart),MONTH(GanttStart)-IF(GanttPeriod&gt;=90,MOD(MONTH(GanttStart)-1,3),0),1),((COLUMN()-COLUMN(gantt_Origin))-1)*IF(GanttPeriod&gt;=90,3,1)))</f>
        <v>46370</v>
      </c>
      <c r="KB5" s="83" t="n">
        <f aca="false">IF(GanttPeriod&lt;28,GanttStart+((COLUMN()-COLUMN(gantt_Origin))-1)*GanttPeriod,EDATE(DATE(YEAR(GanttStart),MONTH(GanttStart)-IF(GanttPeriod&gt;=90,MOD(MONTH(GanttStart)-1,3),0),1),((COLUMN()-COLUMN(gantt_Origin))-1)*IF(GanttPeriod&gt;=90,3,1)))</f>
        <v>46371</v>
      </c>
      <c r="KC5" s="83" t="n">
        <f aca="false">IF(GanttPeriod&lt;28,GanttStart+((COLUMN()-COLUMN(gantt_Origin))-1)*GanttPeriod,EDATE(DATE(YEAR(GanttStart),MONTH(GanttStart)-IF(GanttPeriod&gt;=90,MOD(MONTH(GanttStart)-1,3),0),1),((COLUMN()-COLUMN(gantt_Origin))-1)*IF(GanttPeriod&gt;=90,3,1)))</f>
        <v>46372</v>
      </c>
      <c r="KD5" s="83" t="n">
        <f aca="false">IF(GanttPeriod&lt;28,GanttStart+((COLUMN()-COLUMN(gantt_Origin))-1)*GanttPeriod,EDATE(DATE(YEAR(GanttStart),MONTH(GanttStart)-IF(GanttPeriod&gt;=90,MOD(MONTH(GanttStart)-1,3),0),1),((COLUMN()-COLUMN(gantt_Origin))-1)*IF(GanttPeriod&gt;=90,3,1)))</f>
        <v>46373</v>
      </c>
      <c r="KE5" s="83" t="n">
        <f aca="false">IF(GanttPeriod&lt;28,GanttStart+((COLUMN()-COLUMN(gantt_Origin))-1)*GanttPeriod,EDATE(DATE(YEAR(GanttStart),MONTH(GanttStart)-IF(GanttPeriod&gt;=90,MOD(MONTH(GanttStart)-1,3),0),1),((COLUMN()-COLUMN(gantt_Origin))-1)*IF(GanttPeriod&gt;=90,3,1)))</f>
        <v>46374</v>
      </c>
      <c r="KF5" s="83" t="n">
        <f aca="false">IF(GanttPeriod&lt;28,GanttStart+((COLUMN()-COLUMN(gantt_Origin))-1)*GanttPeriod,EDATE(DATE(YEAR(GanttStart),MONTH(GanttStart)-IF(GanttPeriod&gt;=90,MOD(MONTH(GanttStart)-1,3),0),1),((COLUMN()-COLUMN(gantt_Origin))-1)*IF(GanttPeriod&gt;=90,3,1)))</f>
        <v>46375</v>
      </c>
      <c r="KG5" s="83" t="n">
        <f aca="false">IF(GanttPeriod&lt;28,GanttStart+((COLUMN()-COLUMN(gantt_Origin))-1)*GanttPeriod,EDATE(DATE(YEAR(GanttStart),MONTH(GanttStart)-IF(GanttPeriod&gt;=90,MOD(MONTH(GanttStart)-1,3),0),1),((COLUMN()-COLUMN(gantt_Origin))-1)*IF(GanttPeriod&gt;=90,3,1)))</f>
        <v>46376</v>
      </c>
      <c r="KH5" s="83" t="n">
        <f aca="false">IF(GanttPeriod&lt;28,GanttStart+((COLUMN()-COLUMN(gantt_Origin))-1)*GanttPeriod,EDATE(DATE(YEAR(GanttStart),MONTH(GanttStart)-IF(GanttPeriod&gt;=90,MOD(MONTH(GanttStart)-1,3),0),1),((COLUMN()-COLUMN(gantt_Origin))-1)*IF(GanttPeriod&gt;=90,3,1)))</f>
        <v>46377</v>
      </c>
      <c r="KI5" s="83" t="n">
        <f aca="false">IF(GanttPeriod&lt;28,GanttStart+((COLUMN()-COLUMN(gantt_Origin))-1)*GanttPeriod,EDATE(DATE(YEAR(GanttStart),MONTH(GanttStart)-IF(GanttPeriod&gt;=90,MOD(MONTH(GanttStart)-1,3),0),1),((COLUMN()-COLUMN(gantt_Origin))-1)*IF(GanttPeriod&gt;=90,3,1)))</f>
        <v>46378</v>
      </c>
      <c r="KJ5" s="83" t="n">
        <f aca="false">IF(GanttPeriod&lt;28,GanttStart+((COLUMN()-COLUMN(gantt_Origin))-1)*GanttPeriod,EDATE(DATE(YEAR(GanttStart),MONTH(GanttStart)-IF(GanttPeriod&gt;=90,MOD(MONTH(GanttStart)-1,3),0),1),((COLUMN()-COLUMN(gantt_Origin))-1)*IF(GanttPeriod&gt;=90,3,1)))</f>
        <v>46379</v>
      </c>
      <c r="KK5" s="83" t="n">
        <f aca="false">IF(GanttPeriod&lt;28,GanttStart+((COLUMN()-COLUMN(gantt_Origin))-1)*GanttPeriod,EDATE(DATE(YEAR(GanttStart),MONTH(GanttStart)-IF(GanttPeriod&gt;=90,MOD(MONTH(GanttStart)-1,3),0),1),((COLUMN()-COLUMN(gantt_Origin))-1)*IF(GanttPeriod&gt;=90,3,1)))</f>
        <v>46380</v>
      </c>
      <c r="KL5" s="83" t="n">
        <f aca="false">IF(GanttPeriod&lt;28,GanttStart+((COLUMN()-COLUMN(gantt_Origin))-1)*GanttPeriod,EDATE(DATE(YEAR(GanttStart),MONTH(GanttStart)-IF(GanttPeriod&gt;=90,MOD(MONTH(GanttStart)-1,3),0),1),((COLUMN()-COLUMN(gantt_Origin))-1)*IF(GanttPeriod&gt;=90,3,1)))</f>
        <v>46381</v>
      </c>
      <c r="KM5" s="83" t="n">
        <f aca="false">IF(GanttPeriod&lt;28,GanttStart+((COLUMN()-COLUMN(gantt_Origin))-1)*GanttPeriod,EDATE(DATE(YEAR(GanttStart),MONTH(GanttStart)-IF(GanttPeriod&gt;=90,MOD(MONTH(GanttStart)-1,3),0),1),((COLUMN()-COLUMN(gantt_Origin))-1)*IF(GanttPeriod&gt;=90,3,1)))</f>
        <v>46382</v>
      </c>
      <c r="KN5" s="83" t="n">
        <f aca="false">IF(GanttPeriod&lt;28,GanttStart+((COLUMN()-COLUMN(gantt_Origin))-1)*GanttPeriod,EDATE(DATE(YEAR(GanttStart),MONTH(GanttStart)-IF(GanttPeriod&gt;=90,MOD(MONTH(GanttStart)-1,3),0),1),((COLUMN()-COLUMN(gantt_Origin))-1)*IF(GanttPeriod&gt;=90,3,1)))</f>
        <v>46383</v>
      </c>
      <c r="KO5" s="83" t="n">
        <f aca="false">IF(GanttPeriod&lt;28,GanttStart+((COLUMN()-COLUMN(gantt_Origin))-1)*GanttPeriod,EDATE(DATE(YEAR(GanttStart),MONTH(GanttStart)-IF(GanttPeriod&gt;=90,MOD(MONTH(GanttStart)-1,3),0),1),((COLUMN()-COLUMN(gantt_Origin))-1)*IF(GanttPeriod&gt;=90,3,1)))</f>
        <v>46384</v>
      </c>
      <c r="KP5" s="83" t="n">
        <f aca="false">IF(GanttPeriod&lt;28,GanttStart+((COLUMN()-COLUMN(gantt_Origin))-1)*GanttPeriod,EDATE(DATE(YEAR(GanttStart),MONTH(GanttStart)-IF(GanttPeriod&gt;=90,MOD(MONTH(GanttStart)-1,3),0),1),((COLUMN()-COLUMN(gantt_Origin))-1)*IF(GanttPeriod&gt;=90,3,1)))</f>
        <v>46385</v>
      </c>
      <c r="KQ5" s="83" t="n">
        <f aca="false">IF(GanttPeriod&lt;28,GanttStart+((COLUMN()-COLUMN(gantt_Origin))-1)*GanttPeriod,EDATE(DATE(YEAR(GanttStart),MONTH(GanttStart)-IF(GanttPeriod&gt;=90,MOD(MONTH(GanttStart)-1,3),0),1),((COLUMN()-COLUMN(gantt_Origin))-1)*IF(GanttPeriod&gt;=90,3,1)))</f>
        <v>46386</v>
      </c>
      <c r="KR5" s="83" t="n">
        <f aca="false">IF(GanttPeriod&lt;28,GanttStart+((COLUMN()-COLUMN(gantt_Origin))-1)*GanttPeriod,EDATE(DATE(YEAR(GanttStart),MONTH(GanttStart)-IF(GanttPeriod&gt;=90,MOD(MONTH(GanttStart)-1,3),0),1),((COLUMN()-COLUMN(gantt_Origin))-1)*IF(GanttPeriod&gt;=90,3,1)))</f>
        <v>46387</v>
      </c>
      <c r="KS5" s="83" t="n">
        <f aca="false">IF(GanttPeriod&lt;28,GanttStart+((COLUMN()-COLUMN(gantt_Origin))-1)*GanttPeriod,EDATE(DATE(YEAR(GanttStart),MONTH(GanttStart)-IF(GanttPeriod&gt;=90,MOD(MONTH(GanttStart)-1,3),0),1),((COLUMN()-COLUMN(gantt_Origin))-1)*IF(GanttPeriod&gt;=90,3,1)))</f>
        <v>46388</v>
      </c>
      <c r="KT5" s="83" t="n">
        <f aca="false">IF(GanttPeriod&lt;28,GanttStart+((COLUMN()-COLUMN(gantt_Origin))-1)*GanttPeriod,EDATE(DATE(YEAR(GanttStart),MONTH(GanttStart)-IF(GanttPeriod&gt;=90,MOD(MONTH(GanttStart)-1,3),0),1),((COLUMN()-COLUMN(gantt_Origin))-1)*IF(GanttPeriod&gt;=90,3,1)))</f>
        <v>46389</v>
      </c>
      <c r="KU5" s="83" t="n">
        <f aca="false">IF(GanttPeriod&lt;28,GanttStart+((COLUMN()-COLUMN(gantt_Origin))-1)*GanttPeriod,EDATE(DATE(YEAR(GanttStart),MONTH(GanttStart)-IF(GanttPeriod&gt;=90,MOD(MONTH(GanttStart)-1,3),0),1),((COLUMN()-COLUMN(gantt_Origin))-1)*IF(GanttPeriod&gt;=90,3,1)))</f>
        <v>46390</v>
      </c>
      <c r="KV5" s="83" t="n">
        <f aca="false">IF(GanttPeriod&lt;28,GanttStart+((COLUMN()-COLUMN(gantt_Origin))-1)*GanttPeriod,EDATE(DATE(YEAR(GanttStart),MONTH(GanttStart)-IF(GanttPeriod&gt;=90,MOD(MONTH(GanttStart)-1,3),0),1),((COLUMN()-COLUMN(gantt_Origin))-1)*IF(GanttPeriod&gt;=90,3,1)))</f>
        <v>46391</v>
      </c>
      <c r="KW5" s="83" t="n">
        <f aca="false">IF(GanttPeriod&lt;28,GanttStart+((COLUMN()-COLUMN(gantt_Origin))-1)*GanttPeriod,EDATE(DATE(YEAR(GanttStart),MONTH(GanttStart)-IF(GanttPeriod&gt;=90,MOD(MONTH(GanttStart)-1,3),0),1),((COLUMN()-COLUMN(gantt_Origin))-1)*IF(GanttPeriod&gt;=90,3,1)))</f>
        <v>46392</v>
      </c>
      <c r="KX5" s="83" t="n">
        <f aca="false">IF(GanttPeriod&lt;28,GanttStart+((COLUMN()-COLUMN(gantt_Origin))-1)*GanttPeriod,EDATE(DATE(YEAR(GanttStart),MONTH(GanttStart)-IF(GanttPeriod&gt;=90,MOD(MONTH(GanttStart)-1,3),0),1),((COLUMN()-COLUMN(gantt_Origin))-1)*IF(GanttPeriod&gt;=90,3,1)))</f>
        <v>46393</v>
      </c>
      <c r="KY5" s="83" t="n">
        <f aca="false">IF(GanttPeriod&lt;28,GanttStart+((COLUMN()-COLUMN(gantt_Origin))-1)*GanttPeriod,EDATE(DATE(YEAR(GanttStart),MONTH(GanttStart)-IF(GanttPeriod&gt;=90,MOD(MONTH(GanttStart)-1,3),0),1),((COLUMN()-COLUMN(gantt_Origin))-1)*IF(GanttPeriod&gt;=90,3,1)))</f>
        <v>46394</v>
      </c>
      <c r="KZ5" s="83" t="n">
        <f aca="false">IF(GanttPeriod&lt;28,GanttStart+((COLUMN()-COLUMN(gantt_Origin))-1)*GanttPeriod,EDATE(DATE(YEAR(GanttStart),MONTH(GanttStart)-IF(GanttPeriod&gt;=90,MOD(MONTH(GanttStart)-1,3),0),1),((COLUMN()-COLUMN(gantt_Origin))-1)*IF(GanttPeriod&gt;=90,3,1)))</f>
        <v>46395</v>
      </c>
      <c r="LA5" s="83" t="n">
        <f aca="false">IF(GanttPeriod&lt;28,GanttStart+((COLUMN()-COLUMN(gantt_Origin))-1)*GanttPeriod,EDATE(DATE(YEAR(GanttStart),MONTH(GanttStart)-IF(GanttPeriod&gt;=90,MOD(MONTH(GanttStart)-1,3),0),1),((COLUMN()-COLUMN(gantt_Origin))-1)*IF(GanttPeriod&gt;=90,3,1)))</f>
        <v>46396</v>
      </c>
      <c r="LB5" s="83" t="n">
        <f aca="false">IF(GanttPeriod&lt;28,GanttStart+((COLUMN()-COLUMN(gantt_Origin))-1)*GanttPeriod,EDATE(DATE(YEAR(GanttStart),MONTH(GanttStart)-IF(GanttPeriod&gt;=90,MOD(MONTH(GanttStart)-1,3),0),1),((COLUMN()-COLUMN(gantt_Origin))-1)*IF(GanttPeriod&gt;=90,3,1)))</f>
        <v>46397</v>
      </c>
      <c r="LC5" s="83" t="n">
        <f aca="false">IF(GanttPeriod&lt;28,GanttStart+((COLUMN()-COLUMN(gantt_Origin))-1)*GanttPeriod,EDATE(DATE(YEAR(GanttStart),MONTH(GanttStart)-IF(GanttPeriod&gt;=90,MOD(MONTH(GanttStart)-1,3),0),1),((COLUMN()-COLUMN(gantt_Origin))-1)*IF(GanttPeriod&gt;=90,3,1)))</f>
        <v>46398</v>
      </c>
      <c r="LD5" s="83" t="n">
        <f aca="false">IF(GanttPeriod&lt;28,GanttStart+((COLUMN()-COLUMN(gantt_Origin))-1)*GanttPeriod,EDATE(DATE(YEAR(GanttStart),MONTH(GanttStart)-IF(GanttPeriod&gt;=90,MOD(MONTH(GanttStart)-1,3),0),1),((COLUMN()-COLUMN(gantt_Origin))-1)*IF(GanttPeriod&gt;=90,3,1)))</f>
        <v>46399</v>
      </c>
      <c r="LE5" s="83" t="n">
        <f aca="false">IF(GanttPeriod&lt;28,GanttStart+((COLUMN()-COLUMN(gantt_Origin))-1)*GanttPeriod,EDATE(DATE(YEAR(GanttStart),MONTH(GanttStart)-IF(GanttPeriod&gt;=90,MOD(MONTH(GanttStart)-1,3),0),1),((COLUMN()-COLUMN(gantt_Origin))-1)*IF(GanttPeriod&gt;=90,3,1)))</f>
        <v>46400</v>
      </c>
      <c r="LF5" s="83" t="n">
        <f aca="false">IF(GanttPeriod&lt;28,GanttStart+((COLUMN()-COLUMN(gantt_Origin))-1)*GanttPeriod,EDATE(DATE(YEAR(GanttStart),MONTH(GanttStart)-IF(GanttPeriod&gt;=90,MOD(MONTH(GanttStart)-1,3),0),1),((COLUMN()-COLUMN(gantt_Origin))-1)*IF(GanttPeriod&gt;=90,3,1)))</f>
        <v>46401</v>
      </c>
      <c r="LG5" s="83" t="n">
        <f aca="false">IF(GanttPeriod&lt;28,GanttStart+((COLUMN()-COLUMN(gantt_Origin))-1)*GanttPeriod,EDATE(DATE(YEAR(GanttStart),MONTH(GanttStart)-IF(GanttPeriod&gt;=90,MOD(MONTH(GanttStart)-1,3),0),1),((COLUMN()-COLUMN(gantt_Origin))-1)*IF(GanttPeriod&gt;=90,3,1)))</f>
        <v>46402</v>
      </c>
      <c r="LH5" s="83" t="n">
        <f aca="false">IF(GanttPeriod&lt;28,GanttStart+((COLUMN()-COLUMN(gantt_Origin))-1)*GanttPeriod,EDATE(DATE(YEAR(GanttStart),MONTH(GanttStart)-IF(GanttPeriod&gt;=90,MOD(MONTH(GanttStart)-1,3),0),1),((COLUMN()-COLUMN(gantt_Origin))-1)*IF(GanttPeriod&gt;=90,3,1)))</f>
        <v>46403</v>
      </c>
      <c r="LI5" s="83" t="n">
        <f aca="false">IF(GanttPeriod&lt;28,GanttStart+((COLUMN()-COLUMN(gantt_Origin))-1)*GanttPeriod,EDATE(DATE(YEAR(GanttStart),MONTH(GanttStart)-IF(GanttPeriod&gt;=90,MOD(MONTH(GanttStart)-1,3),0),1),((COLUMN()-COLUMN(gantt_Origin))-1)*IF(GanttPeriod&gt;=90,3,1)))</f>
        <v>46404</v>
      </c>
      <c r="LJ5" s="83" t="n">
        <f aca="false">IF(GanttPeriod&lt;28,GanttStart+((COLUMN()-COLUMN(gantt_Origin))-1)*GanttPeriod,EDATE(DATE(YEAR(GanttStart),MONTH(GanttStart)-IF(GanttPeriod&gt;=90,MOD(MONTH(GanttStart)-1,3),0),1),((COLUMN()-COLUMN(gantt_Origin))-1)*IF(GanttPeriod&gt;=90,3,1)))</f>
        <v>46405</v>
      </c>
      <c r="LK5" s="83" t="n">
        <f aca="false">IF(GanttPeriod&lt;28,GanttStart+((COLUMN()-COLUMN(gantt_Origin))-1)*GanttPeriod,EDATE(DATE(YEAR(GanttStart),MONTH(GanttStart)-IF(GanttPeriod&gt;=90,MOD(MONTH(GanttStart)-1,3),0),1),((COLUMN()-COLUMN(gantt_Origin))-1)*IF(GanttPeriod&gt;=90,3,1)))</f>
        <v>46406</v>
      </c>
      <c r="LL5" s="83" t="n">
        <f aca="false">IF(GanttPeriod&lt;28,GanttStart+((COLUMN()-COLUMN(gantt_Origin))-1)*GanttPeriod,EDATE(DATE(YEAR(GanttStart),MONTH(GanttStart)-IF(GanttPeriod&gt;=90,MOD(MONTH(GanttStart)-1,3),0),1),((COLUMN()-COLUMN(gantt_Origin))-1)*IF(GanttPeriod&gt;=90,3,1)))</f>
        <v>46407</v>
      </c>
      <c r="LM5" s="83" t="n">
        <f aca="false">IF(GanttPeriod&lt;28,GanttStart+((COLUMN()-COLUMN(gantt_Origin))-1)*GanttPeriod,EDATE(DATE(YEAR(GanttStart),MONTH(GanttStart)-IF(GanttPeriod&gt;=90,MOD(MONTH(GanttStart)-1,3),0),1),((COLUMN()-COLUMN(gantt_Origin))-1)*IF(GanttPeriod&gt;=90,3,1)))</f>
        <v>46408</v>
      </c>
      <c r="LN5" s="83" t="n">
        <f aca="false">IF(GanttPeriod&lt;28,GanttStart+((COLUMN()-COLUMN(gantt_Origin))-1)*GanttPeriod,EDATE(DATE(YEAR(GanttStart),MONTH(GanttStart)-IF(GanttPeriod&gt;=90,MOD(MONTH(GanttStart)-1,3),0),1),((COLUMN()-COLUMN(gantt_Origin))-1)*IF(GanttPeriod&gt;=90,3,1)))</f>
        <v>46409</v>
      </c>
      <c r="LO5" s="83" t="n">
        <f aca="false">IF(GanttPeriod&lt;28,GanttStart+((COLUMN()-COLUMN(gantt_Origin))-1)*GanttPeriod,EDATE(DATE(YEAR(GanttStart),MONTH(GanttStart)-IF(GanttPeriod&gt;=90,MOD(MONTH(GanttStart)-1,3),0),1),((COLUMN()-COLUMN(gantt_Origin))-1)*IF(GanttPeriod&gt;=90,3,1)))</f>
        <v>46410</v>
      </c>
      <c r="LP5" s="83" t="n">
        <f aca="false">IF(GanttPeriod&lt;28,GanttStart+((COLUMN()-COLUMN(gantt_Origin))-1)*GanttPeriod,EDATE(DATE(YEAR(GanttStart),MONTH(GanttStart)-IF(GanttPeriod&gt;=90,MOD(MONTH(GanttStart)-1,3),0),1),((COLUMN()-COLUMN(gantt_Origin))-1)*IF(GanttPeriod&gt;=90,3,1)))</f>
        <v>46411</v>
      </c>
      <c r="LQ5" s="83" t="n">
        <f aca="false">IF(GanttPeriod&lt;28,GanttStart+((COLUMN()-COLUMN(gantt_Origin))-1)*GanttPeriod,EDATE(DATE(YEAR(GanttStart),MONTH(GanttStart)-IF(GanttPeriod&gt;=90,MOD(MONTH(GanttStart)-1,3),0),1),((COLUMN()-COLUMN(gantt_Origin))-1)*IF(GanttPeriod&gt;=90,3,1)))</f>
        <v>46412</v>
      </c>
      <c r="LR5" s="83" t="n">
        <f aca="false">IF(GanttPeriod&lt;28,GanttStart+((COLUMN()-COLUMN(gantt_Origin))-1)*GanttPeriod,EDATE(DATE(YEAR(GanttStart),MONTH(GanttStart)-IF(GanttPeriod&gt;=90,MOD(MONTH(GanttStart)-1,3),0),1),((COLUMN()-COLUMN(gantt_Origin))-1)*IF(GanttPeriod&gt;=90,3,1)))</f>
        <v>46413</v>
      </c>
      <c r="LS5" s="83" t="n">
        <f aca="false">IF(GanttPeriod&lt;28,GanttStart+((COLUMN()-COLUMN(gantt_Origin))-1)*GanttPeriod,EDATE(DATE(YEAR(GanttStart),MONTH(GanttStart)-IF(GanttPeriod&gt;=90,MOD(MONTH(GanttStart)-1,3),0),1),((COLUMN()-COLUMN(gantt_Origin))-1)*IF(GanttPeriod&gt;=90,3,1)))</f>
        <v>46414</v>
      </c>
      <c r="LT5" s="83" t="n">
        <f aca="false">IF(GanttPeriod&lt;28,GanttStart+((COLUMN()-COLUMN(gantt_Origin))-1)*GanttPeriod,EDATE(DATE(YEAR(GanttStart),MONTH(GanttStart)-IF(GanttPeriod&gt;=90,MOD(MONTH(GanttStart)-1,3),0),1),((COLUMN()-COLUMN(gantt_Origin))-1)*IF(GanttPeriod&gt;=90,3,1)))</f>
        <v>46415</v>
      </c>
      <c r="LU5" s="83" t="n">
        <f aca="false">IF(GanttPeriod&lt;28,GanttStart+((COLUMN()-COLUMN(gantt_Origin))-1)*GanttPeriod,EDATE(DATE(YEAR(GanttStart),MONTH(GanttStart)-IF(GanttPeriod&gt;=90,MOD(MONTH(GanttStart)-1,3),0),1),((COLUMN()-COLUMN(gantt_Origin))-1)*IF(GanttPeriod&gt;=90,3,1)))</f>
        <v>46416</v>
      </c>
      <c r="LV5" s="83" t="n">
        <f aca="false">IF(GanttPeriod&lt;28,GanttStart+((COLUMN()-COLUMN(gantt_Origin))-1)*GanttPeriod,EDATE(DATE(YEAR(GanttStart),MONTH(GanttStart)-IF(GanttPeriod&gt;=90,MOD(MONTH(GanttStart)-1,3),0),1),((COLUMN()-COLUMN(gantt_Origin))-1)*IF(GanttPeriod&gt;=90,3,1)))</f>
        <v>46417</v>
      </c>
      <c r="LW5" s="83" t="n">
        <f aca="false">IF(GanttPeriod&lt;28,GanttStart+((COLUMN()-COLUMN(gantt_Origin))-1)*GanttPeriod,EDATE(DATE(YEAR(GanttStart),MONTH(GanttStart)-IF(GanttPeriod&gt;=90,MOD(MONTH(GanttStart)-1,3),0),1),((COLUMN()-COLUMN(gantt_Origin))-1)*IF(GanttPeriod&gt;=90,3,1)))</f>
        <v>46418</v>
      </c>
      <c r="LX5" s="83" t="n">
        <f aca="false">IF(GanttPeriod&lt;28,GanttStart+((COLUMN()-COLUMN(gantt_Origin))-1)*GanttPeriod,EDATE(DATE(YEAR(GanttStart),MONTH(GanttStart)-IF(GanttPeriod&gt;=90,MOD(MONTH(GanttStart)-1,3),0),1),((COLUMN()-COLUMN(gantt_Origin))-1)*IF(GanttPeriod&gt;=90,3,1)))</f>
        <v>46419</v>
      </c>
      <c r="LY5" s="83" t="n">
        <f aca="false">IF(GanttPeriod&lt;28,GanttStart+((COLUMN()-COLUMN(gantt_Origin))-1)*GanttPeriod,EDATE(DATE(YEAR(GanttStart),MONTH(GanttStart)-IF(GanttPeriod&gt;=90,MOD(MONTH(GanttStart)-1,3),0),1),((COLUMN()-COLUMN(gantt_Origin))-1)*IF(GanttPeriod&gt;=90,3,1)))</f>
        <v>46420</v>
      </c>
      <c r="LZ5" s="83" t="n">
        <f aca="false">IF(GanttPeriod&lt;28,GanttStart+((COLUMN()-COLUMN(gantt_Origin))-1)*GanttPeriod,EDATE(DATE(YEAR(GanttStart),MONTH(GanttStart)-IF(GanttPeriod&gt;=90,MOD(MONTH(GanttStart)-1,3),0),1),((COLUMN()-COLUMN(gantt_Origin))-1)*IF(GanttPeriod&gt;=90,3,1)))</f>
        <v>46421</v>
      </c>
      <c r="MA5" s="83" t="n">
        <f aca="false">IF(GanttPeriod&lt;28,GanttStart+((COLUMN()-COLUMN(gantt_Origin))-1)*GanttPeriod,EDATE(DATE(YEAR(GanttStart),MONTH(GanttStart)-IF(GanttPeriod&gt;=90,MOD(MONTH(GanttStart)-1,3),0),1),((COLUMN()-COLUMN(gantt_Origin))-1)*IF(GanttPeriod&gt;=90,3,1)))</f>
        <v>46422</v>
      </c>
      <c r="MB5" s="83" t="n">
        <f aca="false">IF(GanttPeriod&lt;28,GanttStart+((COLUMN()-COLUMN(gantt_Origin))-1)*GanttPeriod,EDATE(DATE(YEAR(GanttStart),MONTH(GanttStart)-IF(GanttPeriod&gt;=90,MOD(MONTH(GanttStart)-1,3),0),1),((COLUMN()-COLUMN(gantt_Origin))-1)*IF(GanttPeriod&gt;=90,3,1)))</f>
        <v>46423</v>
      </c>
      <c r="MC5" s="83" t="n">
        <f aca="false">IF(GanttPeriod&lt;28,GanttStart+((COLUMN()-COLUMN(gantt_Origin))-1)*GanttPeriod,EDATE(DATE(YEAR(GanttStart),MONTH(GanttStart)-IF(GanttPeriod&gt;=90,MOD(MONTH(GanttStart)-1,3),0),1),((COLUMN()-COLUMN(gantt_Origin))-1)*IF(GanttPeriod&gt;=90,3,1)))</f>
        <v>46424</v>
      </c>
      <c r="MD5" s="83" t="n">
        <f aca="false">IF(GanttPeriod&lt;28,GanttStart+((COLUMN()-COLUMN(gantt_Origin))-1)*GanttPeriod,EDATE(DATE(YEAR(GanttStart),MONTH(GanttStart)-IF(GanttPeriod&gt;=90,MOD(MONTH(GanttStart)-1,3),0),1),((COLUMN()-COLUMN(gantt_Origin))-1)*IF(GanttPeriod&gt;=90,3,1)))</f>
        <v>46425</v>
      </c>
      <c r="ME5" s="83" t="n">
        <f aca="false">IF(GanttPeriod&lt;28,GanttStart+((COLUMN()-COLUMN(gantt_Origin))-1)*GanttPeriod,EDATE(DATE(YEAR(GanttStart),MONTH(GanttStart)-IF(GanttPeriod&gt;=90,MOD(MONTH(GanttStart)-1,3),0),1),((COLUMN()-COLUMN(gantt_Origin))-1)*IF(GanttPeriod&gt;=90,3,1)))</f>
        <v>46426</v>
      </c>
      <c r="MF5" s="83" t="n">
        <f aca="false">IF(GanttPeriod&lt;28,GanttStart+((COLUMN()-COLUMN(gantt_Origin))-1)*GanttPeriod,EDATE(DATE(YEAR(GanttStart),MONTH(GanttStart)-IF(GanttPeriod&gt;=90,MOD(MONTH(GanttStart)-1,3),0),1),((COLUMN()-COLUMN(gantt_Origin))-1)*IF(GanttPeriod&gt;=90,3,1)))</f>
        <v>46427</v>
      </c>
      <c r="MG5" s="83" t="n">
        <f aca="false">IF(GanttPeriod&lt;28,GanttStart+((COLUMN()-COLUMN(gantt_Origin))-1)*GanttPeriod,EDATE(DATE(YEAR(GanttStart),MONTH(GanttStart)-IF(GanttPeriod&gt;=90,MOD(MONTH(GanttStart)-1,3),0),1),((COLUMN()-COLUMN(gantt_Origin))-1)*IF(GanttPeriod&gt;=90,3,1)))</f>
        <v>46428</v>
      </c>
      <c r="MH5" s="83" t="n">
        <f aca="false">IF(GanttPeriod&lt;28,GanttStart+((COLUMN()-COLUMN(gantt_Origin))-1)*GanttPeriod,EDATE(DATE(YEAR(GanttStart),MONTH(GanttStart)-IF(GanttPeriod&gt;=90,MOD(MONTH(GanttStart)-1,3),0),1),((COLUMN()-COLUMN(gantt_Origin))-1)*IF(GanttPeriod&gt;=90,3,1)))</f>
        <v>46429</v>
      </c>
      <c r="MI5" s="83" t="n">
        <f aca="false">IF(GanttPeriod&lt;28,GanttStart+((COLUMN()-COLUMN(gantt_Origin))-1)*GanttPeriod,EDATE(DATE(YEAR(GanttStart),MONTH(GanttStart)-IF(GanttPeriod&gt;=90,MOD(MONTH(GanttStart)-1,3),0),1),((COLUMN()-COLUMN(gantt_Origin))-1)*IF(GanttPeriod&gt;=90,3,1)))</f>
        <v>46430</v>
      </c>
      <c r="MJ5" s="83" t="n">
        <f aca="false">IF(GanttPeriod&lt;28,GanttStart+((COLUMN()-COLUMN(gantt_Origin))-1)*GanttPeriod,EDATE(DATE(YEAR(GanttStart),MONTH(GanttStart)-IF(GanttPeriod&gt;=90,MOD(MONTH(GanttStart)-1,3),0),1),((COLUMN()-COLUMN(gantt_Origin))-1)*IF(GanttPeriod&gt;=90,3,1)))</f>
        <v>46431</v>
      </c>
      <c r="MK5" s="83" t="n">
        <f aca="false">IF(GanttPeriod&lt;28,GanttStart+((COLUMN()-COLUMN(gantt_Origin))-1)*GanttPeriod,EDATE(DATE(YEAR(GanttStart),MONTH(GanttStart)-IF(GanttPeriod&gt;=90,MOD(MONTH(GanttStart)-1,3),0),1),((COLUMN()-COLUMN(gantt_Origin))-1)*IF(GanttPeriod&gt;=90,3,1)))</f>
        <v>46432</v>
      </c>
      <c r="ML5" s="83" t="n">
        <f aca="false">IF(GanttPeriod&lt;28,GanttStart+((COLUMN()-COLUMN(gantt_Origin))-1)*GanttPeriod,EDATE(DATE(YEAR(GanttStart),MONTH(GanttStart)-IF(GanttPeriod&gt;=90,MOD(MONTH(GanttStart)-1,3),0),1),((COLUMN()-COLUMN(gantt_Origin))-1)*IF(GanttPeriod&gt;=90,3,1)))</f>
        <v>46433</v>
      </c>
      <c r="MM5" s="83" t="n">
        <f aca="false">IF(GanttPeriod&lt;28,GanttStart+((COLUMN()-COLUMN(gantt_Origin))-1)*GanttPeriod,EDATE(DATE(YEAR(GanttStart),MONTH(GanttStart)-IF(GanttPeriod&gt;=90,MOD(MONTH(GanttStart)-1,3),0),1),((COLUMN()-COLUMN(gantt_Origin))-1)*IF(GanttPeriod&gt;=90,3,1)))</f>
        <v>46434</v>
      </c>
      <c r="MN5" s="83" t="n">
        <f aca="false">IF(GanttPeriod&lt;28,GanttStart+((COLUMN()-COLUMN(gantt_Origin))-1)*GanttPeriod,EDATE(DATE(YEAR(GanttStart),MONTH(GanttStart)-IF(GanttPeriod&gt;=90,MOD(MONTH(GanttStart)-1,3),0),1),((COLUMN()-COLUMN(gantt_Origin))-1)*IF(GanttPeriod&gt;=90,3,1)))</f>
        <v>46435</v>
      </c>
      <c r="MO5" s="83" t="n">
        <f aca="false">IF(GanttPeriod&lt;28,GanttStart+((COLUMN()-COLUMN(gantt_Origin))-1)*GanttPeriod,EDATE(DATE(YEAR(GanttStart),MONTH(GanttStart)-IF(GanttPeriod&gt;=90,MOD(MONTH(GanttStart)-1,3),0),1),((COLUMN()-COLUMN(gantt_Origin))-1)*IF(GanttPeriod&gt;=90,3,1)))</f>
        <v>46436</v>
      </c>
      <c r="MP5" s="83" t="n">
        <f aca="false">IF(GanttPeriod&lt;28,GanttStart+((COLUMN()-COLUMN(gantt_Origin))-1)*GanttPeriod,EDATE(DATE(YEAR(GanttStart),MONTH(GanttStart)-IF(GanttPeriod&gt;=90,MOD(MONTH(GanttStart)-1,3),0),1),((COLUMN()-COLUMN(gantt_Origin))-1)*IF(GanttPeriod&gt;=90,3,1)))</f>
        <v>46437</v>
      </c>
      <c r="MQ5" s="83" t="n">
        <f aca="false">IF(GanttPeriod&lt;28,GanttStart+((COLUMN()-COLUMN(gantt_Origin))-1)*GanttPeriod,EDATE(DATE(YEAR(GanttStart),MONTH(GanttStart)-IF(GanttPeriod&gt;=90,MOD(MONTH(GanttStart)-1,3),0),1),((COLUMN()-COLUMN(gantt_Origin))-1)*IF(GanttPeriod&gt;=90,3,1)))</f>
        <v>46438</v>
      </c>
      <c r="MR5" s="83" t="n">
        <f aca="false">IF(GanttPeriod&lt;28,GanttStart+((COLUMN()-COLUMN(gantt_Origin))-1)*GanttPeriod,EDATE(DATE(YEAR(GanttStart),MONTH(GanttStart)-IF(GanttPeriod&gt;=90,MOD(MONTH(GanttStart)-1,3),0),1),((COLUMN()-COLUMN(gantt_Origin))-1)*IF(GanttPeriod&gt;=90,3,1)))</f>
        <v>46439</v>
      </c>
      <c r="MS5" s="83" t="n">
        <f aca="false">IF(GanttPeriod&lt;28,GanttStart+((COLUMN()-COLUMN(gantt_Origin))-1)*GanttPeriod,EDATE(DATE(YEAR(GanttStart),MONTH(GanttStart)-IF(GanttPeriod&gt;=90,MOD(MONTH(GanttStart)-1,3),0),1),((COLUMN()-COLUMN(gantt_Origin))-1)*IF(GanttPeriod&gt;=90,3,1)))</f>
        <v>46440</v>
      </c>
      <c r="MT5" s="83" t="n">
        <f aca="false">IF(GanttPeriod&lt;28,GanttStart+((COLUMN()-COLUMN(gantt_Origin))-1)*GanttPeriod,EDATE(DATE(YEAR(GanttStart),MONTH(GanttStart)-IF(GanttPeriod&gt;=90,MOD(MONTH(GanttStart)-1,3),0),1),((COLUMN()-COLUMN(gantt_Origin))-1)*IF(GanttPeriod&gt;=90,3,1)))</f>
        <v>46441</v>
      </c>
      <c r="MU5" s="83" t="n">
        <f aca="false">IF(GanttPeriod&lt;28,GanttStart+((COLUMN()-COLUMN(gantt_Origin))-1)*GanttPeriod,EDATE(DATE(YEAR(GanttStart),MONTH(GanttStart)-IF(GanttPeriod&gt;=90,MOD(MONTH(GanttStart)-1,3),0),1),((COLUMN()-COLUMN(gantt_Origin))-1)*IF(GanttPeriod&gt;=90,3,1)))</f>
        <v>46442</v>
      </c>
      <c r="MV5" s="83" t="n">
        <f aca="false">IF(GanttPeriod&lt;28,GanttStart+((COLUMN()-COLUMN(gantt_Origin))-1)*GanttPeriod,EDATE(DATE(YEAR(GanttStart),MONTH(GanttStart)-IF(GanttPeriod&gt;=90,MOD(MONTH(GanttStart)-1,3),0),1),((COLUMN()-COLUMN(gantt_Origin))-1)*IF(GanttPeriod&gt;=90,3,1)))</f>
        <v>46443</v>
      </c>
      <c r="MW5" s="83" t="n">
        <f aca="false">IF(GanttPeriod&lt;28,GanttStart+((COLUMN()-COLUMN(gantt_Origin))-1)*GanttPeriod,EDATE(DATE(YEAR(GanttStart),MONTH(GanttStart)-IF(GanttPeriod&gt;=90,MOD(MONTH(GanttStart)-1,3),0),1),((COLUMN()-COLUMN(gantt_Origin))-1)*IF(GanttPeriod&gt;=90,3,1)))</f>
        <v>46444</v>
      </c>
      <c r="MX5" s="83" t="n">
        <f aca="false">IF(GanttPeriod&lt;28,GanttStart+((COLUMN()-COLUMN(gantt_Origin))-1)*GanttPeriod,EDATE(DATE(YEAR(GanttStart),MONTH(GanttStart)-IF(GanttPeriod&gt;=90,MOD(MONTH(GanttStart)-1,3),0),1),((COLUMN()-COLUMN(gantt_Origin))-1)*IF(GanttPeriod&gt;=90,3,1)))</f>
        <v>46445</v>
      </c>
      <c r="MY5" s="83" t="n">
        <f aca="false">IF(GanttPeriod&lt;28,GanttStart+((COLUMN()-COLUMN(gantt_Origin))-1)*GanttPeriod,EDATE(DATE(YEAR(GanttStart),MONTH(GanttStart)-IF(GanttPeriod&gt;=90,MOD(MONTH(GanttStart)-1,3),0),1),((COLUMN()-COLUMN(gantt_Origin))-1)*IF(GanttPeriod&gt;=90,3,1)))</f>
        <v>46446</v>
      </c>
      <c r="MZ5" s="83" t="n">
        <f aca="false">IF(GanttPeriod&lt;28,GanttStart+((COLUMN()-COLUMN(gantt_Origin))-1)*GanttPeriod,EDATE(DATE(YEAR(GanttStart),MONTH(GanttStart)-IF(GanttPeriod&gt;=90,MOD(MONTH(GanttStart)-1,3),0),1),((COLUMN()-COLUMN(gantt_Origin))-1)*IF(GanttPeriod&gt;=90,3,1)))</f>
        <v>46447</v>
      </c>
      <c r="NA5" s="83" t="n">
        <f aca="false">IF(GanttPeriod&lt;28,GanttStart+((COLUMN()-COLUMN(gantt_Origin))-1)*GanttPeriod,EDATE(DATE(YEAR(GanttStart),MONTH(GanttStart)-IF(GanttPeriod&gt;=90,MOD(MONTH(GanttStart)-1,3),0),1),((COLUMN()-COLUMN(gantt_Origin))-1)*IF(GanttPeriod&gt;=90,3,1)))</f>
        <v>46448</v>
      </c>
      <c r="NB5" s="83"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1" t="n">
        <f aca="false">IF(Tasks[[#This Row],[Task Name]]="","",COUNTA(Tasks[[#Headers],[Task Name]]:Tasks[[#This Row],[Task Name]])-1)</f>
        <v>1</v>
      </c>
      <c r="B6" s="22" t="n">
        <v>1</v>
      </c>
      <c r="C6" s="22" t="n">
        <v>1</v>
      </c>
      <c r="D6" s="23" t="s">
        <v>639</v>
      </c>
      <c r="E6" s="22"/>
      <c r="F6" s="23"/>
      <c r="G6" s="22"/>
      <c r="H6" s="22"/>
      <c r="I6" s="23"/>
      <c r="J6" s="22"/>
      <c r="K6" s="22"/>
      <c r="L6" s="23"/>
      <c r="M6" s="22"/>
      <c r="N6" s="22"/>
      <c r="O6" s="23"/>
      <c r="P6" s="22"/>
      <c r="Q6" s="22"/>
      <c r="R6" s="23"/>
      <c r="S6" s="23"/>
      <c r="T6" s="84"/>
      <c r="U6" s="23"/>
      <c r="V6" s="84"/>
      <c r="W6" s="23"/>
      <c r="X6" s="84"/>
      <c r="Y6" s="23"/>
      <c r="Z6" s="84"/>
      <c r="AA6" s="23"/>
      <c r="AB6" s="23"/>
      <c r="AC6" s="7"/>
      <c r="AD6" s="7"/>
      <c r="AE6" s="63" t="n">
        <f aca="false">IF(Tasks[[#This Row],[Task Name]]="","",IF(Tasks[[#This Row],[_IsSummary]],MIN(INDEX(Tasks[_ShownFcstStart],Tasks[[#This Row],[_Row]]+1):INDEX(Tasks[_ShownFcstStart],Tasks[[#This Row],[_Row]]+Tasks[[#This Row],[_Descendants]])),Tasks[[#This Row],[_ShownFcstStart]]))</f>
        <v>46272</v>
      </c>
      <c r="AF6" s="63" t="n">
        <f aca="false">IF(Tasks[[#This Row],[Task Name]]="","",IF(Tasks[[#This Row],[_IsSummary]],MAX(INDEX(Tasks[_ShownFcstFinish],Tasks[[#This Row],[_Row]]+1):INDEX(Tasks[_ShownFcstFinish],Tasks[[#This Row],[_Row]]+Tasks[[#This Row],[_Descendants]])),Tasks[[#This Row],[_ShownFcstFinish]]))</f>
        <v>46279</v>
      </c>
      <c r="AG6" s="21" t="str">
        <f aca="false">""</f>
        <v/>
      </c>
      <c r="AH6" s="23" t="s">
        <v>640</v>
      </c>
      <c r="AI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 s="7"/>
      <c r="AK6" s="22" t="s">
        <v>248</v>
      </c>
      <c r="AL6" s="23"/>
      <c r="AM6" s="7"/>
      <c r="AN6" s="47" t="n">
        <f aca="false">IF(Tasks[[#This Row],[Task Name]]="","",IF(Tasks[[#This Row],[Finish]]&gt;=Tasks[[#This Row],[Planned Finish]],NETWORKDAYS.INTL(Tasks[[#This Row],[Planned Finish]],Tasks[[#This Row],[Finish]],WorkWeek,Holidays)-1,1-NETWORKDAYS.INTL(Tasks[[#This Row],[Finish]],Tasks[[#This Row],[Planned Finish]],WorkWeek,Holidays)))</f>
        <v>1</v>
      </c>
      <c r="AO6" s="21" t="str">
        <f aca="false">IF(Tasks[[#This Row],[Task Name]]="","",IF(Tasks[[#This Row],[Progress]]&gt;=1,"Complete",IF(OR(N(Tasks[[#This Row],[Actual Start]])&gt;0,Tasks[[#This Row],[Progress]]&gt;0),IF(Tasks[[#This Row],[Finish Var]]&gt;0,"Behind","In Progress"),IF(Tasks[[#This Row],[Planned Start]]&lt;StatusDate,"Late Start","Not Started"))))</f>
        <v>Complete</v>
      </c>
      <c r="AP6" s="21" t="str">
        <f aca="false">IF(Tasks[[#This Row],[Task Name]]="","",IF(IF(Tasks[[#This Row],[_IsSummary]],COUNTIF(INDEX(Tasks[_LeafCritical],Tasks[[#This Row],[_Row]]+1):INDEX(Tasks[_LeafCritical],Tasks[[#This Row],[_Row]]+Tasks[[#This Row],[_Descendants]]),TRUE())&gt;0,Tasks[[#This Row],[_LeafCritical]]),"Yes",""))</f>
        <v/>
      </c>
      <c r="AQ6" s="63" t="n">
        <f aca="false">IF(Tasks[[#This Row],[Task Name]]="","",IF(N(Tasks[[#This Row],[Baseline Start]])&gt;0,Tasks[[#This Row],[Baseline Start]],Tasks[[#This Row],[_CalcStart]]))</f>
        <v>46272</v>
      </c>
      <c r="AR6" s="63" t="n">
        <f aca="false">IF(Tasks[[#This Row],[Task Name]]="","",IF(N(Tasks[[#This Row],[Baseline Finish]])&gt;0,Tasks[[#This Row],[Baseline Finish]],Tasks[[#This Row],[_CalcFinish]]))</f>
        <v>46276</v>
      </c>
      <c r="AS6" s="47" t="n">
        <f aca="false">IF(Tasks[[#This Row],[Task Name]]="","",IF(Tasks[[#This Row],[Start]]&gt;=Tasks[[#This Row],[Planned Start]],NETWORKDAYS.INTL(Tasks[[#This Row],[Planned Start]],Tasks[[#This Row],[Start]],WorkWeek,Holidays)-1,1-NETWORKDAYS.INTL(Tasks[[#This Row],[Start]],Tasks[[#This Row],[Planned Start]],WorkWeek,Holidays)))</f>
        <v>0</v>
      </c>
      <c r="AT6" s="63" t="n">
        <f aca="false">IF(Tasks[[#This Row],[Task Name]]="","",IF(Tasks[[#This Row],[_IsSummary]],MIN(INDEX(Tasks[_LeafLateStart],Tasks[[#This Row],[_Row]]+1):INDEX(Tasks[_LeafLateStart],Tasks[[#This Row],[_Row]]+Tasks[[#This Row],[_Descendants]])),Tasks[[#This Row],[_LeafLateStart]]))</f>
        <v>46276</v>
      </c>
      <c r="AU6" s="63" t="n">
        <f aca="false">IF(Tasks[[#This Row],[Task Name]]="","",IF(Tasks[[#This Row],[_IsSummary]],MAX(INDEX(Tasks[_LeafLateFinish],Tasks[[#This Row],[_Row]]+1):INDEX(Tasks[_LeafLateFinish],Tasks[[#This Row],[_Row]]+Tasks[[#This Row],[_Descendants]])),Tasks[[#This Row],[_LeafLateFinish]]))</f>
        <v>46282</v>
      </c>
      <c r="AV6" s="47" t="n">
        <f aca="false">IF(Tasks[[#This Row],[Task Name]]="","",IF(Tasks[[#This Row],[_IsSummary]],MIN(INDEX(Tasks[_LeafTotalSlack],Tasks[[#This Row],[_Row]]+1):INDEX(Tasks[_LeafTotalSlack],Tasks[[#This Row],[_Row]]+Tasks[[#This Row],[_Descendants]])),Tasks[[#This Row],[_LeafTotalSlack]]))</f>
        <v>3</v>
      </c>
      <c r="AW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5"/>
      <c r="BA6"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BD6" s="21" t="str">
        <f aca="false">IF(Tasks[[#This Row],[Task Name]]="","",IF(Tasks[[#This Row],[_Level]]&lt;=OutlineShowLevel,"Yes","No"))</f>
        <v>Yes</v>
      </c>
      <c r="BE6" s="86" t="n">
        <f aca="false">IF(Tasks[[#This Row],[Task Name]]="","",IF(Tasks[[#This Row],[_IsSummary]],SUM(INDEX(Tasks[_LeafTotalWork],Tasks[[#This Row],[_Row]]+1):INDEX(Tasks[_LeafTotalWork],Tasks[[#This Row],[_Row]]+Tasks[[#This Row],[_Descendants]])),Tasks[[#This Row],[_LeafTotalWork]]))</f>
        <v>40</v>
      </c>
      <c r="BF6" s="23" t="s">
        <v>6</v>
      </c>
      <c r="BG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t="str">
        <f aca="false">""</f>
        <v/>
      </c>
      <c r="BI6" s="87"/>
      <c r="BJ6" s="22"/>
      <c r="BK6" s="47" t="n">
        <f aca="false">IF(OR(Tasks[[#This Row],[Task Name]]="",Tasks[[#This Row],[Baseline Duration]]=""),"",Tasks[[#This Row],[_SpanDays]]-N(Tasks[[#This Row],[Baseline Duration]]))</f>
        <v>1</v>
      </c>
      <c r="BL6" s="86" t="n">
        <f aca="false">IF(OR(Tasks[[#This Row],[Task Name]]="",Tasks[[#This Row],[Baseline Work]]=""),"",Tasks[[#This Row],[Work]]-N(Tasks[[#This Row],[Baseline Work]]))</f>
        <v>0</v>
      </c>
      <c r="BM6" s="63" t="n">
        <f aca="false">IF(Tasks[[#This Row],[Task Name]]="","",IF(OR(TakeBaseline="Yes",N(Tasks[[#This Row],[Baseline Start]])=0),Tasks[[#This Row],[Start]],Tasks[[#This Row],[Baseline Start]]))</f>
        <v>46272</v>
      </c>
      <c r="BN6" s="63" t="n">
        <f aca="false">IF(Tasks[[#This Row],[Task Name]]="","",IF(OR(TakeBaseline="Yes",N(Tasks[[#This Row],[Baseline Finish]])=0),Tasks[[#This Row],[Finish]],Tasks[[#This Row],[Baseline Finish]]))</f>
        <v>46276</v>
      </c>
      <c r="BO6" s="21" t="n">
        <f aca="false">IF(Tasks[[#This Row],[Task Name]]="","",IF(OR(TakeBaseline="Yes",N(Tasks[[#This Row],[Baseline Duration]])=0),Tasks[[#This Row],[_SpanDays]],Tasks[[#This Row],[Baseline Duration]]))</f>
        <v>5</v>
      </c>
      <c r="BP6" s="86" t="n">
        <f aca="false">IF(Tasks[[#This Row],[Task Name]]="","",IF(OR(TakeBaseline="Yes",N(Tasks[[#This Row],[Baseline Work]])=0),Tasks[[#This Row],[Work]],Tasks[[#This Row],[Baseline Work]]))</f>
        <v>40</v>
      </c>
      <c r="BQ6" s="7" t="n">
        <v>46272</v>
      </c>
      <c r="BR6" s="7" t="n">
        <v>46276</v>
      </c>
      <c r="BS6" s="22" t="n">
        <v>5</v>
      </c>
      <c r="BT6" s="88" t="n">
        <v>40</v>
      </c>
      <c r="BU6" s="23"/>
      <c r="BV6" s="23"/>
      <c r="BW6" s="23"/>
      <c r="BX6" s="89" t="str">
        <f aca="false">IF(AND(Tasks[[#This Row],[_IsLeaf]]=1,ISNUMBER(Tasks[[#This Row],[Optimistic]]),ISNUMBER(Tasks[[#This Row],[Pessimistic]])),ROUND((Tasks[[#This Row],[Optimistic]]+4*N(Tasks[[#This Row],[_Days]])+Tasks[[#This Row],[Pessimistic]])/6,1),"")</f>
        <v/>
      </c>
      <c r="BY6" s="87"/>
      <c r="BZ6" s="87"/>
      <c r="CA6" s="22"/>
      <c r="CB6" s="43" t="n">
        <f aca="false">IF(Tasks[[#This Row],[Task Name]]="","",MAX(1,N(Tasks[[#This Row],[Level]])))</f>
        <v>1</v>
      </c>
      <c r="CC6" s="43" t="n">
        <f aca="false">ROW()-ROW(Tasks[[#Headers],[ID]])</f>
        <v>1</v>
      </c>
      <c r="CD6" s="43" t="n">
        <f aca="false">IF(OR(Tasks[[#This Row],[Task Name]]="",Tasks[[#This Row],[_Level]]&lt;=1),0,IFERROR(LOOKUP(2,1/(Tasks[[#Headers],[_Level]]:Tasks[[#This Row],[_Level]]=Tasks[[#This Row],[_Level]]-1),ROW(Tasks[[#Headers],[_Level]]:Tasks[[#This Row],[_Level]])),0))</f>
        <v>0</v>
      </c>
      <c r="CE6" s="43" t="n">
        <f aca="false">IFERROR(N(INDEX(Tasks[_Level],Tasks[[#This Row],[_Row]]+1)),0)</f>
        <v>2</v>
      </c>
      <c r="CF6" s="90" t="b">
        <f aca="false">AND(Tasks[[#This Row],[Task Name]]&lt;&gt;"",Tasks[[#This Row],[_NextLevel]]&gt;Tasks[[#This Row],[_Level]])</f>
        <v>1</v>
      </c>
      <c r="CG6" s="43" t="n">
        <f aca="false">IF(Tasks[[#This Row],[_IsSummary]],COUNTIF(Tasks[WBS],Tasks[[#This Row],[WBS]]&amp;".*"),0)</f>
        <v>3</v>
      </c>
      <c r="CH6" s="43" t="n">
        <f aca="false">IF(AND(Tasks[[#This Row],[Task Name]]&lt;&gt;"",NOT(Tasks[[#This Row],[_IsSummary]])),1,0)</f>
        <v>0</v>
      </c>
      <c r="CI6" s="43" t="n">
        <f aca="false">IF(N(Tasks[[#This Row],[_Pred1UID]])=0,0,IFERROR(MATCH(Tasks[[#This Row],[_Pred1UID]],Tasks[UID],0),-1))</f>
        <v>0</v>
      </c>
      <c r="CJ6" s="43" t="n">
        <f aca="false">IF(N(Tasks[[#This Row],[_Pred2UID]])=0,0,IFERROR(MATCH(Tasks[[#This Row],[_Pred2UID]],Tasks[UID],0),-1))</f>
        <v>0</v>
      </c>
      <c r="CK6" s="43" t="n">
        <f aca="false">IF(N(Tasks[[#This Row],[_Pred3UID]])=0,0,IFERROR(MATCH(Tasks[[#This Row],[_Pred3UID]],Tasks[UID],0),-1))</f>
        <v>0</v>
      </c>
      <c r="CL6" s="43" t="n">
        <f aca="false">IF(N(Tasks[[#This Row],[_Pred4UID]])=0,0,IFERROR(MATCH(Tasks[[#This Row],[_Pred4UID]],Tasks[UID],0),-1))</f>
        <v>0</v>
      </c>
      <c r="CM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 s="91" t="n">
        <f aca="false">IF(OR(Tasks[[#This Row],[_ConstraintCode]]=2,Tasks[[#This Row],[_ConstraintCode]]=3,Tasks[[#This Row],[_ConstraintCode]]=4,Tasks[[#This Row],[_ConstraintCode]]=6),Tasks[[#This Row],[_ConstraintStart]],0)</f>
        <v>0</v>
      </c>
      <c r="CP6" s="91" t="n">
        <f aca="false">IF(OR(Tasks[[#This Row],[_ConstraintCode]]=2,Tasks[[#This Row],[_ConstraintCode]]=3,Tasks[[#This Row],[_ConstraintCode]]=5,Tasks[[#This Row],[_ConstraintCode]]=7),Tasks[[#This Row],[_ConstraintStart]],2958465)</f>
        <v>2958465</v>
      </c>
      <c r="CQ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 s="91" t="str">
        <f aca="false">IF(NOT(Tasks[[#This Row],[_IsLeaf]]=1),"",IF(N(Tasks[[#This Row],[_Days]])&lt;=0,Tasks[[#This Row],[_LeafCalcStart]],WORKDAY.INTL(Tasks[[#This Row],[_LeafCalcStart]],Tasks[[#This Row],[_Days]]-1,WorkWeek,Holidays)))</f>
        <v/>
      </c>
      <c r="CS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 s="43" t="str">
        <f aca="false">IF(Tasks[[#This Row],[_Predecessors]]="","",TRIM(MID(SUBSTITUTE(SUBSTITUTE(SUBSTITUTE(UPPER(Tasks[[#This Row],[_Predecessors]]),";",",")," ",""),",",REPT(" ",99)),1,99)))</f>
        <v/>
      </c>
      <c r="CV6" s="43" t="str">
        <f aca="false">IF(Tasks[[#This Row],[_Pred1Text]]="","",IFERROR(VALUE(LEFT(Tasks[[#This Row],[_Pred1Text]],MIN(FIND("F",Tasks[[#This Row],[_Pred1Text]]&amp;"F"),FIND("S",Tasks[[#This Row],[_Pred1Text]]&amp;"S"),FIND("+",Tasks[[#This Row],[_Pred1Text]]&amp;"+"),FIND("-",Tasks[[#This Row],[_Pred1Text]]&amp;"-"))-1)),""))</f>
        <v/>
      </c>
      <c r="CW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 s="43" t="str">
        <f aca="false">IF(Tasks[[#This Row],[_Pred1Text]]="","",TRIM(MID(SUBSTITUTE(SUBSTITUTE(SUBSTITUTE(UPPER(Tasks[[#This Row],[_Predecessors]]),";",",")," ",""),",",REPT(" ",99)),100,99)))</f>
        <v/>
      </c>
      <c r="CZ6" s="43" t="str">
        <f aca="false">IF(Tasks[[#This Row],[_Pred2Text]]="","",IFERROR(VALUE(LEFT(Tasks[[#This Row],[_Pred2Text]],MIN(FIND("F",Tasks[[#This Row],[_Pred2Text]]&amp;"F"),FIND("S",Tasks[[#This Row],[_Pred2Text]]&amp;"S"),FIND("+",Tasks[[#This Row],[_Pred2Text]]&amp;"+"),FIND("-",Tasks[[#This Row],[_Pred2Text]]&amp;"-"))-1)),""))</f>
        <v/>
      </c>
      <c r="DA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 s="43" t="str">
        <f aca="false">IF(Tasks[[#This Row],[_Pred2Text]]="","",TRIM(MID(SUBSTITUTE(SUBSTITUTE(SUBSTITUTE(UPPER(Tasks[[#This Row],[_Predecessors]]),";",",")," ",""),",",REPT(" ",99)),199,99)))</f>
        <v/>
      </c>
      <c r="DD6" s="43" t="str">
        <f aca="false">IF(Tasks[[#This Row],[_Pred3Text]]="","",IFERROR(VALUE(LEFT(Tasks[[#This Row],[_Pred3Text]],MIN(FIND("F",Tasks[[#This Row],[_Pred3Text]]&amp;"F"),FIND("S",Tasks[[#This Row],[_Pred3Text]]&amp;"S"),FIND("+",Tasks[[#This Row],[_Pred3Text]]&amp;"+"),FIND("-",Tasks[[#This Row],[_Pred3Text]]&amp;"-"))-1)),""))</f>
        <v/>
      </c>
      <c r="DE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 s="43" t="str">
        <f aca="false">IF(Tasks[[#This Row],[_Pred3Text]]="","",TRIM(MID(SUBSTITUTE(SUBSTITUTE(SUBSTITUTE(UPPER(Tasks[[#This Row],[_Predecessors]]),";",",")," ",""),",",REPT(" ",99)),298,99)))</f>
        <v/>
      </c>
      <c r="DH6" s="43" t="str">
        <f aca="false">IF(Tasks[[#This Row],[_Pred4Text]]="","",IFERROR(VALUE(LEFT(Tasks[[#This Row],[_Pred4Text]],MIN(FIND("F",Tasks[[#This Row],[_Pred4Text]]&amp;"F"),FIND("S",Tasks[[#This Row],[_Pred4Text]]&amp;"S"),FIND("+",Tasks[[#This Row],[_Pred4Text]]&amp;"+"),FIND("-",Tasks[[#This Row],[_Pred4Text]]&amp;"-"))-1)),""))</f>
        <v/>
      </c>
      <c r="DI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 s="43" t="str">
        <f aca="false">IF(OR(Tasks[[#This Row],[Task Name]]="",Tasks[[#This Row],[_Resources]]=""),"",TRIM(MID(SUBSTITUTE(Tasks[[#This Row],[_Resources]],",",REPT(" ",99)),1,99)))</f>
        <v/>
      </c>
      <c r="DL6" s="43" t="str">
        <f aca="false">IF(Tasks[[#This Row],[_Res1Text]]="","",TRIM(MID(SUBSTITUTE(Tasks[[#This Row],[_Resources]],",",REPT(" ",99)),100,99)))</f>
        <v/>
      </c>
      <c r="DM6" s="43" t="str">
        <f aca="false">IF(Tasks[[#This Row],[_Res2Text]]="","",TRIM(MID(SUBSTITUTE(Tasks[[#This Row],[_Resources]],",",REPT(" ",99)),199,99)))</f>
        <v/>
      </c>
      <c r="DN6" s="43" t="str">
        <f aca="false">IF(Tasks[[#This Row],[_Res3Text]]="","",TRIM(MID(SUBSTITUTE(Tasks[[#This Row],[_Resources]],",",REPT(" ",99)),298,99)))</f>
        <v/>
      </c>
      <c r="DO6" s="43" t="n">
        <f aca="false">IF(Tasks[[#This Row],[_Res1Text]]="",0,IFERROR(MATCH(TRIM(LEFT(Tasks[[#This Row],[_Res1Text]],FIND("[",Tasks[[#This Row],[_Res1Text]]&amp;"[")-1)),res_Name,0),IFERROR(MATCH(TRIM(LEFT(Tasks[[#This Row],[_Res1Text]],FIND("[",Tasks[[#This Row],[_Res1Text]]&amp;"[")-1)),res_Initials,0),0)))</f>
        <v>0</v>
      </c>
      <c r="DP6" s="43" t="n">
        <f aca="false">IF(Tasks[[#This Row],[_Res2Text]]="",0,IFERROR(MATCH(TRIM(LEFT(Tasks[[#This Row],[_Res2Text]],FIND("[",Tasks[[#This Row],[_Res2Text]]&amp;"[")-1)),res_Name,0),IFERROR(MATCH(TRIM(LEFT(Tasks[[#This Row],[_Res2Text]],FIND("[",Tasks[[#This Row],[_Res2Text]]&amp;"[")-1)),res_Initials,0),0)))</f>
        <v>0</v>
      </c>
      <c r="DQ6" s="43" t="n">
        <f aca="false">IF(Tasks[[#This Row],[_Res3Text]]="",0,IFERROR(MATCH(TRIM(LEFT(Tasks[[#This Row],[_Res3Text]],FIND("[",Tasks[[#This Row],[_Res3Text]]&amp;"[")-1)),res_Name,0),IFERROR(MATCH(TRIM(LEFT(Tasks[[#This Row],[_Res3Text]],FIND("[",Tasks[[#This Row],[_Res3Text]]&amp;"[")-1)),res_Initials,0),0)))</f>
        <v>0</v>
      </c>
      <c r="DR6" s="43" t="n">
        <f aca="false">IF(Tasks[[#This Row],[_Res4Text]]="",0,IFERROR(MATCH(TRIM(LEFT(Tasks[[#This Row],[_Res4Text]],FIND("[",Tasks[[#This Row],[_Res4Text]]&amp;"[")-1)),res_Name,0),IFERROR(MATCH(TRIM(LEFT(Tasks[[#This Row],[_Res4Text]],FIND("[",Tasks[[#This Row],[_Res4Text]]&amp;"[")-1)),res_Initials,0),0)))</f>
        <v>0</v>
      </c>
      <c r="DS6" s="43" t="str">
        <f aca="false">IF(Tasks[[#This Row],[_Res1Text]]="","",IF(Tasks[[#This Row],[_Res1Row]]&gt;0,INDEX(res_Name,Tasks[[#This Row],[_Res1Row]]),TRIM(LEFT(Tasks[[#This Row],[_Res1Text]],FIND("[",Tasks[[#This Row],[_Res1Text]]&amp;"[")-1))))</f>
        <v/>
      </c>
      <c r="DT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 s="43" t="n">
        <f aca="false">IF(NOT(Tasks[[#This Row],[_IsLeaf]]=1),0,(Tasks[[#This Row],[_Resource1]]&lt;&gt;"")+(Tasks[[#This Row],[_Res2]]&lt;&gt;"")+(Tasks[[#This Row],[_Res3]]&lt;&gt;"")+(Tasks[[#This Row],[_Res4]]&lt;&gt;""))</f>
        <v>0</v>
      </c>
      <c r="DV6" s="43" t="str">
        <f aca="false">IF(Tasks[[#This Row],[_Res2Text]]="","",IF(Tasks[[#This Row],[_Res2Row]]&gt;0,INDEX(res_Name,Tasks[[#This Row],[_Res2Row]]),TRIM(LEFT(Tasks[[#This Row],[_Res2Text]],FIND("[",Tasks[[#This Row],[_Res2Text]]&amp;"[")-1))))</f>
        <v/>
      </c>
      <c r="DW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 s="43" t="n">
        <f aca="false">IF(OR(NOT(Tasks[[#This Row],[_IsLeaf]]=1),Tasks[[#This Row],[_Res2Row]]=0),0,N(Tasks[[#This Row],[_Days]])*HoursPerDay*IF(Tasks[[#This Row],[_Res2Units]]="",DefaultUnits,Tasks[[#This Row],[_Res2Units]]))</f>
        <v>0</v>
      </c>
      <c r="DY6" s="43" t="n">
        <f aca="false">IF(AND(AND(Tasks[[#This Row],[_IsLeaf]]=1,Tasks[[#This Row],[_LeafTotalWork]]&gt;0),Tasks[[#This Row],[_Res2Work]]&gt;0),Tasks[[#This Row],[_Res2Work]]/(Tasks[[#This Row],[_FinishWorkday]]-Tasks[[#This Row],[_StartWorkday]]+1),0)</f>
        <v>0</v>
      </c>
      <c r="DZ6" s="43" t="n">
        <f aca="false">Tasks[[#This Row],[_Res2WorkPerWD]]*MAX(0,Tasks[[#This Row],[_StartWorkday]]-1)</f>
        <v>0</v>
      </c>
      <c r="EA6" s="43" t="n">
        <f aca="false">Tasks[[#This Row],[_Res2Work]]*Tasks[[#This Row],[_LeafProgress]]</f>
        <v>0</v>
      </c>
      <c r="EB6" s="43" t="str">
        <f aca="false">IF(Tasks[[#This Row],[_Res3Text]]="","",IF(Tasks[[#This Row],[_Res3Row]]&gt;0,INDEX(res_Name,Tasks[[#This Row],[_Res3Row]]),TRIM(LEFT(Tasks[[#This Row],[_Res3Text]],FIND("[",Tasks[[#This Row],[_Res3Text]]&amp;"[")-1))))</f>
        <v/>
      </c>
      <c r="EC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 s="43" t="n">
        <f aca="false">IF(OR(NOT(Tasks[[#This Row],[_IsLeaf]]=1),Tasks[[#This Row],[_Res3Row]]=0),0,N(Tasks[[#This Row],[_Days]])*HoursPerDay*IF(Tasks[[#This Row],[_Res3Units]]="",DefaultUnits,Tasks[[#This Row],[_Res3Units]]))</f>
        <v>0</v>
      </c>
      <c r="EE6" s="43" t="n">
        <f aca="false">IF(AND(AND(Tasks[[#This Row],[_IsLeaf]]=1,Tasks[[#This Row],[_LeafTotalWork]]&gt;0),Tasks[[#This Row],[_Res3Work]]&gt;0),Tasks[[#This Row],[_Res3Work]]/(Tasks[[#This Row],[_FinishWorkday]]-Tasks[[#This Row],[_StartWorkday]]+1),0)</f>
        <v>0</v>
      </c>
      <c r="EF6" s="43" t="n">
        <f aca="false">Tasks[[#This Row],[_Res3WorkPerWD]]*MAX(0,Tasks[[#This Row],[_StartWorkday]]-1)</f>
        <v>0</v>
      </c>
      <c r="EG6" s="43" t="n">
        <f aca="false">Tasks[[#This Row],[_Res3Work]]*Tasks[[#This Row],[_LeafProgress]]</f>
        <v>0</v>
      </c>
      <c r="EH6" s="43" t="str">
        <f aca="false">IF(Tasks[[#This Row],[_Res4Text]]="","",IF(Tasks[[#This Row],[_Res4Row]]&gt;0,INDEX(res_Name,Tasks[[#This Row],[_Res4Row]]),TRIM(LEFT(Tasks[[#This Row],[_Res4Text]],FIND("[",Tasks[[#This Row],[_Res4Text]]&amp;"[")-1))))</f>
        <v/>
      </c>
      <c r="EI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 s="43" t="n">
        <f aca="false">IF(OR(NOT(Tasks[[#This Row],[_IsLeaf]]=1),Tasks[[#This Row],[_Res4Row]]=0),0,N(Tasks[[#This Row],[_Days]])*HoursPerDay*IF(Tasks[[#This Row],[_Res4Units]]="",DefaultUnits,Tasks[[#This Row],[_Res4Units]]))</f>
        <v>0</v>
      </c>
      <c r="EK6" s="43" t="n">
        <f aca="false">IF(AND(AND(Tasks[[#This Row],[_IsLeaf]]=1,Tasks[[#This Row],[_LeafTotalWork]]&gt;0),Tasks[[#This Row],[_Res4Work]]&gt;0),Tasks[[#This Row],[_Res4Work]]/(Tasks[[#This Row],[_FinishWorkday]]-Tasks[[#This Row],[_StartWorkday]]+1),0)</f>
        <v>0</v>
      </c>
      <c r="EL6" s="43" t="n">
        <f aca="false">Tasks[[#This Row],[_Res4WorkPerWD]]*MAX(0,Tasks[[#This Row],[_StartWorkday]]-1)</f>
        <v>0</v>
      </c>
      <c r="EM6" s="43" t="n">
        <f aca="false">Tasks[[#This Row],[_Res4Work]]*Tasks[[#This Row],[_LeafProgress]]</f>
        <v>0</v>
      </c>
      <c r="EN6" s="43" t="n">
        <f aca="false">IF(ISNUMBER(Tasks[[#This Row],[% Complete]]),Tasks[[#This Row],[% Complete]],IF(Tasks[[#This Row],[Stage]]="",0,IFERROR(INDEX(stg_Pct,MATCH(Tasks[[#This Row],[Stage]],stg_Name,0)),0)))</f>
        <v>0</v>
      </c>
      <c r="EO6" s="43" t="n">
        <f aca="false">IF(NOT(Tasks[[#This Row],[_IsLeaf]]=1),0,IF(N(Tasks[[#This Row],[Actual Finish]])&gt;0,1,MIN(1,Tasks[[#This Row],[_Pct]])))</f>
        <v>0</v>
      </c>
      <c r="EP6" s="43" t="n">
        <f aca="false">IF(OR(NOT(Tasks[[#This Row],[_IsLeaf]]=1),Tasks[[#This Row],[_Res1Row]]=0),0,N(Tasks[[#This Row],[_Days]])*HoursPerDay*IF(Tasks[[#This Row],[_Units1]]="",DefaultUnits,Tasks[[#This Row],[_Units1]]))</f>
        <v>0</v>
      </c>
      <c r="EQ6" s="43" t="n">
        <f aca="false">Tasks[[#This Row],[_LeafWork]]+Tasks[[#This Row],[_Res2Work]]+Tasks[[#This Row],[_Res3Work]]+Tasks[[#This Row],[_Res4Work]]</f>
        <v>0</v>
      </c>
      <c r="ER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 s="43" t="n">
        <f aca="false">IF(NOT(Tasks[[#This Row],[_IsLeaf]]=1),0,MAX(_xlfn.MAXIFS(Tasks[_Row],Tasks[_Pred1UID],Tasks[[#This Row],[UID]]),_xlfn.MAXIFS(Tasks[_Row],Tasks[_Pred2UID],Tasks[[#This Row],[UID]]),_xlfn.MAXIFS(Tasks[_Row],Tasks[_Pred3UID],Tasks[[#This Row],[UID]]),_xlfn.MAXIFS(Tasks[_Row],Tasks[_Pred4UID],Tasks[[#This Row],[UID]])))</f>
        <v>0</v>
      </c>
      <c r="FA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 s="91" t="str">
        <f aca="false">IF(NOT(Tasks[[#This Row],[_IsLeaf]]=1),"",IF(N(Tasks[[#This Row],[_Days]])&lt;=0,Tasks[[#This Row],[_LeafLateFinish]],WORKDAY.INTL(Tasks[[#This Row],[_LeafLateFinish]],-(Tasks[[#This Row],[_Days]]-1),WorkWeek,Holidays)))</f>
        <v/>
      </c>
      <c r="FD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 s="90" t="b">
        <f aca="false">AND(Tasks[[#This Row],[_IsLeaf]]=1,Tasks[[#This Row],[_LeafProgress]]&lt;1,N(Tasks[[#This Row],[_LeafTotalSlack]])&lt;=CriticalSlackDays)</f>
        <v>0</v>
      </c>
      <c r="FF6" s="43" t="n">
        <f aca="false">IF(AND(Tasks[[#This Row],[_IsLeaf]]=1,Tasks[[#This Row],[_ConstraintCode]]=1,Tasks[[#This Row],[Mode]]&lt;&gt;"Manual",N(Tasks[[#This Row],[Actual Start]])=0),MAX(0,N(Tasks[[#This Row],[Free Slack]])),0)</f>
        <v>0</v>
      </c>
      <c r="FG6" s="91" t="str">
        <f aca="false">IF(NOT(Tasks[[#This Row],[_IsLeaf]]=1),"",IF(Tasks[[#This Row],[_AlapShift]]=0,Tasks[[#This Row],[_LeafCalcStart]],WORKDAY.INTL(Tasks[[#This Row],[_LeafCalcStart]],Tasks[[#This Row],[_AlapShift]],WorkWeek,Holidays)))</f>
        <v/>
      </c>
      <c r="FH6" s="91" t="str">
        <f aca="false">IF(NOT(Tasks[[#This Row],[_IsLeaf]]=1),"",IF(Tasks[[#This Row],[_AlapShift]]=0,Tasks[[#This Row],[_LeafCalcFinish]],WORKDAY.INTL(Tasks[[#This Row],[_LeafCalcFinish]],Tasks[[#This Row],[_AlapShift]],WorkWeek,Holidays)))</f>
        <v/>
      </c>
      <c r="FI6" s="91" t="str">
        <f aca="false">IF(NOT(Tasks[[#This Row],[_IsLeaf]]=1),"",IF(Tasks[[#This Row],[_AlapShift]]=0,Tasks[[#This Row],[_LeafFcstStart]],WORKDAY.INTL(Tasks[[#This Row],[_LeafFcstStart]],Tasks[[#This Row],[_AlapShift]],WorkWeek,Holidays)))</f>
        <v/>
      </c>
      <c r="FJ6" s="91" t="str">
        <f aca="false">IF(NOT(Tasks[[#This Row],[_IsLeaf]]=1),"",IF(Tasks[[#This Row],[_AlapShift]]=0,Tasks[[#This Row],[_LeafFcstFinish]],WORKDAY.INTL(Tasks[[#This Row],[_LeafFcstFinish]],Tasks[[#This Row],[_AlapShift]],WorkWeek,Holidays)))</f>
        <v/>
      </c>
      <c r="FK6" s="91" t="n">
        <f aca="false">IF(Tasks[[#This Row],[Task Name]]="","",IF(Tasks[[#This Row],[_IsSummary]],MIN(INDEX(Tasks[_ShownCalcStart],Tasks[[#This Row],[_Row]]+1):INDEX(Tasks[_ShownCalcStart],Tasks[[#This Row],[_Row]]+Tasks[[#This Row],[_Descendants]])),Tasks[[#This Row],[_ShownCalcStart]]))</f>
        <v>46272</v>
      </c>
      <c r="FL6" s="91" t="n">
        <f aca="false">IF(Tasks[[#This Row],[Task Name]]="","",IF(Tasks[[#This Row],[_IsSummary]],MAX(INDEX(Tasks[_ShownCalcFinish],Tasks[[#This Row],[_Row]]+1):INDEX(Tasks[_ShownCalcFinish],Tasks[[#This Row],[_Row]]+Tasks[[#This Row],[_Descendants]])),Tasks[[#This Row],[_ShownCalcFinish]]))</f>
        <v>46276</v>
      </c>
      <c r="FM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 s="43" t="n">
        <f aca="false">IF(AND(Tasks[[#This Row],[_IsLeaf]]=1,Tasks[[#This Row],[_LeafTotalWork]]&gt;0),NETWORKDAYS.INTL(ProjectStart,Tasks[[#This Row],[_ShownFcstStart]],WorkWeek,Holidays),0)</f>
        <v>0</v>
      </c>
      <c r="FZ6" s="43" t="n">
        <f aca="false">IF(AND(Tasks[[#This Row],[_IsLeaf]]=1,Tasks[[#This Row],[_LeafTotalWork]]&gt;0),MAX(Tasks[[#This Row],[_StartWorkday]],NETWORKDAYS.INTL(ProjectStart,Tasks[[#This Row],[_ShownFcstFinish]],WorkWeek,Holidays)),0)</f>
        <v>0</v>
      </c>
      <c r="GA6" s="43" t="n">
        <f aca="false">IF(AND(Tasks[[#This Row],[_IsLeaf]]=1,Tasks[[#This Row],[_LeafTotalWork]]&gt;0),Tasks[[#This Row],[_LeafWork]]/(Tasks[[#This Row],[_FinishWorkday]]-Tasks[[#This Row],[_StartWorkday]]+1),0)</f>
        <v>0</v>
      </c>
      <c r="GB6" s="43" t="n">
        <f aca="false">Tasks[[#This Row],[_WorkPerWorkday]]*(Tasks[[#This Row],[_StartWorkday]]-1)</f>
        <v>-0</v>
      </c>
      <c r="GC6" s="43" t="n">
        <f aca="false">IF(Tasks[[#This Row],[_IsLeaf]]=1,MAX(N(Tasks[[#This Row],[_Days]]),0.1),0)</f>
        <v>0</v>
      </c>
      <c r="GD6" s="43" t="n">
        <f aca="false">Tasks[[#This Row],[_WeightDur]]*Tasks[[#This Row],[_LeafProgress]]</f>
        <v>0</v>
      </c>
      <c r="GE6" s="43" t="n">
        <f aca="false">Tasks[[#This Row],[_WeightDur]]*Tasks[[#This Row],[_PlannedPct]]</f>
        <v>0</v>
      </c>
      <c r="GF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 s="43" t="str">
        <f aca="false">IF(AND(Tasks[[#This Row],[_IsLeaf]]=1,N(Tasks[[#This Row],[_Days]])=0,Tasks[[#This Row],[_LeafProgress]]&lt;1),Tasks[[#This Row],[_ShownFcstFinish]]+Tasks[[#This Row],[_Row]]/100000,"")</f>
        <v/>
      </c>
      <c r="GH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 s="43" t="str">
        <f aca="false">IF(Tasks[[#This Row],[Task Name]]="","",LEFT(Tasks[[#This Row],[WBS]],FIND(".",Tasks[[#This Row],[WBS]]&amp;".")-1))</f>
        <v>1</v>
      </c>
      <c r="GJ6" s="43" t="n">
        <f aca="false">IF(AND(Tasks[[#This Row],[Task Name]]&lt;&gt;"",Tasks[[#This Row],[_Level]]=1),Tasks[[#This Row],[_Row]],"")</f>
        <v>1</v>
      </c>
      <c r="GK6" s="43" t="str">
        <f aca="false">IF(AND(Tasks[[#This Row],[_IsLeaf]]=1,N(Tasks[[#This Row],[_Days]])=0),Tasks[[#This Row],[Planned Finish]]+Tasks[[#This Row],[_Row]]/100000,"")</f>
        <v/>
      </c>
      <c r="GL6" s="43" t="str">
        <f aca="false">IF(AND(Tasks[[#This Row],[_IsLeaf]]=1,Tasks[[#This Row],[_LeafProgress]]&lt;1,OR(N(Tasks[[#This Row],[Finish Var]])&gt;0,Tasks[[#This Row],[Status]]="Late Start")),MAX(0,Tasks[[#This Row],[Finish Var]])+1-Tasks[[#This Row],[_Row]]/1000000,"")</f>
        <v/>
      </c>
      <c r="GM6" s="43" t="str">
        <f aca="false">IF(AND(Tasks[[#This Row],[_IsLeaf]]=1,N(Tasks[[#This Row],[Actual Start]])=0,Tasks[[#This Row],[_ShownFcstStart]]&gt;=StatusDate,Tasks[[#This Row],[_ShownFcstStart]]&lt;=LookaheadEnd),Tasks[[#This Row],[_ShownFcstStart]]+Tasks[[#This Row],[_Row]]/100000,"")</f>
        <v/>
      </c>
      <c r="GN6" s="43" t="str">
        <f aca="false">IF(AND(Tasks[[#This Row],[_IsLeaf]]=1,Tasks[[#This Row],[_LeafProgress]]&lt;1,Tasks[[#This Row],[_ShownFcstFinish]]&gt;=StatusDate,Tasks[[#This Row],[_ShownFcstFinish]]&lt;=LookaheadEnd),Tasks[[#This Row],[_ShownFcstFinish]]+Tasks[[#This Row],[_Row]]/100000,"")</f>
        <v/>
      </c>
      <c r="GO6" s="43" t="str">
        <f aca="false">IF(Tasks[[#This Row],[_LeafCritical]],Tasks[[#This Row],[_ShownFcstStart]]+Tasks[[#This Row],[_Row]]/100000,"")</f>
        <v/>
      </c>
      <c r="GP6" s="43" t="n">
        <f aca="false">Tasks[[#This Row],[_LeafWork]]*Tasks[[#This Row],[_LeafProgress]]</f>
        <v>0</v>
      </c>
      <c r="GQ6" s="91" t="str">
        <f aca="false">IF(AND(Tasks[[#This Row],[_IsLeaf]]=1,Tasks[[#This Row],[_LeafProgress]]&gt;=1),IF(N(Tasks[[#This Row],[Actual Finish]])&gt;0,Tasks[[#This Row],[Actual Finish]],Tasks[[#This Row],[_ShownFcstFinish]]),"")</f>
        <v/>
      </c>
      <c r="GR6" s="43" t="n">
        <f aca="false">IF(Tasks[[#This Row],[_IsLeaf]]=1,N(Tasks[[#This Row],[Story Points]]),0)</f>
        <v>0</v>
      </c>
      <c r="GS6" s="43" t="str">
        <f aca="false">""</f>
        <v/>
      </c>
      <c r="GT6" s="90" t="b">
        <f aca="false">IF(Tasks[[#This Row],[Task Name]]="",FALSE(),AND(Tasks[[#This Row],[_IsLeaf]]=1,N(Tasks[[#This Row],[_Days]])=0))</f>
        <v>0</v>
      </c>
      <c r="GU6" s="91" t="n">
        <f aca="false">IF(Tasks[[#This Row],[Task Name]]="",0,IF(AND(Tasks[[#This Row],[_IsLeaf]]=1,NOT(Tasks[[#This Row],[_IsMilestone]]),N(Tasks[[#This Row],[Progress]])&gt;0),Tasks[[#This Row],[Start]],0))</f>
        <v>0</v>
      </c>
      <c r="GV6" s="91" t="n">
        <f aca="false">IF(Tasks[[#This Row],[_DoneFrom]]=0,0,IF(Tasks[[#This Row],[Progress]]&gt;=1,Tasks[[#This Row],[Finish]],MAX(Tasks[[#This Row],[_DoneFrom]],Tasks[[#This Row],[Start]]+ROUND((Tasks[[#This Row],[Finish]]-Tasks[[#This Row],[Start]]+1)*Tasks[[#This Row],[Progress]],0)-1)))</f>
        <v>0</v>
      </c>
      <c r="GW6" s="91" t="n">
        <f aca="false">IF(Tasks[[#This Row],[Task Name]]="",0,IF(OR(NOT(Tasks[[#This Row],[_IsLeaf]]=1),Tasks[[#This Row],[_IsMilestone]],N(Tasks[[#This Row],[Progress]])&gt;=1),0,IF(Tasks[[#This Row],[_DoneTo]]&gt;0,Tasks[[#This Row],[_DoneTo]]+1,Tasks[[#This Row],[Start]])))</f>
        <v>0</v>
      </c>
      <c r="GX6" s="91" t="n">
        <f aca="false">IF(Tasks[[#This Row],[_RemFrom]]=0,0,Tasks[[#This Row],[Finish]])</f>
        <v>0</v>
      </c>
      <c r="GY6" s="90" t="b">
        <f aca="false">IF(Tasks[[#This Row],[Task Name]]="",FALSE(),OR(NOT(BaselineSet),N(Tasks[[#This Row],[Baseline Start]])&gt;0))</f>
        <v>1</v>
      </c>
      <c r="GZ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 s="92" t="str">
        <f aca="false">IF(Tasks[[#This Row],[_IsLeaf]]=1,Tasks[[#This Row],[_Row]],"")</f>
        <v/>
      </c>
      <c r="HD6" s="92" t="str">
        <f aca="false">IFERROR(INDEX(Tasks[UID],SMALL(Tasks[_PickKey],Tasks[[#This Row],[_Row]]))&amp;" "&amp;INDEX(Tasks[Task Name],SMALL(Tasks[_PickKey],Tasks[[#This Row],[_Row]])),"")</f>
        <v>2 Project charter &amp; scope statement</v>
      </c>
      <c r="HE6" s="43" t="n">
        <f aca="false">IF(Tasks[[#This Row],[Task Name]]="","",IF(Tasks[[#This Row],[_IsSummary]],NETWORKDAYS.INTL(Tasks[[#This Row],[Start]],Tasks[[#This Row],[Finish]],WorkWeek,Holidays),N(Tasks[[#This Row],[_Days]])))</f>
        <v>6</v>
      </c>
      <c r="HF6" s="43" t="n">
        <f aca="false">IF(Tasks[[#This Row],[Expected]]="",0,((Tasks[[#This Row],[Pessimistic]]-Tasks[[#This Row],[Optimistic]])/6)^2)</f>
        <v>0</v>
      </c>
      <c r="HG6" s="43" t="n">
        <f aca="false">IF(Tasks[[#This Row],[Expected]]="",0,Tasks[[#This Row],[Expected]]-N(Tasks[[#This Row],[_Days]]))</f>
        <v>0</v>
      </c>
    </row>
    <row r="7" customFormat="false" ht="15" hidden="false" customHeight="false" outlineLevel="1" collapsed="false">
      <c r="A7" s="21" t="n">
        <f aca="false">IF(Tasks[[#This Row],[Task Name]]="","",COUNTA(Tasks[[#Headers],[Task Name]]:Tasks[[#This Row],[Task Name]])-1)</f>
        <v>2</v>
      </c>
      <c r="B7" s="22" t="n">
        <v>2</v>
      </c>
      <c r="C7" s="22" t="n">
        <v>2</v>
      </c>
      <c r="D7" s="93" t="s">
        <v>641</v>
      </c>
      <c r="E7" s="22" t="n">
        <v>3</v>
      </c>
      <c r="F7" s="23"/>
      <c r="G7" s="22"/>
      <c r="H7" s="22"/>
      <c r="I7" s="23"/>
      <c r="J7" s="22"/>
      <c r="K7" s="22"/>
      <c r="L7" s="23"/>
      <c r="M7" s="22"/>
      <c r="N7" s="22"/>
      <c r="O7" s="23"/>
      <c r="P7" s="22"/>
      <c r="Q7" s="22"/>
      <c r="R7" s="23"/>
      <c r="S7" s="23" t="s">
        <v>6</v>
      </c>
      <c r="T7" s="84"/>
      <c r="U7" s="23"/>
      <c r="V7" s="84"/>
      <c r="W7" s="23"/>
      <c r="X7" s="84"/>
      <c r="Y7" s="23"/>
      <c r="Z7" s="84"/>
      <c r="AA7" s="23"/>
      <c r="AB7" s="23" t="s">
        <v>150</v>
      </c>
      <c r="AC7" s="7" t="n">
        <v>46272</v>
      </c>
      <c r="AD7" s="7" t="n">
        <v>46275</v>
      </c>
      <c r="AE7" s="63" t="n">
        <f aca="false">IF(Tasks[[#This Row],[Task Name]]="","",IF(Tasks[[#This Row],[_IsSummary]],MIN(INDEX(Tasks[_ShownFcstStart],Tasks[[#This Row],[_Row]]+1):INDEX(Tasks[_ShownFcstStart],Tasks[[#This Row],[_Row]]+Tasks[[#This Row],[_Descendants]])),Tasks[[#This Row],[_ShownFcstStart]]))</f>
        <v>46272</v>
      </c>
      <c r="AF7" s="63" t="n">
        <f aca="false">IF(Tasks[[#This Row],[Task Name]]="","",IF(Tasks[[#This Row],[_IsSummary]],MAX(INDEX(Tasks[_ShownFcstFinish],Tasks[[#This Row],[_Row]]+1):INDEX(Tasks[_ShownFcstFinish],Tasks[[#This Row],[_Row]]+Tasks[[#This Row],[_Descendants]])),Tasks[[#This Row],[_ShownFcstFinish]]))</f>
        <v>46275</v>
      </c>
      <c r="AG7" s="21" t="str">
        <f aca="false">""</f>
        <v/>
      </c>
      <c r="AH7" s="23" t="s">
        <v>642</v>
      </c>
      <c r="AI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 s="7"/>
      <c r="AK7" s="22" t="s">
        <v>248</v>
      </c>
      <c r="AL7" s="23"/>
      <c r="AM7" s="7"/>
      <c r="AN7" s="47" t="n">
        <f aca="false">IF(Tasks[[#This Row],[Task Name]]="","",IF(Tasks[[#This Row],[Finish]]&gt;=Tasks[[#This Row],[Planned Finish]],NETWORKDAYS.INTL(Tasks[[#This Row],[Planned Finish]],Tasks[[#This Row],[Finish]],WorkWeek,Holidays)-1,1-NETWORKDAYS.INTL(Tasks[[#This Row],[Finish]],Tasks[[#This Row],[Planned Finish]],WorkWeek,Holidays)))</f>
        <v>1</v>
      </c>
      <c r="AO7" s="21" t="str">
        <f aca="false">IF(Tasks[[#This Row],[Task Name]]="","",IF(Tasks[[#This Row],[Progress]]&gt;=1,"Complete",IF(OR(N(Tasks[[#This Row],[Actual Start]])&gt;0,Tasks[[#This Row],[Progress]]&gt;0),IF(Tasks[[#This Row],[Finish Var]]&gt;0,"Behind","In Progress"),IF(Tasks[[#This Row],[Planned Start]]&lt;StatusDate,"Late Start","Not Started"))))</f>
        <v>Complete</v>
      </c>
      <c r="AP7" s="21" t="str">
        <f aca="false">IF(Tasks[[#This Row],[Task Name]]="","",IF(IF(Tasks[[#This Row],[_IsSummary]],COUNTIF(INDEX(Tasks[_LeafCritical],Tasks[[#This Row],[_Row]]+1):INDEX(Tasks[_LeafCritical],Tasks[[#This Row],[_Row]]+Tasks[[#This Row],[_Descendants]]),TRUE())&gt;0,Tasks[[#This Row],[_LeafCritical]]),"Yes",""))</f>
        <v/>
      </c>
      <c r="AQ7" s="63" t="n">
        <f aca="false">IF(Tasks[[#This Row],[Task Name]]="","",IF(N(Tasks[[#This Row],[Baseline Start]])&gt;0,Tasks[[#This Row],[Baseline Start]],Tasks[[#This Row],[_CalcStart]]))</f>
        <v>46272</v>
      </c>
      <c r="AR7" s="63" t="n">
        <f aca="false">IF(Tasks[[#This Row],[Task Name]]="","",IF(N(Tasks[[#This Row],[Baseline Finish]])&gt;0,Tasks[[#This Row],[Baseline Finish]],Tasks[[#This Row],[_CalcFinish]]))</f>
        <v>46274</v>
      </c>
      <c r="AS7" s="47" t="n">
        <f aca="false">IF(Tasks[[#This Row],[Task Name]]="","",IF(Tasks[[#This Row],[Start]]&gt;=Tasks[[#This Row],[Planned Start]],NETWORKDAYS.INTL(Tasks[[#This Row],[Planned Start]],Tasks[[#This Row],[Start]],WorkWeek,Holidays)-1,1-NETWORKDAYS.INTL(Tasks[[#This Row],[Start]],Tasks[[#This Row],[Planned Start]],WorkWeek,Holidays)))</f>
        <v>0</v>
      </c>
      <c r="AT7" s="63" t="n">
        <f aca="false">IF(Tasks[[#This Row],[Task Name]]="","",IF(Tasks[[#This Row],[_IsSummary]],MIN(INDEX(Tasks[_LeafLateStart],Tasks[[#This Row],[_Row]]+1):INDEX(Tasks[_LeafLateStart],Tasks[[#This Row],[_Row]]+Tasks[[#This Row],[_Descendants]])),Tasks[[#This Row],[_LeafLateStart]]))</f>
        <v>46276</v>
      </c>
      <c r="AU7" s="63" t="n">
        <f aca="false">IF(Tasks[[#This Row],[Task Name]]="","",IF(Tasks[[#This Row],[_IsSummary]],MAX(INDEX(Tasks[_LeafLateFinish],Tasks[[#This Row],[_Row]]+1):INDEX(Tasks[_LeafLateFinish],Tasks[[#This Row],[_Row]]+Tasks[[#This Row],[_Descendants]])),Tasks[[#This Row],[_LeafLateFinish]]))</f>
        <v>46280</v>
      </c>
      <c r="AV7" s="47" t="n">
        <f aca="false">IF(Tasks[[#This Row],[Task Name]]="","",IF(Tasks[[#This Row],[_IsSummary]],MIN(INDEX(Tasks[_LeafTotalSlack],Tasks[[#This Row],[_Row]]+1):INDEX(Tasks[_LeafTotalSlack],Tasks[[#This Row],[_Row]]+Tasks[[#This Row],[_Descendants]])),Tasks[[#This Row],[_LeafTotalSlack]]))</f>
        <v>3</v>
      </c>
      <c r="AW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5"/>
      <c r="BA7"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BD7" s="21" t="str">
        <f aca="false">IF(Tasks[[#This Row],[Task Name]]="","",IF(Tasks[[#This Row],[_Level]]&lt;=OutlineShowLevel,"Yes","No"))</f>
        <v>Yes</v>
      </c>
      <c r="BE7" s="86" t="n">
        <f aca="false">IF(Tasks[[#This Row],[Task Name]]="","",IF(Tasks[[#This Row],[_IsSummary]],SUM(INDEX(Tasks[_LeafTotalWork],Tasks[[#This Row],[_Row]]+1):INDEX(Tasks[_LeafTotalWork],Tasks[[#This Row],[_Row]]+Tasks[[#This Row],[_Descendants]])),Tasks[[#This Row],[_LeafTotalWork]]))</f>
        <v>24</v>
      </c>
      <c r="BF7" s="23"/>
      <c r="BG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7" s="21" t="str">
        <f aca="false">""</f>
        <v/>
      </c>
      <c r="BI7" s="87"/>
      <c r="BJ7" s="22"/>
      <c r="BK7" s="47" t="n">
        <f aca="false">IF(OR(Tasks[[#This Row],[Task Name]]="",Tasks[[#This Row],[Baseline Duration]]=""),"",Tasks[[#This Row],[_SpanDays]]-N(Tasks[[#This Row],[Baseline Duration]]))</f>
        <v>0</v>
      </c>
      <c r="BL7" s="86" t="n">
        <f aca="false">IF(OR(Tasks[[#This Row],[Task Name]]="",Tasks[[#This Row],[Baseline Work]]=""),"",Tasks[[#This Row],[Work]]-N(Tasks[[#This Row],[Baseline Work]]))</f>
        <v>0</v>
      </c>
      <c r="BM7" s="63" t="n">
        <f aca="false">IF(Tasks[[#This Row],[Task Name]]="","",IF(OR(TakeBaseline="Yes",N(Tasks[[#This Row],[Baseline Start]])=0),Tasks[[#This Row],[Start]],Tasks[[#This Row],[Baseline Start]]))</f>
        <v>46272</v>
      </c>
      <c r="BN7" s="63" t="n">
        <f aca="false">IF(Tasks[[#This Row],[Task Name]]="","",IF(OR(TakeBaseline="Yes",N(Tasks[[#This Row],[Baseline Finish]])=0),Tasks[[#This Row],[Finish]],Tasks[[#This Row],[Baseline Finish]]))</f>
        <v>46274</v>
      </c>
      <c r="BO7" s="21" t="n">
        <f aca="false">IF(Tasks[[#This Row],[Task Name]]="","",IF(OR(TakeBaseline="Yes",N(Tasks[[#This Row],[Baseline Duration]])=0),Tasks[[#This Row],[_SpanDays]],Tasks[[#This Row],[Baseline Duration]]))</f>
        <v>3</v>
      </c>
      <c r="BP7" s="86" t="n">
        <f aca="false">IF(Tasks[[#This Row],[Task Name]]="","",IF(OR(TakeBaseline="Yes",N(Tasks[[#This Row],[Baseline Work]])=0),Tasks[[#This Row],[Work]],Tasks[[#This Row],[Baseline Work]]))</f>
        <v>24</v>
      </c>
      <c r="BQ7" s="7" t="n">
        <v>46272</v>
      </c>
      <c r="BR7" s="7" t="n">
        <v>46274</v>
      </c>
      <c r="BS7" s="22" t="n">
        <v>3</v>
      </c>
      <c r="BT7" s="88" t="n">
        <v>24</v>
      </c>
      <c r="BU7" s="23" t="s">
        <v>6</v>
      </c>
      <c r="BV7" s="23" t="s">
        <v>643</v>
      </c>
      <c r="BW7" s="23" t="s">
        <v>644</v>
      </c>
      <c r="BX7" s="89" t="str">
        <f aca="false">IF(AND(Tasks[[#This Row],[_IsLeaf]]=1,ISNUMBER(Tasks[[#This Row],[Optimistic]]),ISNUMBER(Tasks[[#This Row],[Pessimistic]])),ROUND((Tasks[[#This Row],[Optimistic]]+4*N(Tasks[[#This Row],[_Days]])+Tasks[[#This Row],[Pessimistic]])/6,1),"")</f>
        <v/>
      </c>
      <c r="BY7" s="87"/>
      <c r="BZ7" s="87"/>
      <c r="CA7" s="22"/>
      <c r="CB7" s="43" t="n">
        <f aca="false">IF(Tasks[[#This Row],[Task Name]]="","",MAX(1,N(Tasks[[#This Row],[Level]])))</f>
        <v>2</v>
      </c>
      <c r="CC7" s="43" t="n">
        <f aca="false">ROW()-ROW(Tasks[[#Headers],[ID]])</f>
        <v>2</v>
      </c>
      <c r="CD7" s="43" t="n">
        <f aca="false">IF(OR(Tasks[[#This Row],[Task Name]]="",Tasks[[#This Row],[_Level]]&lt;=1),0,IFERROR(LOOKUP(2,1/(Tasks[[#Headers],[_Level]]:Tasks[[#This Row],[_Level]]=Tasks[[#This Row],[_Level]]-1),ROW(Tasks[[#Headers],[_Level]]:Tasks[[#This Row],[_Level]])),0))</f>
        <v>6</v>
      </c>
      <c r="CE7" s="43" t="n">
        <f aca="false">IFERROR(N(INDEX(Tasks[_Level],Tasks[[#This Row],[_Row]]+1)),0)</f>
        <v>2</v>
      </c>
      <c r="CF7" s="90" t="b">
        <f aca="false">AND(Tasks[[#This Row],[Task Name]]&lt;&gt;"",Tasks[[#This Row],[_NextLevel]]&gt;Tasks[[#This Row],[_Level]])</f>
        <v>0</v>
      </c>
      <c r="CG7" s="43" t="n">
        <f aca="false">IF(Tasks[[#This Row],[_IsSummary]],COUNTIF(Tasks[WBS],Tasks[[#This Row],[WBS]]&amp;".*"),0)</f>
        <v>0</v>
      </c>
      <c r="CH7" s="43" t="n">
        <f aca="false">IF(AND(Tasks[[#This Row],[Task Name]]&lt;&gt;"",NOT(Tasks[[#This Row],[_IsSummary]])),1,0)</f>
        <v>1</v>
      </c>
      <c r="CI7" s="43" t="n">
        <f aca="false">IF(N(Tasks[[#This Row],[_Pred1UID]])=0,0,IFERROR(MATCH(Tasks[[#This Row],[_Pred1UID]],Tasks[UID],0),-1))</f>
        <v>0</v>
      </c>
      <c r="CJ7" s="43" t="n">
        <f aca="false">IF(N(Tasks[[#This Row],[_Pred2UID]])=0,0,IFERROR(MATCH(Tasks[[#This Row],[_Pred2UID]],Tasks[UID],0),-1))</f>
        <v>0</v>
      </c>
      <c r="CK7" s="43" t="n">
        <f aca="false">IF(N(Tasks[[#This Row],[_Pred3UID]])=0,0,IFERROR(MATCH(Tasks[[#This Row],[_Pred3UID]],Tasks[UID],0),-1))</f>
        <v>0</v>
      </c>
      <c r="CL7" s="43" t="n">
        <f aca="false">IF(N(Tasks[[#This Row],[_Pred4UID]])=0,0,IFERROR(MATCH(Tasks[[#This Row],[_Pred4UID]],Tasks[UID],0),-1))</f>
        <v>0</v>
      </c>
      <c r="CM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 s="91" t="n">
        <f aca="false">IF(OR(Tasks[[#This Row],[_ConstraintCode]]=2,Tasks[[#This Row],[_ConstraintCode]]=3,Tasks[[#This Row],[_ConstraintCode]]=4,Tasks[[#This Row],[_ConstraintCode]]=6),Tasks[[#This Row],[_ConstraintStart]],0)</f>
        <v>0</v>
      </c>
      <c r="CP7" s="91" t="n">
        <f aca="false">IF(OR(Tasks[[#This Row],[_ConstraintCode]]=2,Tasks[[#This Row],[_ConstraintCode]]=3,Tasks[[#This Row],[_ConstraintCode]]=5,Tasks[[#This Row],[_ConstraintCode]]=7),Tasks[[#This Row],[_ConstraintStart]],2958465)</f>
        <v>2958465</v>
      </c>
      <c r="CQ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R7" s="91" t="n">
        <f aca="false">IF(NOT(Tasks[[#This Row],[_IsLeaf]]=1),"",IF(N(Tasks[[#This Row],[_Days]])&lt;=0,Tasks[[#This Row],[_LeafCalcStart]],WORKDAY.INTL(Tasks[[#This Row],[_LeafCalcStart]],Tasks[[#This Row],[_Days]]-1,WorkWeek,Holidays)))</f>
        <v>46274</v>
      </c>
      <c r="CS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T7"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46275</v>
      </c>
      <c r="CU7" s="43" t="str">
        <f aca="false">IF(Tasks[[#This Row],[_Predecessors]]="","",TRIM(MID(SUBSTITUTE(SUBSTITUTE(SUBSTITUTE(UPPER(Tasks[[#This Row],[_Predecessors]]),";",",")," ",""),",",REPT(" ",99)),1,99)))</f>
        <v/>
      </c>
      <c r="CV7" s="43" t="str">
        <f aca="false">IF(Tasks[[#This Row],[_Pred1Text]]="","",IFERROR(VALUE(LEFT(Tasks[[#This Row],[_Pred1Text]],MIN(FIND("F",Tasks[[#This Row],[_Pred1Text]]&amp;"F"),FIND("S",Tasks[[#This Row],[_Pred1Text]]&amp;"S"),FIND("+",Tasks[[#This Row],[_Pred1Text]]&amp;"+"),FIND("-",Tasks[[#This Row],[_Pred1Text]]&amp;"-"))-1)),""))</f>
        <v/>
      </c>
      <c r="CW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 s="43" t="str">
        <f aca="false">IF(Tasks[[#This Row],[_Pred1Text]]="","",TRIM(MID(SUBSTITUTE(SUBSTITUTE(SUBSTITUTE(UPPER(Tasks[[#This Row],[_Predecessors]]),";",",")," ",""),",",REPT(" ",99)),100,99)))</f>
        <v/>
      </c>
      <c r="CZ7" s="43" t="str">
        <f aca="false">IF(Tasks[[#This Row],[_Pred2Text]]="","",IFERROR(VALUE(LEFT(Tasks[[#This Row],[_Pred2Text]],MIN(FIND("F",Tasks[[#This Row],[_Pred2Text]]&amp;"F"),FIND("S",Tasks[[#This Row],[_Pred2Text]]&amp;"S"),FIND("+",Tasks[[#This Row],[_Pred2Text]]&amp;"+"),FIND("-",Tasks[[#This Row],[_Pred2Text]]&amp;"-"))-1)),""))</f>
        <v/>
      </c>
      <c r="DA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 s="43" t="str">
        <f aca="false">IF(Tasks[[#This Row],[_Pred2Text]]="","",TRIM(MID(SUBSTITUTE(SUBSTITUTE(SUBSTITUTE(UPPER(Tasks[[#This Row],[_Predecessors]]),";",",")," ",""),",",REPT(" ",99)),199,99)))</f>
        <v/>
      </c>
      <c r="DD7" s="43" t="str">
        <f aca="false">IF(Tasks[[#This Row],[_Pred3Text]]="","",IFERROR(VALUE(LEFT(Tasks[[#This Row],[_Pred3Text]],MIN(FIND("F",Tasks[[#This Row],[_Pred3Text]]&amp;"F"),FIND("S",Tasks[[#This Row],[_Pred3Text]]&amp;"S"),FIND("+",Tasks[[#This Row],[_Pred3Text]]&amp;"+"),FIND("-",Tasks[[#This Row],[_Pred3Text]]&amp;"-"))-1)),""))</f>
        <v/>
      </c>
      <c r="DE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 s="43" t="str">
        <f aca="false">IF(Tasks[[#This Row],[_Pred3Text]]="","",TRIM(MID(SUBSTITUTE(SUBSTITUTE(SUBSTITUTE(UPPER(Tasks[[#This Row],[_Predecessors]]),";",",")," ",""),",",REPT(" ",99)),298,99)))</f>
        <v/>
      </c>
      <c r="DH7" s="43" t="str">
        <f aca="false">IF(Tasks[[#This Row],[_Pred4Text]]="","",IFERROR(VALUE(LEFT(Tasks[[#This Row],[_Pred4Text]],MIN(FIND("F",Tasks[[#This Row],[_Pred4Text]]&amp;"F"),FIND("S",Tasks[[#This Row],[_Pred4Text]]&amp;"S"),FIND("+",Tasks[[#This Row],[_Pred4Text]]&amp;"+"),FIND("-",Tasks[[#This Row],[_Pred4Text]]&amp;"-"))-1)),""))</f>
        <v/>
      </c>
      <c r="DI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 s="43" t="str">
        <f aca="false">IF(OR(Tasks[[#This Row],[Task Name]]="",Tasks[[#This Row],[_Resources]]=""),"",TRIM(MID(SUBSTITUTE(Tasks[[#This Row],[_Resources]],",",REPT(" ",99)),1,99)))</f>
        <v>Priya Sharma</v>
      </c>
      <c r="DL7" s="43" t="str">
        <f aca="false">IF(Tasks[[#This Row],[_Res1Text]]="","",TRIM(MID(SUBSTITUTE(Tasks[[#This Row],[_Resources]],",",REPT(" ",99)),100,99)))</f>
        <v/>
      </c>
      <c r="DM7" s="43" t="str">
        <f aca="false">IF(Tasks[[#This Row],[_Res2Text]]="","",TRIM(MID(SUBSTITUTE(Tasks[[#This Row],[_Resources]],",",REPT(" ",99)),199,99)))</f>
        <v/>
      </c>
      <c r="DN7" s="43" t="str">
        <f aca="false">IF(Tasks[[#This Row],[_Res3Text]]="","",TRIM(MID(SUBSTITUTE(Tasks[[#This Row],[_Resources]],",",REPT(" ",99)),298,99)))</f>
        <v/>
      </c>
      <c r="DO7" s="43" t="n">
        <f aca="false">IF(Tasks[[#This Row],[_Res1Text]]="",0,IFERROR(MATCH(TRIM(LEFT(Tasks[[#This Row],[_Res1Text]],FIND("[",Tasks[[#This Row],[_Res1Text]]&amp;"[")-1)),res_Name,0),IFERROR(MATCH(TRIM(LEFT(Tasks[[#This Row],[_Res1Text]],FIND("[",Tasks[[#This Row],[_Res1Text]]&amp;"[")-1)),res_Initials,0),0)))</f>
        <v>1</v>
      </c>
      <c r="DP7" s="43" t="n">
        <f aca="false">IF(Tasks[[#This Row],[_Res2Text]]="",0,IFERROR(MATCH(TRIM(LEFT(Tasks[[#This Row],[_Res2Text]],FIND("[",Tasks[[#This Row],[_Res2Text]]&amp;"[")-1)),res_Name,0),IFERROR(MATCH(TRIM(LEFT(Tasks[[#This Row],[_Res2Text]],FIND("[",Tasks[[#This Row],[_Res2Text]]&amp;"[")-1)),res_Initials,0),0)))</f>
        <v>0</v>
      </c>
      <c r="DQ7" s="43" t="n">
        <f aca="false">IF(Tasks[[#This Row],[_Res3Text]]="",0,IFERROR(MATCH(TRIM(LEFT(Tasks[[#This Row],[_Res3Text]],FIND("[",Tasks[[#This Row],[_Res3Text]]&amp;"[")-1)),res_Name,0),IFERROR(MATCH(TRIM(LEFT(Tasks[[#This Row],[_Res3Text]],FIND("[",Tasks[[#This Row],[_Res3Text]]&amp;"[")-1)),res_Initials,0),0)))</f>
        <v>0</v>
      </c>
      <c r="DR7" s="43" t="n">
        <f aca="false">IF(Tasks[[#This Row],[_Res4Text]]="",0,IFERROR(MATCH(TRIM(LEFT(Tasks[[#This Row],[_Res4Text]],FIND("[",Tasks[[#This Row],[_Res4Text]]&amp;"[")-1)),res_Name,0),IFERROR(MATCH(TRIM(LEFT(Tasks[[#This Row],[_Res4Text]],FIND("[",Tasks[[#This Row],[_Res4Text]]&amp;"[")-1)),res_Initials,0),0)))</f>
        <v>0</v>
      </c>
      <c r="DS7" s="43" t="str">
        <f aca="false">IF(Tasks[[#This Row],[_Res1Text]]="","",IF(Tasks[[#This Row],[_Res1Row]]&gt;0,INDEX(res_Name,Tasks[[#This Row],[_Res1Row]]),TRIM(LEFT(Tasks[[#This Row],[_Res1Text]],FIND("[",Tasks[[#This Row],[_Res1Text]]&amp;"[")-1))))</f>
        <v>Priya Sharma</v>
      </c>
      <c r="DT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 s="43" t="n">
        <f aca="false">IF(NOT(Tasks[[#This Row],[_IsLeaf]]=1),0,(Tasks[[#This Row],[_Resource1]]&lt;&gt;"")+(Tasks[[#This Row],[_Res2]]&lt;&gt;"")+(Tasks[[#This Row],[_Res3]]&lt;&gt;"")+(Tasks[[#This Row],[_Res4]]&lt;&gt;""))</f>
        <v>1</v>
      </c>
      <c r="DV7" s="43" t="str">
        <f aca="false">IF(Tasks[[#This Row],[_Res2Text]]="","",IF(Tasks[[#This Row],[_Res2Row]]&gt;0,INDEX(res_Name,Tasks[[#This Row],[_Res2Row]]),TRIM(LEFT(Tasks[[#This Row],[_Res2Text]],FIND("[",Tasks[[#This Row],[_Res2Text]]&amp;"[")-1))))</f>
        <v/>
      </c>
      <c r="DW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 s="43" t="n">
        <f aca="false">IF(OR(NOT(Tasks[[#This Row],[_IsLeaf]]=1),Tasks[[#This Row],[_Res2Row]]=0),0,N(Tasks[[#This Row],[_Days]])*HoursPerDay*IF(Tasks[[#This Row],[_Res2Units]]="",DefaultUnits,Tasks[[#This Row],[_Res2Units]]))</f>
        <v>0</v>
      </c>
      <c r="DY7" s="43" t="n">
        <f aca="false">IF(AND(AND(Tasks[[#This Row],[_IsLeaf]]=1,Tasks[[#This Row],[_LeafTotalWork]]&gt;0),Tasks[[#This Row],[_Res2Work]]&gt;0),Tasks[[#This Row],[_Res2Work]]/(Tasks[[#This Row],[_FinishWorkday]]-Tasks[[#This Row],[_StartWorkday]]+1),0)</f>
        <v>0</v>
      </c>
      <c r="DZ7" s="43" t="n">
        <f aca="false">Tasks[[#This Row],[_Res2WorkPerWD]]*MAX(0,Tasks[[#This Row],[_StartWorkday]]-1)</f>
        <v>0</v>
      </c>
      <c r="EA7" s="43" t="n">
        <f aca="false">Tasks[[#This Row],[_Res2Work]]*Tasks[[#This Row],[_LeafProgress]]</f>
        <v>0</v>
      </c>
      <c r="EB7" s="43" t="str">
        <f aca="false">IF(Tasks[[#This Row],[_Res3Text]]="","",IF(Tasks[[#This Row],[_Res3Row]]&gt;0,INDEX(res_Name,Tasks[[#This Row],[_Res3Row]]),TRIM(LEFT(Tasks[[#This Row],[_Res3Text]],FIND("[",Tasks[[#This Row],[_Res3Text]]&amp;"[")-1))))</f>
        <v/>
      </c>
      <c r="EC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 s="43" t="n">
        <f aca="false">IF(OR(NOT(Tasks[[#This Row],[_IsLeaf]]=1),Tasks[[#This Row],[_Res3Row]]=0),0,N(Tasks[[#This Row],[_Days]])*HoursPerDay*IF(Tasks[[#This Row],[_Res3Units]]="",DefaultUnits,Tasks[[#This Row],[_Res3Units]]))</f>
        <v>0</v>
      </c>
      <c r="EE7" s="43" t="n">
        <f aca="false">IF(AND(AND(Tasks[[#This Row],[_IsLeaf]]=1,Tasks[[#This Row],[_LeafTotalWork]]&gt;0),Tasks[[#This Row],[_Res3Work]]&gt;0),Tasks[[#This Row],[_Res3Work]]/(Tasks[[#This Row],[_FinishWorkday]]-Tasks[[#This Row],[_StartWorkday]]+1),0)</f>
        <v>0</v>
      </c>
      <c r="EF7" s="43" t="n">
        <f aca="false">Tasks[[#This Row],[_Res3WorkPerWD]]*MAX(0,Tasks[[#This Row],[_StartWorkday]]-1)</f>
        <v>0</v>
      </c>
      <c r="EG7" s="43" t="n">
        <f aca="false">Tasks[[#This Row],[_Res3Work]]*Tasks[[#This Row],[_LeafProgress]]</f>
        <v>0</v>
      </c>
      <c r="EH7" s="43" t="str">
        <f aca="false">IF(Tasks[[#This Row],[_Res4Text]]="","",IF(Tasks[[#This Row],[_Res4Row]]&gt;0,INDEX(res_Name,Tasks[[#This Row],[_Res4Row]]),TRIM(LEFT(Tasks[[#This Row],[_Res4Text]],FIND("[",Tasks[[#This Row],[_Res4Text]]&amp;"[")-1))))</f>
        <v/>
      </c>
      <c r="EI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 s="43" t="n">
        <f aca="false">IF(OR(NOT(Tasks[[#This Row],[_IsLeaf]]=1),Tasks[[#This Row],[_Res4Row]]=0),0,N(Tasks[[#This Row],[_Days]])*HoursPerDay*IF(Tasks[[#This Row],[_Res4Units]]="",DefaultUnits,Tasks[[#This Row],[_Res4Units]]))</f>
        <v>0</v>
      </c>
      <c r="EK7" s="43" t="n">
        <f aca="false">IF(AND(AND(Tasks[[#This Row],[_IsLeaf]]=1,Tasks[[#This Row],[_LeafTotalWork]]&gt;0),Tasks[[#This Row],[_Res4Work]]&gt;0),Tasks[[#This Row],[_Res4Work]]/(Tasks[[#This Row],[_FinishWorkday]]-Tasks[[#This Row],[_StartWorkday]]+1),0)</f>
        <v>0</v>
      </c>
      <c r="EL7" s="43" t="n">
        <f aca="false">Tasks[[#This Row],[_Res4WorkPerWD]]*MAX(0,Tasks[[#This Row],[_StartWorkday]]-1)</f>
        <v>0</v>
      </c>
      <c r="EM7" s="43" t="n">
        <f aca="false">Tasks[[#This Row],[_Res4Work]]*Tasks[[#This Row],[_LeafProgress]]</f>
        <v>0</v>
      </c>
      <c r="EN7" s="94" t="n">
        <f aca="false">IF(ISNUMBER(Tasks[[#This Row],[% Complete]]),Tasks[[#This Row],[% Complete]],IF(Tasks[[#This Row],[Stage]]="",0,IFERROR(INDEX(stg_Pct,MATCH(Tasks[[#This Row],[Stage]],stg_Name,0)),0)))</f>
        <v>1</v>
      </c>
      <c r="EO7" s="43" t="n">
        <f aca="false">IF(NOT(Tasks[[#This Row],[_IsLeaf]]=1),0,IF(N(Tasks[[#This Row],[Actual Finish]])&gt;0,1,MIN(1,Tasks[[#This Row],[_Pct]])))</f>
        <v>1</v>
      </c>
      <c r="EP7" s="43" t="n">
        <f aca="false">IF(OR(NOT(Tasks[[#This Row],[_IsLeaf]]=1),Tasks[[#This Row],[_Res1Row]]=0),0,N(Tasks[[#This Row],[_Days]])*HoursPerDay*IF(Tasks[[#This Row],[_Units1]]="",DefaultUnits,Tasks[[#This Row],[_Units1]]))</f>
        <v>24</v>
      </c>
      <c r="EQ7" s="43" t="n">
        <f aca="false">Tasks[[#This Row],[_LeafWork]]+Tasks[[#This Row],[_Res2Work]]+Tasks[[#This Row],[_Res3Work]]+Tasks[[#This Row],[_Res4Work]]</f>
        <v>24</v>
      </c>
      <c r="ER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 s="43" t="n">
        <f aca="false">IF(NOT(Tasks[[#This Row],[_IsLeaf]]=1),0,MAX(_xlfn.MAXIFS(Tasks[_Row],Tasks[_Pred1UID],Tasks[[#This Row],[UID]]),_xlfn.MAXIFS(Tasks[_Row],Tasks[_Pred2UID],Tasks[[#This Row],[UID]]),_xlfn.MAXIFS(Tasks[_Row],Tasks[_Pred3UID],Tasks[[#This Row],[UID]]),_xlfn.MAXIFS(Tasks[_Row],Tasks[_Pred4UID],Tasks[[#This Row],[UID]])))</f>
        <v>3</v>
      </c>
      <c r="FA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46280</v>
      </c>
      <c r="FB7"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46280</v>
      </c>
      <c r="FC7" s="91" t="n">
        <f aca="false">IF(NOT(Tasks[[#This Row],[_IsLeaf]]=1),"",IF(N(Tasks[[#This Row],[_Days]])&lt;=0,Tasks[[#This Row],[_LeafLateFinish]],WORKDAY.INTL(Tasks[[#This Row],[_LeafLateFinish]],-(Tasks[[#This Row],[_Days]]-1),WorkWeek,Holidays)))</f>
        <v>46276</v>
      </c>
      <c r="FD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7" s="90" t="b">
        <f aca="false">AND(Tasks[[#This Row],[_IsLeaf]]=1,Tasks[[#This Row],[_LeafProgress]]&lt;1,N(Tasks[[#This Row],[_LeafTotalSlack]])&lt;=CriticalSlackDays)</f>
        <v>0</v>
      </c>
      <c r="FF7" s="43" t="n">
        <f aca="false">IF(AND(Tasks[[#This Row],[_IsLeaf]]=1,Tasks[[#This Row],[_ConstraintCode]]=1,Tasks[[#This Row],[Mode]]&lt;&gt;"Manual",N(Tasks[[#This Row],[Actual Start]])=0),MAX(0,N(Tasks[[#This Row],[Free Slack]])),0)</f>
        <v>0</v>
      </c>
      <c r="FG7" s="91" t="n">
        <f aca="false">IF(NOT(Tasks[[#This Row],[_IsLeaf]]=1),"",IF(Tasks[[#This Row],[_AlapShift]]=0,Tasks[[#This Row],[_LeafCalcStart]],WORKDAY.INTL(Tasks[[#This Row],[_LeafCalcStart]],Tasks[[#This Row],[_AlapShift]],WorkWeek,Holidays)))</f>
        <v>46272</v>
      </c>
      <c r="FH7" s="91" t="n">
        <f aca="false">IF(NOT(Tasks[[#This Row],[_IsLeaf]]=1),"",IF(Tasks[[#This Row],[_AlapShift]]=0,Tasks[[#This Row],[_LeafCalcFinish]],WORKDAY.INTL(Tasks[[#This Row],[_LeafCalcFinish]],Tasks[[#This Row],[_AlapShift]],WorkWeek,Holidays)))</f>
        <v>46274</v>
      </c>
      <c r="FI7" s="91" t="n">
        <f aca="false">IF(NOT(Tasks[[#This Row],[_IsLeaf]]=1),"",IF(Tasks[[#This Row],[_AlapShift]]=0,Tasks[[#This Row],[_LeafFcstStart]],WORKDAY.INTL(Tasks[[#This Row],[_LeafFcstStart]],Tasks[[#This Row],[_AlapShift]],WorkWeek,Holidays)))</f>
        <v>46272</v>
      </c>
      <c r="FJ7" s="91" t="n">
        <f aca="false">IF(NOT(Tasks[[#This Row],[_IsLeaf]]=1),"",IF(Tasks[[#This Row],[_AlapShift]]=0,Tasks[[#This Row],[_LeafFcstFinish]],WORKDAY.INTL(Tasks[[#This Row],[_LeafFcstFinish]],Tasks[[#This Row],[_AlapShift]],WorkWeek,Holidays)))</f>
        <v>46275</v>
      </c>
      <c r="FK7" s="91" t="n">
        <f aca="false">IF(Tasks[[#This Row],[Task Name]]="","",IF(Tasks[[#This Row],[_IsSummary]],MIN(INDEX(Tasks[_ShownCalcStart],Tasks[[#This Row],[_Row]]+1):INDEX(Tasks[_ShownCalcStart],Tasks[[#This Row],[_Row]]+Tasks[[#This Row],[_Descendants]])),Tasks[[#This Row],[_ShownCalcStart]]))</f>
        <v>46272</v>
      </c>
      <c r="FL7" s="91" t="n">
        <f aca="false">IF(Tasks[[#This Row],[Task Name]]="","",IF(Tasks[[#This Row],[_IsSummary]],MAX(INDEX(Tasks[_ShownCalcFinish],Tasks[[#This Row],[_Row]]+1):INDEX(Tasks[_ShownCalcFinish],Tasks[[#This Row],[_Row]]+Tasks[[#This Row],[_Descendants]])),Tasks[[#This Row],[_ShownCalcFinish]]))</f>
        <v>46274</v>
      </c>
      <c r="FM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 s="43" t="n">
        <f aca="false">IF(AND(Tasks[[#This Row],[_IsLeaf]]=1,Tasks[[#This Row],[_LeafTotalWork]]&gt;0),NETWORKDAYS.INTL(ProjectStart,Tasks[[#This Row],[_ShownFcstStart]],WorkWeek,Holidays),0)</f>
        <v>1</v>
      </c>
      <c r="FZ7" s="43" t="n">
        <f aca="false">IF(AND(Tasks[[#This Row],[_IsLeaf]]=1,Tasks[[#This Row],[_LeafTotalWork]]&gt;0),MAX(Tasks[[#This Row],[_StartWorkday]],NETWORKDAYS.INTL(ProjectStart,Tasks[[#This Row],[_ShownFcstFinish]],WorkWeek,Holidays)),0)</f>
        <v>4</v>
      </c>
      <c r="GA7" s="43" t="n">
        <f aca="false">IF(AND(Tasks[[#This Row],[_IsLeaf]]=1,Tasks[[#This Row],[_LeafTotalWork]]&gt;0),Tasks[[#This Row],[_LeafWork]]/(Tasks[[#This Row],[_FinishWorkday]]-Tasks[[#This Row],[_StartWorkday]]+1),0)</f>
        <v>6</v>
      </c>
      <c r="GB7" s="43" t="n">
        <f aca="false">Tasks[[#This Row],[_WorkPerWorkday]]*(Tasks[[#This Row],[_StartWorkday]]-1)</f>
        <v>0</v>
      </c>
      <c r="GC7" s="43" t="n">
        <f aca="false">IF(Tasks[[#This Row],[_IsLeaf]]=1,MAX(N(Tasks[[#This Row],[_Days]]),0.1),0)</f>
        <v>3</v>
      </c>
      <c r="GD7" s="43" t="n">
        <f aca="false">Tasks[[#This Row],[_WeightDur]]*Tasks[[#This Row],[_LeafProgress]]</f>
        <v>3</v>
      </c>
      <c r="GE7" s="43" t="n">
        <f aca="false">Tasks[[#This Row],[_WeightDur]]*Tasks[[#This Row],[_PlannedPct]]</f>
        <v>3</v>
      </c>
      <c r="GF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 s="43" t="str">
        <f aca="false">IF(AND(Tasks[[#This Row],[_IsLeaf]]=1,N(Tasks[[#This Row],[_Days]])=0,Tasks[[#This Row],[_LeafProgress]]&lt;1),Tasks[[#This Row],[_ShownFcstFinish]]+Tasks[[#This Row],[_Row]]/100000,"")</f>
        <v/>
      </c>
      <c r="GH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7" s="43" t="str">
        <f aca="false">IF(Tasks[[#This Row],[Task Name]]="","",LEFT(Tasks[[#This Row],[WBS]],FIND(".",Tasks[[#This Row],[WBS]]&amp;".")-1))</f>
        <v>1</v>
      </c>
      <c r="GJ7" s="43" t="str">
        <f aca="false">IF(AND(Tasks[[#This Row],[Task Name]]&lt;&gt;"",Tasks[[#This Row],[_Level]]=1),Tasks[[#This Row],[_Row]],"")</f>
        <v/>
      </c>
      <c r="GK7" s="43" t="str">
        <f aca="false">IF(AND(Tasks[[#This Row],[_IsLeaf]]=1,N(Tasks[[#This Row],[_Days]])=0),Tasks[[#This Row],[Planned Finish]]+Tasks[[#This Row],[_Row]]/100000,"")</f>
        <v/>
      </c>
      <c r="GL7" s="43" t="str">
        <f aca="false">IF(AND(Tasks[[#This Row],[_IsLeaf]]=1,Tasks[[#This Row],[_LeafProgress]]&lt;1,OR(N(Tasks[[#This Row],[Finish Var]])&gt;0,Tasks[[#This Row],[Status]]="Late Start")),MAX(0,Tasks[[#This Row],[Finish Var]])+1-Tasks[[#This Row],[_Row]]/1000000,"")</f>
        <v/>
      </c>
      <c r="GM7" s="43" t="str">
        <f aca="false">IF(AND(Tasks[[#This Row],[_IsLeaf]]=1,N(Tasks[[#This Row],[Actual Start]])=0,Tasks[[#This Row],[_ShownFcstStart]]&gt;=StatusDate,Tasks[[#This Row],[_ShownFcstStart]]&lt;=LookaheadEnd),Tasks[[#This Row],[_ShownFcstStart]]+Tasks[[#This Row],[_Row]]/100000,"")</f>
        <v/>
      </c>
      <c r="GN7" s="43" t="str">
        <f aca="false">IF(AND(Tasks[[#This Row],[_IsLeaf]]=1,Tasks[[#This Row],[_LeafProgress]]&lt;1,Tasks[[#This Row],[_ShownFcstFinish]]&gt;=StatusDate,Tasks[[#This Row],[_ShownFcstFinish]]&lt;=LookaheadEnd),Tasks[[#This Row],[_ShownFcstFinish]]+Tasks[[#This Row],[_Row]]/100000,"")</f>
        <v/>
      </c>
      <c r="GO7" s="43" t="str">
        <f aca="false">IF(Tasks[[#This Row],[_LeafCritical]],Tasks[[#This Row],[_ShownFcstStart]]+Tasks[[#This Row],[_Row]]/100000,"")</f>
        <v/>
      </c>
      <c r="GP7" s="43" t="n">
        <f aca="false">Tasks[[#This Row],[_LeafWork]]*Tasks[[#This Row],[_LeafProgress]]</f>
        <v>24</v>
      </c>
      <c r="GQ7" s="91" t="n">
        <f aca="false">IF(AND(Tasks[[#This Row],[_IsLeaf]]=1,Tasks[[#This Row],[_LeafProgress]]&gt;=1),IF(N(Tasks[[#This Row],[Actual Finish]])&gt;0,Tasks[[#This Row],[Actual Finish]],Tasks[[#This Row],[_ShownFcstFinish]]),"")</f>
        <v>46275</v>
      </c>
      <c r="GR7" s="43" t="n">
        <f aca="false">IF(Tasks[[#This Row],[_IsLeaf]]=1,N(Tasks[[#This Row],[Story Points]]),0)</f>
        <v>0</v>
      </c>
      <c r="GS7" s="43" t="str">
        <f aca="false">""</f>
        <v/>
      </c>
      <c r="GT7" s="90" t="b">
        <f aca="false">IF(Tasks[[#This Row],[Task Name]]="",FALSE(),AND(Tasks[[#This Row],[_IsLeaf]]=1,N(Tasks[[#This Row],[_Days]])=0))</f>
        <v>0</v>
      </c>
      <c r="GU7" s="91" t="n">
        <f aca="false">IF(Tasks[[#This Row],[Task Name]]="",0,IF(AND(Tasks[[#This Row],[_IsLeaf]]=1,NOT(Tasks[[#This Row],[_IsMilestone]]),N(Tasks[[#This Row],[Progress]])&gt;0),Tasks[[#This Row],[Start]],0))</f>
        <v>46272</v>
      </c>
      <c r="GV7" s="91" t="n">
        <f aca="false">IF(Tasks[[#This Row],[_DoneFrom]]=0,0,IF(Tasks[[#This Row],[Progress]]&gt;=1,Tasks[[#This Row],[Finish]],MAX(Tasks[[#This Row],[_DoneFrom]],Tasks[[#This Row],[Start]]+ROUND((Tasks[[#This Row],[Finish]]-Tasks[[#This Row],[Start]]+1)*Tasks[[#This Row],[Progress]],0)-1)))</f>
        <v>46275</v>
      </c>
      <c r="GW7" s="91" t="n">
        <f aca="false">IF(Tasks[[#This Row],[Task Name]]="",0,IF(OR(NOT(Tasks[[#This Row],[_IsLeaf]]=1),Tasks[[#This Row],[_IsMilestone]],N(Tasks[[#This Row],[Progress]])&gt;=1),0,IF(Tasks[[#This Row],[_DoneTo]]&gt;0,Tasks[[#This Row],[_DoneTo]]+1,Tasks[[#This Row],[Start]])))</f>
        <v>0</v>
      </c>
      <c r="GX7" s="91" t="n">
        <f aca="false">IF(Tasks[[#This Row],[_RemFrom]]=0,0,Tasks[[#This Row],[Finish]])</f>
        <v>0</v>
      </c>
      <c r="GY7" s="90" t="b">
        <f aca="false">IF(Tasks[[#This Row],[Task Name]]="",FALSE(),OR(NOT(BaselineSet),N(Tasks[[#This Row],[Baseline Start]])&gt;0))</f>
        <v>1</v>
      </c>
      <c r="GZ7" s="43" t="n">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3</v>
      </c>
      <c r="HA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HC7" s="92" t="n">
        <f aca="false">IF(Tasks[[#This Row],[_IsLeaf]]=1,Tasks[[#This Row],[_Row]],"")</f>
        <v>2</v>
      </c>
      <c r="HD7" s="92" t="str">
        <f aca="false">IFERROR(INDEX(Tasks[UID],SMALL(Tasks[_PickKey],Tasks[[#This Row],[_Row]]))&amp;" "&amp;INDEX(Tasks[Task Name],SMALL(Tasks[_PickKey],Tasks[[#This Row],[_Row]])),"")</f>
        <v>3 Stakeholder kickoff workshop</v>
      </c>
      <c r="HE7" s="43" t="n">
        <f aca="false">IF(Tasks[[#This Row],[Task Name]]="","",IF(Tasks[[#This Row],[_IsSummary]],NETWORKDAYS.INTL(Tasks[[#This Row],[Start]],Tasks[[#This Row],[Finish]],WorkWeek,Holidays),N(Tasks[[#This Row],[_Days]])))</f>
        <v>3</v>
      </c>
      <c r="HF7" s="43" t="n">
        <f aca="false">IF(Tasks[[#This Row],[Expected]]="",0,((Tasks[[#This Row],[Pessimistic]]-Tasks[[#This Row],[Optimistic]])/6)^2)</f>
        <v>0</v>
      </c>
      <c r="HG7" s="43" t="n">
        <f aca="false">IF(Tasks[[#This Row],[Expected]]="",0,Tasks[[#This Row],[Expected]]-N(Tasks[[#This Row],[_Days]]))</f>
        <v>0</v>
      </c>
    </row>
    <row r="8" customFormat="false" ht="15" hidden="false" customHeight="false" outlineLevel="1" collapsed="false">
      <c r="A8" s="21" t="n">
        <f aca="false">IF(Tasks[[#This Row],[Task Name]]="","",COUNTA(Tasks[[#Headers],[Task Name]]:Tasks[[#This Row],[Task Name]])-1)</f>
        <v>3</v>
      </c>
      <c r="B8" s="22" t="n">
        <v>3</v>
      </c>
      <c r="C8" s="22" t="n">
        <v>2</v>
      </c>
      <c r="D8" s="93" t="s">
        <v>645</v>
      </c>
      <c r="E8" s="22" t="n">
        <v>2</v>
      </c>
      <c r="F8" s="23" t="n">
        <v>2</v>
      </c>
      <c r="G8" s="22"/>
      <c r="H8" s="22"/>
      <c r="I8" s="23"/>
      <c r="J8" s="22"/>
      <c r="K8" s="22"/>
      <c r="L8" s="23"/>
      <c r="M8" s="22"/>
      <c r="N8" s="22"/>
      <c r="O8" s="23"/>
      <c r="P8" s="22"/>
      <c r="Q8" s="22"/>
      <c r="R8" s="23"/>
      <c r="S8" s="23" t="s">
        <v>643</v>
      </c>
      <c r="T8" s="84"/>
      <c r="U8" s="23"/>
      <c r="V8" s="84"/>
      <c r="W8" s="23"/>
      <c r="X8" s="84"/>
      <c r="Y8" s="23"/>
      <c r="Z8" s="84"/>
      <c r="AA8" s="23"/>
      <c r="AB8" s="23" t="s">
        <v>150</v>
      </c>
      <c r="AC8" s="7" t="n">
        <v>46276</v>
      </c>
      <c r="AD8" s="7" t="n">
        <v>46279</v>
      </c>
      <c r="AE8" s="63" t="n">
        <f aca="false">IF(Tasks[[#This Row],[Task Name]]="","",IF(Tasks[[#This Row],[_IsSummary]],MIN(INDEX(Tasks[_ShownFcstStart],Tasks[[#This Row],[_Row]]+1):INDEX(Tasks[_ShownFcstStart],Tasks[[#This Row],[_Row]]+Tasks[[#This Row],[_Descendants]])),Tasks[[#This Row],[_ShownFcstStart]]))</f>
        <v>46276</v>
      </c>
      <c r="AF8" s="63" t="n">
        <f aca="false">IF(Tasks[[#This Row],[Task Name]]="","",IF(Tasks[[#This Row],[_IsSummary]],MAX(INDEX(Tasks[_ShownFcstFinish],Tasks[[#This Row],[_Row]]+1):INDEX(Tasks[_ShownFcstFinish],Tasks[[#This Row],[_Row]]+Tasks[[#This Row],[_Descendants]])),Tasks[[#This Row],[_ShownFcstFinish]]))</f>
        <v>46279</v>
      </c>
      <c r="AG8" s="21" t="str">
        <f aca="false">""</f>
        <v/>
      </c>
      <c r="AH8" s="23"/>
      <c r="AI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 s="7"/>
      <c r="AK8" s="22" t="s">
        <v>248</v>
      </c>
      <c r="AL8" s="23"/>
      <c r="AM8" s="7"/>
      <c r="AN8" s="47" t="n">
        <f aca="false">IF(Tasks[[#This Row],[Task Name]]="","",IF(Tasks[[#This Row],[Finish]]&gt;=Tasks[[#This Row],[Planned Finish]],NETWORKDAYS.INTL(Tasks[[#This Row],[Planned Finish]],Tasks[[#This Row],[Finish]],WorkWeek,Holidays)-1,1-NETWORKDAYS.INTL(Tasks[[#This Row],[Finish]],Tasks[[#This Row],[Planned Finish]],WorkWeek,Holidays)))</f>
        <v>1</v>
      </c>
      <c r="AO8" s="21" t="str">
        <f aca="false">IF(Tasks[[#This Row],[Task Name]]="","",IF(Tasks[[#This Row],[Progress]]&gt;=1,"Complete",IF(OR(N(Tasks[[#This Row],[Actual Start]])&gt;0,Tasks[[#This Row],[Progress]]&gt;0),IF(Tasks[[#This Row],[Finish Var]]&gt;0,"Behind","In Progress"),IF(Tasks[[#This Row],[Planned Start]]&lt;StatusDate,"Late Start","Not Started"))))</f>
        <v>Complete</v>
      </c>
      <c r="AP8" s="21" t="str">
        <f aca="false">IF(Tasks[[#This Row],[Task Name]]="","",IF(IF(Tasks[[#This Row],[_IsSummary]],COUNTIF(INDEX(Tasks[_LeafCritical],Tasks[[#This Row],[_Row]]+1):INDEX(Tasks[_LeafCritical],Tasks[[#This Row],[_Row]]+Tasks[[#This Row],[_Descendants]]),TRUE())&gt;0,Tasks[[#This Row],[_LeafCritical]]),"Yes",""))</f>
        <v/>
      </c>
      <c r="AQ8" s="63" t="n">
        <f aca="false">IF(Tasks[[#This Row],[Task Name]]="","",IF(N(Tasks[[#This Row],[Baseline Start]])&gt;0,Tasks[[#This Row],[Baseline Start]],Tasks[[#This Row],[_CalcStart]]))</f>
        <v>46275</v>
      </c>
      <c r="AR8" s="63" t="n">
        <f aca="false">IF(Tasks[[#This Row],[Task Name]]="","",IF(N(Tasks[[#This Row],[Baseline Finish]])&gt;0,Tasks[[#This Row],[Baseline Finish]],Tasks[[#This Row],[_CalcFinish]]))</f>
        <v>46276</v>
      </c>
      <c r="AS8" s="47" t="n">
        <f aca="false">IF(Tasks[[#This Row],[Task Name]]="","",IF(Tasks[[#This Row],[Start]]&gt;=Tasks[[#This Row],[Planned Start]],NETWORKDAYS.INTL(Tasks[[#This Row],[Planned Start]],Tasks[[#This Row],[Start]],WorkWeek,Holidays)-1,1-NETWORKDAYS.INTL(Tasks[[#This Row],[Start]],Tasks[[#This Row],[Planned Start]],WorkWeek,Holidays)))</f>
        <v>1</v>
      </c>
      <c r="AT8" s="63" t="n">
        <f aca="false">IF(Tasks[[#This Row],[Task Name]]="","",IF(Tasks[[#This Row],[_IsSummary]],MIN(INDEX(Tasks[_LeafLateStart],Tasks[[#This Row],[_Row]]+1):INDEX(Tasks[_LeafLateStart],Tasks[[#This Row],[_Row]]+Tasks[[#This Row],[_Descendants]])),Tasks[[#This Row],[_LeafLateStart]]))</f>
        <v>46281</v>
      </c>
      <c r="AU8" s="63" t="n">
        <f aca="false">IF(Tasks[[#This Row],[Task Name]]="","",IF(Tasks[[#This Row],[_IsSummary]],MAX(INDEX(Tasks[_LeafLateFinish],Tasks[[#This Row],[_Row]]+1):INDEX(Tasks[_LeafLateFinish],Tasks[[#This Row],[_Row]]+Tasks[[#This Row],[_Descendants]])),Tasks[[#This Row],[_LeafLateFinish]]))</f>
        <v>46282</v>
      </c>
      <c r="AV8" s="47" t="n">
        <f aca="false">IF(Tasks[[#This Row],[Task Name]]="","",IF(Tasks[[#This Row],[_IsSummary]],MIN(INDEX(Tasks[_LeafTotalSlack],Tasks[[#This Row],[_Row]]+1):INDEX(Tasks[_LeafTotalSlack],Tasks[[#This Row],[_Row]]+Tasks[[#This Row],[_Descendants]])),Tasks[[#This Row],[_LeafTotalSlack]]))</f>
        <v>3</v>
      </c>
      <c r="AW8"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5"/>
      <c r="BA8"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BC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BD8" s="21" t="str">
        <f aca="false">IF(Tasks[[#This Row],[Task Name]]="","",IF(Tasks[[#This Row],[_Level]]&lt;=OutlineShowLevel,"Yes","No"))</f>
        <v>Yes</v>
      </c>
      <c r="BE8" s="86" t="n">
        <f aca="false">IF(Tasks[[#This Row],[Task Name]]="","",IF(Tasks[[#This Row],[_IsSummary]],SUM(INDEX(Tasks[_LeafTotalWork],Tasks[[#This Row],[_Row]]+1):INDEX(Tasks[_LeafTotalWork],Tasks[[#This Row],[_Row]]+Tasks[[#This Row],[_Descendants]])),Tasks[[#This Row],[_LeafTotalWork]]))</f>
        <v>16</v>
      </c>
      <c r="BF8" s="23"/>
      <c r="BG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8" s="21" t="str">
        <f aca="false">""</f>
        <v/>
      </c>
      <c r="BI8" s="87"/>
      <c r="BJ8" s="22"/>
      <c r="BK8" s="47" t="n">
        <f aca="false">IF(OR(Tasks[[#This Row],[Task Name]]="",Tasks[[#This Row],[Baseline Duration]]=""),"",Tasks[[#This Row],[_SpanDays]]-N(Tasks[[#This Row],[Baseline Duration]]))</f>
        <v>0</v>
      </c>
      <c r="BL8" s="86" t="n">
        <f aca="false">IF(OR(Tasks[[#This Row],[Task Name]]="",Tasks[[#This Row],[Baseline Work]]=""),"",Tasks[[#This Row],[Work]]-N(Tasks[[#This Row],[Baseline Work]]))</f>
        <v>0</v>
      </c>
      <c r="BM8" s="63" t="n">
        <f aca="false">IF(Tasks[[#This Row],[Task Name]]="","",IF(OR(TakeBaseline="Yes",N(Tasks[[#This Row],[Baseline Start]])=0),Tasks[[#This Row],[Start]],Tasks[[#This Row],[Baseline Start]]))</f>
        <v>46275</v>
      </c>
      <c r="BN8" s="63" t="n">
        <f aca="false">IF(Tasks[[#This Row],[Task Name]]="","",IF(OR(TakeBaseline="Yes",N(Tasks[[#This Row],[Baseline Finish]])=0),Tasks[[#This Row],[Finish]],Tasks[[#This Row],[Baseline Finish]]))</f>
        <v>46276</v>
      </c>
      <c r="BO8" s="21" t="n">
        <f aca="false">IF(Tasks[[#This Row],[Task Name]]="","",IF(OR(TakeBaseline="Yes",N(Tasks[[#This Row],[Baseline Duration]])=0),Tasks[[#This Row],[_SpanDays]],Tasks[[#This Row],[Baseline Duration]]))</f>
        <v>2</v>
      </c>
      <c r="BP8" s="86" t="n">
        <f aca="false">IF(Tasks[[#This Row],[Task Name]]="","",IF(OR(TakeBaseline="Yes",N(Tasks[[#This Row],[Baseline Work]])=0),Tasks[[#This Row],[Work]],Tasks[[#This Row],[Baseline Work]]))</f>
        <v>16</v>
      </c>
      <c r="BQ8" s="7" t="n">
        <v>46275</v>
      </c>
      <c r="BR8" s="7" t="n">
        <v>46276</v>
      </c>
      <c r="BS8" s="22" t="n">
        <v>2</v>
      </c>
      <c r="BT8" s="88" t="n">
        <v>16</v>
      </c>
      <c r="BU8" s="23"/>
      <c r="BV8" s="23"/>
      <c r="BW8" s="23"/>
      <c r="BX8" s="89" t="str">
        <f aca="false">IF(AND(Tasks[[#This Row],[_IsLeaf]]=1,ISNUMBER(Tasks[[#This Row],[Optimistic]]),ISNUMBER(Tasks[[#This Row],[Pessimistic]])),ROUND((Tasks[[#This Row],[Optimistic]]+4*N(Tasks[[#This Row],[_Days]])+Tasks[[#This Row],[Pessimistic]])/6,1),"")</f>
        <v/>
      </c>
      <c r="BY8" s="87"/>
      <c r="BZ8" s="87"/>
      <c r="CA8" s="22"/>
      <c r="CB8" s="43" t="n">
        <f aca="false">IF(Tasks[[#This Row],[Task Name]]="","",MAX(1,N(Tasks[[#This Row],[Level]])))</f>
        <v>2</v>
      </c>
      <c r="CC8" s="43" t="n">
        <f aca="false">ROW()-ROW(Tasks[[#Headers],[ID]])</f>
        <v>3</v>
      </c>
      <c r="CD8" s="43" t="n">
        <f aca="false">IF(OR(Tasks[[#This Row],[Task Name]]="",Tasks[[#This Row],[_Level]]&lt;=1),0,IFERROR(LOOKUP(2,1/(Tasks[[#Headers],[_Level]]:Tasks[[#This Row],[_Level]]=Tasks[[#This Row],[_Level]]-1),ROW(Tasks[[#Headers],[_Level]]:Tasks[[#This Row],[_Level]])),0))</f>
        <v>6</v>
      </c>
      <c r="CE8" s="43" t="n">
        <f aca="false">IFERROR(N(INDEX(Tasks[_Level],Tasks[[#This Row],[_Row]]+1)),0)</f>
        <v>2</v>
      </c>
      <c r="CF8" s="90" t="b">
        <f aca="false">AND(Tasks[[#This Row],[Task Name]]&lt;&gt;"",Tasks[[#This Row],[_NextLevel]]&gt;Tasks[[#This Row],[_Level]])</f>
        <v>0</v>
      </c>
      <c r="CG8" s="43" t="n">
        <f aca="false">IF(Tasks[[#This Row],[_IsSummary]],COUNTIF(Tasks[WBS],Tasks[[#This Row],[WBS]]&amp;".*"),0)</f>
        <v>0</v>
      </c>
      <c r="CH8" s="43" t="n">
        <f aca="false">IF(AND(Tasks[[#This Row],[Task Name]]&lt;&gt;"",NOT(Tasks[[#This Row],[_IsSummary]])),1,0)</f>
        <v>1</v>
      </c>
      <c r="CI8" s="43" t="n">
        <f aca="false">IF(N(Tasks[[#This Row],[_Pred1UID]])=0,0,IFERROR(MATCH(Tasks[[#This Row],[_Pred1UID]],Tasks[UID],0),-1))</f>
        <v>2</v>
      </c>
      <c r="CJ8" s="43" t="n">
        <f aca="false">IF(N(Tasks[[#This Row],[_Pred2UID]])=0,0,IFERROR(MATCH(Tasks[[#This Row],[_Pred2UID]],Tasks[UID],0),-1))</f>
        <v>0</v>
      </c>
      <c r="CK8" s="43" t="n">
        <f aca="false">IF(N(Tasks[[#This Row],[_Pred3UID]])=0,0,IFERROR(MATCH(Tasks[[#This Row],[_Pred3UID]],Tasks[UID],0),-1))</f>
        <v>0</v>
      </c>
      <c r="CL8" s="43" t="n">
        <f aca="false">IF(N(Tasks[[#This Row],[_Pred4UID]])=0,0,IFERROR(MATCH(Tasks[[#This Row],[_Pred4UID]],Tasks[UID],0),-1))</f>
        <v>0</v>
      </c>
      <c r="CM8"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 s="91" t="n">
        <f aca="false">IF(OR(Tasks[[#This Row],[_ConstraintCode]]=2,Tasks[[#This Row],[_ConstraintCode]]=3,Tasks[[#This Row],[_ConstraintCode]]=4,Tasks[[#This Row],[_ConstraintCode]]=6),Tasks[[#This Row],[_ConstraintStart]],0)</f>
        <v>0</v>
      </c>
      <c r="CP8" s="91" t="n">
        <f aca="false">IF(OR(Tasks[[#This Row],[_ConstraintCode]]=2,Tasks[[#This Row],[_ConstraintCode]]=3,Tasks[[#This Row],[_ConstraintCode]]=5,Tasks[[#This Row],[_ConstraintCode]]=7),Tasks[[#This Row],[_ConstraintStart]],2958465)</f>
        <v>2958465</v>
      </c>
      <c r="CQ8"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R8" s="91" t="n">
        <f aca="false">IF(NOT(Tasks[[#This Row],[_IsLeaf]]=1),"",IF(N(Tasks[[#This Row],[_Days]])&lt;=0,Tasks[[#This Row],[_LeafCalcStart]],WORKDAY.INTL(Tasks[[#This Row],[_LeafCalcStart]],Tasks[[#This Row],[_Days]]-1,WorkWeek,Holidays)))</f>
        <v>46276</v>
      </c>
      <c r="CS8"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T8"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U8" s="43" t="str">
        <f aca="false">IF(Tasks[[#This Row],[_Predecessors]]="","",TRIM(MID(SUBSTITUTE(SUBSTITUTE(SUBSTITUTE(UPPER(Tasks[[#This Row],[_Predecessors]]),";",",")," ",""),",",REPT(" ",99)),1,99)))</f>
        <v>2</v>
      </c>
      <c r="CV8" s="43" t="n">
        <f aca="false">IF(Tasks[[#This Row],[_Pred1Text]]="","",IFERROR(VALUE(LEFT(Tasks[[#This Row],[_Pred1Text]],MIN(FIND("F",Tasks[[#This Row],[_Pred1Text]]&amp;"F"),FIND("S",Tasks[[#This Row],[_Pred1Text]]&amp;"S"),FIND("+",Tasks[[#This Row],[_Pred1Text]]&amp;"+"),FIND("-",Tasks[[#This Row],[_Pred1Text]]&amp;"-"))-1)),""))</f>
        <v>2</v>
      </c>
      <c r="CW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8"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8" s="43" t="str">
        <f aca="false">IF(Tasks[[#This Row],[_Pred1Text]]="","",TRIM(MID(SUBSTITUTE(SUBSTITUTE(SUBSTITUTE(UPPER(Tasks[[#This Row],[_Predecessors]]),";",",")," ",""),",",REPT(" ",99)),100,99)))</f>
        <v/>
      </c>
      <c r="CZ8" s="43" t="str">
        <f aca="false">IF(Tasks[[#This Row],[_Pred2Text]]="","",IFERROR(VALUE(LEFT(Tasks[[#This Row],[_Pred2Text]],MIN(FIND("F",Tasks[[#This Row],[_Pred2Text]]&amp;"F"),FIND("S",Tasks[[#This Row],[_Pred2Text]]&amp;"S"),FIND("+",Tasks[[#This Row],[_Pred2Text]]&amp;"+"),FIND("-",Tasks[[#This Row],[_Pred2Text]]&amp;"-"))-1)),""))</f>
        <v/>
      </c>
      <c r="DA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 s="43" t="str">
        <f aca="false">IF(Tasks[[#This Row],[_Pred2Text]]="","",TRIM(MID(SUBSTITUTE(SUBSTITUTE(SUBSTITUTE(UPPER(Tasks[[#This Row],[_Predecessors]]),";",",")," ",""),",",REPT(" ",99)),199,99)))</f>
        <v/>
      </c>
      <c r="DD8" s="43" t="str">
        <f aca="false">IF(Tasks[[#This Row],[_Pred3Text]]="","",IFERROR(VALUE(LEFT(Tasks[[#This Row],[_Pred3Text]],MIN(FIND("F",Tasks[[#This Row],[_Pred3Text]]&amp;"F"),FIND("S",Tasks[[#This Row],[_Pred3Text]]&amp;"S"),FIND("+",Tasks[[#This Row],[_Pred3Text]]&amp;"+"),FIND("-",Tasks[[#This Row],[_Pred3Text]]&amp;"-"))-1)),""))</f>
        <v/>
      </c>
      <c r="DE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 s="43" t="str">
        <f aca="false">IF(Tasks[[#This Row],[_Pred3Text]]="","",TRIM(MID(SUBSTITUTE(SUBSTITUTE(SUBSTITUTE(UPPER(Tasks[[#This Row],[_Predecessors]]),";",",")," ",""),",",REPT(" ",99)),298,99)))</f>
        <v/>
      </c>
      <c r="DH8" s="43" t="str">
        <f aca="false">IF(Tasks[[#This Row],[_Pred4Text]]="","",IFERROR(VALUE(LEFT(Tasks[[#This Row],[_Pred4Text]],MIN(FIND("F",Tasks[[#This Row],[_Pred4Text]]&amp;"F"),FIND("S",Tasks[[#This Row],[_Pred4Text]]&amp;"S"),FIND("+",Tasks[[#This Row],[_Pred4Text]]&amp;"+"),FIND("-",Tasks[[#This Row],[_Pred4Text]]&amp;"-"))-1)),""))</f>
        <v/>
      </c>
      <c r="DI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 s="43" t="str">
        <f aca="false">IF(OR(Tasks[[#This Row],[Task Name]]="",Tasks[[#This Row],[_Resources]]=""),"",TRIM(MID(SUBSTITUTE(Tasks[[#This Row],[_Resources]],",",REPT(" ",99)),1,99)))</f>
        <v>Morgan Patel</v>
      </c>
      <c r="DL8" s="43" t="str">
        <f aca="false">IF(Tasks[[#This Row],[_Res1Text]]="","",TRIM(MID(SUBSTITUTE(Tasks[[#This Row],[_Resources]],",",REPT(" ",99)),100,99)))</f>
        <v/>
      </c>
      <c r="DM8" s="43" t="str">
        <f aca="false">IF(Tasks[[#This Row],[_Res2Text]]="","",TRIM(MID(SUBSTITUTE(Tasks[[#This Row],[_Resources]],",",REPT(" ",99)),199,99)))</f>
        <v/>
      </c>
      <c r="DN8" s="43" t="str">
        <f aca="false">IF(Tasks[[#This Row],[_Res3Text]]="","",TRIM(MID(SUBSTITUTE(Tasks[[#This Row],[_Resources]],",",REPT(" ",99)),298,99)))</f>
        <v/>
      </c>
      <c r="DO8" s="43" t="n">
        <f aca="false">IF(Tasks[[#This Row],[_Res1Text]]="",0,IFERROR(MATCH(TRIM(LEFT(Tasks[[#This Row],[_Res1Text]],FIND("[",Tasks[[#This Row],[_Res1Text]]&amp;"[")-1)),res_Name,0),IFERROR(MATCH(TRIM(LEFT(Tasks[[#This Row],[_Res1Text]],FIND("[",Tasks[[#This Row],[_Res1Text]]&amp;"[")-1)),res_Initials,0),0)))</f>
        <v>2</v>
      </c>
      <c r="DP8" s="43" t="n">
        <f aca="false">IF(Tasks[[#This Row],[_Res2Text]]="",0,IFERROR(MATCH(TRIM(LEFT(Tasks[[#This Row],[_Res2Text]],FIND("[",Tasks[[#This Row],[_Res2Text]]&amp;"[")-1)),res_Name,0),IFERROR(MATCH(TRIM(LEFT(Tasks[[#This Row],[_Res2Text]],FIND("[",Tasks[[#This Row],[_Res2Text]]&amp;"[")-1)),res_Initials,0),0)))</f>
        <v>0</v>
      </c>
      <c r="DQ8" s="43" t="n">
        <f aca="false">IF(Tasks[[#This Row],[_Res3Text]]="",0,IFERROR(MATCH(TRIM(LEFT(Tasks[[#This Row],[_Res3Text]],FIND("[",Tasks[[#This Row],[_Res3Text]]&amp;"[")-1)),res_Name,0),IFERROR(MATCH(TRIM(LEFT(Tasks[[#This Row],[_Res3Text]],FIND("[",Tasks[[#This Row],[_Res3Text]]&amp;"[")-1)),res_Initials,0),0)))</f>
        <v>0</v>
      </c>
      <c r="DR8" s="43" t="n">
        <f aca="false">IF(Tasks[[#This Row],[_Res4Text]]="",0,IFERROR(MATCH(TRIM(LEFT(Tasks[[#This Row],[_Res4Text]],FIND("[",Tasks[[#This Row],[_Res4Text]]&amp;"[")-1)),res_Name,0),IFERROR(MATCH(TRIM(LEFT(Tasks[[#This Row],[_Res4Text]],FIND("[",Tasks[[#This Row],[_Res4Text]]&amp;"[")-1)),res_Initials,0),0)))</f>
        <v>0</v>
      </c>
      <c r="DS8" s="43" t="str">
        <f aca="false">IF(Tasks[[#This Row],[_Res1Text]]="","",IF(Tasks[[#This Row],[_Res1Row]]&gt;0,INDEX(res_Name,Tasks[[#This Row],[_Res1Row]]),TRIM(LEFT(Tasks[[#This Row],[_Res1Text]],FIND("[",Tasks[[#This Row],[_Res1Text]]&amp;"[")-1))))</f>
        <v>Morgan Patel</v>
      </c>
      <c r="DT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 s="43" t="n">
        <f aca="false">IF(NOT(Tasks[[#This Row],[_IsLeaf]]=1),0,(Tasks[[#This Row],[_Resource1]]&lt;&gt;"")+(Tasks[[#This Row],[_Res2]]&lt;&gt;"")+(Tasks[[#This Row],[_Res3]]&lt;&gt;"")+(Tasks[[#This Row],[_Res4]]&lt;&gt;""))</f>
        <v>1</v>
      </c>
      <c r="DV8" s="43" t="str">
        <f aca="false">IF(Tasks[[#This Row],[_Res2Text]]="","",IF(Tasks[[#This Row],[_Res2Row]]&gt;0,INDEX(res_Name,Tasks[[#This Row],[_Res2Row]]),TRIM(LEFT(Tasks[[#This Row],[_Res2Text]],FIND("[",Tasks[[#This Row],[_Res2Text]]&amp;"[")-1))))</f>
        <v/>
      </c>
      <c r="DW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 s="43" t="n">
        <f aca="false">IF(OR(NOT(Tasks[[#This Row],[_IsLeaf]]=1),Tasks[[#This Row],[_Res2Row]]=0),0,N(Tasks[[#This Row],[_Days]])*HoursPerDay*IF(Tasks[[#This Row],[_Res2Units]]="",DefaultUnits,Tasks[[#This Row],[_Res2Units]]))</f>
        <v>0</v>
      </c>
      <c r="DY8" s="43" t="n">
        <f aca="false">IF(AND(AND(Tasks[[#This Row],[_IsLeaf]]=1,Tasks[[#This Row],[_LeafTotalWork]]&gt;0),Tasks[[#This Row],[_Res2Work]]&gt;0),Tasks[[#This Row],[_Res2Work]]/(Tasks[[#This Row],[_FinishWorkday]]-Tasks[[#This Row],[_StartWorkday]]+1),0)</f>
        <v>0</v>
      </c>
      <c r="DZ8" s="43" t="n">
        <f aca="false">Tasks[[#This Row],[_Res2WorkPerWD]]*MAX(0,Tasks[[#This Row],[_StartWorkday]]-1)</f>
        <v>0</v>
      </c>
      <c r="EA8" s="43" t="n">
        <f aca="false">Tasks[[#This Row],[_Res2Work]]*Tasks[[#This Row],[_LeafProgress]]</f>
        <v>0</v>
      </c>
      <c r="EB8" s="43" t="str">
        <f aca="false">IF(Tasks[[#This Row],[_Res3Text]]="","",IF(Tasks[[#This Row],[_Res3Row]]&gt;0,INDEX(res_Name,Tasks[[#This Row],[_Res3Row]]),TRIM(LEFT(Tasks[[#This Row],[_Res3Text]],FIND("[",Tasks[[#This Row],[_Res3Text]]&amp;"[")-1))))</f>
        <v/>
      </c>
      <c r="EC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 s="43" t="n">
        <f aca="false">IF(OR(NOT(Tasks[[#This Row],[_IsLeaf]]=1),Tasks[[#This Row],[_Res3Row]]=0),0,N(Tasks[[#This Row],[_Days]])*HoursPerDay*IF(Tasks[[#This Row],[_Res3Units]]="",DefaultUnits,Tasks[[#This Row],[_Res3Units]]))</f>
        <v>0</v>
      </c>
      <c r="EE8" s="43" t="n">
        <f aca="false">IF(AND(AND(Tasks[[#This Row],[_IsLeaf]]=1,Tasks[[#This Row],[_LeafTotalWork]]&gt;0),Tasks[[#This Row],[_Res3Work]]&gt;0),Tasks[[#This Row],[_Res3Work]]/(Tasks[[#This Row],[_FinishWorkday]]-Tasks[[#This Row],[_StartWorkday]]+1),0)</f>
        <v>0</v>
      </c>
      <c r="EF8" s="43" t="n">
        <f aca="false">Tasks[[#This Row],[_Res3WorkPerWD]]*MAX(0,Tasks[[#This Row],[_StartWorkday]]-1)</f>
        <v>0</v>
      </c>
      <c r="EG8" s="43" t="n">
        <f aca="false">Tasks[[#This Row],[_Res3Work]]*Tasks[[#This Row],[_LeafProgress]]</f>
        <v>0</v>
      </c>
      <c r="EH8" s="43" t="str">
        <f aca="false">IF(Tasks[[#This Row],[_Res4Text]]="","",IF(Tasks[[#This Row],[_Res4Row]]&gt;0,INDEX(res_Name,Tasks[[#This Row],[_Res4Row]]),TRIM(LEFT(Tasks[[#This Row],[_Res4Text]],FIND("[",Tasks[[#This Row],[_Res4Text]]&amp;"[")-1))))</f>
        <v/>
      </c>
      <c r="EI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 s="43" t="n">
        <f aca="false">IF(OR(NOT(Tasks[[#This Row],[_IsLeaf]]=1),Tasks[[#This Row],[_Res4Row]]=0),0,N(Tasks[[#This Row],[_Days]])*HoursPerDay*IF(Tasks[[#This Row],[_Res4Units]]="",DefaultUnits,Tasks[[#This Row],[_Res4Units]]))</f>
        <v>0</v>
      </c>
      <c r="EK8" s="43" t="n">
        <f aca="false">IF(AND(AND(Tasks[[#This Row],[_IsLeaf]]=1,Tasks[[#This Row],[_LeafTotalWork]]&gt;0),Tasks[[#This Row],[_Res4Work]]&gt;0),Tasks[[#This Row],[_Res4Work]]/(Tasks[[#This Row],[_FinishWorkday]]-Tasks[[#This Row],[_StartWorkday]]+1),0)</f>
        <v>0</v>
      </c>
      <c r="EL8" s="43" t="n">
        <f aca="false">Tasks[[#This Row],[_Res4WorkPerWD]]*MAX(0,Tasks[[#This Row],[_StartWorkday]]-1)</f>
        <v>0</v>
      </c>
      <c r="EM8" s="43" t="n">
        <f aca="false">Tasks[[#This Row],[_Res4Work]]*Tasks[[#This Row],[_LeafProgress]]</f>
        <v>0</v>
      </c>
      <c r="EN8" s="94" t="n">
        <f aca="false">IF(ISNUMBER(Tasks[[#This Row],[% Complete]]),Tasks[[#This Row],[% Complete]],IF(Tasks[[#This Row],[Stage]]="",0,IFERROR(INDEX(stg_Pct,MATCH(Tasks[[#This Row],[Stage]],stg_Name,0)),0)))</f>
        <v>1</v>
      </c>
      <c r="EO8" s="43" t="n">
        <f aca="false">IF(NOT(Tasks[[#This Row],[_IsLeaf]]=1),0,IF(N(Tasks[[#This Row],[Actual Finish]])&gt;0,1,MIN(1,Tasks[[#This Row],[_Pct]])))</f>
        <v>1</v>
      </c>
      <c r="EP8" s="43" t="n">
        <f aca="false">IF(OR(NOT(Tasks[[#This Row],[_IsLeaf]]=1),Tasks[[#This Row],[_Res1Row]]=0),0,N(Tasks[[#This Row],[_Days]])*HoursPerDay*IF(Tasks[[#This Row],[_Units1]]="",DefaultUnits,Tasks[[#This Row],[_Units1]]))</f>
        <v>16</v>
      </c>
      <c r="EQ8" s="43" t="n">
        <f aca="false">Tasks[[#This Row],[_LeafWork]]+Tasks[[#This Row],[_Res2Work]]+Tasks[[#This Row],[_Res3Work]]+Tasks[[#This Row],[_Res4Work]]</f>
        <v>16</v>
      </c>
      <c r="ER8"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2912185</v>
      </c>
      <c r="ES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 s="43" t="n">
        <f aca="false">IF(NOT(Tasks[[#This Row],[_IsLeaf]]=1),0,MAX(_xlfn.MAXIFS(Tasks[_Row],Tasks[_Pred1UID],Tasks[[#This Row],[UID]]),_xlfn.MAXIFS(Tasks[_Row],Tasks[_Pred2UID],Tasks[[#This Row],[UID]]),_xlfn.MAXIFS(Tasks[_Row],Tasks[_Pred3UID],Tasks[[#This Row],[UID]]),_xlfn.MAXIFS(Tasks[_Row],Tasks[_Pred4UID],Tasks[[#This Row],[UID]])))</f>
        <v>4</v>
      </c>
      <c r="FA8"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FB8"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FC8" s="91" t="n">
        <f aca="false">IF(NOT(Tasks[[#This Row],[_IsLeaf]]=1),"",IF(N(Tasks[[#This Row],[_Days]])&lt;=0,Tasks[[#This Row],[_LeafLateFinish]],WORKDAY.INTL(Tasks[[#This Row],[_LeafLateFinish]],-(Tasks[[#This Row],[_Days]]-1),WorkWeek,Holidays)))</f>
        <v>46281</v>
      </c>
      <c r="FD8"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8" s="90" t="b">
        <f aca="false">AND(Tasks[[#This Row],[_IsLeaf]]=1,Tasks[[#This Row],[_LeafProgress]]&lt;1,N(Tasks[[#This Row],[_LeafTotalSlack]])&lt;=CriticalSlackDays)</f>
        <v>0</v>
      </c>
      <c r="FF8" s="43" t="n">
        <f aca="false">IF(AND(Tasks[[#This Row],[_IsLeaf]]=1,Tasks[[#This Row],[_ConstraintCode]]=1,Tasks[[#This Row],[Mode]]&lt;&gt;"Manual",N(Tasks[[#This Row],[Actual Start]])=0),MAX(0,N(Tasks[[#This Row],[Free Slack]])),0)</f>
        <v>0</v>
      </c>
      <c r="FG8" s="91" t="n">
        <f aca="false">IF(NOT(Tasks[[#This Row],[_IsLeaf]]=1),"",IF(Tasks[[#This Row],[_AlapShift]]=0,Tasks[[#This Row],[_LeafCalcStart]],WORKDAY.INTL(Tasks[[#This Row],[_LeafCalcStart]],Tasks[[#This Row],[_AlapShift]],WorkWeek,Holidays)))</f>
        <v>46275</v>
      </c>
      <c r="FH8" s="91" t="n">
        <f aca="false">IF(NOT(Tasks[[#This Row],[_IsLeaf]]=1),"",IF(Tasks[[#This Row],[_AlapShift]]=0,Tasks[[#This Row],[_LeafCalcFinish]],WORKDAY.INTL(Tasks[[#This Row],[_LeafCalcFinish]],Tasks[[#This Row],[_AlapShift]],WorkWeek,Holidays)))</f>
        <v>46276</v>
      </c>
      <c r="FI8" s="91" t="n">
        <f aca="false">IF(NOT(Tasks[[#This Row],[_IsLeaf]]=1),"",IF(Tasks[[#This Row],[_AlapShift]]=0,Tasks[[#This Row],[_LeafFcstStart]],WORKDAY.INTL(Tasks[[#This Row],[_LeafFcstStart]],Tasks[[#This Row],[_AlapShift]],WorkWeek,Holidays)))</f>
        <v>46276</v>
      </c>
      <c r="FJ8" s="91" t="n">
        <f aca="false">IF(NOT(Tasks[[#This Row],[_IsLeaf]]=1),"",IF(Tasks[[#This Row],[_AlapShift]]=0,Tasks[[#This Row],[_LeafFcstFinish]],WORKDAY.INTL(Tasks[[#This Row],[_LeafFcstFinish]],Tasks[[#This Row],[_AlapShift]],WorkWeek,Holidays)))</f>
        <v>46279</v>
      </c>
      <c r="FK8" s="91" t="n">
        <f aca="false">IF(Tasks[[#This Row],[Task Name]]="","",IF(Tasks[[#This Row],[_IsSummary]],MIN(INDEX(Tasks[_ShownCalcStart],Tasks[[#This Row],[_Row]]+1):INDEX(Tasks[_ShownCalcStart],Tasks[[#This Row],[_Row]]+Tasks[[#This Row],[_Descendants]])),Tasks[[#This Row],[_ShownCalcStart]]))</f>
        <v>46275</v>
      </c>
      <c r="FL8" s="91" t="n">
        <f aca="false">IF(Tasks[[#This Row],[Task Name]]="","",IF(Tasks[[#This Row],[_IsSummary]],MAX(INDEX(Tasks[_ShownCalcFinish],Tasks[[#This Row],[_Row]]+1):INDEX(Tasks[_ShownCalcFinish],Tasks[[#This Row],[_Row]]+Tasks[[#This Row],[_Descendants]])),Tasks[[#This Row],[_ShownCalcFinish]]))</f>
        <v>46276</v>
      </c>
      <c r="FM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46275</v>
      </c>
      <c r="FR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46276</v>
      </c>
      <c r="FV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 s="43" t="n">
        <f aca="false">IF(AND(Tasks[[#This Row],[_IsLeaf]]=1,Tasks[[#This Row],[_LeafTotalWork]]&gt;0),NETWORKDAYS.INTL(ProjectStart,Tasks[[#This Row],[_ShownFcstStart]],WorkWeek,Holidays),0)</f>
        <v>5</v>
      </c>
      <c r="FZ8" s="43" t="n">
        <f aca="false">IF(AND(Tasks[[#This Row],[_IsLeaf]]=1,Tasks[[#This Row],[_LeafTotalWork]]&gt;0),MAX(Tasks[[#This Row],[_StartWorkday]],NETWORKDAYS.INTL(ProjectStart,Tasks[[#This Row],[_ShownFcstFinish]],WorkWeek,Holidays)),0)</f>
        <v>6</v>
      </c>
      <c r="GA8" s="43" t="n">
        <f aca="false">IF(AND(Tasks[[#This Row],[_IsLeaf]]=1,Tasks[[#This Row],[_LeafTotalWork]]&gt;0),Tasks[[#This Row],[_LeafWork]]/(Tasks[[#This Row],[_FinishWorkday]]-Tasks[[#This Row],[_StartWorkday]]+1),0)</f>
        <v>8</v>
      </c>
      <c r="GB8" s="43" t="n">
        <f aca="false">Tasks[[#This Row],[_WorkPerWorkday]]*(Tasks[[#This Row],[_StartWorkday]]-1)</f>
        <v>32</v>
      </c>
      <c r="GC8" s="43" t="n">
        <f aca="false">IF(Tasks[[#This Row],[_IsLeaf]]=1,MAX(N(Tasks[[#This Row],[_Days]]),0.1),0)</f>
        <v>2</v>
      </c>
      <c r="GD8" s="43" t="n">
        <f aca="false">Tasks[[#This Row],[_WeightDur]]*Tasks[[#This Row],[_LeafProgress]]</f>
        <v>2</v>
      </c>
      <c r="GE8" s="43" t="n">
        <f aca="false">Tasks[[#This Row],[_WeightDur]]*Tasks[[#This Row],[_PlannedPct]]</f>
        <v>2</v>
      </c>
      <c r="GF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GG8" s="43" t="str">
        <f aca="false">IF(AND(Tasks[[#This Row],[_IsLeaf]]=1,N(Tasks[[#This Row],[_Days]])=0,Tasks[[#This Row],[_LeafProgress]]&lt;1),Tasks[[#This Row],[_ShownFcstFinish]]+Tasks[[#This Row],[_Row]]/100000,"")</f>
        <v/>
      </c>
      <c r="GH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8" s="43" t="str">
        <f aca="false">IF(Tasks[[#This Row],[Task Name]]="","",LEFT(Tasks[[#This Row],[WBS]],FIND(".",Tasks[[#This Row],[WBS]]&amp;".")-1))</f>
        <v>1</v>
      </c>
      <c r="GJ8" s="43" t="str">
        <f aca="false">IF(AND(Tasks[[#This Row],[Task Name]]&lt;&gt;"",Tasks[[#This Row],[_Level]]=1),Tasks[[#This Row],[_Row]],"")</f>
        <v/>
      </c>
      <c r="GK8" s="43" t="str">
        <f aca="false">IF(AND(Tasks[[#This Row],[_IsLeaf]]=1,N(Tasks[[#This Row],[_Days]])=0),Tasks[[#This Row],[Planned Finish]]+Tasks[[#This Row],[_Row]]/100000,"")</f>
        <v/>
      </c>
      <c r="GL8" s="43" t="str">
        <f aca="false">IF(AND(Tasks[[#This Row],[_IsLeaf]]=1,Tasks[[#This Row],[_LeafProgress]]&lt;1,OR(N(Tasks[[#This Row],[Finish Var]])&gt;0,Tasks[[#This Row],[Status]]="Late Start")),MAX(0,Tasks[[#This Row],[Finish Var]])+1-Tasks[[#This Row],[_Row]]/1000000,"")</f>
        <v/>
      </c>
      <c r="GM8" s="43" t="str">
        <f aca="false">IF(AND(Tasks[[#This Row],[_IsLeaf]]=1,N(Tasks[[#This Row],[Actual Start]])=0,Tasks[[#This Row],[_ShownFcstStart]]&gt;=StatusDate,Tasks[[#This Row],[_ShownFcstStart]]&lt;=LookaheadEnd),Tasks[[#This Row],[_ShownFcstStart]]+Tasks[[#This Row],[_Row]]/100000,"")</f>
        <v/>
      </c>
      <c r="GN8" s="43" t="str">
        <f aca="false">IF(AND(Tasks[[#This Row],[_IsLeaf]]=1,Tasks[[#This Row],[_LeafProgress]]&lt;1,Tasks[[#This Row],[_ShownFcstFinish]]&gt;=StatusDate,Tasks[[#This Row],[_ShownFcstFinish]]&lt;=LookaheadEnd),Tasks[[#This Row],[_ShownFcstFinish]]+Tasks[[#This Row],[_Row]]/100000,"")</f>
        <v/>
      </c>
      <c r="GO8" s="43" t="str">
        <f aca="false">IF(Tasks[[#This Row],[_LeafCritical]],Tasks[[#This Row],[_ShownFcstStart]]+Tasks[[#This Row],[_Row]]/100000,"")</f>
        <v/>
      </c>
      <c r="GP8" s="43" t="n">
        <f aca="false">Tasks[[#This Row],[_LeafWork]]*Tasks[[#This Row],[_LeafProgress]]</f>
        <v>16</v>
      </c>
      <c r="GQ8" s="91" t="n">
        <f aca="false">IF(AND(Tasks[[#This Row],[_IsLeaf]]=1,Tasks[[#This Row],[_LeafProgress]]&gt;=1),IF(N(Tasks[[#This Row],[Actual Finish]])&gt;0,Tasks[[#This Row],[Actual Finish]],Tasks[[#This Row],[_ShownFcstFinish]]),"")</f>
        <v>46279</v>
      </c>
      <c r="GR8" s="43" t="n">
        <f aca="false">IF(Tasks[[#This Row],[_IsLeaf]]=1,N(Tasks[[#This Row],[Story Points]]),0)</f>
        <v>0</v>
      </c>
      <c r="GS8" s="43" t="str">
        <f aca="false">""</f>
        <v/>
      </c>
      <c r="GT8" s="90" t="b">
        <f aca="false">IF(Tasks[[#This Row],[Task Name]]="",FALSE(),AND(Tasks[[#This Row],[_IsLeaf]]=1,N(Tasks[[#This Row],[_Days]])=0))</f>
        <v>0</v>
      </c>
      <c r="GU8" s="91" t="n">
        <f aca="false">IF(Tasks[[#This Row],[Task Name]]="",0,IF(AND(Tasks[[#This Row],[_IsLeaf]]=1,NOT(Tasks[[#This Row],[_IsMilestone]]),N(Tasks[[#This Row],[Progress]])&gt;0),Tasks[[#This Row],[Start]],0))</f>
        <v>46276</v>
      </c>
      <c r="GV8" s="91" t="n">
        <f aca="false">IF(Tasks[[#This Row],[_DoneFrom]]=0,0,IF(Tasks[[#This Row],[Progress]]&gt;=1,Tasks[[#This Row],[Finish]],MAX(Tasks[[#This Row],[_DoneFrom]],Tasks[[#This Row],[Start]]+ROUND((Tasks[[#This Row],[Finish]]-Tasks[[#This Row],[Start]]+1)*Tasks[[#This Row],[Progress]],0)-1)))</f>
        <v>46279</v>
      </c>
      <c r="GW8" s="91" t="n">
        <f aca="false">IF(Tasks[[#This Row],[Task Name]]="",0,IF(OR(NOT(Tasks[[#This Row],[_IsLeaf]]=1),Tasks[[#This Row],[_IsMilestone]],N(Tasks[[#This Row],[Progress]])&gt;=1),0,IF(Tasks[[#This Row],[_DoneTo]]&gt;0,Tasks[[#This Row],[_DoneTo]]+1,Tasks[[#This Row],[Start]])))</f>
        <v>0</v>
      </c>
      <c r="GX8" s="91" t="n">
        <f aca="false">IF(Tasks[[#This Row],[_RemFrom]]=0,0,Tasks[[#This Row],[Finish]])</f>
        <v>0</v>
      </c>
      <c r="GY8" s="90" t="b">
        <f aca="false">IF(Tasks[[#This Row],[Task Name]]="",FALSE(),OR(NOT(BaselineSet),N(Tasks[[#This Row],[Baseline Start]])&gt;0))</f>
        <v>1</v>
      </c>
      <c r="GZ8" s="43" t="n">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2</v>
      </c>
      <c r="HA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v>
      </c>
      <c r="HB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HC8" s="92" t="n">
        <f aca="false">IF(Tasks[[#This Row],[_IsLeaf]]=1,Tasks[[#This Row],[_Row]],"")</f>
        <v>3</v>
      </c>
      <c r="HD8" s="92" t="str">
        <f aca="false">IFERROR(INDEX(Tasks[UID],SMALL(Tasks[_PickKey],Tasks[[#This Row],[_Row]]))&amp;" "&amp;INDEX(Tasks[Task Name],SMALL(Tasks[_PickKey],Tasks[[#This Row],[_Row]])),"")</f>
        <v>4 Kickoff complete</v>
      </c>
      <c r="HE8" s="43" t="n">
        <f aca="false">IF(Tasks[[#This Row],[Task Name]]="","",IF(Tasks[[#This Row],[_IsSummary]],NETWORKDAYS.INTL(Tasks[[#This Row],[Start]],Tasks[[#This Row],[Finish]],WorkWeek,Holidays),N(Tasks[[#This Row],[_Days]])))</f>
        <v>2</v>
      </c>
      <c r="HF8" s="43" t="n">
        <f aca="false">IF(Tasks[[#This Row],[Expected]]="",0,((Tasks[[#This Row],[Pessimistic]]-Tasks[[#This Row],[Optimistic]])/6)^2)</f>
        <v>0</v>
      </c>
      <c r="HG8" s="43" t="n">
        <f aca="false">IF(Tasks[[#This Row],[Expected]]="",0,Tasks[[#This Row],[Expected]]-N(Tasks[[#This Row],[_Days]]))</f>
        <v>0</v>
      </c>
    </row>
    <row r="9" customFormat="false" ht="15" hidden="false" customHeight="false" outlineLevel="1" collapsed="false">
      <c r="A9" s="21" t="n">
        <f aca="false">IF(Tasks[[#This Row],[Task Name]]="","",COUNTA(Tasks[[#Headers],[Task Name]]:Tasks[[#This Row],[Task Name]])-1)</f>
        <v>4</v>
      </c>
      <c r="B9" s="22" t="n">
        <v>4</v>
      </c>
      <c r="C9" s="22" t="n">
        <v>2</v>
      </c>
      <c r="D9" s="93" t="s">
        <v>646</v>
      </c>
      <c r="E9" s="22" t="n">
        <v>0</v>
      </c>
      <c r="F9" s="23" t="n">
        <v>3</v>
      </c>
      <c r="G9" s="22"/>
      <c r="H9" s="22"/>
      <c r="I9" s="23"/>
      <c r="J9" s="22"/>
      <c r="K9" s="22"/>
      <c r="L9" s="23"/>
      <c r="M9" s="22"/>
      <c r="N9" s="22"/>
      <c r="O9" s="23"/>
      <c r="P9" s="22"/>
      <c r="Q9" s="22"/>
      <c r="R9" s="23"/>
      <c r="S9" s="23"/>
      <c r="T9" s="84"/>
      <c r="U9" s="23"/>
      <c r="V9" s="84"/>
      <c r="W9" s="23"/>
      <c r="X9" s="84"/>
      <c r="Y9" s="23"/>
      <c r="Z9" s="84"/>
      <c r="AA9" s="23"/>
      <c r="AB9" s="23" t="s">
        <v>150</v>
      </c>
      <c r="AC9" s="7" t="n">
        <v>46279</v>
      </c>
      <c r="AD9" s="7" t="n">
        <v>46279</v>
      </c>
      <c r="AE9" s="63" t="n">
        <f aca="false">IF(Tasks[[#This Row],[Task Name]]="","",IF(Tasks[[#This Row],[_IsSummary]],MIN(INDEX(Tasks[_ShownFcstStart],Tasks[[#This Row],[_Row]]+1):INDEX(Tasks[_ShownFcstStart],Tasks[[#This Row],[_Row]]+Tasks[[#This Row],[_Descendants]])),Tasks[[#This Row],[_ShownFcstStart]]))</f>
        <v>46279</v>
      </c>
      <c r="AF9" s="63" t="n">
        <f aca="false">IF(Tasks[[#This Row],[Task Name]]="","",IF(Tasks[[#This Row],[_IsSummary]],MAX(INDEX(Tasks[_ShownFcstFinish],Tasks[[#This Row],[_Row]]+1):INDEX(Tasks[_ShownFcstFinish],Tasks[[#This Row],[_Row]]+Tasks[[#This Row],[_Descendants]])),Tasks[[#This Row],[_ShownFcstFinish]]))</f>
        <v>46279</v>
      </c>
      <c r="AG9" s="21" t="str">
        <f aca="false">""</f>
        <v/>
      </c>
      <c r="AH9" s="23" t="s">
        <v>647</v>
      </c>
      <c r="AI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 s="7"/>
      <c r="AK9" s="22" t="s">
        <v>248</v>
      </c>
      <c r="AL9" s="23"/>
      <c r="AM9" s="7"/>
      <c r="AN9" s="47" t="n">
        <f aca="false">IF(Tasks[[#This Row],[Task Name]]="","",IF(Tasks[[#This Row],[Finish]]&gt;=Tasks[[#This Row],[Planned Finish]],NETWORKDAYS.INTL(Tasks[[#This Row],[Planned Finish]],Tasks[[#This Row],[Finish]],WorkWeek,Holidays)-1,1-NETWORKDAYS.INTL(Tasks[[#This Row],[Finish]],Tasks[[#This Row],[Planned Finish]],WorkWeek,Holidays)))</f>
        <v>1</v>
      </c>
      <c r="AO9" s="21" t="str">
        <f aca="false">IF(Tasks[[#This Row],[Task Name]]="","",IF(Tasks[[#This Row],[Progress]]&gt;=1,"Complete",IF(OR(N(Tasks[[#This Row],[Actual Start]])&gt;0,Tasks[[#This Row],[Progress]]&gt;0),IF(Tasks[[#This Row],[Finish Var]]&gt;0,"Behind","In Progress"),IF(Tasks[[#This Row],[Planned Start]]&lt;StatusDate,"Late Start","Not Started"))))</f>
        <v>Complete</v>
      </c>
      <c r="AP9" s="21" t="str">
        <f aca="false">IF(Tasks[[#This Row],[Task Name]]="","",IF(IF(Tasks[[#This Row],[_IsSummary]],COUNTIF(INDEX(Tasks[_LeafCritical],Tasks[[#This Row],[_Row]]+1):INDEX(Tasks[_LeafCritical],Tasks[[#This Row],[_Row]]+Tasks[[#This Row],[_Descendants]]),TRUE())&gt;0,Tasks[[#This Row],[_LeafCritical]]),"Yes",""))</f>
        <v/>
      </c>
      <c r="AQ9" s="63" t="n">
        <f aca="false">IF(Tasks[[#This Row],[Task Name]]="","",IF(N(Tasks[[#This Row],[Baseline Start]])&gt;0,Tasks[[#This Row],[Baseline Start]],Tasks[[#This Row],[_CalcStart]]))</f>
        <v>46276</v>
      </c>
      <c r="AR9" s="63" t="n">
        <f aca="false">IF(Tasks[[#This Row],[Task Name]]="","",IF(N(Tasks[[#This Row],[Baseline Finish]])&gt;0,Tasks[[#This Row],[Baseline Finish]],Tasks[[#This Row],[_CalcFinish]]))</f>
        <v>46276</v>
      </c>
      <c r="AS9" s="47" t="n">
        <f aca="false">IF(Tasks[[#This Row],[Task Name]]="","",IF(Tasks[[#This Row],[Start]]&gt;=Tasks[[#This Row],[Planned Start]],NETWORKDAYS.INTL(Tasks[[#This Row],[Planned Start]],Tasks[[#This Row],[Start]],WorkWeek,Holidays)-1,1-NETWORKDAYS.INTL(Tasks[[#This Row],[Start]],Tasks[[#This Row],[Planned Start]],WorkWeek,Holidays)))</f>
        <v>1</v>
      </c>
      <c r="AT9" s="63" t="n">
        <f aca="false">IF(Tasks[[#This Row],[Task Name]]="","",IF(Tasks[[#This Row],[_IsSummary]],MIN(INDEX(Tasks[_LeafLateStart],Tasks[[#This Row],[_Row]]+1):INDEX(Tasks[_LeafLateStart],Tasks[[#This Row],[_Row]]+Tasks[[#This Row],[_Descendants]])),Tasks[[#This Row],[_LeafLateStart]]))</f>
        <v>46282</v>
      </c>
      <c r="AU9" s="63" t="n">
        <f aca="false">IF(Tasks[[#This Row],[Task Name]]="","",IF(Tasks[[#This Row],[_IsSummary]],MAX(INDEX(Tasks[_LeafLateFinish],Tasks[[#This Row],[_Row]]+1):INDEX(Tasks[_LeafLateFinish],Tasks[[#This Row],[_Row]]+Tasks[[#This Row],[_Descendants]])),Tasks[[#This Row],[_LeafLateFinish]]))</f>
        <v>46282</v>
      </c>
      <c r="AV9" s="47" t="n">
        <f aca="false">IF(Tasks[[#This Row],[Task Name]]="","",IF(Tasks[[#This Row],[_IsSummary]],MIN(INDEX(Tasks[_LeafTotalSlack],Tasks[[#This Row],[_Row]]+1):INDEX(Tasks[_LeafTotalSlack],Tasks[[#This Row],[_Row]]+Tasks[[#This Row],[_Descendants]])),Tasks[[#This Row],[_LeafTotalSlack]]))</f>
        <v>3</v>
      </c>
      <c r="AW9"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5"/>
      <c r="BA9"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BC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BD9" s="21" t="str">
        <f aca="false">IF(Tasks[[#This Row],[Task Name]]="","",IF(Tasks[[#This Row],[_Level]]&lt;=OutlineShowLevel,"Yes","No"))</f>
        <v>Yes</v>
      </c>
      <c r="BE9" s="86" t="n">
        <f aca="false">IF(Tasks[[#This Row],[Task Name]]="","",IF(Tasks[[#This Row],[_IsSummary]],SUM(INDEX(Tasks[_LeafTotalWork],Tasks[[#This Row],[_Row]]+1):INDEX(Tasks[_LeafTotalWork],Tasks[[#This Row],[_Row]]+Tasks[[#This Row],[_Descendants]])),Tasks[[#This Row],[_LeafTotalWork]]))</f>
        <v>0</v>
      </c>
      <c r="BF9" s="23"/>
      <c r="BG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t="str">
        <f aca="false">""</f>
        <v/>
      </c>
      <c r="BI9" s="87"/>
      <c r="BJ9" s="22"/>
      <c r="BK9" s="47" t="n">
        <f aca="false">IF(OR(Tasks[[#This Row],[Task Name]]="",Tasks[[#This Row],[Baseline Duration]]=""),"",Tasks[[#This Row],[_SpanDays]]-N(Tasks[[#This Row],[Baseline Duration]]))</f>
        <v>0</v>
      </c>
      <c r="BL9" s="86" t="n">
        <f aca="false">IF(OR(Tasks[[#This Row],[Task Name]]="",Tasks[[#This Row],[Baseline Work]]=""),"",Tasks[[#This Row],[Work]]-N(Tasks[[#This Row],[Baseline Work]]))</f>
        <v>0</v>
      </c>
      <c r="BM9" s="63" t="n">
        <f aca="false">IF(Tasks[[#This Row],[Task Name]]="","",IF(OR(TakeBaseline="Yes",N(Tasks[[#This Row],[Baseline Start]])=0),Tasks[[#This Row],[Start]],Tasks[[#This Row],[Baseline Start]]))</f>
        <v>46276</v>
      </c>
      <c r="BN9" s="63" t="n">
        <f aca="false">IF(Tasks[[#This Row],[Task Name]]="","",IF(OR(TakeBaseline="Yes",N(Tasks[[#This Row],[Baseline Finish]])=0),Tasks[[#This Row],[Finish]],Tasks[[#This Row],[Baseline Finish]]))</f>
        <v>46276</v>
      </c>
      <c r="BO9" s="21" t="n">
        <f aca="false">IF(Tasks[[#This Row],[Task Name]]="","",IF(OR(TakeBaseline="Yes",N(Tasks[[#This Row],[Baseline Duration]])=0),Tasks[[#This Row],[_SpanDays]],Tasks[[#This Row],[Baseline Duration]]))</f>
        <v>0</v>
      </c>
      <c r="BP9" s="86" t="n">
        <f aca="false">IF(Tasks[[#This Row],[Task Name]]="","",IF(OR(TakeBaseline="Yes",N(Tasks[[#This Row],[Baseline Work]])=0),Tasks[[#This Row],[Work]],Tasks[[#This Row],[Baseline Work]]))</f>
        <v>0</v>
      </c>
      <c r="BQ9" s="7" t="n">
        <v>46276</v>
      </c>
      <c r="BR9" s="7" t="n">
        <v>46276</v>
      </c>
      <c r="BS9" s="22" t="n">
        <v>0</v>
      </c>
      <c r="BT9" s="88" t="n">
        <v>0</v>
      </c>
      <c r="BU9" s="23"/>
      <c r="BV9" s="23"/>
      <c r="BW9" s="23"/>
      <c r="BX9" s="89" t="str">
        <f aca="false">IF(AND(Tasks[[#This Row],[_IsLeaf]]=1,ISNUMBER(Tasks[[#This Row],[Optimistic]]),ISNUMBER(Tasks[[#This Row],[Pessimistic]])),ROUND((Tasks[[#This Row],[Optimistic]]+4*N(Tasks[[#This Row],[_Days]])+Tasks[[#This Row],[Pessimistic]])/6,1),"")</f>
        <v/>
      </c>
      <c r="BY9" s="87"/>
      <c r="BZ9" s="87"/>
      <c r="CA9" s="22"/>
      <c r="CB9" s="43" t="n">
        <f aca="false">IF(Tasks[[#This Row],[Task Name]]="","",MAX(1,N(Tasks[[#This Row],[Level]])))</f>
        <v>2</v>
      </c>
      <c r="CC9" s="43" t="n">
        <f aca="false">ROW()-ROW(Tasks[[#Headers],[ID]])</f>
        <v>4</v>
      </c>
      <c r="CD9" s="43" t="n">
        <f aca="false">IF(OR(Tasks[[#This Row],[Task Name]]="",Tasks[[#This Row],[_Level]]&lt;=1),0,IFERROR(LOOKUP(2,1/(Tasks[[#Headers],[_Level]]:Tasks[[#This Row],[_Level]]=Tasks[[#This Row],[_Level]]-1),ROW(Tasks[[#Headers],[_Level]]:Tasks[[#This Row],[_Level]])),0))</f>
        <v>6</v>
      </c>
      <c r="CE9" s="43" t="n">
        <f aca="false">IFERROR(N(INDEX(Tasks[_Level],Tasks[[#This Row],[_Row]]+1)),0)</f>
        <v>1</v>
      </c>
      <c r="CF9" s="90" t="b">
        <f aca="false">AND(Tasks[[#This Row],[Task Name]]&lt;&gt;"",Tasks[[#This Row],[_NextLevel]]&gt;Tasks[[#This Row],[_Level]])</f>
        <v>0</v>
      </c>
      <c r="CG9" s="43" t="n">
        <f aca="false">IF(Tasks[[#This Row],[_IsSummary]],COUNTIF(Tasks[WBS],Tasks[[#This Row],[WBS]]&amp;".*"),0)</f>
        <v>0</v>
      </c>
      <c r="CH9" s="43" t="n">
        <f aca="false">IF(AND(Tasks[[#This Row],[Task Name]]&lt;&gt;"",NOT(Tasks[[#This Row],[_IsSummary]])),1,0)</f>
        <v>1</v>
      </c>
      <c r="CI9" s="43" t="n">
        <f aca="false">IF(N(Tasks[[#This Row],[_Pred1UID]])=0,0,IFERROR(MATCH(Tasks[[#This Row],[_Pred1UID]],Tasks[UID],0),-1))</f>
        <v>3</v>
      </c>
      <c r="CJ9" s="43" t="n">
        <f aca="false">IF(N(Tasks[[#This Row],[_Pred2UID]])=0,0,IFERROR(MATCH(Tasks[[#This Row],[_Pred2UID]],Tasks[UID],0),-1))</f>
        <v>0</v>
      </c>
      <c r="CK9" s="43" t="n">
        <f aca="false">IF(N(Tasks[[#This Row],[_Pred3UID]])=0,0,IFERROR(MATCH(Tasks[[#This Row],[_Pred3UID]],Tasks[UID],0),-1))</f>
        <v>0</v>
      </c>
      <c r="CL9" s="43" t="n">
        <f aca="false">IF(N(Tasks[[#This Row],[_Pred4UID]])=0,0,IFERROR(MATCH(Tasks[[#This Row],[_Pred4UID]],Tasks[UID],0),-1))</f>
        <v>0</v>
      </c>
      <c r="CM9"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 s="91" t="n">
        <f aca="false">IF(OR(Tasks[[#This Row],[_ConstraintCode]]=2,Tasks[[#This Row],[_ConstraintCode]]=3,Tasks[[#This Row],[_ConstraintCode]]=4,Tasks[[#This Row],[_ConstraintCode]]=6),Tasks[[#This Row],[_ConstraintStart]],0)</f>
        <v>0</v>
      </c>
      <c r="CP9" s="91" t="n">
        <f aca="false">IF(OR(Tasks[[#This Row],[_ConstraintCode]]=2,Tasks[[#This Row],[_ConstraintCode]]=3,Tasks[[#This Row],[_ConstraintCode]]=5,Tasks[[#This Row],[_ConstraintCode]]=7),Tasks[[#This Row],[_ConstraintStart]],2958465)</f>
        <v>2958465</v>
      </c>
      <c r="CQ9"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R9" s="91" t="n">
        <f aca="false">IF(NOT(Tasks[[#This Row],[_IsLeaf]]=1),"",IF(N(Tasks[[#This Row],[_Days]])&lt;=0,Tasks[[#This Row],[_LeafCalcStart]],WORKDAY.INTL(Tasks[[#This Row],[_LeafCalcStart]],Tasks[[#This Row],[_Days]]-1,WorkWeek,Holidays)))</f>
        <v>46276</v>
      </c>
      <c r="CS9"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T9"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U9" s="43" t="str">
        <f aca="false">IF(Tasks[[#This Row],[_Predecessors]]="","",TRIM(MID(SUBSTITUTE(SUBSTITUTE(SUBSTITUTE(UPPER(Tasks[[#This Row],[_Predecessors]]),";",",")," ",""),",",REPT(" ",99)),1,99)))</f>
        <v>3</v>
      </c>
      <c r="CV9" s="43" t="n">
        <f aca="false">IF(Tasks[[#This Row],[_Pred1Text]]="","",IFERROR(VALUE(LEFT(Tasks[[#This Row],[_Pred1Text]],MIN(FIND("F",Tasks[[#This Row],[_Pred1Text]]&amp;"F"),FIND("S",Tasks[[#This Row],[_Pred1Text]]&amp;"S"),FIND("+",Tasks[[#This Row],[_Pred1Text]]&amp;"+"),FIND("-",Tasks[[#This Row],[_Pred1Text]]&amp;"-"))-1)),""))</f>
        <v>3</v>
      </c>
      <c r="CW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9"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9" s="43" t="str">
        <f aca="false">IF(Tasks[[#This Row],[_Pred1Text]]="","",TRIM(MID(SUBSTITUTE(SUBSTITUTE(SUBSTITUTE(UPPER(Tasks[[#This Row],[_Predecessors]]),";",",")," ",""),",",REPT(" ",99)),100,99)))</f>
        <v/>
      </c>
      <c r="CZ9" s="43" t="str">
        <f aca="false">IF(Tasks[[#This Row],[_Pred2Text]]="","",IFERROR(VALUE(LEFT(Tasks[[#This Row],[_Pred2Text]],MIN(FIND("F",Tasks[[#This Row],[_Pred2Text]]&amp;"F"),FIND("S",Tasks[[#This Row],[_Pred2Text]]&amp;"S"),FIND("+",Tasks[[#This Row],[_Pred2Text]]&amp;"+"),FIND("-",Tasks[[#This Row],[_Pred2Text]]&amp;"-"))-1)),""))</f>
        <v/>
      </c>
      <c r="DA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 s="43" t="str">
        <f aca="false">IF(Tasks[[#This Row],[_Pred2Text]]="","",TRIM(MID(SUBSTITUTE(SUBSTITUTE(SUBSTITUTE(UPPER(Tasks[[#This Row],[_Predecessors]]),";",",")," ",""),",",REPT(" ",99)),199,99)))</f>
        <v/>
      </c>
      <c r="DD9" s="43" t="str">
        <f aca="false">IF(Tasks[[#This Row],[_Pred3Text]]="","",IFERROR(VALUE(LEFT(Tasks[[#This Row],[_Pred3Text]],MIN(FIND("F",Tasks[[#This Row],[_Pred3Text]]&amp;"F"),FIND("S",Tasks[[#This Row],[_Pred3Text]]&amp;"S"),FIND("+",Tasks[[#This Row],[_Pred3Text]]&amp;"+"),FIND("-",Tasks[[#This Row],[_Pred3Text]]&amp;"-"))-1)),""))</f>
        <v/>
      </c>
      <c r="DE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 s="43" t="str">
        <f aca="false">IF(Tasks[[#This Row],[_Pred3Text]]="","",TRIM(MID(SUBSTITUTE(SUBSTITUTE(SUBSTITUTE(UPPER(Tasks[[#This Row],[_Predecessors]]),";",",")," ",""),",",REPT(" ",99)),298,99)))</f>
        <v/>
      </c>
      <c r="DH9" s="43" t="str">
        <f aca="false">IF(Tasks[[#This Row],[_Pred4Text]]="","",IFERROR(VALUE(LEFT(Tasks[[#This Row],[_Pred4Text]],MIN(FIND("F",Tasks[[#This Row],[_Pred4Text]]&amp;"F"),FIND("S",Tasks[[#This Row],[_Pred4Text]]&amp;"S"),FIND("+",Tasks[[#This Row],[_Pred4Text]]&amp;"+"),FIND("-",Tasks[[#This Row],[_Pred4Text]]&amp;"-"))-1)),""))</f>
        <v/>
      </c>
      <c r="DI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 s="43" t="str">
        <f aca="false">IF(OR(Tasks[[#This Row],[Task Name]]="",Tasks[[#This Row],[_Resources]]=""),"",TRIM(MID(SUBSTITUTE(Tasks[[#This Row],[_Resources]],",",REPT(" ",99)),1,99)))</f>
        <v/>
      </c>
      <c r="DL9" s="43" t="str">
        <f aca="false">IF(Tasks[[#This Row],[_Res1Text]]="","",TRIM(MID(SUBSTITUTE(Tasks[[#This Row],[_Resources]],",",REPT(" ",99)),100,99)))</f>
        <v/>
      </c>
      <c r="DM9" s="43" t="str">
        <f aca="false">IF(Tasks[[#This Row],[_Res2Text]]="","",TRIM(MID(SUBSTITUTE(Tasks[[#This Row],[_Resources]],",",REPT(" ",99)),199,99)))</f>
        <v/>
      </c>
      <c r="DN9" s="43" t="str">
        <f aca="false">IF(Tasks[[#This Row],[_Res3Text]]="","",TRIM(MID(SUBSTITUTE(Tasks[[#This Row],[_Resources]],",",REPT(" ",99)),298,99)))</f>
        <v/>
      </c>
      <c r="DO9" s="43" t="n">
        <f aca="false">IF(Tasks[[#This Row],[_Res1Text]]="",0,IFERROR(MATCH(TRIM(LEFT(Tasks[[#This Row],[_Res1Text]],FIND("[",Tasks[[#This Row],[_Res1Text]]&amp;"[")-1)),res_Name,0),IFERROR(MATCH(TRIM(LEFT(Tasks[[#This Row],[_Res1Text]],FIND("[",Tasks[[#This Row],[_Res1Text]]&amp;"[")-1)),res_Initials,0),0)))</f>
        <v>0</v>
      </c>
      <c r="DP9" s="43" t="n">
        <f aca="false">IF(Tasks[[#This Row],[_Res2Text]]="",0,IFERROR(MATCH(TRIM(LEFT(Tasks[[#This Row],[_Res2Text]],FIND("[",Tasks[[#This Row],[_Res2Text]]&amp;"[")-1)),res_Name,0),IFERROR(MATCH(TRIM(LEFT(Tasks[[#This Row],[_Res2Text]],FIND("[",Tasks[[#This Row],[_Res2Text]]&amp;"[")-1)),res_Initials,0),0)))</f>
        <v>0</v>
      </c>
      <c r="DQ9" s="43" t="n">
        <f aca="false">IF(Tasks[[#This Row],[_Res3Text]]="",0,IFERROR(MATCH(TRIM(LEFT(Tasks[[#This Row],[_Res3Text]],FIND("[",Tasks[[#This Row],[_Res3Text]]&amp;"[")-1)),res_Name,0),IFERROR(MATCH(TRIM(LEFT(Tasks[[#This Row],[_Res3Text]],FIND("[",Tasks[[#This Row],[_Res3Text]]&amp;"[")-1)),res_Initials,0),0)))</f>
        <v>0</v>
      </c>
      <c r="DR9" s="43" t="n">
        <f aca="false">IF(Tasks[[#This Row],[_Res4Text]]="",0,IFERROR(MATCH(TRIM(LEFT(Tasks[[#This Row],[_Res4Text]],FIND("[",Tasks[[#This Row],[_Res4Text]]&amp;"[")-1)),res_Name,0),IFERROR(MATCH(TRIM(LEFT(Tasks[[#This Row],[_Res4Text]],FIND("[",Tasks[[#This Row],[_Res4Text]]&amp;"[")-1)),res_Initials,0),0)))</f>
        <v>0</v>
      </c>
      <c r="DS9" s="43" t="str">
        <f aca="false">IF(Tasks[[#This Row],[_Res1Text]]="","",IF(Tasks[[#This Row],[_Res1Row]]&gt;0,INDEX(res_Name,Tasks[[#This Row],[_Res1Row]]),TRIM(LEFT(Tasks[[#This Row],[_Res1Text]],FIND("[",Tasks[[#This Row],[_Res1Text]]&amp;"[")-1))))</f>
        <v/>
      </c>
      <c r="DT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 s="43" t="n">
        <f aca="false">IF(NOT(Tasks[[#This Row],[_IsLeaf]]=1),0,(Tasks[[#This Row],[_Resource1]]&lt;&gt;"")+(Tasks[[#This Row],[_Res2]]&lt;&gt;"")+(Tasks[[#This Row],[_Res3]]&lt;&gt;"")+(Tasks[[#This Row],[_Res4]]&lt;&gt;""))</f>
        <v>0</v>
      </c>
      <c r="DV9" s="43" t="str">
        <f aca="false">IF(Tasks[[#This Row],[_Res2Text]]="","",IF(Tasks[[#This Row],[_Res2Row]]&gt;0,INDEX(res_Name,Tasks[[#This Row],[_Res2Row]]),TRIM(LEFT(Tasks[[#This Row],[_Res2Text]],FIND("[",Tasks[[#This Row],[_Res2Text]]&amp;"[")-1))))</f>
        <v/>
      </c>
      <c r="DW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 s="43" t="n">
        <f aca="false">IF(OR(NOT(Tasks[[#This Row],[_IsLeaf]]=1),Tasks[[#This Row],[_Res2Row]]=0),0,N(Tasks[[#This Row],[_Days]])*HoursPerDay*IF(Tasks[[#This Row],[_Res2Units]]="",DefaultUnits,Tasks[[#This Row],[_Res2Units]]))</f>
        <v>0</v>
      </c>
      <c r="DY9" s="43" t="n">
        <f aca="false">IF(AND(AND(Tasks[[#This Row],[_IsLeaf]]=1,Tasks[[#This Row],[_LeafTotalWork]]&gt;0),Tasks[[#This Row],[_Res2Work]]&gt;0),Tasks[[#This Row],[_Res2Work]]/(Tasks[[#This Row],[_FinishWorkday]]-Tasks[[#This Row],[_StartWorkday]]+1),0)</f>
        <v>0</v>
      </c>
      <c r="DZ9" s="43" t="n">
        <f aca="false">Tasks[[#This Row],[_Res2WorkPerWD]]*MAX(0,Tasks[[#This Row],[_StartWorkday]]-1)</f>
        <v>0</v>
      </c>
      <c r="EA9" s="43" t="n">
        <f aca="false">Tasks[[#This Row],[_Res2Work]]*Tasks[[#This Row],[_LeafProgress]]</f>
        <v>0</v>
      </c>
      <c r="EB9" s="43" t="str">
        <f aca="false">IF(Tasks[[#This Row],[_Res3Text]]="","",IF(Tasks[[#This Row],[_Res3Row]]&gt;0,INDEX(res_Name,Tasks[[#This Row],[_Res3Row]]),TRIM(LEFT(Tasks[[#This Row],[_Res3Text]],FIND("[",Tasks[[#This Row],[_Res3Text]]&amp;"[")-1))))</f>
        <v/>
      </c>
      <c r="EC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 s="43" t="n">
        <f aca="false">IF(OR(NOT(Tasks[[#This Row],[_IsLeaf]]=1),Tasks[[#This Row],[_Res3Row]]=0),0,N(Tasks[[#This Row],[_Days]])*HoursPerDay*IF(Tasks[[#This Row],[_Res3Units]]="",DefaultUnits,Tasks[[#This Row],[_Res3Units]]))</f>
        <v>0</v>
      </c>
      <c r="EE9" s="43" t="n">
        <f aca="false">IF(AND(AND(Tasks[[#This Row],[_IsLeaf]]=1,Tasks[[#This Row],[_LeafTotalWork]]&gt;0),Tasks[[#This Row],[_Res3Work]]&gt;0),Tasks[[#This Row],[_Res3Work]]/(Tasks[[#This Row],[_FinishWorkday]]-Tasks[[#This Row],[_StartWorkday]]+1),0)</f>
        <v>0</v>
      </c>
      <c r="EF9" s="43" t="n">
        <f aca="false">Tasks[[#This Row],[_Res3WorkPerWD]]*MAX(0,Tasks[[#This Row],[_StartWorkday]]-1)</f>
        <v>0</v>
      </c>
      <c r="EG9" s="43" t="n">
        <f aca="false">Tasks[[#This Row],[_Res3Work]]*Tasks[[#This Row],[_LeafProgress]]</f>
        <v>0</v>
      </c>
      <c r="EH9" s="43" t="str">
        <f aca="false">IF(Tasks[[#This Row],[_Res4Text]]="","",IF(Tasks[[#This Row],[_Res4Row]]&gt;0,INDEX(res_Name,Tasks[[#This Row],[_Res4Row]]),TRIM(LEFT(Tasks[[#This Row],[_Res4Text]],FIND("[",Tasks[[#This Row],[_Res4Text]]&amp;"[")-1))))</f>
        <v/>
      </c>
      <c r="EI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 s="43" t="n">
        <f aca="false">IF(OR(NOT(Tasks[[#This Row],[_IsLeaf]]=1),Tasks[[#This Row],[_Res4Row]]=0),0,N(Tasks[[#This Row],[_Days]])*HoursPerDay*IF(Tasks[[#This Row],[_Res4Units]]="",DefaultUnits,Tasks[[#This Row],[_Res4Units]]))</f>
        <v>0</v>
      </c>
      <c r="EK9" s="43" t="n">
        <f aca="false">IF(AND(AND(Tasks[[#This Row],[_IsLeaf]]=1,Tasks[[#This Row],[_LeafTotalWork]]&gt;0),Tasks[[#This Row],[_Res4Work]]&gt;0),Tasks[[#This Row],[_Res4Work]]/(Tasks[[#This Row],[_FinishWorkday]]-Tasks[[#This Row],[_StartWorkday]]+1),0)</f>
        <v>0</v>
      </c>
      <c r="EL9" s="43" t="n">
        <f aca="false">Tasks[[#This Row],[_Res4WorkPerWD]]*MAX(0,Tasks[[#This Row],[_StartWorkday]]-1)</f>
        <v>0</v>
      </c>
      <c r="EM9" s="43" t="n">
        <f aca="false">Tasks[[#This Row],[_Res4Work]]*Tasks[[#This Row],[_LeafProgress]]</f>
        <v>0</v>
      </c>
      <c r="EN9" s="94" t="n">
        <f aca="false">IF(ISNUMBER(Tasks[[#This Row],[% Complete]]),Tasks[[#This Row],[% Complete]],IF(Tasks[[#This Row],[Stage]]="",0,IFERROR(INDEX(stg_Pct,MATCH(Tasks[[#This Row],[Stage]],stg_Name,0)),0)))</f>
        <v>1</v>
      </c>
      <c r="EO9" s="43" t="n">
        <f aca="false">IF(NOT(Tasks[[#This Row],[_IsLeaf]]=1),0,IF(N(Tasks[[#This Row],[Actual Finish]])&gt;0,1,MIN(1,Tasks[[#This Row],[_Pct]])))</f>
        <v>1</v>
      </c>
      <c r="EP9" s="43" t="n">
        <f aca="false">IF(OR(NOT(Tasks[[#This Row],[_IsLeaf]]=1),Tasks[[#This Row],[_Res1Row]]=0),0,N(Tasks[[#This Row],[_Days]])*HoursPerDay*IF(Tasks[[#This Row],[_Units1]]="",DefaultUnits,Tasks[[#This Row],[_Units1]]))</f>
        <v>0</v>
      </c>
      <c r="EQ9" s="43" t="n">
        <f aca="false">Tasks[[#This Row],[_LeafWork]]+Tasks[[#This Row],[_Res2Work]]+Tasks[[#This Row],[_Res3Work]]+Tasks[[#This Row],[_Res4Work]]</f>
        <v>0</v>
      </c>
      <c r="ER9"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S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 s="43" t="n">
        <f aca="false">IF(NOT(Tasks[[#This Row],[_IsLeaf]]=1),0,MAX(_xlfn.MAXIFS(Tasks[_Row],Tasks[_Pred1UID],Tasks[[#This Row],[UID]]),_xlfn.MAXIFS(Tasks[_Row],Tasks[_Pred2UID],Tasks[[#This Row],[UID]]),_xlfn.MAXIFS(Tasks[_Row],Tasks[_Pred3UID],Tasks[[#This Row],[UID]]),_xlfn.MAXIFS(Tasks[_Row],Tasks[_Pred4UID],Tasks[[#This Row],[UID]])))</f>
        <v>6</v>
      </c>
      <c r="FA9"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FB9"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FC9" s="91" t="n">
        <f aca="false">IF(NOT(Tasks[[#This Row],[_IsLeaf]]=1),"",IF(N(Tasks[[#This Row],[_Days]])&lt;=0,Tasks[[#This Row],[_LeafLateFinish]],WORKDAY.INTL(Tasks[[#This Row],[_LeafLateFinish]],-(Tasks[[#This Row],[_Days]]-1),WorkWeek,Holidays)))</f>
        <v>46282</v>
      </c>
      <c r="FD9"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9" s="90" t="b">
        <f aca="false">AND(Tasks[[#This Row],[_IsLeaf]]=1,Tasks[[#This Row],[_LeafProgress]]&lt;1,N(Tasks[[#This Row],[_LeafTotalSlack]])&lt;=CriticalSlackDays)</f>
        <v>0</v>
      </c>
      <c r="FF9" s="43" t="n">
        <f aca="false">IF(AND(Tasks[[#This Row],[_IsLeaf]]=1,Tasks[[#This Row],[_ConstraintCode]]=1,Tasks[[#This Row],[Mode]]&lt;&gt;"Manual",N(Tasks[[#This Row],[Actual Start]])=0),MAX(0,N(Tasks[[#This Row],[Free Slack]])),0)</f>
        <v>0</v>
      </c>
      <c r="FG9" s="91" t="n">
        <f aca="false">IF(NOT(Tasks[[#This Row],[_IsLeaf]]=1),"",IF(Tasks[[#This Row],[_AlapShift]]=0,Tasks[[#This Row],[_LeafCalcStart]],WORKDAY.INTL(Tasks[[#This Row],[_LeafCalcStart]],Tasks[[#This Row],[_AlapShift]],WorkWeek,Holidays)))</f>
        <v>46276</v>
      </c>
      <c r="FH9" s="91" t="n">
        <f aca="false">IF(NOT(Tasks[[#This Row],[_IsLeaf]]=1),"",IF(Tasks[[#This Row],[_AlapShift]]=0,Tasks[[#This Row],[_LeafCalcFinish]],WORKDAY.INTL(Tasks[[#This Row],[_LeafCalcFinish]],Tasks[[#This Row],[_AlapShift]],WorkWeek,Holidays)))</f>
        <v>46276</v>
      </c>
      <c r="FI9" s="91" t="n">
        <f aca="false">IF(NOT(Tasks[[#This Row],[_IsLeaf]]=1),"",IF(Tasks[[#This Row],[_AlapShift]]=0,Tasks[[#This Row],[_LeafFcstStart]],WORKDAY.INTL(Tasks[[#This Row],[_LeafFcstStart]],Tasks[[#This Row],[_AlapShift]],WorkWeek,Holidays)))</f>
        <v>46279</v>
      </c>
      <c r="FJ9" s="91" t="n">
        <f aca="false">IF(NOT(Tasks[[#This Row],[_IsLeaf]]=1),"",IF(Tasks[[#This Row],[_AlapShift]]=0,Tasks[[#This Row],[_LeafFcstFinish]],WORKDAY.INTL(Tasks[[#This Row],[_LeafFcstFinish]],Tasks[[#This Row],[_AlapShift]],WorkWeek,Holidays)))</f>
        <v>46279</v>
      </c>
      <c r="FK9" s="91" t="n">
        <f aca="false">IF(Tasks[[#This Row],[Task Name]]="","",IF(Tasks[[#This Row],[_IsSummary]],MIN(INDEX(Tasks[_ShownCalcStart],Tasks[[#This Row],[_Row]]+1):INDEX(Tasks[_ShownCalcStart],Tasks[[#This Row],[_Row]]+Tasks[[#This Row],[_Descendants]])),Tasks[[#This Row],[_ShownCalcStart]]))</f>
        <v>46276</v>
      </c>
      <c r="FL9" s="91" t="n">
        <f aca="false">IF(Tasks[[#This Row],[Task Name]]="","",IF(Tasks[[#This Row],[_IsSummary]],MAX(INDEX(Tasks[_ShownCalcFinish],Tasks[[#This Row],[_Row]]+1):INDEX(Tasks[_ShownCalcFinish],Tasks[[#This Row],[_Row]]+Tasks[[#This Row],[_Descendants]])),Tasks[[#This Row],[_ShownCalcFinish]]))</f>
        <v>46276</v>
      </c>
      <c r="FM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46276</v>
      </c>
      <c r="FR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46279</v>
      </c>
      <c r="FV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 s="43" t="n">
        <f aca="false">IF(AND(Tasks[[#This Row],[_IsLeaf]]=1,Tasks[[#This Row],[_LeafTotalWork]]&gt;0),NETWORKDAYS.INTL(ProjectStart,Tasks[[#This Row],[_ShownFcstStart]],WorkWeek,Holidays),0)</f>
        <v>0</v>
      </c>
      <c r="FZ9" s="43" t="n">
        <f aca="false">IF(AND(Tasks[[#This Row],[_IsLeaf]]=1,Tasks[[#This Row],[_LeafTotalWork]]&gt;0),MAX(Tasks[[#This Row],[_StartWorkday]],NETWORKDAYS.INTL(ProjectStart,Tasks[[#This Row],[_ShownFcstFinish]],WorkWeek,Holidays)),0)</f>
        <v>0</v>
      </c>
      <c r="GA9" s="43" t="n">
        <f aca="false">IF(AND(Tasks[[#This Row],[_IsLeaf]]=1,Tasks[[#This Row],[_LeafTotalWork]]&gt;0),Tasks[[#This Row],[_LeafWork]]/(Tasks[[#This Row],[_FinishWorkday]]-Tasks[[#This Row],[_StartWorkday]]+1),0)</f>
        <v>0</v>
      </c>
      <c r="GB9" s="43" t="n">
        <f aca="false">Tasks[[#This Row],[_WorkPerWorkday]]*(Tasks[[#This Row],[_StartWorkday]]-1)</f>
        <v>-0</v>
      </c>
      <c r="GC9" s="43" t="n">
        <f aca="false">IF(Tasks[[#This Row],[_IsLeaf]]=1,MAX(N(Tasks[[#This Row],[_Days]]),0.1),0)</f>
        <v>0.1</v>
      </c>
      <c r="GD9" s="43" t="n">
        <f aca="false">Tasks[[#This Row],[_WeightDur]]*Tasks[[#This Row],[_LeafProgress]]</f>
        <v>0.1</v>
      </c>
      <c r="GE9" s="43" t="n">
        <f aca="false">Tasks[[#This Row],[_WeightDur]]*Tasks[[#This Row],[_PlannedPct]]</f>
        <v>0.1</v>
      </c>
      <c r="GF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GG9" s="43" t="str">
        <f aca="false">IF(AND(Tasks[[#This Row],[_IsLeaf]]=1,N(Tasks[[#This Row],[_Days]])=0,Tasks[[#This Row],[_LeafProgress]]&lt;1),Tasks[[#This Row],[_ShownFcstFinish]]+Tasks[[#This Row],[_Row]]/100000,"")</f>
        <v/>
      </c>
      <c r="GH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9" s="43" t="str">
        <f aca="false">IF(Tasks[[#This Row],[Task Name]]="","",LEFT(Tasks[[#This Row],[WBS]],FIND(".",Tasks[[#This Row],[WBS]]&amp;".")-1))</f>
        <v>1</v>
      </c>
      <c r="GJ9" s="43" t="str">
        <f aca="false">IF(AND(Tasks[[#This Row],[Task Name]]&lt;&gt;"",Tasks[[#This Row],[_Level]]=1),Tasks[[#This Row],[_Row]],"")</f>
        <v/>
      </c>
      <c r="GK9" s="95" t="n">
        <f aca="false">IF(AND(Tasks[[#This Row],[_IsLeaf]]=1,N(Tasks[[#This Row],[_Days]])=0),Tasks[[#This Row],[Planned Finish]]+Tasks[[#This Row],[_Row]]/100000,"")</f>
        <v>46276.00004</v>
      </c>
      <c r="GL9" s="43" t="str">
        <f aca="false">IF(AND(Tasks[[#This Row],[_IsLeaf]]=1,Tasks[[#This Row],[_LeafProgress]]&lt;1,OR(N(Tasks[[#This Row],[Finish Var]])&gt;0,Tasks[[#This Row],[Status]]="Late Start")),MAX(0,Tasks[[#This Row],[Finish Var]])+1-Tasks[[#This Row],[_Row]]/1000000,"")</f>
        <v/>
      </c>
      <c r="GM9" s="43" t="str">
        <f aca="false">IF(AND(Tasks[[#This Row],[_IsLeaf]]=1,N(Tasks[[#This Row],[Actual Start]])=0,Tasks[[#This Row],[_ShownFcstStart]]&gt;=StatusDate,Tasks[[#This Row],[_ShownFcstStart]]&lt;=LookaheadEnd),Tasks[[#This Row],[_ShownFcstStart]]+Tasks[[#This Row],[_Row]]/100000,"")</f>
        <v/>
      </c>
      <c r="GN9" s="43" t="str">
        <f aca="false">IF(AND(Tasks[[#This Row],[_IsLeaf]]=1,Tasks[[#This Row],[_LeafProgress]]&lt;1,Tasks[[#This Row],[_ShownFcstFinish]]&gt;=StatusDate,Tasks[[#This Row],[_ShownFcstFinish]]&lt;=LookaheadEnd),Tasks[[#This Row],[_ShownFcstFinish]]+Tasks[[#This Row],[_Row]]/100000,"")</f>
        <v/>
      </c>
      <c r="GO9" s="43" t="str">
        <f aca="false">IF(Tasks[[#This Row],[_LeafCritical]],Tasks[[#This Row],[_ShownFcstStart]]+Tasks[[#This Row],[_Row]]/100000,"")</f>
        <v/>
      </c>
      <c r="GP9" s="43" t="n">
        <f aca="false">Tasks[[#This Row],[_LeafWork]]*Tasks[[#This Row],[_LeafProgress]]</f>
        <v>0</v>
      </c>
      <c r="GQ9" s="91" t="n">
        <f aca="false">IF(AND(Tasks[[#This Row],[_IsLeaf]]=1,Tasks[[#This Row],[_LeafProgress]]&gt;=1),IF(N(Tasks[[#This Row],[Actual Finish]])&gt;0,Tasks[[#This Row],[Actual Finish]],Tasks[[#This Row],[_ShownFcstFinish]]),"")</f>
        <v>46279</v>
      </c>
      <c r="GR9" s="43" t="n">
        <f aca="false">IF(Tasks[[#This Row],[_IsLeaf]]=1,N(Tasks[[#This Row],[Story Points]]),0)</f>
        <v>0</v>
      </c>
      <c r="GS9" s="43" t="str">
        <f aca="false">""</f>
        <v/>
      </c>
      <c r="GT9" s="90" t="b">
        <f aca="false">IF(Tasks[[#This Row],[Task Name]]="",FALSE(),AND(Tasks[[#This Row],[_IsLeaf]]=1,N(Tasks[[#This Row],[_Days]])=0))</f>
        <v>1</v>
      </c>
      <c r="GU9" s="91" t="n">
        <f aca="false">IF(Tasks[[#This Row],[Task Name]]="",0,IF(AND(Tasks[[#This Row],[_IsLeaf]]=1,NOT(Tasks[[#This Row],[_IsMilestone]]),N(Tasks[[#This Row],[Progress]])&gt;0),Tasks[[#This Row],[Start]],0))</f>
        <v>0</v>
      </c>
      <c r="GV9" s="91" t="n">
        <f aca="false">IF(Tasks[[#This Row],[_DoneFrom]]=0,0,IF(Tasks[[#This Row],[Progress]]&gt;=1,Tasks[[#This Row],[Finish]],MAX(Tasks[[#This Row],[_DoneFrom]],Tasks[[#This Row],[Start]]+ROUND((Tasks[[#This Row],[Finish]]-Tasks[[#This Row],[Start]]+1)*Tasks[[#This Row],[Progress]],0)-1)))</f>
        <v>0</v>
      </c>
      <c r="GW9" s="91" t="n">
        <f aca="false">IF(Tasks[[#This Row],[Task Name]]="",0,IF(OR(NOT(Tasks[[#This Row],[_IsLeaf]]=1),Tasks[[#This Row],[_IsMilestone]],N(Tasks[[#This Row],[Progress]])&gt;=1),0,IF(Tasks[[#This Row],[_DoneTo]]&gt;0,Tasks[[#This Row],[_DoneTo]]+1,Tasks[[#This Row],[Start]])))</f>
        <v>0</v>
      </c>
      <c r="GX9" s="91" t="n">
        <f aca="false">IF(Tasks[[#This Row],[_RemFrom]]=0,0,Tasks[[#This Row],[Finish]])</f>
        <v>0</v>
      </c>
      <c r="GY9" s="90" t="b">
        <f aca="false">IF(Tasks[[#This Row],[Task Name]]="",FALSE(),OR(NOT(BaselineSet),N(Tasks[[#This Row],[Baseline Start]])&gt;0))</f>
        <v>1</v>
      </c>
      <c r="GZ9" s="43" t="n">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3</v>
      </c>
      <c r="HB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 s="92" t="n">
        <f aca="false">IF(Tasks[[#This Row],[_IsLeaf]]=1,Tasks[[#This Row],[_Row]],"")</f>
        <v>4</v>
      </c>
      <c r="HD9" s="92" t="str">
        <f aca="false">IFERROR(INDEX(Tasks[UID],SMALL(Tasks[_PickKey],Tasks[[#This Row],[_Row]]))&amp;" "&amp;INDEX(Tasks[Task Name],SMALL(Tasks[_PickKey],Tasks[[#This Row],[_Row]])),"")</f>
        <v>6 Requirements gathering</v>
      </c>
      <c r="HE9" s="43" t="n">
        <f aca="false">IF(Tasks[[#This Row],[Task Name]]="","",IF(Tasks[[#This Row],[_IsSummary]],NETWORKDAYS.INTL(Tasks[[#This Row],[Start]],Tasks[[#This Row],[Finish]],WorkWeek,Holidays),N(Tasks[[#This Row],[_Days]])))</f>
        <v>0</v>
      </c>
      <c r="HF9" s="43" t="n">
        <f aca="false">IF(Tasks[[#This Row],[Expected]]="",0,((Tasks[[#This Row],[Pessimistic]]-Tasks[[#This Row],[Optimistic]])/6)^2)</f>
        <v>0</v>
      </c>
      <c r="HG9" s="43" t="n">
        <f aca="false">IF(Tasks[[#This Row],[Expected]]="",0,Tasks[[#This Row],[Expected]]-N(Tasks[[#This Row],[_Days]]))</f>
        <v>0</v>
      </c>
    </row>
    <row r="10" customFormat="false" ht="15" hidden="false" customHeight="false" outlineLevel="0" collapsed="false">
      <c r="A10" s="21" t="n">
        <f aca="false">IF(Tasks[[#This Row],[Task Name]]="","",COUNTA(Tasks[[#Headers],[Task Name]]:Tasks[[#This Row],[Task Name]])-1)</f>
        <v>5</v>
      </c>
      <c r="B10" s="22" t="n">
        <v>5</v>
      </c>
      <c r="C10" s="22" t="n">
        <v>1</v>
      </c>
      <c r="D10" s="23" t="s">
        <v>648</v>
      </c>
      <c r="E10" s="22"/>
      <c r="F10" s="23"/>
      <c r="G10" s="22"/>
      <c r="H10" s="22"/>
      <c r="I10" s="23"/>
      <c r="J10" s="22"/>
      <c r="K10" s="22"/>
      <c r="L10" s="23"/>
      <c r="M10" s="22"/>
      <c r="N10" s="22"/>
      <c r="O10" s="23"/>
      <c r="P10" s="22"/>
      <c r="Q10" s="22"/>
      <c r="R10" s="23"/>
      <c r="S10" s="23"/>
      <c r="T10" s="84"/>
      <c r="U10" s="23"/>
      <c r="V10" s="84"/>
      <c r="W10" s="23"/>
      <c r="X10" s="84"/>
      <c r="Y10" s="23"/>
      <c r="Z10" s="84"/>
      <c r="AA10" s="23"/>
      <c r="AB10" s="23"/>
      <c r="AC10" s="7"/>
      <c r="AD10" s="7"/>
      <c r="AE10" s="63" t="n">
        <f aca="false">IF(Tasks[[#This Row],[Task Name]]="","",IF(Tasks[[#This Row],[_IsSummary]],MIN(INDEX(Tasks[_ShownFcstStart],Tasks[[#This Row],[_Row]]+1):INDEX(Tasks[_ShownFcstStart],Tasks[[#This Row],[_Row]]+Tasks[[#This Row],[_Descendants]])),Tasks[[#This Row],[_ShownFcstStart]]))</f>
        <v>46280</v>
      </c>
      <c r="AF10" s="63" t="n">
        <f aca="false">IF(Tasks[[#This Row],[Task Name]]="","",IF(Tasks[[#This Row],[_IsSummary]],MAX(INDEX(Tasks[_ShownFcstFinish],Tasks[[#This Row],[_Row]]+1):INDEX(Tasks[_ShownFcstFinish],Tasks[[#This Row],[_Row]]+Tasks[[#This Row],[_Descendants]])),Tasks[[#This Row],[_ShownFcstFinish]]))</f>
        <v>46301</v>
      </c>
      <c r="AG10" s="21" t="str">
        <f aca="false">""</f>
        <v/>
      </c>
      <c r="AH10" s="23"/>
      <c r="AI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 s="7"/>
      <c r="AK10" s="22" t="s">
        <v>248</v>
      </c>
      <c r="AL10" s="23"/>
      <c r="AM10" s="7"/>
      <c r="AN10" s="47" t="n">
        <f aca="false">IF(Tasks[[#This Row],[Task Name]]="","",IF(Tasks[[#This Row],[Finish]]&gt;=Tasks[[#This Row],[Planned Finish]],NETWORKDAYS.INTL(Tasks[[#This Row],[Planned Finish]],Tasks[[#This Row],[Finish]],WorkWeek,Holidays)-1,1-NETWORKDAYS.INTL(Tasks[[#This Row],[Finish]],Tasks[[#This Row],[Planned Finish]],WorkWeek,Holidays)))</f>
        <v>3</v>
      </c>
      <c r="AO10" s="21" t="str">
        <f aca="false">IF(Tasks[[#This Row],[Task Name]]="","",IF(Tasks[[#This Row],[Progress]]&gt;=1,"Complete",IF(OR(N(Tasks[[#This Row],[Actual Start]])&gt;0,Tasks[[#This Row],[Progress]]&gt;0),IF(Tasks[[#This Row],[Finish Var]]&gt;0,"Behind","In Progress"),IF(Tasks[[#This Row],[Planned Start]]&lt;StatusDate,"Late Start","Not Started"))))</f>
        <v>Complete</v>
      </c>
      <c r="AP10" s="21" t="str">
        <f aca="false">IF(Tasks[[#This Row],[Task Name]]="","",IF(IF(Tasks[[#This Row],[_IsSummary]],COUNTIF(INDEX(Tasks[_LeafCritical],Tasks[[#This Row],[_Row]]+1):INDEX(Tasks[_LeafCritical],Tasks[[#This Row],[_Row]]+Tasks[[#This Row],[_Descendants]]),TRUE())&gt;0,Tasks[[#This Row],[_LeafCritical]]),"Yes",""))</f>
        <v/>
      </c>
      <c r="AQ10" s="63" t="n">
        <f aca="false">IF(Tasks[[#This Row],[Task Name]]="","",IF(N(Tasks[[#This Row],[Baseline Start]])&gt;0,Tasks[[#This Row],[Baseline Start]],Tasks[[#This Row],[_CalcStart]]))</f>
        <v>46279</v>
      </c>
      <c r="AR10" s="63" t="n">
        <f aca="false">IF(Tasks[[#This Row],[Task Name]]="","",IF(N(Tasks[[#This Row],[Baseline Finish]])&gt;0,Tasks[[#This Row],[Baseline Finish]],Tasks[[#This Row],[_CalcFinish]]))</f>
        <v>46296</v>
      </c>
      <c r="AS10" s="47" t="n">
        <f aca="false">IF(Tasks[[#This Row],[Task Name]]="","",IF(Tasks[[#This Row],[Start]]&gt;=Tasks[[#This Row],[Planned Start]],NETWORKDAYS.INTL(Tasks[[#This Row],[Planned Start]],Tasks[[#This Row],[Start]],WorkWeek,Holidays)-1,1-NETWORKDAYS.INTL(Tasks[[#This Row],[Start]],Tasks[[#This Row],[Planned Start]],WorkWeek,Holidays)))</f>
        <v>1</v>
      </c>
      <c r="AT10" s="63" t="n">
        <f aca="false">IF(Tasks[[#This Row],[Task Name]]="","",IF(Tasks[[#This Row],[_IsSummary]],MIN(INDEX(Tasks[_LeafLateStart],Tasks[[#This Row],[_Row]]+1):INDEX(Tasks[_LeafLateStart],Tasks[[#This Row],[_Row]]+Tasks[[#This Row],[_Descendants]])),Tasks[[#This Row],[_LeafLateStart]]))</f>
        <v>46283</v>
      </c>
      <c r="AU10" s="63" t="n">
        <f aca="false">IF(Tasks[[#This Row],[Task Name]]="","",IF(Tasks[[#This Row],[_IsSummary]],MAX(INDEX(Tasks[_LeafLateFinish],Tasks[[#This Row],[_Row]]+1):INDEX(Tasks[_LeafLateFinish],Tasks[[#This Row],[_Row]]+Tasks[[#This Row],[_Descendants]])),Tasks[[#This Row],[_LeafLateFinish]]))</f>
        <v>46302</v>
      </c>
      <c r="AV10" s="47" t="n">
        <f aca="false">IF(Tasks[[#This Row],[Task Name]]="","",IF(Tasks[[#This Row],[_IsSummary]],MIN(INDEX(Tasks[_LeafTotalSlack],Tasks[[#This Row],[_Row]]+1):INDEX(Tasks[_LeafTotalSlack],Tasks[[#This Row],[_Row]]+Tasks[[#This Row],[_Descendants]])),Tasks[[#This Row],[_LeafTotalSlack]]))</f>
        <v>1</v>
      </c>
      <c r="AW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5"/>
      <c r="BA10"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BD10" s="21" t="str">
        <f aca="false">IF(Tasks[[#This Row],[Task Name]]="","",IF(Tasks[[#This Row],[_Level]]&lt;=OutlineShowLevel,"Yes","No"))</f>
        <v>Yes</v>
      </c>
      <c r="BE10" s="86" t="n">
        <f aca="false">IF(Tasks[[#This Row],[Task Name]]="","",IF(Tasks[[#This Row],[_IsSummary]],SUM(INDEX(Tasks[_LeafTotalWork],Tasks[[#This Row],[_Row]]+1):INDEX(Tasks[_LeafTotalWork],Tasks[[#This Row],[_Row]]+Tasks[[#This Row],[_Descendants]])),Tasks[[#This Row],[_LeafTotalWork]]))</f>
        <v>112</v>
      </c>
      <c r="BF10" s="23" t="s">
        <v>643</v>
      </c>
      <c r="BG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t="str">
        <f aca="false">""</f>
        <v/>
      </c>
      <c r="BI10" s="87"/>
      <c r="BJ10" s="22"/>
      <c r="BK10" s="47" t="n">
        <f aca="false">IF(OR(Tasks[[#This Row],[Task Name]]="",Tasks[[#This Row],[Baseline Duration]]=""),"",Tasks[[#This Row],[_SpanDays]]-N(Tasks[[#This Row],[Baseline Duration]]))</f>
        <v>2</v>
      </c>
      <c r="BL10" s="86" t="n">
        <f aca="false">IF(OR(Tasks[[#This Row],[Task Name]]="",Tasks[[#This Row],[Baseline Work]]=""),"",Tasks[[#This Row],[Work]]-N(Tasks[[#This Row],[Baseline Work]]))</f>
        <v>0</v>
      </c>
      <c r="BM10" s="63" t="n">
        <f aca="false">IF(Tasks[[#This Row],[Task Name]]="","",IF(OR(TakeBaseline="Yes",N(Tasks[[#This Row],[Baseline Start]])=0),Tasks[[#This Row],[Start]],Tasks[[#This Row],[Baseline Start]]))</f>
        <v>46279</v>
      </c>
      <c r="BN10" s="63" t="n">
        <f aca="false">IF(Tasks[[#This Row],[Task Name]]="","",IF(OR(TakeBaseline="Yes",N(Tasks[[#This Row],[Baseline Finish]])=0),Tasks[[#This Row],[Finish]],Tasks[[#This Row],[Baseline Finish]]))</f>
        <v>46296</v>
      </c>
      <c r="BO10" s="21" t="n">
        <f aca="false">IF(Tasks[[#This Row],[Task Name]]="","",IF(OR(TakeBaseline="Yes",N(Tasks[[#This Row],[Baseline Duration]])=0),Tasks[[#This Row],[_SpanDays]],Tasks[[#This Row],[Baseline Duration]]))</f>
        <v>14</v>
      </c>
      <c r="BP10" s="86" t="n">
        <f aca="false">IF(Tasks[[#This Row],[Task Name]]="","",IF(OR(TakeBaseline="Yes",N(Tasks[[#This Row],[Baseline Work]])=0),Tasks[[#This Row],[Work]],Tasks[[#This Row],[Baseline Work]]))</f>
        <v>112</v>
      </c>
      <c r="BQ10" s="7" t="n">
        <v>46279</v>
      </c>
      <c r="BR10" s="7" t="n">
        <v>46296</v>
      </c>
      <c r="BS10" s="22" t="n">
        <v>14</v>
      </c>
      <c r="BT10" s="88" t="n">
        <v>112</v>
      </c>
      <c r="BU10" s="23"/>
      <c r="BV10" s="23"/>
      <c r="BW10" s="23"/>
      <c r="BX10" s="89" t="str">
        <f aca="false">IF(AND(Tasks[[#This Row],[_IsLeaf]]=1,ISNUMBER(Tasks[[#This Row],[Optimistic]]),ISNUMBER(Tasks[[#This Row],[Pessimistic]])),ROUND((Tasks[[#This Row],[Optimistic]]+4*N(Tasks[[#This Row],[_Days]])+Tasks[[#This Row],[Pessimistic]])/6,1),"")</f>
        <v/>
      </c>
      <c r="BY10" s="87"/>
      <c r="BZ10" s="87"/>
      <c r="CA10" s="22"/>
      <c r="CB10" s="43" t="n">
        <f aca="false">IF(Tasks[[#This Row],[Task Name]]="","",MAX(1,N(Tasks[[#This Row],[Level]])))</f>
        <v>1</v>
      </c>
      <c r="CC10" s="43" t="n">
        <f aca="false">ROW()-ROW(Tasks[[#Headers],[ID]])</f>
        <v>5</v>
      </c>
      <c r="CD10" s="43" t="n">
        <f aca="false">IF(OR(Tasks[[#This Row],[Task Name]]="",Tasks[[#This Row],[_Level]]&lt;=1),0,IFERROR(LOOKUP(2,1/(Tasks[[#Headers],[_Level]]:Tasks[[#This Row],[_Level]]=Tasks[[#This Row],[_Level]]-1),ROW(Tasks[[#Headers],[_Level]]:Tasks[[#This Row],[_Level]])),0))</f>
        <v>0</v>
      </c>
      <c r="CE10" s="43" t="n">
        <f aca="false">IFERROR(N(INDEX(Tasks[_Level],Tasks[[#This Row],[_Row]]+1)),0)</f>
        <v>2</v>
      </c>
      <c r="CF10" s="90" t="b">
        <f aca="false">AND(Tasks[[#This Row],[Task Name]]&lt;&gt;"",Tasks[[#This Row],[_NextLevel]]&gt;Tasks[[#This Row],[_Level]])</f>
        <v>1</v>
      </c>
      <c r="CG10" s="43" t="n">
        <f aca="false">IF(Tasks[[#This Row],[_IsSummary]],COUNTIF(Tasks[WBS],Tasks[[#This Row],[WBS]]&amp;".*"),0)</f>
        <v>3</v>
      </c>
      <c r="CH10" s="43" t="n">
        <f aca="false">IF(AND(Tasks[[#This Row],[Task Name]]&lt;&gt;"",NOT(Tasks[[#This Row],[_IsSummary]])),1,0)</f>
        <v>0</v>
      </c>
      <c r="CI10" s="43" t="n">
        <f aca="false">IF(N(Tasks[[#This Row],[_Pred1UID]])=0,0,IFERROR(MATCH(Tasks[[#This Row],[_Pred1UID]],Tasks[UID],0),-1))</f>
        <v>0</v>
      </c>
      <c r="CJ10" s="43" t="n">
        <f aca="false">IF(N(Tasks[[#This Row],[_Pred2UID]])=0,0,IFERROR(MATCH(Tasks[[#This Row],[_Pred2UID]],Tasks[UID],0),-1))</f>
        <v>0</v>
      </c>
      <c r="CK10" s="43" t="n">
        <f aca="false">IF(N(Tasks[[#This Row],[_Pred3UID]])=0,0,IFERROR(MATCH(Tasks[[#This Row],[_Pred3UID]],Tasks[UID],0),-1))</f>
        <v>0</v>
      </c>
      <c r="CL10" s="43" t="n">
        <f aca="false">IF(N(Tasks[[#This Row],[_Pred4UID]])=0,0,IFERROR(MATCH(Tasks[[#This Row],[_Pred4UID]],Tasks[UID],0),-1))</f>
        <v>0</v>
      </c>
      <c r="CM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 s="91" t="n">
        <f aca="false">IF(OR(Tasks[[#This Row],[_ConstraintCode]]=2,Tasks[[#This Row],[_ConstraintCode]]=3,Tasks[[#This Row],[_ConstraintCode]]=4,Tasks[[#This Row],[_ConstraintCode]]=6),Tasks[[#This Row],[_ConstraintStart]],0)</f>
        <v>0</v>
      </c>
      <c r="CP10" s="91" t="n">
        <f aca="false">IF(OR(Tasks[[#This Row],[_ConstraintCode]]=2,Tasks[[#This Row],[_ConstraintCode]]=3,Tasks[[#This Row],[_ConstraintCode]]=5,Tasks[[#This Row],[_ConstraintCode]]=7),Tasks[[#This Row],[_ConstraintStart]],2958465)</f>
        <v>2958465</v>
      </c>
      <c r="CQ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 s="91" t="str">
        <f aca="false">IF(NOT(Tasks[[#This Row],[_IsLeaf]]=1),"",IF(N(Tasks[[#This Row],[_Days]])&lt;=0,Tasks[[#This Row],[_LeafCalcStart]],WORKDAY.INTL(Tasks[[#This Row],[_LeafCalcStart]],Tasks[[#This Row],[_Days]]-1,WorkWeek,Holidays)))</f>
        <v/>
      </c>
      <c r="CS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 s="43" t="str">
        <f aca="false">IF(Tasks[[#This Row],[_Predecessors]]="","",TRIM(MID(SUBSTITUTE(SUBSTITUTE(SUBSTITUTE(UPPER(Tasks[[#This Row],[_Predecessors]]),";",",")," ",""),",",REPT(" ",99)),1,99)))</f>
        <v/>
      </c>
      <c r="CV10" s="43" t="str">
        <f aca="false">IF(Tasks[[#This Row],[_Pred1Text]]="","",IFERROR(VALUE(LEFT(Tasks[[#This Row],[_Pred1Text]],MIN(FIND("F",Tasks[[#This Row],[_Pred1Text]]&amp;"F"),FIND("S",Tasks[[#This Row],[_Pred1Text]]&amp;"S"),FIND("+",Tasks[[#This Row],[_Pred1Text]]&amp;"+"),FIND("-",Tasks[[#This Row],[_Pred1Text]]&amp;"-"))-1)),""))</f>
        <v/>
      </c>
      <c r="CW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 s="43" t="str">
        <f aca="false">IF(Tasks[[#This Row],[_Pred1Text]]="","",TRIM(MID(SUBSTITUTE(SUBSTITUTE(SUBSTITUTE(UPPER(Tasks[[#This Row],[_Predecessors]]),";",",")," ",""),",",REPT(" ",99)),100,99)))</f>
        <v/>
      </c>
      <c r="CZ10" s="43" t="str">
        <f aca="false">IF(Tasks[[#This Row],[_Pred2Text]]="","",IFERROR(VALUE(LEFT(Tasks[[#This Row],[_Pred2Text]],MIN(FIND("F",Tasks[[#This Row],[_Pred2Text]]&amp;"F"),FIND("S",Tasks[[#This Row],[_Pred2Text]]&amp;"S"),FIND("+",Tasks[[#This Row],[_Pred2Text]]&amp;"+"),FIND("-",Tasks[[#This Row],[_Pred2Text]]&amp;"-"))-1)),""))</f>
        <v/>
      </c>
      <c r="DA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 s="43" t="str">
        <f aca="false">IF(Tasks[[#This Row],[_Pred2Text]]="","",TRIM(MID(SUBSTITUTE(SUBSTITUTE(SUBSTITUTE(UPPER(Tasks[[#This Row],[_Predecessors]]),";",",")," ",""),",",REPT(" ",99)),199,99)))</f>
        <v/>
      </c>
      <c r="DD10" s="43" t="str">
        <f aca="false">IF(Tasks[[#This Row],[_Pred3Text]]="","",IFERROR(VALUE(LEFT(Tasks[[#This Row],[_Pred3Text]],MIN(FIND("F",Tasks[[#This Row],[_Pred3Text]]&amp;"F"),FIND("S",Tasks[[#This Row],[_Pred3Text]]&amp;"S"),FIND("+",Tasks[[#This Row],[_Pred3Text]]&amp;"+"),FIND("-",Tasks[[#This Row],[_Pred3Text]]&amp;"-"))-1)),""))</f>
        <v/>
      </c>
      <c r="DE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 s="43" t="str">
        <f aca="false">IF(Tasks[[#This Row],[_Pred3Text]]="","",TRIM(MID(SUBSTITUTE(SUBSTITUTE(SUBSTITUTE(UPPER(Tasks[[#This Row],[_Predecessors]]),";",",")," ",""),",",REPT(" ",99)),298,99)))</f>
        <v/>
      </c>
      <c r="DH10" s="43" t="str">
        <f aca="false">IF(Tasks[[#This Row],[_Pred4Text]]="","",IFERROR(VALUE(LEFT(Tasks[[#This Row],[_Pred4Text]],MIN(FIND("F",Tasks[[#This Row],[_Pred4Text]]&amp;"F"),FIND("S",Tasks[[#This Row],[_Pred4Text]]&amp;"S"),FIND("+",Tasks[[#This Row],[_Pred4Text]]&amp;"+"),FIND("-",Tasks[[#This Row],[_Pred4Text]]&amp;"-"))-1)),""))</f>
        <v/>
      </c>
      <c r="DI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 s="43" t="str">
        <f aca="false">IF(OR(Tasks[[#This Row],[Task Name]]="",Tasks[[#This Row],[_Resources]]=""),"",TRIM(MID(SUBSTITUTE(Tasks[[#This Row],[_Resources]],",",REPT(" ",99)),1,99)))</f>
        <v/>
      </c>
      <c r="DL10" s="43" t="str">
        <f aca="false">IF(Tasks[[#This Row],[_Res1Text]]="","",TRIM(MID(SUBSTITUTE(Tasks[[#This Row],[_Resources]],",",REPT(" ",99)),100,99)))</f>
        <v/>
      </c>
      <c r="DM10" s="43" t="str">
        <f aca="false">IF(Tasks[[#This Row],[_Res2Text]]="","",TRIM(MID(SUBSTITUTE(Tasks[[#This Row],[_Resources]],",",REPT(" ",99)),199,99)))</f>
        <v/>
      </c>
      <c r="DN10" s="43" t="str">
        <f aca="false">IF(Tasks[[#This Row],[_Res3Text]]="","",TRIM(MID(SUBSTITUTE(Tasks[[#This Row],[_Resources]],",",REPT(" ",99)),298,99)))</f>
        <v/>
      </c>
      <c r="DO10" s="43" t="n">
        <f aca="false">IF(Tasks[[#This Row],[_Res1Text]]="",0,IFERROR(MATCH(TRIM(LEFT(Tasks[[#This Row],[_Res1Text]],FIND("[",Tasks[[#This Row],[_Res1Text]]&amp;"[")-1)),res_Name,0),IFERROR(MATCH(TRIM(LEFT(Tasks[[#This Row],[_Res1Text]],FIND("[",Tasks[[#This Row],[_Res1Text]]&amp;"[")-1)),res_Initials,0),0)))</f>
        <v>0</v>
      </c>
      <c r="DP10" s="43" t="n">
        <f aca="false">IF(Tasks[[#This Row],[_Res2Text]]="",0,IFERROR(MATCH(TRIM(LEFT(Tasks[[#This Row],[_Res2Text]],FIND("[",Tasks[[#This Row],[_Res2Text]]&amp;"[")-1)),res_Name,0),IFERROR(MATCH(TRIM(LEFT(Tasks[[#This Row],[_Res2Text]],FIND("[",Tasks[[#This Row],[_Res2Text]]&amp;"[")-1)),res_Initials,0),0)))</f>
        <v>0</v>
      </c>
      <c r="DQ10" s="43" t="n">
        <f aca="false">IF(Tasks[[#This Row],[_Res3Text]]="",0,IFERROR(MATCH(TRIM(LEFT(Tasks[[#This Row],[_Res3Text]],FIND("[",Tasks[[#This Row],[_Res3Text]]&amp;"[")-1)),res_Name,0),IFERROR(MATCH(TRIM(LEFT(Tasks[[#This Row],[_Res3Text]],FIND("[",Tasks[[#This Row],[_Res3Text]]&amp;"[")-1)),res_Initials,0),0)))</f>
        <v>0</v>
      </c>
      <c r="DR10" s="43" t="n">
        <f aca="false">IF(Tasks[[#This Row],[_Res4Text]]="",0,IFERROR(MATCH(TRIM(LEFT(Tasks[[#This Row],[_Res4Text]],FIND("[",Tasks[[#This Row],[_Res4Text]]&amp;"[")-1)),res_Name,0),IFERROR(MATCH(TRIM(LEFT(Tasks[[#This Row],[_Res4Text]],FIND("[",Tasks[[#This Row],[_Res4Text]]&amp;"[")-1)),res_Initials,0),0)))</f>
        <v>0</v>
      </c>
      <c r="DS10" s="43" t="str">
        <f aca="false">IF(Tasks[[#This Row],[_Res1Text]]="","",IF(Tasks[[#This Row],[_Res1Row]]&gt;0,INDEX(res_Name,Tasks[[#This Row],[_Res1Row]]),TRIM(LEFT(Tasks[[#This Row],[_Res1Text]],FIND("[",Tasks[[#This Row],[_Res1Text]]&amp;"[")-1))))</f>
        <v/>
      </c>
      <c r="DT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 s="43" t="n">
        <f aca="false">IF(NOT(Tasks[[#This Row],[_IsLeaf]]=1),0,(Tasks[[#This Row],[_Resource1]]&lt;&gt;"")+(Tasks[[#This Row],[_Res2]]&lt;&gt;"")+(Tasks[[#This Row],[_Res3]]&lt;&gt;"")+(Tasks[[#This Row],[_Res4]]&lt;&gt;""))</f>
        <v>0</v>
      </c>
      <c r="DV10" s="43" t="str">
        <f aca="false">IF(Tasks[[#This Row],[_Res2Text]]="","",IF(Tasks[[#This Row],[_Res2Row]]&gt;0,INDEX(res_Name,Tasks[[#This Row],[_Res2Row]]),TRIM(LEFT(Tasks[[#This Row],[_Res2Text]],FIND("[",Tasks[[#This Row],[_Res2Text]]&amp;"[")-1))))</f>
        <v/>
      </c>
      <c r="DW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 s="43" t="n">
        <f aca="false">IF(OR(NOT(Tasks[[#This Row],[_IsLeaf]]=1),Tasks[[#This Row],[_Res2Row]]=0),0,N(Tasks[[#This Row],[_Days]])*HoursPerDay*IF(Tasks[[#This Row],[_Res2Units]]="",DefaultUnits,Tasks[[#This Row],[_Res2Units]]))</f>
        <v>0</v>
      </c>
      <c r="DY10" s="43" t="n">
        <f aca="false">IF(AND(AND(Tasks[[#This Row],[_IsLeaf]]=1,Tasks[[#This Row],[_LeafTotalWork]]&gt;0),Tasks[[#This Row],[_Res2Work]]&gt;0),Tasks[[#This Row],[_Res2Work]]/(Tasks[[#This Row],[_FinishWorkday]]-Tasks[[#This Row],[_StartWorkday]]+1),0)</f>
        <v>0</v>
      </c>
      <c r="DZ10" s="43" t="n">
        <f aca="false">Tasks[[#This Row],[_Res2WorkPerWD]]*MAX(0,Tasks[[#This Row],[_StartWorkday]]-1)</f>
        <v>0</v>
      </c>
      <c r="EA10" s="43" t="n">
        <f aca="false">Tasks[[#This Row],[_Res2Work]]*Tasks[[#This Row],[_LeafProgress]]</f>
        <v>0</v>
      </c>
      <c r="EB10" s="43" t="str">
        <f aca="false">IF(Tasks[[#This Row],[_Res3Text]]="","",IF(Tasks[[#This Row],[_Res3Row]]&gt;0,INDEX(res_Name,Tasks[[#This Row],[_Res3Row]]),TRIM(LEFT(Tasks[[#This Row],[_Res3Text]],FIND("[",Tasks[[#This Row],[_Res3Text]]&amp;"[")-1))))</f>
        <v/>
      </c>
      <c r="EC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 s="43" t="n">
        <f aca="false">IF(OR(NOT(Tasks[[#This Row],[_IsLeaf]]=1),Tasks[[#This Row],[_Res3Row]]=0),0,N(Tasks[[#This Row],[_Days]])*HoursPerDay*IF(Tasks[[#This Row],[_Res3Units]]="",DefaultUnits,Tasks[[#This Row],[_Res3Units]]))</f>
        <v>0</v>
      </c>
      <c r="EE10" s="43" t="n">
        <f aca="false">IF(AND(AND(Tasks[[#This Row],[_IsLeaf]]=1,Tasks[[#This Row],[_LeafTotalWork]]&gt;0),Tasks[[#This Row],[_Res3Work]]&gt;0),Tasks[[#This Row],[_Res3Work]]/(Tasks[[#This Row],[_FinishWorkday]]-Tasks[[#This Row],[_StartWorkday]]+1),0)</f>
        <v>0</v>
      </c>
      <c r="EF10" s="43" t="n">
        <f aca="false">Tasks[[#This Row],[_Res3WorkPerWD]]*MAX(0,Tasks[[#This Row],[_StartWorkday]]-1)</f>
        <v>0</v>
      </c>
      <c r="EG10" s="43" t="n">
        <f aca="false">Tasks[[#This Row],[_Res3Work]]*Tasks[[#This Row],[_LeafProgress]]</f>
        <v>0</v>
      </c>
      <c r="EH10" s="43" t="str">
        <f aca="false">IF(Tasks[[#This Row],[_Res4Text]]="","",IF(Tasks[[#This Row],[_Res4Row]]&gt;0,INDEX(res_Name,Tasks[[#This Row],[_Res4Row]]),TRIM(LEFT(Tasks[[#This Row],[_Res4Text]],FIND("[",Tasks[[#This Row],[_Res4Text]]&amp;"[")-1))))</f>
        <v/>
      </c>
      <c r="EI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 s="43" t="n">
        <f aca="false">IF(OR(NOT(Tasks[[#This Row],[_IsLeaf]]=1),Tasks[[#This Row],[_Res4Row]]=0),0,N(Tasks[[#This Row],[_Days]])*HoursPerDay*IF(Tasks[[#This Row],[_Res4Units]]="",DefaultUnits,Tasks[[#This Row],[_Res4Units]]))</f>
        <v>0</v>
      </c>
      <c r="EK10" s="43" t="n">
        <f aca="false">IF(AND(AND(Tasks[[#This Row],[_IsLeaf]]=1,Tasks[[#This Row],[_LeafTotalWork]]&gt;0),Tasks[[#This Row],[_Res4Work]]&gt;0),Tasks[[#This Row],[_Res4Work]]/(Tasks[[#This Row],[_FinishWorkday]]-Tasks[[#This Row],[_StartWorkday]]+1),0)</f>
        <v>0</v>
      </c>
      <c r="EL10" s="43" t="n">
        <f aca="false">Tasks[[#This Row],[_Res4WorkPerWD]]*MAX(0,Tasks[[#This Row],[_StartWorkday]]-1)</f>
        <v>0</v>
      </c>
      <c r="EM10" s="43" t="n">
        <f aca="false">Tasks[[#This Row],[_Res4Work]]*Tasks[[#This Row],[_LeafProgress]]</f>
        <v>0</v>
      </c>
      <c r="EN10" s="43" t="n">
        <f aca="false">IF(ISNUMBER(Tasks[[#This Row],[% Complete]]),Tasks[[#This Row],[% Complete]],IF(Tasks[[#This Row],[Stage]]="",0,IFERROR(INDEX(stg_Pct,MATCH(Tasks[[#This Row],[Stage]],stg_Name,0)),0)))</f>
        <v>0</v>
      </c>
      <c r="EO10" s="43" t="n">
        <f aca="false">IF(NOT(Tasks[[#This Row],[_IsLeaf]]=1),0,IF(N(Tasks[[#This Row],[Actual Finish]])&gt;0,1,MIN(1,Tasks[[#This Row],[_Pct]])))</f>
        <v>0</v>
      </c>
      <c r="EP10" s="43" t="n">
        <f aca="false">IF(OR(NOT(Tasks[[#This Row],[_IsLeaf]]=1),Tasks[[#This Row],[_Res1Row]]=0),0,N(Tasks[[#This Row],[_Days]])*HoursPerDay*IF(Tasks[[#This Row],[_Units1]]="",DefaultUnits,Tasks[[#This Row],[_Units1]]))</f>
        <v>0</v>
      </c>
      <c r="EQ10" s="43" t="n">
        <f aca="false">Tasks[[#This Row],[_LeafWork]]+Tasks[[#This Row],[_Res2Work]]+Tasks[[#This Row],[_Res3Work]]+Tasks[[#This Row],[_Res4Work]]</f>
        <v>0</v>
      </c>
      <c r="ER1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 s="43" t="n">
        <f aca="false">IF(NOT(Tasks[[#This Row],[_IsLeaf]]=1),0,MAX(_xlfn.MAXIFS(Tasks[_Row],Tasks[_Pred1UID],Tasks[[#This Row],[UID]]),_xlfn.MAXIFS(Tasks[_Row],Tasks[_Pred2UID],Tasks[[#This Row],[UID]]),_xlfn.MAXIFS(Tasks[_Row],Tasks[_Pred3UID],Tasks[[#This Row],[UID]]),_xlfn.MAXIFS(Tasks[_Row],Tasks[_Pred4UID],Tasks[[#This Row],[UID]])))</f>
        <v>0</v>
      </c>
      <c r="FA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 s="91" t="str">
        <f aca="false">IF(NOT(Tasks[[#This Row],[_IsLeaf]]=1),"",IF(N(Tasks[[#This Row],[_Days]])&lt;=0,Tasks[[#This Row],[_LeafLateFinish]],WORKDAY.INTL(Tasks[[#This Row],[_LeafLateFinish]],-(Tasks[[#This Row],[_Days]]-1),WorkWeek,Holidays)))</f>
        <v/>
      </c>
      <c r="FD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 s="90" t="b">
        <f aca="false">AND(Tasks[[#This Row],[_IsLeaf]]=1,Tasks[[#This Row],[_LeafProgress]]&lt;1,N(Tasks[[#This Row],[_LeafTotalSlack]])&lt;=CriticalSlackDays)</f>
        <v>0</v>
      </c>
      <c r="FF10" s="43" t="n">
        <f aca="false">IF(AND(Tasks[[#This Row],[_IsLeaf]]=1,Tasks[[#This Row],[_ConstraintCode]]=1,Tasks[[#This Row],[Mode]]&lt;&gt;"Manual",N(Tasks[[#This Row],[Actual Start]])=0),MAX(0,N(Tasks[[#This Row],[Free Slack]])),0)</f>
        <v>0</v>
      </c>
      <c r="FG10" s="91" t="str">
        <f aca="false">IF(NOT(Tasks[[#This Row],[_IsLeaf]]=1),"",IF(Tasks[[#This Row],[_AlapShift]]=0,Tasks[[#This Row],[_LeafCalcStart]],WORKDAY.INTL(Tasks[[#This Row],[_LeafCalcStart]],Tasks[[#This Row],[_AlapShift]],WorkWeek,Holidays)))</f>
        <v/>
      </c>
      <c r="FH10" s="91" t="str">
        <f aca="false">IF(NOT(Tasks[[#This Row],[_IsLeaf]]=1),"",IF(Tasks[[#This Row],[_AlapShift]]=0,Tasks[[#This Row],[_LeafCalcFinish]],WORKDAY.INTL(Tasks[[#This Row],[_LeafCalcFinish]],Tasks[[#This Row],[_AlapShift]],WorkWeek,Holidays)))</f>
        <v/>
      </c>
      <c r="FI10" s="91" t="str">
        <f aca="false">IF(NOT(Tasks[[#This Row],[_IsLeaf]]=1),"",IF(Tasks[[#This Row],[_AlapShift]]=0,Tasks[[#This Row],[_LeafFcstStart]],WORKDAY.INTL(Tasks[[#This Row],[_LeafFcstStart]],Tasks[[#This Row],[_AlapShift]],WorkWeek,Holidays)))</f>
        <v/>
      </c>
      <c r="FJ10" s="91" t="str">
        <f aca="false">IF(NOT(Tasks[[#This Row],[_IsLeaf]]=1),"",IF(Tasks[[#This Row],[_AlapShift]]=0,Tasks[[#This Row],[_LeafFcstFinish]],WORKDAY.INTL(Tasks[[#This Row],[_LeafFcstFinish]],Tasks[[#This Row],[_AlapShift]],WorkWeek,Holidays)))</f>
        <v/>
      </c>
      <c r="FK10" s="91" t="n">
        <f aca="false">IF(Tasks[[#This Row],[Task Name]]="","",IF(Tasks[[#This Row],[_IsSummary]],MIN(INDEX(Tasks[_ShownCalcStart],Tasks[[#This Row],[_Row]]+1):INDEX(Tasks[_ShownCalcStart],Tasks[[#This Row],[_Row]]+Tasks[[#This Row],[_Descendants]])),Tasks[[#This Row],[_ShownCalcStart]]))</f>
        <v>46279</v>
      </c>
      <c r="FL10" s="91" t="n">
        <f aca="false">IF(Tasks[[#This Row],[Task Name]]="","",IF(Tasks[[#This Row],[_IsSummary]],MAX(INDEX(Tasks[_ShownCalcFinish],Tasks[[#This Row],[_Row]]+1):INDEX(Tasks[_ShownCalcFinish],Tasks[[#This Row],[_Row]]+Tasks[[#This Row],[_Descendants]])),Tasks[[#This Row],[_ShownCalcFinish]]))</f>
        <v>46296</v>
      </c>
      <c r="FM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 s="43" t="n">
        <f aca="false">IF(AND(Tasks[[#This Row],[_IsLeaf]]=1,Tasks[[#This Row],[_LeafTotalWork]]&gt;0),NETWORKDAYS.INTL(ProjectStart,Tasks[[#This Row],[_ShownFcstStart]],WorkWeek,Holidays),0)</f>
        <v>0</v>
      </c>
      <c r="FZ10" s="43" t="n">
        <f aca="false">IF(AND(Tasks[[#This Row],[_IsLeaf]]=1,Tasks[[#This Row],[_LeafTotalWork]]&gt;0),MAX(Tasks[[#This Row],[_StartWorkday]],NETWORKDAYS.INTL(ProjectStart,Tasks[[#This Row],[_ShownFcstFinish]],WorkWeek,Holidays)),0)</f>
        <v>0</v>
      </c>
      <c r="GA10" s="43" t="n">
        <f aca="false">IF(AND(Tasks[[#This Row],[_IsLeaf]]=1,Tasks[[#This Row],[_LeafTotalWork]]&gt;0),Tasks[[#This Row],[_LeafWork]]/(Tasks[[#This Row],[_FinishWorkday]]-Tasks[[#This Row],[_StartWorkday]]+1),0)</f>
        <v>0</v>
      </c>
      <c r="GB10" s="43" t="n">
        <f aca="false">Tasks[[#This Row],[_WorkPerWorkday]]*(Tasks[[#This Row],[_StartWorkday]]-1)</f>
        <v>-0</v>
      </c>
      <c r="GC10" s="43" t="n">
        <f aca="false">IF(Tasks[[#This Row],[_IsLeaf]]=1,MAX(N(Tasks[[#This Row],[_Days]]),0.1),0)</f>
        <v>0</v>
      </c>
      <c r="GD10" s="43" t="n">
        <f aca="false">Tasks[[#This Row],[_WeightDur]]*Tasks[[#This Row],[_LeafProgress]]</f>
        <v>0</v>
      </c>
      <c r="GE10" s="43" t="n">
        <f aca="false">Tasks[[#This Row],[_WeightDur]]*Tasks[[#This Row],[_PlannedPct]]</f>
        <v>0</v>
      </c>
      <c r="GF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 s="43" t="str">
        <f aca="false">IF(AND(Tasks[[#This Row],[_IsLeaf]]=1,N(Tasks[[#This Row],[_Days]])=0,Tasks[[#This Row],[_LeafProgress]]&lt;1),Tasks[[#This Row],[_ShownFcstFinish]]+Tasks[[#This Row],[_Row]]/100000,"")</f>
        <v/>
      </c>
      <c r="GH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 s="43" t="str">
        <f aca="false">IF(Tasks[[#This Row],[Task Name]]="","",LEFT(Tasks[[#This Row],[WBS]],FIND(".",Tasks[[#This Row],[WBS]]&amp;".")-1))</f>
        <v>2</v>
      </c>
      <c r="GJ10" s="43" t="n">
        <f aca="false">IF(AND(Tasks[[#This Row],[Task Name]]&lt;&gt;"",Tasks[[#This Row],[_Level]]=1),Tasks[[#This Row],[_Row]],"")</f>
        <v>5</v>
      </c>
      <c r="GK10" s="43" t="str">
        <f aca="false">IF(AND(Tasks[[#This Row],[_IsLeaf]]=1,N(Tasks[[#This Row],[_Days]])=0),Tasks[[#This Row],[Planned Finish]]+Tasks[[#This Row],[_Row]]/100000,"")</f>
        <v/>
      </c>
      <c r="GL10" s="43" t="str">
        <f aca="false">IF(AND(Tasks[[#This Row],[_IsLeaf]]=1,Tasks[[#This Row],[_LeafProgress]]&lt;1,OR(N(Tasks[[#This Row],[Finish Var]])&gt;0,Tasks[[#This Row],[Status]]="Late Start")),MAX(0,Tasks[[#This Row],[Finish Var]])+1-Tasks[[#This Row],[_Row]]/1000000,"")</f>
        <v/>
      </c>
      <c r="GM10" s="43" t="str">
        <f aca="false">IF(AND(Tasks[[#This Row],[_IsLeaf]]=1,N(Tasks[[#This Row],[Actual Start]])=0,Tasks[[#This Row],[_ShownFcstStart]]&gt;=StatusDate,Tasks[[#This Row],[_ShownFcstStart]]&lt;=LookaheadEnd),Tasks[[#This Row],[_ShownFcstStart]]+Tasks[[#This Row],[_Row]]/100000,"")</f>
        <v/>
      </c>
      <c r="GN10" s="43" t="str">
        <f aca="false">IF(AND(Tasks[[#This Row],[_IsLeaf]]=1,Tasks[[#This Row],[_LeafProgress]]&lt;1,Tasks[[#This Row],[_ShownFcstFinish]]&gt;=StatusDate,Tasks[[#This Row],[_ShownFcstFinish]]&lt;=LookaheadEnd),Tasks[[#This Row],[_ShownFcstFinish]]+Tasks[[#This Row],[_Row]]/100000,"")</f>
        <v/>
      </c>
      <c r="GO10" s="43" t="str">
        <f aca="false">IF(Tasks[[#This Row],[_LeafCritical]],Tasks[[#This Row],[_ShownFcstStart]]+Tasks[[#This Row],[_Row]]/100000,"")</f>
        <v/>
      </c>
      <c r="GP10" s="43" t="n">
        <f aca="false">Tasks[[#This Row],[_LeafWork]]*Tasks[[#This Row],[_LeafProgress]]</f>
        <v>0</v>
      </c>
      <c r="GQ10" s="91" t="str">
        <f aca="false">IF(AND(Tasks[[#This Row],[_IsLeaf]]=1,Tasks[[#This Row],[_LeafProgress]]&gt;=1),IF(N(Tasks[[#This Row],[Actual Finish]])&gt;0,Tasks[[#This Row],[Actual Finish]],Tasks[[#This Row],[_ShownFcstFinish]]),"")</f>
        <v/>
      </c>
      <c r="GR10" s="43" t="n">
        <f aca="false">IF(Tasks[[#This Row],[_IsLeaf]]=1,N(Tasks[[#This Row],[Story Points]]),0)</f>
        <v>0</v>
      </c>
      <c r="GS10" s="43" t="str">
        <f aca="false">""</f>
        <v/>
      </c>
      <c r="GT10" s="90" t="b">
        <f aca="false">IF(Tasks[[#This Row],[Task Name]]="",FALSE(),AND(Tasks[[#This Row],[_IsLeaf]]=1,N(Tasks[[#This Row],[_Days]])=0))</f>
        <v>0</v>
      </c>
      <c r="GU10" s="91" t="n">
        <f aca="false">IF(Tasks[[#This Row],[Task Name]]="",0,IF(AND(Tasks[[#This Row],[_IsLeaf]]=1,NOT(Tasks[[#This Row],[_IsMilestone]]),N(Tasks[[#This Row],[Progress]])&gt;0),Tasks[[#This Row],[Start]],0))</f>
        <v>0</v>
      </c>
      <c r="GV10" s="91" t="n">
        <f aca="false">IF(Tasks[[#This Row],[_DoneFrom]]=0,0,IF(Tasks[[#This Row],[Progress]]&gt;=1,Tasks[[#This Row],[Finish]],MAX(Tasks[[#This Row],[_DoneFrom]],Tasks[[#This Row],[Start]]+ROUND((Tasks[[#This Row],[Finish]]-Tasks[[#This Row],[Start]]+1)*Tasks[[#This Row],[Progress]],0)-1)))</f>
        <v>0</v>
      </c>
      <c r="GW10" s="91" t="n">
        <f aca="false">IF(Tasks[[#This Row],[Task Name]]="",0,IF(OR(NOT(Tasks[[#This Row],[_IsLeaf]]=1),Tasks[[#This Row],[_IsMilestone]],N(Tasks[[#This Row],[Progress]])&gt;=1),0,IF(Tasks[[#This Row],[_DoneTo]]&gt;0,Tasks[[#This Row],[_DoneTo]]+1,Tasks[[#This Row],[Start]])))</f>
        <v>0</v>
      </c>
      <c r="GX10" s="91" t="n">
        <f aca="false">IF(Tasks[[#This Row],[_RemFrom]]=0,0,Tasks[[#This Row],[Finish]])</f>
        <v>0</v>
      </c>
      <c r="GY10" s="90" t="b">
        <f aca="false">IF(Tasks[[#This Row],[Task Name]]="",FALSE(),OR(NOT(BaselineSet),N(Tasks[[#This Row],[Baseline Start]])&gt;0))</f>
        <v>1</v>
      </c>
      <c r="GZ1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 s="92" t="str">
        <f aca="false">IF(Tasks[[#This Row],[_IsLeaf]]=1,Tasks[[#This Row],[_Row]],"")</f>
        <v/>
      </c>
      <c r="HD10" s="92" t="str">
        <f aca="false">IFERROR(INDEX(Tasks[UID],SMALL(Tasks[_PickKey],Tasks[[#This Row],[_Row]]))&amp;" "&amp;INDEX(Tasks[Task Name],SMALL(Tasks[_PickKey],Tasks[[#This Row],[_Row]])),"")</f>
        <v>8 UX wireframes &amp; prototype</v>
      </c>
      <c r="HE10" s="43" t="n">
        <f aca="false">IF(Tasks[[#This Row],[Task Name]]="","",IF(Tasks[[#This Row],[_IsSummary]],NETWORKDAYS.INTL(Tasks[[#This Row],[Start]],Tasks[[#This Row],[Finish]],WorkWeek,Holidays),N(Tasks[[#This Row],[_Days]])))</f>
        <v>16</v>
      </c>
      <c r="HF10" s="43" t="n">
        <f aca="false">IF(Tasks[[#This Row],[Expected]]="",0,((Tasks[[#This Row],[Pessimistic]]-Tasks[[#This Row],[Optimistic]])/6)^2)</f>
        <v>0</v>
      </c>
      <c r="HG10" s="43" t="n">
        <f aca="false">IF(Tasks[[#This Row],[Expected]]="",0,Tasks[[#This Row],[Expected]]-N(Tasks[[#This Row],[_Days]]))</f>
        <v>0</v>
      </c>
    </row>
    <row r="11" customFormat="false" ht="15" hidden="false" customHeight="false" outlineLevel="1" collapsed="false">
      <c r="A11" s="21" t="n">
        <f aca="false">IF(Tasks[[#This Row],[Task Name]]="","",COUNTA(Tasks[[#Headers],[Task Name]]:Tasks[[#This Row],[Task Name]])-1)</f>
        <v>6</v>
      </c>
      <c r="B11" s="22" t="n">
        <v>6</v>
      </c>
      <c r="C11" s="22" t="n">
        <v>2</v>
      </c>
      <c r="D11" s="93" t="s">
        <v>649</v>
      </c>
      <c r="E11" s="22" t="n">
        <v>8</v>
      </c>
      <c r="F11" s="23" t="n">
        <v>4</v>
      </c>
      <c r="G11" s="22"/>
      <c r="H11" s="22"/>
      <c r="I11" s="23"/>
      <c r="J11" s="22"/>
      <c r="K11" s="22"/>
      <c r="L11" s="23"/>
      <c r="M11" s="22"/>
      <c r="N11" s="22"/>
      <c r="O11" s="23"/>
      <c r="P11" s="22"/>
      <c r="Q11" s="22"/>
      <c r="R11" s="23"/>
      <c r="S11" s="23" t="s">
        <v>643</v>
      </c>
      <c r="T11" s="84"/>
      <c r="U11" s="23"/>
      <c r="V11" s="84"/>
      <c r="W11" s="23"/>
      <c r="X11" s="84"/>
      <c r="Y11" s="23"/>
      <c r="Z11" s="84"/>
      <c r="AA11" s="23"/>
      <c r="AB11" s="23" t="s">
        <v>150</v>
      </c>
      <c r="AC11" s="7" t="n">
        <v>46280</v>
      </c>
      <c r="AD11" s="7" t="n">
        <v>46290</v>
      </c>
      <c r="AE11" s="63" t="n">
        <f aca="false">IF(Tasks[[#This Row],[Task Name]]="","",IF(Tasks[[#This Row],[_IsSummary]],MIN(INDEX(Tasks[_ShownFcstStart],Tasks[[#This Row],[_Row]]+1):INDEX(Tasks[_ShownFcstStart],Tasks[[#This Row],[_Row]]+Tasks[[#This Row],[_Descendants]])),Tasks[[#This Row],[_ShownFcstStart]]))</f>
        <v>46280</v>
      </c>
      <c r="AF11" s="63" t="n">
        <f aca="false">IF(Tasks[[#This Row],[Task Name]]="","",IF(Tasks[[#This Row],[_IsSummary]],MAX(INDEX(Tasks[_ShownFcstFinish],Tasks[[#This Row],[_Row]]+1):INDEX(Tasks[_ShownFcstFinish],Tasks[[#This Row],[_Row]]+Tasks[[#This Row],[_Descendants]])),Tasks[[#This Row],[_ShownFcstFinish]]))</f>
        <v>46290</v>
      </c>
      <c r="AG11" s="21" t="str">
        <f aca="false">""</f>
        <v/>
      </c>
      <c r="AH11" s="23"/>
      <c r="AI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 s="7"/>
      <c r="AK11" s="22" t="s">
        <v>248</v>
      </c>
      <c r="AL11" s="23"/>
      <c r="AM11" s="7"/>
      <c r="AN11" s="47" t="n">
        <f aca="false">IF(Tasks[[#This Row],[Task Name]]="","",IF(Tasks[[#This Row],[Finish]]&gt;=Tasks[[#This Row],[Planned Finish]],NETWORKDAYS.INTL(Tasks[[#This Row],[Planned Finish]],Tasks[[#This Row],[Finish]],WorkWeek,Holidays)-1,1-NETWORKDAYS.INTL(Tasks[[#This Row],[Finish]],Tasks[[#This Row],[Planned Finish]],WorkWeek,Holidays)))</f>
        <v>2</v>
      </c>
      <c r="AO11" s="21" t="str">
        <f aca="false">IF(Tasks[[#This Row],[Task Name]]="","",IF(Tasks[[#This Row],[Progress]]&gt;=1,"Complete",IF(OR(N(Tasks[[#This Row],[Actual Start]])&gt;0,Tasks[[#This Row],[Progress]]&gt;0),IF(Tasks[[#This Row],[Finish Var]]&gt;0,"Behind","In Progress"),IF(Tasks[[#This Row],[Planned Start]]&lt;StatusDate,"Late Start","Not Started"))))</f>
        <v>Complete</v>
      </c>
      <c r="AP11" s="21" t="str">
        <f aca="false">IF(Tasks[[#This Row],[Task Name]]="","",IF(IF(Tasks[[#This Row],[_IsSummary]],COUNTIF(INDEX(Tasks[_LeafCritical],Tasks[[#This Row],[_Row]]+1):INDEX(Tasks[_LeafCritical],Tasks[[#This Row],[_Row]]+Tasks[[#This Row],[_Descendants]]),TRUE())&gt;0,Tasks[[#This Row],[_LeafCritical]]),"Yes",""))</f>
        <v/>
      </c>
      <c r="AQ11" s="63" t="n">
        <f aca="false">IF(Tasks[[#This Row],[Task Name]]="","",IF(N(Tasks[[#This Row],[Baseline Start]])&gt;0,Tasks[[#This Row],[Baseline Start]],Tasks[[#This Row],[_CalcStart]]))</f>
        <v>46279</v>
      </c>
      <c r="AR11" s="63" t="n">
        <f aca="false">IF(Tasks[[#This Row],[Task Name]]="","",IF(N(Tasks[[#This Row],[Baseline Finish]])&gt;0,Tasks[[#This Row],[Baseline Finish]],Tasks[[#This Row],[_CalcFinish]]))</f>
        <v>46288</v>
      </c>
      <c r="AS11" s="47" t="n">
        <f aca="false">IF(Tasks[[#This Row],[Task Name]]="","",IF(Tasks[[#This Row],[Start]]&gt;=Tasks[[#This Row],[Planned Start]],NETWORKDAYS.INTL(Tasks[[#This Row],[Planned Start]],Tasks[[#This Row],[Start]],WorkWeek,Holidays)-1,1-NETWORKDAYS.INTL(Tasks[[#This Row],[Start]],Tasks[[#This Row],[Planned Start]],WorkWeek,Holidays)))</f>
        <v>1</v>
      </c>
      <c r="AT11" s="63" t="n">
        <f aca="false">IF(Tasks[[#This Row],[Task Name]]="","",IF(Tasks[[#This Row],[_IsSummary]],MIN(INDEX(Tasks[_LeafLateStart],Tasks[[#This Row],[_Row]]+1):INDEX(Tasks[_LeafLateStart],Tasks[[#This Row],[_Row]]+Tasks[[#This Row],[_Descendants]])),Tasks[[#This Row],[_LeafLateStart]]))</f>
        <v>46283</v>
      </c>
      <c r="AU11" s="63" t="n">
        <f aca="false">IF(Tasks[[#This Row],[Task Name]]="","",IF(Tasks[[#This Row],[_IsSummary]],MAX(INDEX(Tasks[_LeafLateFinish],Tasks[[#This Row],[_Row]]+1):INDEX(Tasks[_LeafLateFinish],Tasks[[#This Row],[_Row]]+Tasks[[#This Row],[_Descendants]])),Tasks[[#This Row],[_LeafLateFinish]]))</f>
        <v>46294</v>
      </c>
      <c r="AV11" s="47" t="n">
        <f aca="false">IF(Tasks[[#This Row],[Task Name]]="","",IF(Tasks[[#This Row],[_IsSummary]],MIN(INDEX(Tasks[_LeafTotalSlack],Tasks[[#This Row],[_Row]]+1):INDEX(Tasks[_LeafTotalSlack],Tasks[[#This Row],[_Row]]+Tasks[[#This Row],[_Descendants]])),Tasks[[#This Row],[_LeafTotalSlack]]))</f>
        <v>2</v>
      </c>
      <c r="AW11"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5"/>
      <c r="BA11"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BC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BD11" s="21" t="str">
        <f aca="false">IF(Tasks[[#This Row],[Task Name]]="","",IF(Tasks[[#This Row],[_Level]]&lt;=OutlineShowLevel,"Yes","No"))</f>
        <v>Yes</v>
      </c>
      <c r="BE11" s="86" t="n">
        <f aca="false">IF(Tasks[[#This Row],[Task Name]]="","",IF(Tasks[[#This Row],[_IsSummary]],SUM(INDEX(Tasks[_LeafTotalWork],Tasks[[#This Row],[_Row]]+1):INDEX(Tasks[_LeafTotalWork],Tasks[[#This Row],[_Row]]+Tasks[[#This Row],[_Descendants]])),Tasks[[#This Row],[_LeafTotalWork]]))</f>
        <v>64</v>
      </c>
      <c r="BF11" s="23"/>
      <c r="BG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11" s="21" t="str">
        <f aca="false">""</f>
        <v/>
      </c>
      <c r="BI11" s="87"/>
      <c r="BJ11" s="22"/>
      <c r="BK11" s="47" t="n">
        <f aca="false">IF(OR(Tasks[[#This Row],[Task Name]]="",Tasks[[#This Row],[Baseline Duration]]=""),"",Tasks[[#This Row],[_SpanDays]]-N(Tasks[[#This Row],[Baseline Duration]]))</f>
        <v>0</v>
      </c>
      <c r="BL11" s="86" t="n">
        <f aca="false">IF(OR(Tasks[[#This Row],[Task Name]]="",Tasks[[#This Row],[Baseline Work]]=""),"",Tasks[[#This Row],[Work]]-N(Tasks[[#This Row],[Baseline Work]]))</f>
        <v>0</v>
      </c>
      <c r="BM11" s="63" t="n">
        <f aca="false">IF(Tasks[[#This Row],[Task Name]]="","",IF(OR(TakeBaseline="Yes",N(Tasks[[#This Row],[Baseline Start]])=0),Tasks[[#This Row],[Start]],Tasks[[#This Row],[Baseline Start]]))</f>
        <v>46279</v>
      </c>
      <c r="BN11" s="63" t="n">
        <f aca="false">IF(Tasks[[#This Row],[Task Name]]="","",IF(OR(TakeBaseline="Yes",N(Tasks[[#This Row],[Baseline Finish]])=0),Tasks[[#This Row],[Finish]],Tasks[[#This Row],[Baseline Finish]]))</f>
        <v>46288</v>
      </c>
      <c r="BO11" s="21" t="n">
        <f aca="false">IF(Tasks[[#This Row],[Task Name]]="","",IF(OR(TakeBaseline="Yes",N(Tasks[[#This Row],[Baseline Duration]])=0),Tasks[[#This Row],[_SpanDays]],Tasks[[#This Row],[Baseline Duration]]))</f>
        <v>8</v>
      </c>
      <c r="BP11" s="86" t="n">
        <f aca="false">IF(Tasks[[#This Row],[Task Name]]="","",IF(OR(TakeBaseline="Yes",N(Tasks[[#This Row],[Baseline Work]])=0),Tasks[[#This Row],[Work]],Tasks[[#This Row],[Baseline Work]]))</f>
        <v>64</v>
      </c>
      <c r="BQ11" s="7" t="n">
        <v>46279</v>
      </c>
      <c r="BR11" s="7" t="n">
        <v>46288</v>
      </c>
      <c r="BS11" s="22" t="n">
        <v>8</v>
      </c>
      <c r="BT11" s="88" t="n">
        <v>64</v>
      </c>
      <c r="BU11" s="23"/>
      <c r="BV11" s="23"/>
      <c r="BW11" s="23"/>
      <c r="BX11" s="89" t="str">
        <f aca="false">IF(AND(Tasks[[#This Row],[_IsLeaf]]=1,ISNUMBER(Tasks[[#This Row],[Optimistic]]),ISNUMBER(Tasks[[#This Row],[Pessimistic]])),ROUND((Tasks[[#This Row],[Optimistic]]+4*N(Tasks[[#This Row],[_Days]])+Tasks[[#This Row],[Pessimistic]])/6,1),"")</f>
        <v/>
      </c>
      <c r="BY11" s="87"/>
      <c r="BZ11" s="87"/>
      <c r="CA11" s="22"/>
      <c r="CB11" s="43" t="n">
        <f aca="false">IF(Tasks[[#This Row],[Task Name]]="","",MAX(1,N(Tasks[[#This Row],[Level]])))</f>
        <v>2</v>
      </c>
      <c r="CC11" s="43" t="n">
        <f aca="false">ROW()-ROW(Tasks[[#Headers],[ID]])</f>
        <v>6</v>
      </c>
      <c r="CD11" s="43" t="n">
        <f aca="false">IF(OR(Tasks[[#This Row],[Task Name]]="",Tasks[[#This Row],[_Level]]&lt;=1),0,IFERROR(LOOKUP(2,1/(Tasks[[#Headers],[_Level]]:Tasks[[#This Row],[_Level]]=Tasks[[#This Row],[_Level]]-1),ROW(Tasks[[#Headers],[_Level]]:Tasks[[#This Row],[_Level]])),0))</f>
        <v>10</v>
      </c>
      <c r="CE11" s="43" t="n">
        <f aca="false">IFERROR(N(INDEX(Tasks[_Level],Tasks[[#This Row],[_Row]]+1)),0)</f>
        <v>2</v>
      </c>
      <c r="CF11" s="90" t="b">
        <f aca="false">AND(Tasks[[#This Row],[Task Name]]&lt;&gt;"",Tasks[[#This Row],[_NextLevel]]&gt;Tasks[[#This Row],[_Level]])</f>
        <v>0</v>
      </c>
      <c r="CG11" s="43" t="n">
        <f aca="false">IF(Tasks[[#This Row],[_IsSummary]],COUNTIF(Tasks[WBS],Tasks[[#This Row],[WBS]]&amp;".*"),0)</f>
        <v>0</v>
      </c>
      <c r="CH11" s="43" t="n">
        <f aca="false">IF(AND(Tasks[[#This Row],[Task Name]]&lt;&gt;"",NOT(Tasks[[#This Row],[_IsSummary]])),1,0)</f>
        <v>1</v>
      </c>
      <c r="CI11" s="43" t="n">
        <f aca="false">IF(N(Tasks[[#This Row],[_Pred1UID]])=0,0,IFERROR(MATCH(Tasks[[#This Row],[_Pred1UID]],Tasks[UID],0),-1))</f>
        <v>4</v>
      </c>
      <c r="CJ11" s="43" t="n">
        <f aca="false">IF(N(Tasks[[#This Row],[_Pred2UID]])=0,0,IFERROR(MATCH(Tasks[[#This Row],[_Pred2UID]],Tasks[UID],0),-1))</f>
        <v>0</v>
      </c>
      <c r="CK11" s="43" t="n">
        <f aca="false">IF(N(Tasks[[#This Row],[_Pred3UID]])=0,0,IFERROR(MATCH(Tasks[[#This Row],[_Pred3UID]],Tasks[UID],0),-1))</f>
        <v>0</v>
      </c>
      <c r="CL11" s="43" t="n">
        <f aca="false">IF(N(Tasks[[#This Row],[_Pred4UID]])=0,0,IFERROR(MATCH(Tasks[[#This Row],[_Pred4UID]],Tasks[UID],0),-1))</f>
        <v>0</v>
      </c>
      <c r="CM11"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 s="91" t="n">
        <f aca="false">IF(OR(Tasks[[#This Row],[_ConstraintCode]]=2,Tasks[[#This Row],[_ConstraintCode]]=3,Tasks[[#This Row],[_ConstraintCode]]=4,Tasks[[#This Row],[_ConstraintCode]]=6),Tasks[[#This Row],[_ConstraintStart]],0)</f>
        <v>0</v>
      </c>
      <c r="CP11" s="91" t="n">
        <f aca="false">IF(OR(Tasks[[#This Row],[_ConstraintCode]]=2,Tasks[[#This Row],[_ConstraintCode]]=3,Tasks[[#This Row],[_ConstraintCode]]=5,Tasks[[#This Row],[_ConstraintCode]]=7),Tasks[[#This Row],[_ConstraintStart]],2958465)</f>
        <v>2958465</v>
      </c>
      <c r="CQ11"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R11" s="91" t="n">
        <f aca="false">IF(NOT(Tasks[[#This Row],[_IsLeaf]]=1),"",IF(N(Tasks[[#This Row],[_Days]])&lt;=0,Tasks[[#This Row],[_LeafCalcStart]],WORKDAY.INTL(Tasks[[#This Row],[_LeafCalcStart]],Tasks[[#This Row],[_Days]]-1,WorkWeek,Holidays)))</f>
        <v>46288</v>
      </c>
      <c r="CS11"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T11"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46290</v>
      </c>
      <c r="CU11" s="43" t="str">
        <f aca="false">IF(Tasks[[#This Row],[_Predecessors]]="","",TRIM(MID(SUBSTITUTE(SUBSTITUTE(SUBSTITUTE(UPPER(Tasks[[#This Row],[_Predecessors]]),";",",")," ",""),",",REPT(" ",99)),1,99)))</f>
        <v>4</v>
      </c>
      <c r="CV11" s="43" t="n">
        <f aca="false">IF(Tasks[[#This Row],[_Pred1Text]]="","",IFERROR(VALUE(LEFT(Tasks[[#This Row],[_Pred1Text]],MIN(FIND("F",Tasks[[#This Row],[_Pred1Text]]&amp;"F"),FIND("S",Tasks[[#This Row],[_Pred1Text]]&amp;"S"),FIND("+",Tasks[[#This Row],[_Pred1Text]]&amp;"+"),FIND("-",Tasks[[#This Row],[_Pred1Text]]&amp;"-"))-1)),""))</f>
        <v>4</v>
      </c>
      <c r="CW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1"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1" s="43" t="str">
        <f aca="false">IF(Tasks[[#This Row],[_Pred1Text]]="","",TRIM(MID(SUBSTITUTE(SUBSTITUTE(SUBSTITUTE(UPPER(Tasks[[#This Row],[_Predecessors]]),";",",")," ",""),",",REPT(" ",99)),100,99)))</f>
        <v/>
      </c>
      <c r="CZ11" s="43" t="str">
        <f aca="false">IF(Tasks[[#This Row],[_Pred2Text]]="","",IFERROR(VALUE(LEFT(Tasks[[#This Row],[_Pred2Text]],MIN(FIND("F",Tasks[[#This Row],[_Pred2Text]]&amp;"F"),FIND("S",Tasks[[#This Row],[_Pred2Text]]&amp;"S"),FIND("+",Tasks[[#This Row],[_Pred2Text]]&amp;"+"),FIND("-",Tasks[[#This Row],[_Pred2Text]]&amp;"-"))-1)),""))</f>
        <v/>
      </c>
      <c r="DA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 s="43" t="str">
        <f aca="false">IF(Tasks[[#This Row],[_Pred2Text]]="","",TRIM(MID(SUBSTITUTE(SUBSTITUTE(SUBSTITUTE(UPPER(Tasks[[#This Row],[_Predecessors]]),";",",")," ",""),",",REPT(" ",99)),199,99)))</f>
        <v/>
      </c>
      <c r="DD11" s="43" t="str">
        <f aca="false">IF(Tasks[[#This Row],[_Pred3Text]]="","",IFERROR(VALUE(LEFT(Tasks[[#This Row],[_Pred3Text]],MIN(FIND("F",Tasks[[#This Row],[_Pred3Text]]&amp;"F"),FIND("S",Tasks[[#This Row],[_Pred3Text]]&amp;"S"),FIND("+",Tasks[[#This Row],[_Pred3Text]]&amp;"+"),FIND("-",Tasks[[#This Row],[_Pred3Text]]&amp;"-"))-1)),""))</f>
        <v/>
      </c>
      <c r="DE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 s="43" t="str">
        <f aca="false">IF(Tasks[[#This Row],[_Pred3Text]]="","",TRIM(MID(SUBSTITUTE(SUBSTITUTE(SUBSTITUTE(UPPER(Tasks[[#This Row],[_Predecessors]]),";",",")," ",""),",",REPT(" ",99)),298,99)))</f>
        <v/>
      </c>
      <c r="DH11" s="43" t="str">
        <f aca="false">IF(Tasks[[#This Row],[_Pred4Text]]="","",IFERROR(VALUE(LEFT(Tasks[[#This Row],[_Pred4Text]],MIN(FIND("F",Tasks[[#This Row],[_Pred4Text]]&amp;"F"),FIND("S",Tasks[[#This Row],[_Pred4Text]]&amp;"S"),FIND("+",Tasks[[#This Row],[_Pred4Text]]&amp;"+"),FIND("-",Tasks[[#This Row],[_Pred4Text]]&amp;"-"))-1)),""))</f>
        <v/>
      </c>
      <c r="DI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 s="43" t="str">
        <f aca="false">IF(OR(Tasks[[#This Row],[Task Name]]="",Tasks[[#This Row],[_Resources]]=""),"",TRIM(MID(SUBSTITUTE(Tasks[[#This Row],[_Resources]],",",REPT(" ",99)),1,99)))</f>
        <v>Morgan Patel</v>
      </c>
      <c r="DL11" s="43" t="str">
        <f aca="false">IF(Tasks[[#This Row],[_Res1Text]]="","",TRIM(MID(SUBSTITUTE(Tasks[[#This Row],[_Resources]],",",REPT(" ",99)),100,99)))</f>
        <v/>
      </c>
      <c r="DM11" s="43" t="str">
        <f aca="false">IF(Tasks[[#This Row],[_Res2Text]]="","",TRIM(MID(SUBSTITUTE(Tasks[[#This Row],[_Resources]],",",REPT(" ",99)),199,99)))</f>
        <v/>
      </c>
      <c r="DN11" s="43" t="str">
        <f aca="false">IF(Tasks[[#This Row],[_Res3Text]]="","",TRIM(MID(SUBSTITUTE(Tasks[[#This Row],[_Resources]],",",REPT(" ",99)),298,99)))</f>
        <v/>
      </c>
      <c r="DO11" s="43" t="n">
        <f aca="false">IF(Tasks[[#This Row],[_Res1Text]]="",0,IFERROR(MATCH(TRIM(LEFT(Tasks[[#This Row],[_Res1Text]],FIND("[",Tasks[[#This Row],[_Res1Text]]&amp;"[")-1)),res_Name,0),IFERROR(MATCH(TRIM(LEFT(Tasks[[#This Row],[_Res1Text]],FIND("[",Tasks[[#This Row],[_Res1Text]]&amp;"[")-1)),res_Initials,0),0)))</f>
        <v>2</v>
      </c>
      <c r="DP11" s="43" t="n">
        <f aca="false">IF(Tasks[[#This Row],[_Res2Text]]="",0,IFERROR(MATCH(TRIM(LEFT(Tasks[[#This Row],[_Res2Text]],FIND("[",Tasks[[#This Row],[_Res2Text]]&amp;"[")-1)),res_Name,0),IFERROR(MATCH(TRIM(LEFT(Tasks[[#This Row],[_Res2Text]],FIND("[",Tasks[[#This Row],[_Res2Text]]&amp;"[")-1)),res_Initials,0),0)))</f>
        <v>0</v>
      </c>
      <c r="DQ11" s="43" t="n">
        <f aca="false">IF(Tasks[[#This Row],[_Res3Text]]="",0,IFERROR(MATCH(TRIM(LEFT(Tasks[[#This Row],[_Res3Text]],FIND("[",Tasks[[#This Row],[_Res3Text]]&amp;"[")-1)),res_Name,0),IFERROR(MATCH(TRIM(LEFT(Tasks[[#This Row],[_Res3Text]],FIND("[",Tasks[[#This Row],[_Res3Text]]&amp;"[")-1)),res_Initials,0),0)))</f>
        <v>0</v>
      </c>
      <c r="DR11" s="43" t="n">
        <f aca="false">IF(Tasks[[#This Row],[_Res4Text]]="",0,IFERROR(MATCH(TRIM(LEFT(Tasks[[#This Row],[_Res4Text]],FIND("[",Tasks[[#This Row],[_Res4Text]]&amp;"[")-1)),res_Name,0),IFERROR(MATCH(TRIM(LEFT(Tasks[[#This Row],[_Res4Text]],FIND("[",Tasks[[#This Row],[_Res4Text]]&amp;"[")-1)),res_Initials,0),0)))</f>
        <v>0</v>
      </c>
      <c r="DS11" s="43" t="str">
        <f aca="false">IF(Tasks[[#This Row],[_Res1Text]]="","",IF(Tasks[[#This Row],[_Res1Row]]&gt;0,INDEX(res_Name,Tasks[[#This Row],[_Res1Row]]),TRIM(LEFT(Tasks[[#This Row],[_Res1Text]],FIND("[",Tasks[[#This Row],[_Res1Text]]&amp;"[")-1))))</f>
        <v>Morgan Patel</v>
      </c>
      <c r="DT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 s="43" t="n">
        <f aca="false">IF(NOT(Tasks[[#This Row],[_IsLeaf]]=1),0,(Tasks[[#This Row],[_Resource1]]&lt;&gt;"")+(Tasks[[#This Row],[_Res2]]&lt;&gt;"")+(Tasks[[#This Row],[_Res3]]&lt;&gt;"")+(Tasks[[#This Row],[_Res4]]&lt;&gt;""))</f>
        <v>1</v>
      </c>
      <c r="DV11" s="43" t="str">
        <f aca="false">IF(Tasks[[#This Row],[_Res2Text]]="","",IF(Tasks[[#This Row],[_Res2Row]]&gt;0,INDEX(res_Name,Tasks[[#This Row],[_Res2Row]]),TRIM(LEFT(Tasks[[#This Row],[_Res2Text]],FIND("[",Tasks[[#This Row],[_Res2Text]]&amp;"[")-1))))</f>
        <v/>
      </c>
      <c r="DW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 s="43" t="n">
        <f aca="false">IF(OR(NOT(Tasks[[#This Row],[_IsLeaf]]=1),Tasks[[#This Row],[_Res2Row]]=0),0,N(Tasks[[#This Row],[_Days]])*HoursPerDay*IF(Tasks[[#This Row],[_Res2Units]]="",DefaultUnits,Tasks[[#This Row],[_Res2Units]]))</f>
        <v>0</v>
      </c>
      <c r="DY11" s="43" t="n">
        <f aca="false">IF(AND(AND(Tasks[[#This Row],[_IsLeaf]]=1,Tasks[[#This Row],[_LeafTotalWork]]&gt;0),Tasks[[#This Row],[_Res2Work]]&gt;0),Tasks[[#This Row],[_Res2Work]]/(Tasks[[#This Row],[_FinishWorkday]]-Tasks[[#This Row],[_StartWorkday]]+1),0)</f>
        <v>0</v>
      </c>
      <c r="DZ11" s="43" t="n">
        <f aca="false">Tasks[[#This Row],[_Res2WorkPerWD]]*MAX(0,Tasks[[#This Row],[_StartWorkday]]-1)</f>
        <v>0</v>
      </c>
      <c r="EA11" s="43" t="n">
        <f aca="false">Tasks[[#This Row],[_Res2Work]]*Tasks[[#This Row],[_LeafProgress]]</f>
        <v>0</v>
      </c>
      <c r="EB11" s="43" t="str">
        <f aca="false">IF(Tasks[[#This Row],[_Res3Text]]="","",IF(Tasks[[#This Row],[_Res3Row]]&gt;0,INDEX(res_Name,Tasks[[#This Row],[_Res3Row]]),TRIM(LEFT(Tasks[[#This Row],[_Res3Text]],FIND("[",Tasks[[#This Row],[_Res3Text]]&amp;"[")-1))))</f>
        <v/>
      </c>
      <c r="EC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 s="43" t="n">
        <f aca="false">IF(OR(NOT(Tasks[[#This Row],[_IsLeaf]]=1),Tasks[[#This Row],[_Res3Row]]=0),0,N(Tasks[[#This Row],[_Days]])*HoursPerDay*IF(Tasks[[#This Row],[_Res3Units]]="",DefaultUnits,Tasks[[#This Row],[_Res3Units]]))</f>
        <v>0</v>
      </c>
      <c r="EE11" s="43" t="n">
        <f aca="false">IF(AND(AND(Tasks[[#This Row],[_IsLeaf]]=1,Tasks[[#This Row],[_LeafTotalWork]]&gt;0),Tasks[[#This Row],[_Res3Work]]&gt;0),Tasks[[#This Row],[_Res3Work]]/(Tasks[[#This Row],[_FinishWorkday]]-Tasks[[#This Row],[_StartWorkday]]+1),0)</f>
        <v>0</v>
      </c>
      <c r="EF11" s="43" t="n">
        <f aca="false">Tasks[[#This Row],[_Res3WorkPerWD]]*MAX(0,Tasks[[#This Row],[_StartWorkday]]-1)</f>
        <v>0</v>
      </c>
      <c r="EG11" s="43" t="n">
        <f aca="false">Tasks[[#This Row],[_Res3Work]]*Tasks[[#This Row],[_LeafProgress]]</f>
        <v>0</v>
      </c>
      <c r="EH11" s="43" t="str">
        <f aca="false">IF(Tasks[[#This Row],[_Res4Text]]="","",IF(Tasks[[#This Row],[_Res4Row]]&gt;0,INDEX(res_Name,Tasks[[#This Row],[_Res4Row]]),TRIM(LEFT(Tasks[[#This Row],[_Res4Text]],FIND("[",Tasks[[#This Row],[_Res4Text]]&amp;"[")-1))))</f>
        <v/>
      </c>
      <c r="EI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 s="43" t="n">
        <f aca="false">IF(OR(NOT(Tasks[[#This Row],[_IsLeaf]]=1),Tasks[[#This Row],[_Res4Row]]=0),0,N(Tasks[[#This Row],[_Days]])*HoursPerDay*IF(Tasks[[#This Row],[_Res4Units]]="",DefaultUnits,Tasks[[#This Row],[_Res4Units]]))</f>
        <v>0</v>
      </c>
      <c r="EK11" s="43" t="n">
        <f aca="false">IF(AND(AND(Tasks[[#This Row],[_IsLeaf]]=1,Tasks[[#This Row],[_LeafTotalWork]]&gt;0),Tasks[[#This Row],[_Res4Work]]&gt;0),Tasks[[#This Row],[_Res4Work]]/(Tasks[[#This Row],[_FinishWorkday]]-Tasks[[#This Row],[_StartWorkday]]+1),0)</f>
        <v>0</v>
      </c>
      <c r="EL11" s="43" t="n">
        <f aca="false">Tasks[[#This Row],[_Res4WorkPerWD]]*MAX(0,Tasks[[#This Row],[_StartWorkday]]-1)</f>
        <v>0</v>
      </c>
      <c r="EM11" s="43" t="n">
        <f aca="false">Tasks[[#This Row],[_Res4Work]]*Tasks[[#This Row],[_LeafProgress]]</f>
        <v>0</v>
      </c>
      <c r="EN11" s="94" t="n">
        <f aca="false">IF(ISNUMBER(Tasks[[#This Row],[% Complete]]),Tasks[[#This Row],[% Complete]],IF(Tasks[[#This Row],[Stage]]="",0,IFERROR(INDEX(stg_Pct,MATCH(Tasks[[#This Row],[Stage]],stg_Name,0)),0)))</f>
        <v>1</v>
      </c>
      <c r="EO11" s="43" t="n">
        <f aca="false">IF(NOT(Tasks[[#This Row],[_IsLeaf]]=1),0,IF(N(Tasks[[#This Row],[Actual Finish]])&gt;0,1,MIN(1,Tasks[[#This Row],[_Pct]])))</f>
        <v>1</v>
      </c>
      <c r="EP11" s="43" t="n">
        <f aca="false">IF(OR(NOT(Tasks[[#This Row],[_IsLeaf]]=1),Tasks[[#This Row],[_Res1Row]]=0),0,N(Tasks[[#This Row],[_Days]])*HoursPerDay*IF(Tasks[[#This Row],[_Units1]]="",DefaultUnits,Tasks[[#This Row],[_Units1]]))</f>
        <v>64</v>
      </c>
      <c r="EQ11" s="43" t="n">
        <f aca="false">Tasks[[#This Row],[_LeafWork]]+Tasks[[#This Row],[_Res2Work]]+Tasks[[#This Row],[_Res3Work]]+Tasks[[#This Row],[_Res4Work]]</f>
        <v>64</v>
      </c>
      <c r="ER11"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S1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 s="43" t="n">
        <f aca="false">IF(NOT(Tasks[[#This Row],[_IsLeaf]]=1),0,MAX(_xlfn.MAXIFS(Tasks[_Row],Tasks[_Pred1UID],Tasks[[#This Row],[UID]]),_xlfn.MAXIFS(Tasks[_Row],Tasks[_Pred2UID],Tasks[[#This Row],[UID]]),_xlfn.MAXIFS(Tasks[_Row],Tasks[_Pred3UID],Tasks[[#This Row],[UID]]),_xlfn.MAXIFS(Tasks[_Row],Tasks[_Pred4UID],Tasks[[#This Row],[UID]])))</f>
        <v>7</v>
      </c>
      <c r="FA11"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46294</v>
      </c>
      <c r="FB11"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46294</v>
      </c>
      <c r="FC11" s="91" t="n">
        <f aca="false">IF(NOT(Tasks[[#This Row],[_IsLeaf]]=1),"",IF(N(Tasks[[#This Row],[_Days]])&lt;=0,Tasks[[#This Row],[_LeafLateFinish]],WORKDAY.INTL(Tasks[[#This Row],[_LeafLateFinish]],-(Tasks[[#This Row],[_Days]]-1),WorkWeek,Holidays)))</f>
        <v>46283</v>
      </c>
      <c r="FD11"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FE11" s="90" t="b">
        <f aca="false">AND(Tasks[[#This Row],[_IsLeaf]]=1,Tasks[[#This Row],[_LeafProgress]]&lt;1,N(Tasks[[#This Row],[_LeafTotalSlack]])&lt;=CriticalSlackDays)</f>
        <v>0</v>
      </c>
      <c r="FF11" s="43" t="n">
        <f aca="false">IF(AND(Tasks[[#This Row],[_IsLeaf]]=1,Tasks[[#This Row],[_ConstraintCode]]=1,Tasks[[#This Row],[Mode]]&lt;&gt;"Manual",N(Tasks[[#This Row],[Actual Start]])=0),MAX(0,N(Tasks[[#This Row],[Free Slack]])),0)</f>
        <v>0</v>
      </c>
      <c r="FG11" s="91" t="n">
        <f aca="false">IF(NOT(Tasks[[#This Row],[_IsLeaf]]=1),"",IF(Tasks[[#This Row],[_AlapShift]]=0,Tasks[[#This Row],[_LeafCalcStart]],WORKDAY.INTL(Tasks[[#This Row],[_LeafCalcStart]],Tasks[[#This Row],[_AlapShift]],WorkWeek,Holidays)))</f>
        <v>46279</v>
      </c>
      <c r="FH11" s="91" t="n">
        <f aca="false">IF(NOT(Tasks[[#This Row],[_IsLeaf]]=1),"",IF(Tasks[[#This Row],[_AlapShift]]=0,Tasks[[#This Row],[_LeafCalcFinish]],WORKDAY.INTL(Tasks[[#This Row],[_LeafCalcFinish]],Tasks[[#This Row],[_AlapShift]],WorkWeek,Holidays)))</f>
        <v>46288</v>
      </c>
      <c r="FI11" s="91" t="n">
        <f aca="false">IF(NOT(Tasks[[#This Row],[_IsLeaf]]=1),"",IF(Tasks[[#This Row],[_AlapShift]]=0,Tasks[[#This Row],[_LeafFcstStart]],WORKDAY.INTL(Tasks[[#This Row],[_LeafFcstStart]],Tasks[[#This Row],[_AlapShift]],WorkWeek,Holidays)))</f>
        <v>46280</v>
      </c>
      <c r="FJ11" s="91" t="n">
        <f aca="false">IF(NOT(Tasks[[#This Row],[_IsLeaf]]=1),"",IF(Tasks[[#This Row],[_AlapShift]]=0,Tasks[[#This Row],[_LeafFcstFinish]],WORKDAY.INTL(Tasks[[#This Row],[_LeafFcstFinish]],Tasks[[#This Row],[_AlapShift]],WorkWeek,Holidays)))</f>
        <v>46290</v>
      </c>
      <c r="FK11" s="91" t="n">
        <f aca="false">IF(Tasks[[#This Row],[Task Name]]="","",IF(Tasks[[#This Row],[_IsSummary]],MIN(INDEX(Tasks[_ShownCalcStart],Tasks[[#This Row],[_Row]]+1):INDEX(Tasks[_ShownCalcStart],Tasks[[#This Row],[_Row]]+Tasks[[#This Row],[_Descendants]])),Tasks[[#This Row],[_ShownCalcStart]]))</f>
        <v>46279</v>
      </c>
      <c r="FL11" s="91" t="n">
        <f aca="false">IF(Tasks[[#This Row],[Task Name]]="","",IF(Tasks[[#This Row],[_IsSummary]],MAX(INDEX(Tasks[_ShownCalcFinish],Tasks[[#This Row],[_Row]]+1):INDEX(Tasks[_ShownCalcFinish],Tasks[[#This Row],[_Row]]+Tasks[[#This Row],[_Descendants]])),Tasks[[#This Row],[_ShownCalcFinish]]))</f>
        <v>46288</v>
      </c>
      <c r="FM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46279</v>
      </c>
      <c r="FR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46280</v>
      </c>
      <c r="FV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 s="43" t="n">
        <f aca="false">IF(AND(Tasks[[#This Row],[_IsLeaf]]=1,Tasks[[#This Row],[_LeafTotalWork]]&gt;0),NETWORKDAYS.INTL(ProjectStart,Tasks[[#This Row],[_ShownFcstStart]],WorkWeek,Holidays),0)</f>
        <v>7</v>
      </c>
      <c r="FZ11" s="43" t="n">
        <f aca="false">IF(AND(Tasks[[#This Row],[_IsLeaf]]=1,Tasks[[#This Row],[_LeafTotalWork]]&gt;0),MAX(Tasks[[#This Row],[_StartWorkday]],NETWORKDAYS.INTL(ProjectStart,Tasks[[#This Row],[_ShownFcstFinish]],WorkWeek,Holidays)),0)</f>
        <v>15</v>
      </c>
      <c r="GA11" s="43" t="n">
        <f aca="false">IF(AND(Tasks[[#This Row],[_IsLeaf]]=1,Tasks[[#This Row],[_LeafTotalWork]]&gt;0),Tasks[[#This Row],[_LeafWork]]/(Tasks[[#This Row],[_FinishWorkday]]-Tasks[[#This Row],[_StartWorkday]]+1),0)</f>
        <v>7.11111111111111</v>
      </c>
      <c r="GB11" s="43" t="n">
        <f aca="false">Tasks[[#This Row],[_WorkPerWorkday]]*(Tasks[[#This Row],[_StartWorkday]]-1)</f>
        <v>42.6666666666667</v>
      </c>
      <c r="GC11" s="43" t="n">
        <f aca="false">IF(Tasks[[#This Row],[_IsLeaf]]=1,MAX(N(Tasks[[#This Row],[_Days]]),0.1),0)</f>
        <v>8</v>
      </c>
      <c r="GD11" s="43" t="n">
        <f aca="false">Tasks[[#This Row],[_WeightDur]]*Tasks[[#This Row],[_LeafProgress]]</f>
        <v>8</v>
      </c>
      <c r="GE11" s="43" t="n">
        <f aca="false">Tasks[[#This Row],[_WeightDur]]*Tasks[[#This Row],[_PlannedPct]]</f>
        <v>8</v>
      </c>
      <c r="GF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GG11" s="43" t="str">
        <f aca="false">IF(AND(Tasks[[#This Row],[_IsLeaf]]=1,N(Tasks[[#This Row],[_Days]])=0,Tasks[[#This Row],[_LeafProgress]]&lt;1),Tasks[[#This Row],[_ShownFcstFinish]]+Tasks[[#This Row],[_Row]]/100000,"")</f>
        <v/>
      </c>
      <c r="GH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1" s="43" t="str">
        <f aca="false">IF(Tasks[[#This Row],[Task Name]]="","",LEFT(Tasks[[#This Row],[WBS]],FIND(".",Tasks[[#This Row],[WBS]]&amp;".")-1))</f>
        <v>2</v>
      </c>
      <c r="GJ11" s="43" t="str">
        <f aca="false">IF(AND(Tasks[[#This Row],[Task Name]]&lt;&gt;"",Tasks[[#This Row],[_Level]]=1),Tasks[[#This Row],[_Row]],"")</f>
        <v/>
      </c>
      <c r="GK11" s="43" t="str">
        <f aca="false">IF(AND(Tasks[[#This Row],[_IsLeaf]]=1,N(Tasks[[#This Row],[_Days]])=0),Tasks[[#This Row],[Planned Finish]]+Tasks[[#This Row],[_Row]]/100000,"")</f>
        <v/>
      </c>
      <c r="GL11" s="43" t="str">
        <f aca="false">IF(AND(Tasks[[#This Row],[_IsLeaf]]=1,Tasks[[#This Row],[_LeafProgress]]&lt;1,OR(N(Tasks[[#This Row],[Finish Var]])&gt;0,Tasks[[#This Row],[Status]]="Late Start")),MAX(0,Tasks[[#This Row],[Finish Var]])+1-Tasks[[#This Row],[_Row]]/1000000,"")</f>
        <v/>
      </c>
      <c r="GM11" s="43" t="str">
        <f aca="false">IF(AND(Tasks[[#This Row],[_IsLeaf]]=1,N(Tasks[[#This Row],[Actual Start]])=0,Tasks[[#This Row],[_ShownFcstStart]]&gt;=StatusDate,Tasks[[#This Row],[_ShownFcstStart]]&lt;=LookaheadEnd),Tasks[[#This Row],[_ShownFcstStart]]+Tasks[[#This Row],[_Row]]/100000,"")</f>
        <v/>
      </c>
      <c r="GN11" s="43" t="str">
        <f aca="false">IF(AND(Tasks[[#This Row],[_IsLeaf]]=1,Tasks[[#This Row],[_LeafProgress]]&lt;1,Tasks[[#This Row],[_ShownFcstFinish]]&gt;=StatusDate,Tasks[[#This Row],[_ShownFcstFinish]]&lt;=LookaheadEnd),Tasks[[#This Row],[_ShownFcstFinish]]+Tasks[[#This Row],[_Row]]/100000,"")</f>
        <v/>
      </c>
      <c r="GO11" s="43" t="str">
        <f aca="false">IF(Tasks[[#This Row],[_LeafCritical]],Tasks[[#This Row],[_ShownFcstStart]]+Tasks[[#This Row],[_Row]]/100000,"")</f>
        <v/>
      </c>
      <c r="GP11" s="43" t="n">
        <f aca="false">Tasks[[#This Row],[_LeafWork]]*Tasks[[#This Row],[_LeafProgress]]</f>
        <v>64</v>
      </c>
      <c r="GQ11" s="91" t="n">
        <f aca="false">IF(AND(Tasks[[#This Row],[_IsLeaf]]=1,Tasks[[#This Row],[_LeafProgress]]&gt;=1),IF(N(Tasks[[#This Row],[Actual Finish]])&gt;0,Tasks[[#This Row],[Actual Finish]],Tasks[[#This Row],[_ShownFcstFinish]]),"")</f>
        <v>46290</v>
      </c>
      <c r="GR11" s="43" t="n">
        <f aca="false">IF(Tasks[[#This Row],[_IsLeaf]]=1,N(Tasks[[#This Row],[Story Points]]),0)</f>
        <v>0</v>
      </c>
      <c r="GS11" s="43" t="str">
        <f aca="false">""</f>
        <v/>
      </c>
      <c r="GT11" s="90" t="b">
        <f aca="false">IF(Tasks[[#This Row],[Task Name]]="",FALSE(),AND(Tasks[[#This Row],[_IsLeaf]]=1,N(Tasks[[#This Row],[_Days]])=0))</f>
        <v>0</v>
      </c>
      <c r="GU11" s="91" t="n">
        <f aca="false">IF(Tasks[[#This Row],[Task Name]]="",0,IF(AND(Tasks[[#This Row],[_IsLeaf]]=1,NOT(Tasks[[#This Row],[_IsMilestone]]),N(Tasks[[#This Row],[Progress]])&gt;0),Tasks[[#This Row],[Start]],0))</f>
        <v>46280</v>
      </c>
      <c r="GV11" s="91" t="n">
        <f aca="false">IF(Tasks[[#This Row],[_DoneFrom]]=0,0,IF(Tasks[[#This Row],[Progress]]&gt;=1,Tasks[[#This Row],[Finish]],MAX(Tasks[[#This Row],[_DoneFrom]],Tasks[[#This Row],[Start]]+ROUND((Tasks[[#This Row],[Finish]]-Tasks[[#This Row],[Start]]+1)*Tasks[[#This Row],[Progress]],0)-1)))</f>
        <v>46290</v>
      </c>
      <c r="GW11" s="91" t="n">
        <f aca="false">IF(Tasks[[#This Row],[Task Name]]="",0,IF(OR(NOT(Tasks[[#This Row],[_IsLeaf]]=1),Tasks[[#This Row],[_IsMilestone]],N(Tasks[[#This Row],[Progress]])&gt;=1),0,IF(Tasks[[#This Row],[_DoneTo]]&gt;0,Tasks[[#This Row],[_DoneTo]]+1,Tasks[[#This Row],[Start]])))</f>
        <v>0</v>
      </c>
      <c r="GX11" s="91" t="n">
        <f aca="false">IF(Tasks[[#This Row],[_RemFrom]]=0,0,Tasks[[#This Row],[Finish]])</f>
        <v>0</v>
      </c>
      <c r="GY11" s="90" t="b">
        <f aca="false">IF(Tasks[[#This Row],[Task Name]]="",FALSE(),OR(NOT(BaselineSet),N(Tasks[[#This Row],[Baseline Start]])&gt;0))</f>
        <v>1</v>
      </c>
      <c r="GZ11" s="43" t="n">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8</v>
      </c>
      <c r="HA1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4</v>
      </c>
      <c r="HB1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HC11" s="92" t="n">
        <f aca="false">IF(Tasks[[#This Row],[_IsLeaf]]=1,Tasks[[#This Row],[_Row]],"")</f>
        <v>6</v>
      </c>
      <c r="HD11" s="92" t="str">
        <f aca="false">IFERROR(INDEX(Tasks[UID],SMALL(Tasks[_PickKey],Tasks[[#This Row],[_Row]]))&amp;" "&amp;INDEX(Tasks[Task Name],SMALL(Tasks[_PickKey],Tasks[[#This Row],[_Row]])),"")</f>
        <v>9 Design sign-off</v>
      </c>
      <c r="HE11" s="43" t="n">
        <f aca="false">IF(Tasks[[#This Row],[Task Name]]="","",IF(Tasks[[#This Row],[_IsSummary]],NETWORKDAYS.INTL(Tasks[[#This Row],[Start]],Tasks[[#This Row],[Finish]],WorkWeek,Holidays),N(Tasks[[#This Row],[_Days]])))</f>
        <v>8</v>
      </c>
      <c r="HF11" s="43" t="n">
        <f aca="false">IF(Tasks[[#This Row],[Expected]]="",0,((Tasks[[#This Row],[Pessimistic]]-Tasks[[#This Row],[Optimistic]])/6)^2)</f>
        <v>0</v>
      </c>
      <c r="HG11" s="43" t="n">
        <f aca="false">IF(Tasks[[#This Row],[Expected]]="",0,Tasks[[#This Row],[Expected]]-N(Tasks[[#This Row],[_Days]]))</f>
        <v>0</v>
      </c>
    </row>
    <row r="12" customFormat="false" ht="15" hidden="false" customHeight="false" outlineLevel="1" collapsed="false">
      <c r="A12" s="21" t="n">
        <f aca="false">IF(Tasks[[#This Row],[Task Name]]="","",COUNTA(Tasks[[#Headers],[Task Name]]:Tasks[[#This Row],[Task Name]])-1)</f>
        <v>7</v>
      </c>
      <c r="B12" s="22" t="n">
        <v>8</v>
      </c>
      <c r="C12" s="22" t="n">
        <v>2</v>
      </c>
      <c r="D12" s="93" t="s">
        <v>650</v>
      </c>
      <c r="E12" s="22" t="n">
        <v>6</v>
      </c>
      <c r="F12" s="23" t="n">
        <v>6</v>
      </c>
      <c r="G12" s="22"/>
      <c r="H12" s="22"/>
      <c r="I12" s="23"/>
      <c r="J12" s="22"/>
      <c r="K12" s="22"/>
      <c r="L12" s="23"/>
      <c r="M12" s="22"/>
      <c r="N12" s="22"/>
      <c r="O12" s="23"/>
      <c r="P12" s="22"/>
      <c r="Q12" s="22"/>
      <c r="R12" s="23"/>
      <c r="S12" s="23" t="s">
        <v>651</v>
      </c>
      <c r="T12" s="84"/>
      <c r="U12" s="23"/>
      <c r="V12" s="84"/>
      <c r="W12" s="23"/>
      <c r="X12" s="84"/>
      <c r="Y12" s="23"/>
      <c r="Z12" s="84"/>
      <c r="AA12" s="23"/>
      <c r="AB12" s="23" t="s">
        <v>150</v>
      </c>
      <c r="AC12" s="7" t="n">
        <v>46293</v>
      </c>
      <c r="AD12" s="7" t="n">
        <v>46301</v>
      </c>
      <c r="AE12" s="63" t="n">
        <f aca="false">IF(Tasks[[#This Row],[Task Name]]="","",IF(Tasks[[#This Row],[_IsSummary]],MIN(INDEX(Tasks[_ShownFcstStart],Tasks[[#This Row],[_Row]]+1):INDEX(Tasks[_ShownFcstStart],Tasks[[#This Row],[_Row]]+Tasks[[#This Row],[_Descendants]])),Tasks[[#This Row],[_ShownFcstStart]]))</f>
        <v>46293</v>
      </c>
      <c r="AF12" s="63" t="n">
        <f aca="false">IF(Tasks[[#This Row],[Task Name]]="","",IF(Tasks[[#This Row],[_IsSummary]],MAX(INDEX(Tasks[_ShownFcstFinish],Tasks[[#This Row],[_Row]]+1):INDEX(Tasks[_ShownFcstFinish],Tasks[[#This Row],[_Row]]+Tasks[[#This Row],[_Descendants]])),Tasks[[#This Row],[_ShownFcstFinish]]))</f>
        <v>46301</v>
      </c>
      <c r="AG12" s="21" t="str">
        <f aca="false">""</f>
        <v/>
      </c>
      <c r="AH12" s="23"/>
      <c r="AI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 s="7"/>
      <c r="AK12" s="22" t="s">
        <v>248</v>
      </c>
      <c r="AL12" s="23"/>
      <c r="AM12" s="7"/>
      <c r="AN12" s="47" t="n">
        <f aca="false">IF(Tasks[[#This Row],[Task Name]]="","",IF(Tasks[[#This Row],[Finish]]&gt;=Tasks[[#This Row],[Planned Finish]],NETWORKDAYS.INTL(Tasks[[#This Row],[Planned Finish]],Tasks[[#This Row],[Finish]],WorkWeek,Holidays)-1,1-NETWORKDAYS.INTL(Tasks[[#This Row],[Finish]],Tasks[[#This Row],[Planned Finish]],WorkWeek,Holidays)))</f>
        <v>3</v>
      </c>
      <c r="AO12" s="21" t="str">
        <f aca="false">IF(Tasks[[#This Row],[Task Name]]="","",IF(Tasks[[#This Row],[Progress]]&gt;=1,"Complete",IF(OR(N(Tasks[[#This Row],[Actual Start]])&gt;0,Tasks[[#This Row],[Progress]]&gt;0),IF(Tasks[[#This Row],[Finish Var]]&gt;0,"Behind","In Progress"),IF(Tasks[[#This Row],[Planned Start]]&lt;StatusDate,"Late Start","Not Started"))))</f>
        <v>Complete</v>
      </c>
      <c r="AP12" s="21" t="str">
        <f aca="false">IF(Tasks[[#This Row],[Task Name]]="","",IF(IF(Tasks[[#This Row],[_IsSummary]],COUNTIF(INDEX(Tasks[_LeafCritical],Tasks[[#This Row],[_Row]]+1):INDEX(Tasks[_LeafCritical],Tasks[[#This Row],[_Row]]+Tasks[[#This Row],[_Descendants]]),TRUE())&gt;0,Tasks[[#This Row],[_LeafCritical]]),"Yes",""))</f>
        <v/>
      </c>
      <c r="AQ12" s="63" t="n">
        <f aca="false">IF(Tasks[[#This Row],[Task Name]]="","",IF(N(Tasks[[#This Row],[Baseline Start]])&gt;0,Tasks[[#This Row],[Baseline Start]],Tasks[[#This Row],[_CalcStart]]))</f>
        <v>46289</v>
      </c>
      <c r="AR12" s="63" t="n">
        <f aca="false">IF(Tasks[[#This Row],[Task Name]]="","",IF(N(Tasks[[#This Row],[Baseline Finish]])&gt;0,Tasks[[#This Row],[Baseline Finish]],Tasks[[#This Row],[_CalcFinish]]))</f>
        <v>46296</v>
      </c>
      <c r="AS12" s="47" t="n">
        <f aca="false">IF(Tasks[[#This Row],[Task Name]]="","",IF(Tasks[[#This Row],[Start]]&gt;=Tasks[[#This Row],[Planned Start]],NETWORKDAYS.INTL(Tasks[[#This Row],[Planned Start]],Tasks[[#This Row],[Start]],WorkWeek,Holidays)-1,1-NETWORKDAYS.INTL(Tasks[[#This Row],[Start]],Tasks[[#This Row],[Planned Start]],WorkWeek,Holidays)))</f>
        <v>2</v>
      </c>
      <c r="AT12" s="63" t="n">
        <f aca="false">IF(Tasks[[#This Row],[Task Name]]="","",IF(Tasks[[#This Row],[_IsSummary]],MIN(INDEX(Tasks[_LeafLateStart],Tasks[[#This Row],[_Row]]+1):INDEX(Tasks[_LeafLateStart],Tasks[[#This Row],[_Row]]+Tasks[[#This Row],[_Descendants]])),Tasks[[#This Row],[_LeafLateStart]]))</f>
        <v>46295</v>
      </c>
      <c r="AU12" s="63" t="n">
        <f aca="false">IF(Tasks[[#This Row],[Task Name]]="","",IF(Tasks[[#This Row],[_IsSummary]],MAX(INDEX(Tasks[_LeafLateFinish],Tasks[[#This Row],[_Row]]+1):INDEX(Tasks[_LeafLateFinish],Tasks[[#This Row],[_Row]]+Tasks[[#This Row],[_Descendants]])),Tasks[[#This Row],[_LeafLateFinish]]))</f>
        <v>46302</v>
      </c>
      <c r="AV12" s="47" t="n">
        <f aca="false">IF(Tasks[[#This Row],[Task Name]]="","",IF(Tasks[[#This Row],[_IsSummary]],MIN(INDEX(Tasks[_LeafTotalSlack],Tasks[[#This Row],[_Row]]+1):INDEX(Tasks[_LeafTotalSlack],Tasks[[#This Row],[_Row]]+Tasks[[#This Row],[_Descendants]])),Tasks[[#This Row],[_LeafTotalSlack]]))</f>
        <v>1</v>
      </c>
      <c r="AW12"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5"/>
      <c r="BA12"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BC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BD12" s="21" t="str">
        <f aca="false">IF(Tasks[[#This Row],[Task Name]]="","",IF(Tasks[[#This Row],[_Level]]&lt;=OutlineShowLevel,"Yes","No"))</f>
        <v>Yes</v>
      </c>
      <c r="BE12" s="86" t="n">
        <f aca="false">IF(Tasks[[#This Row],[Task Name]]="","",IF(Tasks[[#This Row],[_IsSummary]],SUM(INDEX(Tasks[_LeafTotalWork],Tasks[[#This Row],[_Row]]+1):INDEX(Tasks[_LeafTotalWork],Tasks[[#This Row],[_Row]]+Tasks[[#This Row],[_Descendants]])),Tasks[[#This Row],[_LeafTotalWork]]))</f>
        <v>48</v>
      </c>
      <c r="BF12" s="23"/>
      <c r="BG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Casey Kim</v>
      </c>
      <c r="BH12" s="21" t="str">
        <f aca="false">""</f>
        <v/>
      </c>
      <c r="BI12" s="87"/>
      <c r="BJ12" s="22"/>
      <c r="BK12" s="47" t="n">
        <f aca="false">IF(OR(Tasks[[#This Row],[Task Name]]="",Tasks[[#This Row],[Baseline Duration]]=""),"",Tasks[[#This Row],[_SpanDays]]-N(Tasks[[#This Row],[Baseline Duration]]))</f>
        <v>0</v>
      </c>
      <c r="BL12" s="86" t="n">
        <f aca="false">IF(OR(Tasks[[#This Row],[Task Name]]="",Tasks[[#This Row],[Baseline Work]]=""),"",Tasks[[#This Row],[Work]]-N(Tasks[[#This Row],[Baseline Work]]))</f>
        <v>0</v>
      </c>
      <c r="BM12" s="63" t="n">
        <f aca="false">IF(Tasks[[#This Row],[Task Name]]="","",IF(OR(TakeBaseline="Yes",N(Tasks[[#This Row],[Baseline Start]])=0),Tasks[[#This Row],[Start]],Tasks[[#This Row],[Baseline Start]]))</f>
        <v>46289</v>
      </c>
      <c r="BN12" s="63" t="n">
        <f aca="false">IF(Tasks[[#This Row],[Task Name]]="","",IF(OR(TakeBaseline="Yes",N(Tasks[[#This Row],[Baseline Finish]])=0),Tasks[[#This Row],[Finish]],Tasks[[#This Row],[Baseline Finish]]))</f>
        <v>46296</v>
      </c>
      <c r="BO12" s="21" t="n">
        <f aca="false">IF(Tasks[[#This Row],[Task Name]]="","",IF(OR(TakeBaseline="Yes",N(Tasks[[#This Row],[Baseline Duration]])=0),Tasks[[#This Row],[_SpanDays]],Tasks[[#This Row],[Baseline Duration]]))</f>
        <v>6</v>
      </c>
      <c r="BP12" s="86" t="n">
        <f aca="false">IF(Tasks[[#This Row],[Task Name]]="","",IF(OR(TakeBaseline="Yes",N(Tasks[[#This Row],[Baseline Work]])=0),Tasks[[#This Row],[Work]],Tasks[[#This Row],[Baseline Work]]))</f>
        <v>48</v>
      </c>
      <c r="BQ12" s="7" t="n">
        <v>46289</v>
      </c>
      <c r="BR12" s="7" t="n">
        <v>46296</v>
      </c>
      <c r="BS12" s="22" t="n">
        <v>6</v>
      </c>
      <c r="BT12" s="88" t="n">
        <v>48</v>
      </c>
      <c r="BU12" s="23"/>
      <c r="BV12" s="23"/>
      <c r="BW12" s="23"/>
      <c r="BX12" s="89" t="str">
        <f aca="false">IF(AND(Tasks[[#This Row],[_IsLeaf]]=1,ISNUMBER(Tasks[[#This Row],[Optimistic]]),ISNUMBER(Tasks[[#This Row],[Pessimistic]])),ROUND((Tasks[[#This Row],[Optimistic]]+4*N(Tasks[[#This Row],[_Days]])+Tasks[[#This Row],[Pessimistic]])/6,1),"")</f>
        <v/>
      </c>
      <c r="BY12" s="87"/>
      <c r="BZ12" s="87"/>
      <c r="CA12" s="22"/>
      <c r="CB12" s="43" t="n">
        <f aca="false">IF(Tasks[[#This Row],[Task Name]]="","",MAX(1,N(Tasks[[#This Row],[Level]])))</f>
        <v>2</v>
      </c>
      <c r="CC12" s="43" t="n">
        <f aca="false">ROW()-ROW(Tasks[[#Headers],[ID]])</f>
        <v>7</v>
      </c>
      <c r="CD12" s="43" t="n">
        <f aca="false">IF(OR(Tasks[[#This Row],[Task Name]]="",Tasks[[#This Row],[_Level]]&lt;=1),0,IFERROR(LOOKUP(2,1/(Tasks[[#Headers],[_Level]]:Tasks[[#This Row],[_Level]]=Tasks[[#This Row],[_Level]]-1),ROW(Tasks[[#Headers],[_Level]]:Tasks[[#This Row],[_Level]])),0))</f>
        <v>10</v>
      </c>
      <c r="CE12" s="43" t="n">
        <f aca="false">IFERROR(N(INDEX(Tasks[_Level],Tasks[[#This Row],[_Row]]+1)),0)</f>
        <v>2</v>
      </c>
      <c r="CF12" s="90" t="b">
        <f aca="false">AND(Tasks[[#This Row],[Task Name]]&lt;&gt;"",Tasks[[#This Row],[_NextLevel]]&gt;Tasks[[#This Row],[_Level]])</f>
        <v>0</v>
      </c>
      <c r="CG12" s="43" t="n">
        <f aca="false">IF(Tasks[[#This Row],[_IsSummary]],COUNTIF(Tasks[WBS],Tasks[[#This Row],[WBS]]&amp;".*"),0)</f>
        <v>0</v>
      </c>
      <c r="CH12" s="43" t="n">
        <f aca="false">IF(AND(Tasks[[#This Row],[Task Name]]&lt;&gt;"",NOT(Tasks[[#This Row],[_IsSummary]])),1,0)</f>
        <v>1</v>
      </c>
      <c r="CI12" s="43" t="n">
        <f aca="false">IF(N(Tasks[[#This Row],[_Pred1UID]])=0,0,IFERROR(MATCH(Tasks[[#This Row],[_Pred1UID]],Tasks[UID],0),-1))</f>
        <v>6</v>
      </c>
      <c r="CJ12" s="43" t="n">
        <f aca="false">IF(N(Tasks[[#This Row],[_Pred2UID]])=0,0,IFERROR(MATCH(Tasks[[#This Row],[_Pred2UID]],Tasks[UID],0),-1))</f>
        <v>0</v>
      </c>
      <c r="CK12" s="43" t="n">
        <f aca="false">IF(N(Tasks[[#This Row],[_Pred3UID]])=0,0,IFERROR(MATCH(Tasks[[#This Row],[_Pred3UID]],Tasks[UID],0),-1))</f>
        <v>0</v>
      </c>
      <c r="CL12" s="43" t="n">
        <f aca="false">IF(N(Tasks[[#This Row],[_Pred4UID]])=0,0,IFERROR(MATCH(Tasks[[#This Row],[_Pred4UID]],Tasks[UID],0),-1))</f>
        <v>0</v>
      </c>
      <c r="CM12"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 s="91" t="n">
        <f aca="false">IF(OR(Tasks[[#This Row],[_ConstraintCode]]=2,Tasks[[#This Row],[_ConstraintCode]]=3,Tasks[[#This Row],[_ConstraintCode]]=4,Tasks[[#This Row],[_ConstraintCode]]=6),Tasks[[#This Row],[_ConstraintStart]],0)</f>
        <v>0</v>
      </c>
      <c r="CP12" s="91" t="n">
        <f aca="false">IF(OR(Tasks[[#This Row],[_ConstraintCode]]=2,Tasks[[#This Row],[_ConstraintCode]]=3,Tasks[[#This Row],[_ConstraintCode]]=5,Tasks[[#This Row],[_ConstraintCode]]=7),Tasks[[#This Row],[_ConstraintStart]],2958465)</f>
        <v>2958465</v>
      </c>
      <c r="CQ12"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R12" s="91" t="n">
        <f aca="false">IF(NOT(Tasks[[#This Row],[_IsLeaf]]=1),"",IF(N(Tasks[[#This Row],[_Days]])&lt;=0,Tasks[[#This Row],[_LeafCalcStart]],WORKDAY.INTL(Tasks[[#This Row],[_LeafCalcStart]],Tasks[[#This Row],[_Days]]-1,WorkWeek,Holidays)))</f>
        <v>46296</v>
      </c>
      <c r="CS12"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T12"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U12" s="43" t="str">
        <f aca="false">IF(Tasks[[#This Row],[_Predecessors]]="","",TRIM(MID(SUBSTITUTE(SUBSTITUTE(SUBSTITUTE(UPPER(Tasks[[#This Row],[_Predecessors]]),";",",")," ",""),",",REPT(" ",99)),1,99)))</f>
        <v>6</v>
      </c>
      <c r="CV12" s="43" t="n">
        <f aca="false">IF(Tasks[[#This Row],[_Pred1Text]]="","",IFERROR(VALUE(LEFT(Tasks[[#This Row],[_Pred1Text]],MIN(FIND("F",Tasks[[#This Row],[_Pred1Text]]&amp;"F"),FIND("S",Tasks[[#This Row],[_Pred1Text]]&amp;"S"),FIND("+",Tasks[[#This Row],[_Pred1Text]]&amp;"+"),FIND("-",Tasks[[#This Row],[_Pred1Text]]&amp;"-"))-1)),""))</f>
        <v>6</v>
      </c>
      <c r="CW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2"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2" s="43" t="str">
        <f aca="false">IF(Tasks[[#This Row],[_Pred1Text]]="","",TRIM(MID(SUBSTITUTE(SUBSTITUTE(SUBSTITUTE(UPPER(Tasks[[#This Row],[_Predecessors]]),";",",")," ",""),",",REPT(" ",99)),100,99)))</f>
        <v/>
      </c>
      <c r="CZ12" s="43" t="str">
        <f aca="false">IF(Tasks[[#This Row],[_Pred2Text]]="","",IFERROR(VALUE(LEFT(Tasks[[#This Row],[_Pred2Text]],MIN(FIND("F",Tasks[[#This Row],[_Pred2Text]]&amp;"F"),FIND("S",Tasks[[#This Row],[_Pred2Text]]&amp;"S"),FIND("+",Tasks[[#This Row],[_Pred2Text]]&amp;"+"),FIND("-",Tasks[[#This Row],[_Pred2Text]]&amp;"-"))-1)),""))</f>
        <v/>
      </c>
      <c r="DA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 s="43" t="str">
        <f aca="false">IF(Tasks[[#This Row],[_Pred2Text]]="","",TRIM(MID(SUBSTITUTE(SUBSTITUTE(SUBSTITUTE(UPPER(Tasks[[#This Row],[_Predecessors]]),";",",")," ",""),",",REPT(" ",99)),199,99)))</f>
        <v/>
      </c>
      <c r="DD12" s="43" t="str">
        <f aca="false">IF(Tasks[[#This Row],[_Pred3Text]]="","",IFERROR(VALUE(LEFT(Tasks[[#This Row],[_Pred3Text]],MIN(FIND("F",Tasks[[#This Row],[_Pred3Text]]&amp;"F"),FIND("S",Tasks[[#This Row],[_Pred3Text]]&amp;"S"),FIND("+",Tasks[[#This Row],[_Pred3Text]]&amp;"+"),FIND("-",Tasks[[#This Row],[_Pred3Text]]&amp;"-"))-1)),""))</f>
        <v/>
      </c>
      <c r="DE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 s="43" t="str">
        <f aca="false">IF(Tasks[[#This Row],[_Pred3Text]]="","",TRIM(MID(SUBSTITUTE(SUBSTITUTE(SUBSTITUTE(UPPER(Tasks[[#This Row],[_Predecessors]]),";",",")," ",""),",",REPT(" ",99)),298,99)))</f>
        <v/>
      </c>
      <c r="DH12" s="43" t="str">
        <f aca="false">IF(Tasks[[#This Row],[_Pred4Text]]="","",IFERROR(VALUE(LEFT(Tasks[[#This Row],[_Pred4Text]],MIN(FIND("F",Tasks[[#This Row],[_Pred4Text]]&amp;"F"),FIND("S",Tasks[[#This Row],[_Pred4Text]]&amp;"S"),FIND("+",Tasks[[#This Row],[_Pred4Text]]&amp;"+"),FIND("-",Tasks[[#This Row],[_Pred4Text]]&amp;"-"))-1)),""))</f>
        <v/>
      </c>
      <c r="DI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 s="43" t="str">
        <f aca="false">IF(OR(Tasks[[#This Row],[Task Name]]="",Tasks[[#This Row],[_Resources]]=""),"",TRIM(MID(SUBSTITUTE(Tasks[[#This Row],[_Resources]],",",REPT(" ",99)),1,99)))</f>
        <v>Casey Kim</v>
      </c>
      <c r="DL12" s="43" t="str">
        <f aca="false">IF(Tasks[[#This Row],[_Res1Text]]="","",TRIM(MID(SUBSTITUTE(Tasks[[#This Row],[_Resources]],",",REPT(" ",99)),100,99)))</f>
        <v/>
      </c>
      <c r="DM12" s="43" t="str">
        <f aca="false">IF(Tasks[[#This Row],[_Res2Text]]="","",TRIM(MID(SUBSTITUTE(Tasks[[#This Row],[_Resources]],",",REPT(" ",99)),199,99)))</f>
        <v/>
      </c>
      <c r="DN12" s="43" t="str">
        <f aca="false">IF(Tasks[[#This Row],[_Res3Text]]="","",TRIM(MID(SUBSTITUTE(Tasks[[#This Row],[_Resources]],",",REPT(" ",99)),298,99)))</f>
        <v/>
      </c>
      <c r="DO12" s="43" t="n">
        <f aca="false">IF(Tasks[[#This Row],[_Res1Text]]="",0,IFERROR(MATCH(TRIM(LEFT(Tasks[[#This Row],[_Res1Text]],FIND("[",Tasks[[#This Row],[_Res1Text]]&amp;"[")-1)),res_Name,0),IFERROR(MATCH(TRIM(LEFT(Tasks[[#This Row],[_Res1Text]],FIND("[",Tasks[[#This Row],[_Res1Text]]&amp;"[")-1)),res_Initials,0),0)))</f>
        <v>4</v>
      </c>
      <c r="DP12" s="43" t="n">
        <f aca="false">IF(Tasks[[#This Row],[_Res2Text]]="",0,IFERROR(MATCH(TRIM(LEFT(Tasks[[#This Row],[_Res2Text]],FIND("[",Tasks[[#This Row],[_Res2Text]]&amp;"[")-1)),res_Name,0),IFERROR(MATCH(TRIM(LEFT(Tasks[[#This Row],[_Res2Text]],FIND("[",Tasks[[#This Row],[_Res2Text]]&amp;"[")-1)),res_Initials,0),0)))</f>
        <v>0</v>
      </c>
      <c r="DQ12" s="43" t="n">
        <f aca="false">IF(Tasks[[#This Row],[_Res3Text]]="",0,IFERROR(MATCH(TRIM(LEFT(Tasks[[#This Row],[_Res3Text]],FIND("[",Tasks[[#This Row],[_Res3Text]]&amp;"[")-1)),res_Name,0),IFERROR(MATCH(TRIM(LEFT(Tasks[[#This Row],[_Res3Text]],FIND("[",Tasks[[#This Row],[_Res3Text]]&amp;"[")-1)),res_Initials,0),0)))</f>
        <v>0</v>
      </c>
      <c r="DR12" s="43" t="n">
        <f aca="false">IF(Tasks[[#This Row],[_Res4Text]]="",0,IFERROR(MATCH(TRIM(LEFT(Tasks[[#This Row],[_Res4Text]],FIND("[",Tasks[[#This Row],[_Res4Text]]&amp;"[")-1)),res_Name,0),IFERROR(MATCH(TRIM(LEFT(Tasks[[#This Row],[_Res4Text]],FIND("[",Tasks[[#This Row],[_Res4Text]]&amp;"[")-1)),res_Initials,0),0)))</f>
        <v>0</v>
      </c>
      <c r="DS12" s="43" t="str">
        <f aca="false">IF(Tasks[[#This Row],[_Res1Text]]="","",IF(Tasks[[#This Row],[_Res1Row]]&gt;0,INDEX(res_Name,Tasks[[#This Row],[_Res1Row]]),TRIM(LEFT(Tasks[[#This Row],[_Res1Text]],FIND("[",Tasks[[#This Row],[_Res1Text]]&amp;"[")-1))))</f>
        <v>Casey Kim</v>
      </c>
      <c r="DT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 s="43" t="n">
        <f aca="false">IF(NOT(Tasks[[#This Row],[_IsLeaf]]=1),0,(Tasks[[#This Row],[_Resource1]]&lt;&gt;"")+(Tasks[[#This Row],[_Res2]]&lt;&gt;"")+(Tasks[[#This Row],[_Res3]]&lt;&gt;"")+(Tasks[[#This Row],[_Res4]]&lt;&gt;""))</f>
        <v>1</v>
      </c>
      <c r="DV12" s="43" t="str">
        <f aca="false">IF(Tasks[[#This Row],[_Res2Text]]="","",IF(Tasks[[#This Row],[_Res2Row]]&gt;0,INDEX(res_Name,Tasks[[#This Row],[_Res2Row]]),TRIM(LEFT(Tasks[[#This Row],[_Res2Text]],FIND("[",Tasks[[#This Row],[_Res2Text]]&amp;"[")-1))))</f>
        <v/>
      </c>
      <c r="DW1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 s="43" t="n">
        <f aca="false">IF(OR(NOT(Tasks[[#This Row],[_IsLeaf]]=1),Tasks[[#This Row],[_Res2Row]]=0),0,N(Tasks[[#This Row],[_Days]])*HoursPerDay*IF(Tasks[[#This Row],[_Res2Units]]="",DefaultUnits,Tasks[[#This Row],[_Res2Units]]))</f>
        <v>0</v>
      </c>
      <c r="DY12" s="43" t="n">
        <f aca="false">IF(AND(AND(Tasks[[#This Row],[_IsLeaf]]=1,Tasks[[#This Row],[_LeafTotalWork]]&gt;0),Tasks[[#This Row],[_Res2Work]]&gt;0),Tasks[[#This Row],[_Res2Work]]/(Tasks[[#This Row],[_FinishWorkday]]-Tasks[[#This Row],[_StartWorkday]]+1),0)</f>
        <v>0</v>
      </c>
      <c r="DZ12" s="43" t="n">
        <f aca="false">Tasks[[#This Row],[_Res2WorkPerWD]]*MAX(0,Tasks[[#This Row],[_StartWorkday]]-1)</f>
        <v>0</v>
      </c>
      <c r="EA12" s="43" t="n">
        <f aca="false">Tasks[[#This Row],[_Res2Work]]*Tasks[[#This Row],[_LeafProgress]]</f>
        <v>0</v>
      </c>
      <c r="EB12" s="43" t="str">
        <f aca="false">IF(Tasks[[#This Row],[_Res3Text]]="","",IF(Tasks[[#This Row],[_Res3Row]]&gt;0,INDEX(res_Name,Tasks[[#This Row],[_Res3Row]]),TRIM(LEFT(Tasks[[#This Row],[_Res3Text]],FIND("[",Tasks[[#This Row],[_Res3Text]]&amp;"[")-1))))</f>
        <v/>
      </c>
      <c r="EC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 s="43" t="n">
        <f aca="false">IF(OR(NOT(Tasks[[#This Row],[_IsLeaf]]=1),Tasks[[#This Row],[_Res3Row]]=0),0,N(Tasks[[#This Row],[_Days]])*HoursPerDay*IF(Tasks[[#This Row],[_Res3Units]]="",DefaultUnits,Tasks[[#This Row],[_Res3Units]]))</f>
        <v>0</v>
      </c>
      <c r="EE12" s="43" t="n">
        <f aca="false">IF(AND(AND(Tasks[[#This Row],[_IsLeaf]]=1,Tasks[[#This Row],[_LeafTotalWork]]&gt;0),Tasks[[#This Row],[_Res3Work]]&gt;0),Tasks[[#This Row],[_Res3Work]]/(Tasks[[#This Row],[_FinishWorkday]]-Tasks[[#This Row],[_StartWorkday]]+1),0)</f>
        <v>0</v>
      </c>
      <c r="EF12" s="43" t="n">
        <f aca="false">Tasks[[#This Row],[_Res3WorkPerWD]]*MAX(0,Tasks[[#This Row],[_StartWorkday]]-1)</f>
        <v>0</v>
      </c>
      <c r="EG12" s="43" t="n">
        <f aca="false">Tasks[[#This Row],[_Res3Work]]*Tasks[[#This Row],[_LeafProgress]]</f>
        <v>0</v>
      </c>
      <c r="EH12" s="43" t="str">
        <f aca="false">IF(Tasks[[#This Row],[_Res4Text]]="","",IF(Tasks[[#This Row],[_Res4Row]]&gt;0,INDEX(res_Name,Tasks[[#This Row],[_Res4Row]]),TRIM(LEFT(Tasks[[#This Row],[_Res4Text]],FIND("[",Tasks[[#This Row],[_Res4Text]]&amp;"[")-1))))</f>
        <v/>
      </c>
      <c r="EI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 s="43" t="n">
        <f aca="false">IF(OR(NOT(Tasks[[#This Row],[_IsLeaf]]=1),Tasks[[#This Row],[_Res4Row]]=0),0,N(Tasks[[#This Row],[_Days]])*HoursPerDay*IF(Tasks[[#This Row],[_Res4Units]]="",DefaultUnits,Tasks[[#This Row],[_Res4Units]]))</f>
        <v>0</v>
      </c>
      <c r="EK12" s="43" t="n">
        <f aca="false">IF(AND(AND(Tasks[[#This Row],[_IsLeaf]]=1,Tasks[[#This Row],[_LeafTotalWork]]&gt;0),Tasks[[#This Row],[_Res4Work]]&gt;0),Tasks[[#This Row],[_Res4Work]]/(Tasks[[#This Row],[_FinishWorkday]]-Tasks[[#This Row],[_StartWorkday]]+1),0)</f>
        <v>0</v>
      </c>
      <c r="EL12" s="43" t="n">
        <f aca="false">Tasks[[#This Row],[_Res4WorkPerWD]]*MAX(0,Tasks[[#This Row],[_StartWorkday]]-1)</f>
        <v>0</v>
      </c>
      <c r="EM12" s="43" t="n">
        <f aca="false">Tasks[[#This Row],[_Res4Work]]*Tasks[[#This Row],[_LeafProgress]]</f>
        <v>0</v>
      </c>
      <c r="EN12" s="94" t="n">
        <f aca="false">IF(ISNUMBER(Tasks[[#This Row],[% Complete]]),Tasks[[#This Row],[% Complete]],IF(Tasks[[#This Row],[Stage]]="",0,IFERROR(INDEX(stg_Pct,MATCH(Tasks[[#This Row],[Stage]],stg_Name,0)),0)))</f>
        <v>1</v>
      </c>
      <c r="EO12" s="43" t="n">
        <f aca="false">IF(NOT(Tasks[[#This Row],[_IsLeaf]]=1),0,IF(N(Tasks[[#This Row],[Actual Finish]])&gt;0,1,MIN(1,Tasks[[#This Row],[_Pct]])))</f>
        <v>1</v>
      </c>
      <c r="EP12" s="43" t="n">
        <f aca="false">IF(OR(NOT(Tasks[[#This Row],[_IsLeaf]]=1),Tasks[[#This Row],[_Res1Row]]=0),0,N(Tasks[[#This Row],[_Days]])*HoursPerDay*IF(Tasks[[#This Row],[_Units1]]="",DefaultUnits,Tasks[[#This Row],[_Units1]]))</f>
        <v>48</v>
      </c>
      <c r="EQ12" s="43" t="n">
        <f aca="false">Tasks[[#This Row],[_LeafWork]]+Tasks[[#This Row],[_Res2Work]]+Tasks[[#This Row],[_Res3Work]]+Tasks[[#This Row],[_Res4Work]]</f>
        <v>48</v>
      </c>
      <c r="ER12"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2912171</v>
      </c>
      <c r="ES1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 s="43" t="n">
        <f aca="false">IF(NOT(Tasks[[#This Row],[_IsLeaf]]=1),0,MAX(_xlfn.MAXIFS(Tasks[_Row],Tasks[_Pred1UID],Tasks[[#This Row],[UID]]),_xlfn.MAXIFS(Tasks[_Row],Tasks[_Pred2UID],Tasks[[#This Row],[UID]]),_xlfn.MAXIFS(Tasks[_Row],Tasks[_Pred3UID],Tasks[[#This Row],[UID]]),_xlfn.MAXIFS(Tasks[_Row],Tasks[_Pred4UID],Tasks[[#This Row],[UID]])))</f>
        <v>8</v>
      </c>
      <c r="FA12"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FB12"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FC12" s="91" t="n">
        <f aca="false">IF(NOT(Tasks[[#This Row],[_IsLeaf]]=1),"",IF(N(Tasks[[#This Row],[_Days]])&lt;=0,Tasks[[#This Row],[_LeafLateFinish]],WORKDAY.INTL(Tasks[[#This Row],[_LeafLateFinish]],-(Tasks[[#This Row],[_Days]]-1),WorkWeek,Holidays)))</f>
        <v>46295</v>
      </c>
      <c r="FD12"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FE12" s="90" t="b">
        <f aca="false">AND(Tasks[[#This Row],[_IsLeaf]]=1,Tasks[[#This Row],[_LeafProgress]]&lt;1,N(Tasks[[#This Row],[_LeafTotalSlack]])&lt;=CriticalSlackDays)</f>
        <v>0</v>
      </c>
      <c r="FF12" s="43" t="n">
        <f aca="false">IF(AND(Tasks[[#This Row],[_IsLeaf]]=1,Tasks[[#This Row],[_ConstraintCode]]=1,Tasks[[#This Row],[Mode]]&lt;&gt;"Manual",N(Tasks[[#This Row],[Actual Start]])=0),MAX(0,N(Tasks[[#This Row],[Free Slack]])),0)</f>
        <v>0</v>
      </c>
      <c r="FG12" s="91" t="n">
        <f aca="false">IF(NOT(Tasks[[#This Row],[_IsLeaf]]=1),"",IF(Tasks[[#This Row],[_AlapShift]]=0,Tasks[[#This Row],[_LeafCalcStart]],WORKDAY.INTL(Tasks[[#This Row],[_LeafCalcStart]],Tasks[[#This Row],[_AlapShift]],WorkWeek,Holidays)))</f>
        <v>46289</v>
      </c>
      <c r="FH12" s="91" t="n">
        <f aca="false">IF(NOT(Tasks[[#This Row],[_IsLeaf]]=1),"",IF(Tasks[[#This Row],[_AlapShift]]=0,Tasks[[#This Row],[_LeafCalcFinish]],WORKDAY.INTL(Tasks[[#This Row],[_LeafCalcFinish]],Tasks[[#This Row],[_AlapShift]],WorkWeek,Holidays)))</f>
        <v>46296</v>
      </c>
      <c r="FI12" s="91" t="n">
        <f aca="false">IF(NOT(Tasks[[#This Row],[_IsLeaf]]=1),"",IF(Tasks[[#This Row],[_AlapShift]]=0,Tasks[[#This Row],[_LeafFcstStart]],WORKDAY.INTL(Tasks[[#This Row],[_LeafFcstStart]],Tasks[[#This Row],[_AlapShift]],WorkWeek,Holidays)))</f>
        <v>46293</v>
      </c>
      <c r="FJ12" s="91" t="n">
        <f aca="false">IF(NOT(Tasks[[#This Row],[_IsLeaf]]=1),"",IF(Tasks[[#This Row],[_AlapShift]]=0,Tasks[[#This Row],[_LeafFcstFinish]],WORKDAY.INTL(Tasks[[#This Row],[_LeafFcstFinish]],Tasks[[#This Row],[_AlapShift]],WorkWeek,Holidays)))</f>
        <v>46301</v>
      </c>
      <c r="FK12" s="91" t="n">
        <f aca="false">IF(Tasks[[#This Row],[Task Name]]="","",IF(Tasks[[#This Row],[_IsSummary]],MIN(INDEX(Tasks[_ShownCalcStart],Tasks[[#This Row],[_Row]]+1):INDEX(Tasks[_ShownCalcStart],Tasks[[#This Row],[_Row]]+Tasks[[#This Row],[_Descendants]])),Tasks[[#This Row],[_ShownCalcStart]]))</f>
        <v>46289</v>
      </c>
      <c r="FL12" s="91" t="n">
        <f aca="false">IF(Tasks[[#This Row],[Task Name]]="","",IF(Tasks[[#This Row],[_IsSummary]],MAX(INDEX(Tasks[_ShownCalcFinish],Tasks[[#This Row],[_Row]]+1):INDEX(Tasks[_ShownCalcFinish],Tasks[[#This Row],[_Row]]+Tasks[[#This Row],[_Descendants]])),Tasks[[#This Row],[_ShownCalcFinish]]))</f>
        <v>46296</v>
      </c>
      <c r="FM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46289</v>
      </c>
      <c r="FR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46293</v>
      </c>
      <c r="FV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 s="43" t="n">
        <f aca="false">IF(AND(Tasks[[#This Row],[_IsLeaf]]=1,Tasks[[#This Row],[_LeafTotalWork]]&gt;0),NETWORKDAYS.INTL(ProjectStart,Tasks[[#This Row],[_ShownFcstStart]],WorkWeek,Holidays),0)</f>
        <v>16</v>
      </c>
      <c r="FZ12" s="43" t="n">
        <f aca="false">IF(AND(Tasks[[#This Row],[_IsLeaf]]=1,Tasks[[#This Row],[_LeafTotalWork]]&gt;0),MAX(Tasks[[#This Row],[_StartWorkday]],NETWORKDAYS.INTL(ProjectStart,Tasks[[#This Row],[_ShownFcstFinish]],WorkWeek,Holidays)),0)</f>
        <v>22</v>
      </c>
      <c r="GA12" s="43" t="n">
        <f aca="false">IF(AND(Tasks[[#This Row],[_IsLeaf]]=1,Tasks[[#This Row],[_LeafTotalWork]]&gt;0),Tasks[[#This Row],[_LeafWork]]/(Tasks[[#This Row],[_FinishWorkday]]-Tasks[[#This Row],[_StartWorkday]]+1),0)</f>
        <v>6.85714285714286</v>
      </c>
      <c r="GB12" s="43" t="n">
        <f aca="false">Tasks[[#This Row],[_WorkPerWorkday]]*(Tasks[[#This Row],[_StartWorkday]]-1)</f>
        <v>102.857142857143</v>
      </c>
      <c r="GC12" s="43" t="n">
        <f aca="false">IF(Tasks[[#This Row],[_IsLeaf]]=1,MAX(N(Tasks[[#This Row],[_Days]]),0.1),0)</f>
        <v>6</v>
      </c>
      <c r="GD12" s="43" t="n">
        <f aca="false">Tasks[[#This Row],[_WeightDur]]*Tasks[[#This Row],[_LeafProgress]]</f>
        <v>6</v>
      </c>
      <c r="GE12" s="43" t="n">
        <f aca="false">Tasks[[#This Row],[_WeightDur]]*Tasks[[#This Row],[_PlannedPct]]</f>
        <v>6</v>
      </c>
      <c r="GF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GG12" s="43" t="str">
        <f aca="false">IF(AND(Tasks[[#This Row],[_IsLeaf]]=1,N(Tasks[[#This Row],[_Days]])=0,Tasks[[#This Row],[_LeafProgress]]&lt;1),Tasks[[#This Row],[_ShownFcstFinish]]+Tasks[[#This Row],[_Row]]/100000,"")</f>
        <v/>
      </c>
      <c r="GH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2" s="43" t="str">
        <f aca="false">IF(Tasks[[#This Row],[Task Name]]="","",LEFT(Tasks[[#This Row],[WBS]],FIND(".",Tasks[[#This Row],[WBS]]&amp;".")-1))</f>
        <v>2</v>
      </c>
      <c r="GJ12" s="43" t="str">
        <f aca="false">IF(AND(Tasks[[#This Row],[Task Name]]&lt;&gt;"",Tasks[[#This Row],[_Level]]=1),Tasks[[#This Row],[_Row]],"")</f>
        <v/>
      </c>
      <c r="GK12" s="43" t="str">
        <f aca="false">IF(AND(Tasks[[#This Row],[_IsLeaf]]=1,N(Tasks[[#This Row],[_Days]])=0),Tasks[[#This Row],[Planned Finish]]+Tasks[[#This Row],[_Row]]/100000,"")</f>
        <v/>
      </c>
      <c r="GL12" s="43" t="str">
        <f aca="false">IF(AND(Tasks[[#This Row],[_IsLeaf]]=1,Tasks[[#This Row],[_LeafProgress]]&lt;1,OR(N(Tasks[[#This Row],[Finish Var]])&gt;0,Tasks[[#This Row],[Status]]="Late Start")),MAX(0,Tasks[[#This Row],[Finish Var]])+1-Tasks[[#This Row],[_Row]]/1000000,"")</f>
        <v/>
      </c>
      <c r="GM12" s="43" t="str">
        <f aca="false">IF(AND(Tasks[[#This Row],[_IsLeaf]]=1,N(Tasks[[#This Row],[Actual Start]])=0,Tasks[[#This Row],[_ShownFcstStart]]&gt;=StatusDate,Tasks[[#This Row],[_ShownFcstStart]]&lt;=LookaheadEnd),Tasks[[#This Row],[_ShownFcstStart]]+Tasks[[#This Row],[_Row]]/100000,"")</f>
        <v/>
      </c>
      <c r="GN12" s="43" t="str">
        <f aca="false">IF(AND(Tasks[[#This Row],[_IsLeaf]]=1,Tasks[[#This Row],[_LeafProgress]]&lt;1,Tasks[[#This Row],[_ShownFcstFinish]]&gt;=StatusDate,Tasks[[#This Row],[_ShownFcstFinish]]&lt;=LookaheadEnd),Tasks[[#This Row],[_ShownFcstFinish]]+Tasks[[#This Row],[_Row]]/100000,"")</f>
        <v/>
      </c>
      <c r="GO12" s="43" t="str">
        <f aca="false">IF(Tasks[[#This Row],[_LeafCritical]],Tasks[[#This Row],[_ShownFcstStart]]+Tasks[[#This Row],[_Row]]/100000,"")</f>
        <v/>
      </c>
      <c r="GP12" s="43" t="n">
        <f aca="false">Tasks[[#This Row],[_LeafWork]]*Tasks[[#This Row],[_LeafProgress]]</f>
        <v>48</v>
      </c>
      <c r="GQ12" s="91" t="n">
        <f aca="false">IF(AND(Tasks[[#This Row],[_IsLeaf]]=1,Tasks[[#This Row],[_LeafProgress]]&gt;=1),IF(N(Tasks[[#This Row],[Actual Finish]])&gt;0,Tasks[[#This Row],[Actual Finish]],Tasks[[#This Row],[_ShownFcstFinish]]),"")</f>
        <v>46301</v>
      </c>
      <c r="GR12" s="43" t="n">
        <f aca="false">IF(Tasks[[#This Row],[_IsLeaf]]=1,N(Tasks[[#This Row],[Story Points]]),0)</f>
        <v>0</v>
      </c>
      <c r="GS12" s="43" t="str">
        <f aca="false">""</f>
        <v/>
      </c>
      <c r="GT12" s="90" t="b">
        <f aca="false">IF(Tasks[[#This Row],[Task Name]]="",FALSE(),AND(Tasks[[#This Row],[_IsLeaf]]=1,N(Tasks[[#This Row],[_Days]])=0))</f>
        <v>0</v>
      </c>
      <c r="GU12" s="91" t="n">
        <f aca="false">IF(Tasks[[#This Row],[Task Name]]="",0,IF(AND(Tasks[[#This Row],[_IsLeaf]]=1,NOT(Tasks[[#This Row],[_IsMilestone]]),N(Tasks[[#This Row],[Progress]])&gt;0),Tasks[[#This Row],[Start]],0))</f>
        <v>46293</v>
      </c>
      <c r="GV12" s="91" t="n">
        <f aca="false">IF(Tasks[[#This Row],[_DoneFrom]]=0,0,IF(Tasks[[#This Row],[Progress]]&gt;=1,Tasks[[#This Row],[Finish]],MAX(Tasks[[#This Row],[_DoneFrom]],Tasks[[#This Row],[Start]]+ROUND((Tasks[[#This Row],[Finish]]-Tasks[[#This Row],[Start]]+1)*Tasks[[#This Row],[Progress]],0)-1)))</f>
        <v>46301</v>
      </c>
      <c r="GW12" s="91" t="n">
        <f aca="false">IF(Tasks[[#This Row],[Task Name]]="",0,IF(OR(NOT(Tasks[[#This Row],[_IsLeaf]]=1),Tasks[[#This Row],[_IsMilestone]],N(Tasks[[#This Row],[Progress]])&gt;=1),0,IF(Tasks[[#This Row],[_DoneTo]]&gt;0,Tasks[[#This Row],[_DoneTo]]+1,Tasks[[#This Row],[Start]])))</f>
        <v>0</v>
      </c>
      <c r="GX12" s="91" t="n">
        <f aca="false">IF(Tasks[[#This Row],[_RemFrom]]=0,0,Tasks[[#This Row],[Finish]])</f>
        <v>0</v>
      </c>
      <c r="GY12" s="90" t="b">
        <f aca="false">IF(Tasks[[#This Row],[Task Name]]="",FALSE(),OR(NOT(BaselineSet),N(Tasks[[#This Row],[Baseline Start]])&gt;0))</f>
        <v>1</v>
      </c>
      <c r="GZ12" s="43" t="n">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6</v>
      </c>
      <c r="HA1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6</v>
      </c>
      <c r="HB1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Casey Kim</v>
      </c>
      <c r="HC12" s="92" t="n">
        <f aca="false">IF(Tasks[[#This Row],[_IsLeaf]]=1,Tasks[[#This Row],[_Row]],"")</f>
        <v>7</v>
      </c>
      <c r="HD12" s="92" t="str">
        <f aca="false">IFERROR(INDEX(Tasks[UID],SMALL(Tasks[_PickKey],Tasks[[#This Row],[_Row]]))&amp;" "&amp;INDEX(Tasks[Task Name],SMALL(Tasks[_PickKey],Tasks[[#This Row],[_Row]])),"")</f>
        <v>21 System integration testing</v>
      </c>
      <c r="HE12" s="43" t="n">
        <f aca="false">IF(Tasks[[#This Row],[Task Name]]="","",IF(Tasks[[#This Row],[_IsSummary]],NETWORKDAYS.INTL(Tasks[[#This Row],[Start]],Tasks[[#This Row],[Finish]],WorkWeek,Holidays),N(Tasks[[#This Row],[_Days]])))</f>
        <v>6</v>
      </c>
      <c r="HF12" s="43" t="n">
        <f aca="false">IF(Tasks[[#This Row],[Expected]]="",0,((Tasks[[#This Row],[Pessimistic]]-Tasks[[#This Row],[Optimistic]])/6)^2)</f>
        <v>0</v>
      </c>
      <c r="HG12" s="43" t="n">
        <f aca="false">IF(Tasks[[#This Row],[Expected]]="",0,Tasks[[#This Row],[Expected]]-N(Tasks[[#This Row],[_Days]]))</f>
        <v>0</v>
      </c>
    </row>
    <row r="13" customFormat="false" ht="15" hidden="false" customHeight="false" outlineLevel="1" collapsed="false">
      <c r="A13" s="21" t="n">
        <f aca="false">IF(Tasks[[#This Row],[Task Name]]="","",COUNTA(Tasks[[#Headers],[Task Name]]:Tasks[[#This Row],[Task Name]])-1)</f>
        <v>8</v>
      </c>
      <c r="B13" s="22" t="n">
        <v>9</v>
      </c>
      <c r="C13" s="22" t="n">
        <v>2</v>
      </c>
      <c r="D13" s="93" t="s">
        <v>652</v>
      </c>
      <c r="E13" s="22" t="n">
        <v>0</v>
      </c>
      <c r="F13" s="23" t="n">
        <v>8</v>
      </c>
      <c r="G13" s="22"/>
      <c r="H13" s="22"/>
      <c r="I13" s="23"/>
      <c r="J13" s="22"/>
      <c r="K13" s="22"/>
      <c r="L13" s="23"/>
      <c r="M13" s="22"/>
      <c r="N13" s="22"/>
      <c r="O13" s="23"/>
      <c r="P13" s="22"/>
      <c r="Q13" s="22"/>
      <c r="R13" s="23"/>
      <c r="S13" s="23"/>
      <c r="T13" s="84"/>
      <c r="U13" s="23"/>
      <c r="V13" s="84"/>
      <c r="W13" s="23"/>
      <c r="X13" s="84"/>
      <c r="Y13" s="23"/>
      <c r="Z13" s="84"/>
      <c r="AA13" s="23"/>
      <c r="AB13" s="23" t="s">
        <v>150</v>
      </c>
      <c r="AC13" s="7" t="n">
        <v>46301</v>
      </c>
      <c r="AD13" s="7" t="n">
        <v>46301</v>
      </c>
      <c r="AE13" s="63" t="n">
        <f aca="false">IF(Tasks[[#This Row],[Task Name]]="","",IF(Tasks[[#This Row],[_IsSummary]],MIN(INDEX(Tasks[_ShownFcstStart],Tasks[[#This Row],[_Row]]+1):INDEX(Tasks[_ShownFcstStart],Tasks[[#This Row],[_Row]]+Tasks[[#This Row],[_Descendants]])),Tasks[[#This Row],[_ShownFcstStart]]))</f>
        <v>46301</v>
      </c>
      <c r="AF13" s="63" t="n">
        <f aca="false">IF(Tasks[[#This Row],[Task Name]]="","",IF(Tasks[[#This Row],[_IsSummary]],MAX(INDEX(Tasks[_ShownFcstFinish],Tasks[[#This Row],[_Row]]+1):INDEX(Tasks[_ShownFcstFinish],Tasks[[#This Row],[_Row]]+Tasks[[#This Row],[_Descendants]])),Tasks[[#This Row],[_ShownFcstFinish]]))</f>
        <v>46301</v>
      </c>
      <c r="AG13" s="21" t="str">
        <f aca="false">""</f>
        <v/>
      </c>
      <c r="AH13" s="23" t="s">
        <v>653</v>
      </c>
      <c r="AI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 s="7"/>
      <c r="AK13" s="22" t="s">
        <v>248</v>
      </c>
      <c r="AL13" s="23"/>
      <c r="AM13" s="7"/>
      <c r="AN13" s="47" t="n">
        <f aca="false">IF(Tasks[[#This Row],[Task Name]]="","",IF(Tasks[[#This Row],[Finish]]&gt;=Tasks[[#This Row],[Planned Finish]],NETWORKDAYS.INTL(Tasks[[#This Row],[Planned Finish]],Tasks[[#This Row],[Finish]],WorkWeek,Holidays)-1,1-NETWORKDAYS.INTL(Tasks[[#This Row],[Finish]],Tasks[[#This Row],[Planned Finish]],WorkWeek,Holidays)))</f>
        <v>3</v>
      </c>
      <c r="AO13" s="21" t="str">
        <f aca="false">IF(Tasks[[#This Row],[Task Name]]="","",IF(Tasks[[#This Row],[Progress]]&gt;=1,"Complete",IF(OR(N(Tasks[[#This Row],[Actual Start]])&gt;0,Tasks[[#This Row],[Progress]]&gt;0),IF(Tasks[[#This Row],[Finish Var]]&gt;0,"Behind","In Progress"),IF(Tasks[[#This Row],[Planned Start]]&lt;StatusDate,"Late Start","Not Started"))))</f>
        <v>Complete</v>
      </c>
      <c r="AP13" s="21" t="str">
        <f aca="false">IF(Tasks[[#This Row],[Task Name]]="","",IF(IF(Tasks[[#This Row],[_IsSummary]],COUNTIF(INDEX(Tasks[_LeafCritical],Tasks[[#This Row],[_Row]]+1):INDEX(Tasks[_LeafCritical],Tasks[[#This Row],[_Row]]+Tasks[[#This Row],[_Descendants]]),TRUE())&gt;0,Tasks[[#This Row],[_LeafCritical]]),"Yes",""))</f>
        <v/>
      </c>
      <c r="AQ13" s="63" t="n">
        <f aca="false">IF(Tasks[[#This Row],[Task Name]]="","",IF(N(Tasks[[#This Row],[Baseline Start]])&gt;0,Tasks[[#This Row],[Baseline Start]],Tasks[[#This Row],[_CalcStart]]))</f>
        <v>46296</v>
      </c>
      <c r="AR13" s="63" t="n">
        <f aca="false">IF(Tasks[[#This Row],[Task Name]]="","",IF(N(Tasks[[#This Row],[Baseline Finish]])&gt;0,Tasks[[#This Row],[Baseline Finish]],Tasks[[#This Row],[_CalcFinish]]))</f>
        <v>46296</v>
      </c>
      <c r="AS13" s="47" t="n">
        <f aca="false">IF(Tasks[[#This Row],[Task Name]]="","",IF(Tasks[[#This Row],[Start]]&gt;=Tasks[[#This Row],[Planned Start]],NETWORKDAYS.INTL(Tasks[[#This Row],[Planned Start]],Tasks[[#This Row],[Start]],WorkWeek,Holidays)-1,1-NETWORKDAYS.INTL(Tasks[[#This Row],[Start]],Tasks[[#This Row],[Planned Start]],WorkWeek,Holidays)))</f>
        <v>3</v>
      </c>
      <c r="AT13" s="63" t="n">
        <f aca="false">IF(Tasks[[#This Row],[Task Name]]="","",IF(Tasks[[#This Row],[_IsSummary]],MIN(INDEX(Tasks[_LeafLateStart],Tasks[[#This Row],[_Row]]+1):INDEX(Tasks[_LeafLateStart],Tasks[[#This Row],[_Row]]+Tasks[[#This Row],[_Descendants]])),Tasks[[#This Row],[_LeafLateStart]]))</f>
        <v>46302</v>
      </c>
      <c r="AU13" s="63" t="n">
        <f aca="false">IF(Tasks[[#This Row],[Task Name]]="","",IF(Tasks[[#This Row],[_IsSummary]],MAX(INDEX(Tasks[_LeafLateFinish],Tasks[[#This Row],[_Row]]+1):INDEX(Tasks[_LeafLateFinish],Tasks[[#This Row],[_Row]]+Tasks[[#This Row],[_Descendants]])),Tasks[[#This Row],[_LeafLateFinish]]))</f>
        <v>46302</v>
      </c>
      <c r="AV13" s="47" t="n">
        <f aca="false">IF(Tasks[[#This Row],[Task Name]]="","",IF(Tasks[[#This Row],[_IsSummary]],MIN(INDEX(Tasks[_LeafTotalSlack],Tasks[[#This Row],[_Row]]+1):INDEX(Tasks[_LeafTotalSlack],Tasks[[#This Row],[_Row]]+Tasks[[#This Row],[_Descendants]])),Tasks[[#This Row],[_LeafTotalSlack]]))</f>
        <v>1</v>
      </c>
      <c r="AW13"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5"/>
      <c r="BA13"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v>
      </c>
      <c r="BC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BD13" s="21" t="str">
        <f aca="false">IF(Tasks[[#This Row],[Task Name]]="","",IF(Tasks[[#This Row],[_Level]]&lt;=OutlineShowLevel,"Yes","No"))</f>
        <v>Yes</v>
      </c>
      <c r="BE13" s="86" t="n">
        <f aca="false">IF(Tasks[[#This Row],[Task Name]]="","",IF(Tasks[[#This Row],[_IsSummary]],SUM(INDEX(Tasks[_LeafTotalWork],Tasks[[#This Row],[_Row]]+1):INDEX(Tasks[_LeafTotalWork],Tasks[[#This Row],[_Row]]+Tasks[[#This Row],[_Descendants]])),Tasks[[#This Row],[_LeafTotalWork]]))</f>
        <v>0</v>
      </c>
      <c r="BF13" s="23"/>
      <c r="BG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t="str">
        <f aca="false">""</f>
        <v/>
      </c>
      <c r="BI13" s="87"/>
      <c r="BJ13" s="22"/>
      <c r="BK13" s="47" t="n">
        <f aca="false">IF(OR(Tasks[[#This Row],[Task Name]]="",Tasks[[#This Row],[Baseline Duration]]=""),"",Tasks[[#This Row],[_SpanDays]]-N(Tasks[[#This Row],[Baseline Duration]]))</f>
        <v>0</v>
      </c>
      <c r="BL13" s="86" t="n">
        <f aca="false">IF(OR(Tasks[[#This Row],[Task Name]]="",Tasks[[#This Row],[Baseline Work]]=""),"",Tasks[[#This Row],[Work]]-N(Tasks[[#This Row],[Baseline Work]]))</f>
        <v>0</v>
      </c>
      <c r="BM13" s="63" t="n">
        <f aca="false">IF(Tasks[[#This Row],[Task Name]]="","",IF(OR(TakeBaseline="Yes",N(Tasks[[#This Row],[Baseline Start]])=0),Tasks[[#This Row],[Start]],Tasks[[#This Row],[Baseline Start]]))</f>
        <v>46296</v>
      </c>
      <c r="BN13" s="63" t="n">
        <f aca="false">IF(Tasks[[#This Row],[Task Name]]="","",IF(OR(TakeBaseline="Yes",N(Tasks[[#This Row],[Baseline Finish]])=0),Tasks[[#This Row],[Finish]],Tasks[[#This Row],[Baseline Finish]]))</f>
        <v>46296</v>
      </c>
      <c r="BO13" s="21" t="n">
        <f aca="false">IF(Tasks[[#This Row],[Task Name]]="","",IF(OR(TakeBaseline="Yes",N(Tasks[[#This Row],[Baseline Duration]])=0),Tasks[[#This Row],[_SpanDays]],Tasks[[#This Row],[Baseline Duration]]))</f>
        <v>0</v>
      </c>
      <c r="BP13" s="86" t="n">
        <f aca="false">IF(Tasks[[#This Row],[Task Name]]="","",IF(OR(TakeBaseline="Yes",N(Tasks[[#This Row],[Baseline Work]])=0),Tasks[[#This Row],[Work]],Tasks[[#This Row],[Baseline Work]]))</f>
        <v>0</v>
      </c>
      <c r="BQ13" s="7" t="n">
        <v>46296</v>
      </c>
      <c r="BR13" s="7" t="n">
        <v>46296</v>
      </c>
      <c r="BS13" s="22" t="n">
        <v>0</v>
      </c>
      <c r="BT13" s="88" t="n">
        <v>0</v>
      </c>
      <c r="BU13" s="23"/>
      <c r="BV13" s="23"/>
      <c r="BW13" s="23"/>
      <c r="BX13" s="89" t="str">
        <f aca="false">IF(AND(Tasks[[#This Row],[_IsLeaf]]=1,ISNUMBER(Tasks[[#This Row],[Optimistic]]),ISNUMBER(Tasks[[#This Row],[Pessimistic]])),ROUND((Tasks[[#This Row],[Optimistic]]+4*N(Tasks[[#This Row],[_Days]])+Tasks[[#This Row],[Pessimistic]])/6,1),"")</f>
        <v/>
      </c>
      <c r="BY13" s="87"/>
      <c r="BZ13" s="87"/>
      <c r="CA13" s="22"/>
      <c r="CB13" s="43" t="n">
        <f aca="false">IF(Tasks[[#This Row],[Task Name]]="","",MAX(1,N(Tasks[[#This Row],[Level]])))</f>
        <v>2</v>
      </c>
      <c r="CC13" s="43" t="n">
        <f aca="false">ROW()-ROW(Tasks[[#Headers],[ID]])</f>
        <v>8</v>
      </c>
      <c r="CD13" s="43" t="n">
        <f aca="false">IF(OR(Tasks[[#This Row],[Task Name]]="",Tasks[[#This Row],[_Level]]&lt;=1),0,IFERROR(LOOKUP(2,1/(Tasks[[#Headers],[_Level]]:Tasks[[#This Row],[_Level]]=Tasks[[#This Row],[_Level]]-1),ROW(Tasks[[#Headers],[_Level]]:Tasks[[#This Row],[_Level]])),0))</f>
        <v>10</v>
      </c>
      <c r="CE13" s="43" t="n">
        <f aca="false">IFERROR(N(INDEX(Tasks[_Level],Tasks[[#This Row],[_Row]]+1)),0)</f>
        <v>1</v>
      </c>
      <c r="CF13" s="90" t="b">
        <f aca="false">AND(Tasks[[#This Row],[Task Name]]&lt;&gt;"",Tasks[[#This Row],[_NextLevel]]&gt;Tasks[[#This Row],[_Level]])</f>
        <v>0</v>
      </c>
      <c r="CG13" s="43" t="n">
        <f aca="false">IF(Tasks[[#This Row],[_IsSummary]],COUNTIF(Tasks[WBS],Tasks[[#This Row],[WBS]]&amp;".*"),0)</f>
        <v>0</v>
      </c>
      <c r="CH13" s="43" t="n">
        <f aca="false">IF(AND(Tasks[[#This Row],[Task Name]]&lt;&gt;"",NOT(Tasks[[#This Row],[_IsSummary]])),1,0)</f>
        <v>1</v>
      </c>
      <c r="CI13" s="43" t="n">
        <f aca="false">IF(N(Tasks[[#This Row],[_Pred1UID]])=0,0,IFERROR(MATCH(Tasks[[#This Row],[_Pred1UID]],Tasks[UID],0),-1))</f>
        <v>7</v>
      </c>
      <c r="CJ13" s="43" t="n">
        <f aca="false">IF(N(Tasks[[#This Row],[_Pred2UID]])=0,0,IFERROR(MATCH(Tasks[[#This Row],[_Pred2UID]],Tasks[UID],0),-1))</f>
        <v>0</v>
      </c>
      <c r="CK13" s="43" t="n">
        <f aca="false">IF(N(Tasks[[#This Row],[_Pred3UID]])=0,0,IFERROR(MATCH(Tasks[[#This Row],[_Pred3UID]],Tasks[UID],0),-1))</f>
        <v>0</v>
      </c>
      <c r="CL13" s="43" t="n">
        <f aca="false">IF(N(Tasks[[#This Row],[_Pred4UID]])=0,0,IFERROR(MATCH(Tasks[[#This Row],[_Pred4UID]],Tasks[UID],0),-1))</f>
        <v>0</v>
      </c>
      <c r="CM13"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 s="91" t="n">
        <f aca="false">IF(OR(Tasks[[#This Row],[_ConstraintCode]]=2,Tasks[[#This Row],[_ConstraintCode]]=3,Tasks[[#This Row],[_ConstraintCode]]=4,Tasks[[#This Row],[_ConstraintCode]]=6),Tasks[[#This Row],[_ConstraintStart]],0)</f>
        <v>0</v>
      </c>
      <c r="CP13" s="91" t="n">
        <f aca="false">IF(OR(Tasks[[#This Row],[_ConstraintCode]]=2,Tasks[[#This Row],[_ConstraintCode]]=3,Tasks[[#This Row],[_ConstraintCode]]=5,Tasks[[#This Row],[_ConstraintCode]]=7),Tasks[[#This Row],[_ConstraintStart]],2958465)</f>
        <v>2958465</v>
      </c>
      <c r="CQ13"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R13" s="91" t="n">
        <f aca="false">IF(NOT(Tasks[[#This Row],[_IsLeaf]]=1),"",IF(N(Tasks[[#This Row],[_Days]])&lt;=0,Tasks[[#This Row],[_LeafCalcStart]],WORKDAY.INTL(Tasks[[#This Row],[_LeafCalcStart]],Tasks[[#This Row],[_Days]]-1,WorkWeek,Holidays)))</f>
        <v>46296</v>
      </c>
      <c r="CS13"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T13"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U13" s="43" t="str">
        <f aca="false">IF(Tasks[[#This Row],[_Predecessors]]="","",TRIM(MID(SUBSTITUTE(SUBSTITUTE(SUBSTITUTE(UPPER(Tasks[[#This Row],[_Predecessors]]),";",",")," ",""),",",REPT(" ",99)),1,99)))</f>
        <v>8</v>
      </c>
      <c r="CV13" s="43" t="n">
        <f aca="false">IF(Tasks[[#This Row],[_Pred1Text]]="","",IFERROR(VALUE(LEFT(Tasks[[#This Row],[_Pred1Text]],MIN(FIND("F",Tasks[[#This Row],[_Pred1Text]]&amp;"F"),FIND("S",Tasks[[#This Row],[_Pred1Text]]&amp;"S"),FIND("+",Tasks[[#This Row],[_Pred1Text]]&amp;"+"),FIND("-",Tasks[[#This Row],[_Pred1Text]]&amp;"-"))-1)),""))</f>
        <v>8</v>
      </c>
      <c r="CW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3"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3" s="43" t="str">
        <f aca="false">IF(Tasks[[#This Row],[_Pred1Text]]="","",TRIM(MID(SUBSTITUTE(SUBSTITUTE(SUBSTITUTE(UPPER(Tasks[[#This Row],[_Predecessors]]),";",",")," ",""),",",REPT(" ",99)),100,99)))</f>
        <v/>
      </c>
      <c r="CZ13" s="43" t="str">
        <f aca="false">IF(Tasks[[#This Row],[_Pred2Text]]="","",IFERROR(VALUE(LEFT(Tasks[[#This Row],[_Pred2Text]],MIN(FIND("F",Tasks[[#This Row],[_Pred2Text]]&amp;"F"),FIND("S",Tasks[[#This Row],[_Pred2Text]]&amp;"S"),FIND("+",Tasks[[#This Row],[_Pred2Text]]&amp;"+"),FIND("-",Tasks[[#This Row],[_Pred2Text]]&amp;"-"))-1)),""))</f>
        <v/>
      </c>
      <c r="DA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 s="43" t="str">
        <f aca="false">IF(Tasks[[#This Row],[_Pred2Text]]="","",TRIM(MID(SUBSTITUTE(SUBSTITUTE(SUBSTITUTE(UPPER(Tasks[[#This Row],[_Predecessors]]),";",",")," ",""),",",REPT(" ",99)),199,99)))</f>
        <v/>
      </c>
      <c r="DD13" s="43" t="str">
        <f aca="false">IF(Tasks[[#This Row],[_Pred3Text]]="","",IFERROR(VALUE(LEFT(Tasks[[#This Row],[_Pred3Text]],MIN(FIND("F",Tasks[[#This Row],[_Pred3Text]]&amp;"F"),FIND("S",Tasks[[#This Row],[_Pred3Text]]&amp;"S"),FIND("+",Tasks[[#This Row],[_Pred3Text]]&amp;"+"),FIND("-",Tasks[[#This Row],[_Pred3Text]]&amp;"-"))-1)),""))</f>
        <v/>
      </c>
      <c r="DE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 s="43" t="str">
        <f aca="false">IF(Tasks[[#This Row],[_Pred3Text]]="","",TRIM(MID(SUBSTITUTE(SUBSTITUTE(SUBSTITUTE(UPPER(Tasks[[#This Row],[_Predecessors]]),";",",")," ",""),",",REPT(" ",99)),298,99)))</f>
        <v/>
      </c>
      <c r="DH13" s="43" t="str">
        <f aca="false">IF(Tasks[[#This Row],[_Pred4Text]]="","",IFERROR(VALUE(LEFT(Tasks[[#This Row],[_Pred4Text]],MIN(FIND("F",Tasks[[#This Row],[_Pred4Text]]&amp;"F"),FIND("S",Tasks[[#This Row],[_Pred4Text]]&amp;"S"),FIND("+",Tasks[[#This Row],[_Pred4Text]]&amp;"+"),FIND("-",Tasks[[#This Row],[_Pred4Text]]&amp;"-"))-1)),""))</f>
        <v/>
      </c>
      <c r="DI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 s="43" t="str">
        <f aca="false">IF(OR(Tasks[[#This Row],[Task Name]]="",Tasks[[#This Row],[_Resources]]=""),"",TRIM(MID(SUBSTITUTE(Tasks[[#This Row],[_Resources]],",",REPT(" ",99)),1,99)))</f>
        <v/>
      </c>
      <c r="DL13" s="43" t="str">
        <f aca="false">IF(Tasks[[#This Row],[_Res1Text]]="","",TRIM(MID(SUBSTITUTE(Tasks[[#This Row],[_Resources]],",",REPT(" ",99)),100,99)))</f>
        <v/>
      </c>
      <c r="DM13" s="43" t="str">
        <f aca="false">IF(Tasks[[#This Row],[_Res2Text]]="","",TRIM(MID(SUBSTITUTE(Tasks[[#This Row],[_Resources]],",",REPT(" ",99)),199,99)))</f>
        <v/>
      </c>
      <c r="DN13" s="43" t="str">
        <f aca="false">IF(Tasks[[#This Row],[_Res3Text]]="","",TRIM(MID(SUBSTITUTE(Tasks[[#This Row],[_Resources]],",",REPT(" ",99)),298,99)))</f>
        <v/>
      </c>
      <c r="DO13" s="43" t="n">
        <f aca="false">IF(Tasks[[#This Row],[_Res1Text]]="",0,IFERROR(MATCH(TRIM(LEFT(Tasks[[#This Row],[_Res1Text]],FIND("[",Tasks[[#This Row],[_Res1Text]]&amp;"[")-1)),res_Name,0),IFERROR(MATCH(TRIM(LEFT(Tasks[[#This Row],[_Res1Text]],FIND("[",Tasks[[#This Row],[_Res1Text]]&amp;"[")-1)),res_Initials,0),0)))</f>
        <v>0</v>
      </c>
      <c r="DP13" s="43" t="n">
        <f aca="false">IF(Tasks[[#This Row],[_Res2Text]]="",0,IFERROR(MATCH(TRIM(LEFT(Tasks[[#This Row],[_Res2Text]],FIND("[",Tasks[[#This Row],[_Res2Text]]&amp;"[")-1)),res_Name,0),IFERROR(MATCH(TRIM(LEFT(Tasks[[#This Row],[_Res2Text]],FIND("[",Tasks[[#This Row],[_Res2Text]]&amp;"[")-1)),res_Initials,0),0)))</f>
        <v>0</v>
      </c>
      <c r="DQ13" s="43" t="n">
        <f aca="false">IF(Tasks[[#This Row],[_Res3Text]]="",0,IFERROR(MATCH(TRIM(LEFT(Tasks[[#This Row],[_Res3Text]],FIND("[",Tasks[[#This Row],[_Res3Text]]&amp;"[")-1)),res_Name,0),IFERROR(MATCH(TRIM(LEFT(Tasks[[#This Row],[_Res3Text]],FIND("[",Tasks[[#This Row],[_Res3Text]]&amp;"[")-1)),res_Initials,0),0)))</f>
        <v>0</v>
      </c>
      <c r="DR13" s="43" t="n">
        <f aca="false">IF(Tasks[[#This Row],[_Res4Text]]="",0,IFERROR(MATCH(TRIM(LEFT(Tasks[[#This Row],[_Res4Text]],FIND("[",Tasks[[#This Row],[_Res4Text]]&amp;"[")-1)),res_Name,0),IFERROR(MATCH(TRIM(LEFT(Tasks[[#This Row],[_Res4Text]],FIND("[",Tasks[[#This Row],[_Res4Text]]&amp;"[")-1)),res_Initials,0),0)))</f>
        <v>0</v>
      </c>
      <c r="DS13" s="43" t="str">
        <f aca="false">IF(Tasks[[#This Row],[_Res1Text]]="","",IF(Tasks[[#This Row],[_Res1Row]]&gt;0,INDEX(res_Name,Tasks[[#This Row],[_Res1Row]]),TRIM(LEFT(Tasks[[#This Row],[_Res1Text]],FIND("[",Tasks[[#This Row],[_Res1Text]]&amp;"[")-1))))</f>
        <v/>
      </c>
      <c r="DT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 s="43" t="n">
        <f aca="false">IF(NOT(Tasks[[#This Row],[_IsLeaf]]=1),0,(Tasks[[#This Row],[_Resource1]]&lt;&gt;"")+(Tasks[[#This Row],[_Res2]]&lt;&gt;"")+(Tasks[[#This Row],[_Res3]]&lt;&gt;"")+(Tasks[[#This Row],[_Res4]]&lt;&gt;""))</f>
        <v>0</v>
      </c>
      <c r="DV13" s="43" t="str">
        <f aca="false">IF(Tasks[[#This Row],[_Res2Text]]="","",IF(Tasks[[#This Row],[_Res2Row]]&gt;0,INDEX(res_Name,Tasks[[#This Row],[_Res2Row]]),TRIM(LEFT(Tasks[[#This Row],[_Res2Text]],FIND("[",Tasks[[#This Row],[_Res2Text]]&amp;"[")-1))))</f>
        <v/>
      </c>
      <c r="DW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 s="43" t="n">
        <f aca="false">IF(OR(NOT(Tasks[[#This Row],[_IsLeaf]]=1),Tasks[[#This Row],[_Res2Row]]=0),0,N(Tasks[[#This Row],[_Days]])*HoursPerDay*IF(Tasks[[#This Row],[_Res2Units]]="",DefaultUnits,Tasks[[#This Row],[_Res2Units]]))</f>
        <v>0</v>
      </c>
      <c r="DY13" s="43" t="n">
        <f aca="false">IF(AND(AND(Tasks[[#This Row],[_IsLeaf]]=1,Tasks[[#This Row],[_LeafTotalWork]]&gt;0),Tasks[[#This Row],[_Res2Work]]&gt;0),Tasks[[#This Row],[_Res2Work]]/(Tasks[[#This Row],[_FinishWorkday]]-Tasks[[#This Row],[_StartWorkday]]+1),0)</f>
        <v>0</v>
      </c>
      <c r="DZ13" s="43" t="n">
        <f aca="false">Tasks[[#This Row],[_Res2WorkPerWD]]*MAX(0,Tasks[[#This Row],[_StartWorkday]]-1)</f>
        <v>0</v>
      </c>
      <c r="EA13" s="43" t="n">
        <f aca="false">Tasks[[#This Row],[_Res2Work]]*Tasks[[#This Row],[_LeafProgress]]</f>
        <v>0</v>
      </c>
      <c r="EB13" s="43" t="str">
        <f aca="false">IF(Tasks[[#This Row],[_Res3Text]]="","",IF(Tasks[[#This Row],[_Res3Row]]&gt;0,INDEX(res_Name,Tasks[[#This Row],[_Res3Row]]),TRIM(LEFT(Tasks[[#This Row],[_Res3Text]],FIND("[",Tasks[[#This Row],[_Res3Text]]&amp;"[")-1))))</f>
        <v/>
      </c>
      <c r="EC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 s="43" t="n">
        <f aca="false">IF(OR(NOT(Tasks[[#This Row],[_IsLeaf]]=1),Tasks[[#This Row],[_Res3Row]]=0),0,N(Tasks[[#This Row],[_Days]])*HoursPerDay*IF(Tasks[[#This Row],[_Res3Units]]="",DefaultUnits,Tasks[[#This Row],[_Res3Units]]))</f>
        <v>0</v>
      </c>
      <c r="EE13" s="43" t="n">
        <f aca="false">IF(AND(AND(Tasks[[#This Row],[_IsLeaf]]=1,Tasks[[#This Row],[_LeafTotalWork]]&gt;0),Tasks[[#This Row],[_Res3Work]]&gt;0),Tasks[[#This Row],[_Res3Work]]/(Tasks[[#This Row],[_FinishWorkday]]-Tasks[[#This Row],[_StartWorkday]]+1),0)</f>
        <v>0</v>
      </c>
      <c r="EF13" s="43" t="n">
        <f aca="false">Tasks[[#This Row],[_Res3WorkPerWD]]*MAX(0,Tasks[[#This Row],[_StartWorkday]]-1)</f>
        <v>0</v>
      </c>
      <c r="EG13" s="43" t="n">
        <f aca="false">Tasks[[#This Row],[_Res3Work]]*Tasks[[#This Row],[_LeafProgress]]</f>
        <v>0</v>
      </c>
      <c r="EH13" s="43" t="str">
        <f aca="false">IF(Tasks[[#This Row],[_Res4Text]]="","",IF(Tasks[[#This Row],[_Res4Row]]&gt;0,INDEX(res_Name,Tasks[[#This Row],[_Res4Row]]),TRIM(LEFT(Tasks[[#This Row],[_Res4Text]],FIND("[",Tasks[[#This Row],[_Res4Text]]&amp;"[")-1))))</f>
        <v/>
      </c>
      <c r="EI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 s="43" t="n">
        <f aca="false">IF(OR(NOT(Tasks[[#This Row],[_IsLeaf]]=1),Tasks[[#This Row],[_Res4Row]]=0),0,N(Tasks[[#This Row],[_Days]])*HoursPerDay*IF(Tasks[[#This Row],[_Res4Units]]="",DefaultUnits,Tasks[[#This Row],[_Res4Units]]))</f>
        <v>0</v>
      </c>
      <c r="EK13" s="43" t="n">
        <f aca="false">IF(AND(AND(Tasks[[#This Row],[_IsLeaf]]=1,Tasks[[#This Row],[_LeafTotalWork]]&gt;0),Tasks[[#This Row],[_Res4Work]]&gt;0),Tasks[[#This Row],[_Res4Work]]/(Tasks[[#This Row],[_FinishWorkday]]-Tasks[[#This Row],[_StartWorkday]]+1),0)</f>
        <v>0</v>
      </c>
      <c r="EL13" s="43" t="n">
        <f aca="false">Tasks[[#This Row],[_Res4WorkPerWD]]*MAX(0,Tasks[[#This Row],[_StartWorkday]]-1)</f>
        <v>0</v>
      </c>
      <c r="EM13" s="43" t="n">
        <f aca="false">Tasks[[#This Row],[_Res4Work]]*Tasks[[#This Row],[_LeafProgress]]</f>
        <v>0</v>
      </c>
      <c r="EN13" s="94" t="n">
        <f aca="false">IF(ISNUMBER(Tasks[[#This Row],[% Complete]]),Tasks[[#This Row],[% Complete]],IF(Tasks[[#This Row],[Stage]]="",0,IFERROR(INDEX(stg_Pct,MATCH(Tasks[[#This Row],[Stage]],stg_Name,0)),0)))</f>
        <v>1</v>
      </c>
      <c r="EO13" s="43" t="n">
        <f aca="false">IF(NOT(Tasks[[#This Row],[_IsLeaf]]=1),0,IF(N(Tasks[[#This Row],[Actual Finish]])&gt;0,1,MIN(1,Tasks[[#This Row],[_Pct]])))</f>
        <v>1</v>
      </c>
      <c r="EP13" s="43" t="n">
        <f aca="false">IF(OR(NOT(Tasks[[#This Row],[_IsLeaf]]=1),Tasks[[#This Row],[_Res1Row]]=0),0,N(Tasks[[#This Row],[_Days]])*HoursPerDay*IF(Tasks[[#This Row],[_Units1]]="",DefaultUnits,Tasks[[#This Row],[_Units1]]))</f>
        <v>0</v>
      </c>
      <c r="EQ13" s="43" t="n">
        <f aca="false">Tasks[[#This Row],[_LeafWork]]+Tasks[[#This Row],[_Res2Work]]+Tasks[[#This Row],[_Res3Work]]+Tasks[[#This Row],[_Res4Work]]</f>
        <v>0</v>
      </c>
      <c r="ER13"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S1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 s="43" t="n">
        <f aca="false">IF(NOT(Tasks[[#This Row],[_IsLeaf]]=1),0,MAX(_xlfn.MAXIFS(Tasks[_Row],Tasks[_Pred1UID],Tasks[[#This Row],[UID]]),_xlfn.MAXIFS(Tasks[_Row],Tasks[_Pred2UID],Tasks[[#This Row],[UID]]),_xlfn.MAXIFS(Tasks[_Row],Tasks[_Pred3UID],Tasks[[#This Row],[UID]]),_xlfn.MAXIFS(Tasks[_Row],Tasks[_Pred4UID],Tasks[[#This Row],[UID]])))</f>
        <v>10</v>
      </c>
      <c r="FA13"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FB13"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FC13" s="91" t="n">
        <f aca="false">IF(NOT(Tasks[[#This Row],[_IsLeaf]]=1),"",IF(N(Tasks[[#This Row],[_Days]])&lt;=0,Tasks[[#This Row],[_LeafLateFinish]],WORKDAY.INTL(Tasks[[#This Row],[_LeafLateFinish]],-(Tasks[[#This Row],[_Days]]-1),WorkWeek,Holidays)))</f>
        <v>46302</v>
      </c>
      <c r="FD13"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FE13" s="90" t="b">
        <f aca="false">AND(Tasks[[#This Row],[_IsLeaf]]=1,Tasks[[#This Row],[_LeafProgress]]&lt;1,N(Tasks[[#This Row],[_LeafTotalSlack]])&lt;=CriticalSlackDays)</f>
        <v>0</v>
      </c>
      <c r="FF13" s="43" t="n">
        <f aca="false">IF(AND(Tasks[[#This Row],[_IsLeaf]]=1,Tasks[[#This Row],[_ConstraintCode]]=1,Tasks[[#This Row],[Mode]]&lt;&gt;"Manual",N(Tasks[[#This Row],[Actual Start]])=0),MAX(0,N(Tasks[[#This Row],[Free Slack]])),0)</f>
        <v>0</v>
      </c>
      <c r="FG13" s="91" t="n">
        <f aca="false">IF(NOT(Tasks[[#This Row],[_IsLeaf]]=1),"",IF(Tasks[[#This Row],[_AlapShift]]=0,Tasks[[#This Row],[_LeafCalcStart]],WORKDAY.INTL(Tasks[[#This Row],[_LeafCalcStart]],Tasks[[#This Row],[_AlapShift]],WorkWeek,Holidays)))</f>
        <v>46296</v>
      </c>
      <c r="FH13" s="91" t="n">
        <f aca="false">IF(NOT(Tasks[[#This Row],[_IsLeaf]]=1),"",IF(Tasks[[#This Row],[_AlapShift]]=0,Tasks[[#This Row],[_LeafCalcFinish]],WORKDAY.INTL(Tasks[[#This Row],[_LeafCalcFinish]],Tasks[[#This Row],[_AlapShift]],WorkWeek,Holidays)))</f>
        <v>46296</v>
      </c>
      <c r="FI13" s="91" t="n">
        <f aca="false">IF(NOT(Tasks[[#This Row],[_IsLeaf]]=1),"",IF(Tasks[[#This Row],[_AlapShift]]=0,Tasks[[#This Row],[_LeafFcstStart]],WORKDAY.INTL(Tasks[[#This Row],[_LeafFcstStart]],Tasks[[#This Row],[_AlapShift]],WorkWeek,Holidays)))</f>
        <v>46301</v>
      </c>
      <c r="FJ13" s="91" t="n">
        <f aca="false">IF(NOT(Tasks[[#This Row],[_IsLeaf]]=1),"",IF(Tasks[[#This Row],[_AlapShift]]=0,Tasks[[#This Row],[_LeafFcstFinish]],WORKDAY.INTL(Tasks[[#This Row],[_LeafFcstFinish]],Tasks[[#This Row],[_AlapShift]],WorkWeek,Holidays)))</f>
        <v>46301</v>
      </c>
      <c r="FK13" s="91" t="n">
        <f aca="false">IF(Tasks[[#This Row],[Task Name]]="","",IF(Tasks[[#This Row],[_IsSummary]],MIN(INDEX(Tasks[_ShownCalcStart],Tasks[[#This Row],[_Row]]+1):INDEX(Tasks[_ShownCalcStart],Tasks[[#This Row],[_Row]]+Tasks[[#This Row],[_Descendants]])),Tasks[[#This Row],[_ShownCalcStart]]))</f>
        <v>46296</v>
      </c>
      <c r="FL13" s="91" t="n">
        <f aca="false">IF(Tasks[[#This Row],[Task Name]]="","",IF(Tasks[[#This Row],[_IsSummary]],MAX(INDEX(Tasks[_ShownCalcFinish],Tasks[[#This Row],[_Row]]+1):INDEX(Tasks[_ShownCalcFinish],Tasks[[#This Row],[_Row]]+Tasks[[#This Row],[_Descendants]])),Tasks[[#This Row],[_ShownCalcFinish]]))</f>
        <v>46296</v>
      </c>
      <c r="FM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46296</v>
      </c>
      <c r="FR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46301</v>
      </c>
      <c r="FV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 s="43" t="n">
        <f aca="false">IF(AND(Tasks[[#This Row],[_IsLeaf]]=1,Tasks[[#This Row],[_LeafTotalWork]]&gt;0),NETWORKDAYS.INTL(ProjectStart,Tasks[[#This Row],[_ShownFcstStart]],WorkWeek,Holidays),0)</f>
        <v>0</v>
      </c>
      <c r="FZ13" s="43" t="n">
        <f aca="false">IF(AND(Tasks[[#This Row],[_IsLeaf]]=1,Tasks[[#This Row],[_LeafTotalWork]]&gt;0),MAX(Tasks[[#This Row],[_StartWorkday]],NETWORKDAYS.INTL(ProjectStart,Tasks[[#This Row],[_ShownFcstFinish]],WorkWeek,Holidays)),0)</f>
        <v>0</v>
      </c>
      <c r="GA13" s="43" t="n">
        <f aca="false">IF(AND(Tasks[[#This Row],[_IsLeaf]]=1,Tasks[[#This Row],[_LeafTotalWork]]&gt;0),Tasks[[#This Row],[_LeafWork]]/(Tasks[[#This Row],[_FinishWorkday]]-Tasks[[#This Row],[_StartWorkday]]+1),0)</f>
        <v>0</v>
      </c>
      <c r="GB13" s="43" t="n">
        <f aca="false">Tasks[[#This Row],[_WorkPerWorkday]]*(Tasks[[#This Row],[_StartWorkday]]-1)</f>
        <v>-0</v>
      </c>
      <c r="GC13" s="43" t="n">
        <f aca="false">IF(Tasks[[#This Row],[_IsLeaf]]=1,MAX(N(Tasks[[#This Row],[_Days]]),0.1),0)</f>
        <v>0.1</v>
      </c>
      <c r="GD13" s="43" t="n">
        <f aca="false">Tasks[[#This Row],[_WeightDur]]*Tasks[[#This Row],[_LeafProgress]]</f>
        <v>0.1</v>
      </c>
      <c r="GE13" s="43" t="n">
        <f aca="false">Tasks[[#This Row],[_WeightDur]]*Tasks[[#This Row],[_PlannedPct]]</f>
        <v>0.1</v>
      </c>
      <c r="GF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8</v>
      </c>
      <c r="GG13" s="43" t="str">
        <f aca="false">IF(AND(Tasks[[#This Row],[_IsLeaf]]=1,N(Tasks[[#This Row],[_Days]])=0,Tasks[[#This Row],[_LeafProgress]]&lt;1),Tasks[[#This Row],[_ShownFcstFinish]]+Tasks[[#This Row],[_Row]]/100000,"")</f>
        <v/>
      </c>
      <c r="GH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3" s="43" t="str">
        <f aca="false">IF(Tasks[[#This Row],[Task Name]]="","",LEFT(Tasks[[#This Row],[WBS]],FIND(".",Tasks[[#This Row],[WBS]]&amp;".")-1))</f>
        <v>2</v>
      </c>
      <c r="GJ13" s="43" t="str">
        <f aca="false">IF(AND(Tasks[[#This Row],[Task Name]]&lt;&gt;"",Tasks[[#This Row],[_Level]]=1),Tasks[[#This Row],[_Row]],"")</f>
        <v/>
      </c>
      <c r="GK13" s="95" t="n">
        <f aca="false">IF(AND(Tasks[[#This Row],[_IsLeaf]]=1,N(Tasks[[#This Row],[_Days]])=0),Tasks[[#This Row],[Planned Finish]]+Tasks[[#This Row],[_Row]]/100000,"")</f>
        <v>46296.00008</v>
      </c>
      <c r="GL13" s="43" t="str">
        <f aca="false">IF(AND(Tasks[[#This Row],[_IsLeaf]]=1,Tasks[[#This Row],[_LeafProgress]]&lt;1,OR(N(Tasks[[#This Row],[Finish Var]])&gt;0,Tasks[[#This Row],[Status]]="Late Start")),MAX(0,Tasks[[#This Row],[Finish Var]])+1-Tasks[[#This Row],[_Row]]/1000000,"")</f>
        <v/>
      </c>
      <c r="GM13" s="43" t="str">
        <f aca="false">IF(AND(Tasks[[#This Row],[_IsLeaf]]=1,N(Tasks[[#This Row],[Actual Start]])=0,Tasks[[#This Row],[_ShownFcstStart]]&gt;=StatusDate,Tasks[[#This Row],[_ShownFcstStart]]&lt;=LookaheadEnd),Tasks[[#This Row],[_ShownFcstStart]]+Tasks[[#This Row],[_Row]]/100000,"")</f>
        <v/>
      </c>
      <c r="GN13" s="43" t="str">
        <f aca="false">IF(AND(Tasks[[#This Row],[_IsLeaf]]=1,Tasks[[#This Row],[_LeafProgress]]&lt;1,Tasks[[#This Row],[_ShownFcstFinish]]&gt;=StatusDate,Tasks[[#This Row],[_ShownFcstFinish]]&lt;=LookaheadEnd),Tasks[[#This Row],[_ShownFcstFinish]]+Tasks[[#This Row],[_Row]]/100000,"")</f>
        <v/>
      </c>
      <c r="GO13" s="43" t="str">
        <f aca="false">IF(Tasks[[#This Row],[_LeafCritical]],Tasks[[#This Row],[_ShownFcstStart]]+Tasks[[#This Row],[_Row]]/100000,"")</f>
        <v/>
      </c>
      <c r="GP13" s="43" t="n">
        <f aca="false">Tasks[[#This Row],[_LeafWork]]*Tasks[[#This Row],[_LeafProgress]]</f>
        <v>0</v>
      </c>
      <c r="GQ13" s="91" t="n">
        <f aca="false">IF(AND(Tasks[[#This Row],[_IsLeaf]]=1,Tasks[[#This Row],[_LeafProgress]]&gt;=1),IF(N(Tasks[[#This Row],[Actual Finish]])&gt;0,Tasks[[#This Row],[Actual Finish]],Tasks[[#This Row],[_ShownFcstFinish]]),"")</f>
        <v>46301</v>
      </c>
      <c r="GR13" s="43" t="n">
        <f aca="false">IF(Tasks[[#This Row],[_IsLeaf]]=1,N(Tasks[[#This Row],[Story Points]]),0)</f>
        <v>0</v>
      </c>
      <c r="GS13" s="43" t="str">
        <f aca="false">""</f>
        <v/>
      </c>
      <c r="GT13" s="90" t="b">
        <f aca="false">IF(Tasks[[#This Row],[Task Name]]="",FALSE(),AND(Tasks[[#This Row],[_IsLeaf]]=1,N(Tasks[[#This Row],[_Days]])=0))</f>
        <v>1</v>
      </c>
      <c r="GU13" s="91" t="n">
        <f aca="false">IF(Tasks[[#This Row],[Task Name]]="",0,IF(AND(Tasks[[#This Row],[_IsLeaf]]=1,NOT(Tasks[[#This Row],[_IsMilestone]]),N(Tasks[[#This Row],[Progress]])&gt;0),Tasks[[#This Row],[Start]],0))</f>
        <v>0</v>
      </c>
      <c r="GV13" s="91" t="n">
        <f aca="false">IF(Tasks[[#This Row],[_DoneFrom]]=0,0,IF(Tasks[[#This Row],[Progress]]&gt;=1,Tasks[[#This Row],[Finish]],MAX(Tasks[[#This Row],[_DoneFrom]],Tasks[[#This Row],[Start]]+ROUND((Tasks[[#This Row],[Finish]]-Tasks[[#This Row],[Start]]+1)*Tasks[[#This Row],[Progress]],0)-1)))</f>
        <v>0</v>
      </c>
      <c r="GW13" s="91" t="n">
        <f aca="false">IF(Tasks[[#This Row],[Task Name]]="",0,IF(OR(NOT(Tasks[[#This Row],[_IsLeaf]]=1),Tasks[[#This Row],[_IsMilestone]],N(Tasks[[#This Row],[Progress]])&gt;=1),0,IF(Tasks[[#This Row],[_DoneTo]]&gt;0,Tasks[[#This Row],[_DoneTo]]+1,Tasks[[#This Row],[Start]])))</f>
        <v>0</v>
      </c>
      <c r="GX13" s="91" t="n">
        <f aca="false">IF(Tasks[[#This Row],[_RemFrom]]=0,0,Tasks[[#This Row],[Finish]])</f>
        <v>0</v>
      </c>
      <c r="GY13" s="90" t="b">
        <f aca="false">IF(Tasks[[#This Row],[Task Name]]="",FALSE(),OR(NOT(BaselineSet),N(Tasks[[#This Row],[Baseline Start]])&gt;0))</f>
        <v>1</v>
      </c>
      <c r="GZ13" s="43" t="n">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1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8</v>
      </c>
      <c r="HB1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 s="92" t="n">
        <f aca="false">IF(Tasks[[#This Row],[_IsLeaf]]=1,Tasks[[#This Row],[_Row]],"")</f>
        <v>8</v>
      </c>
      <c r="HD13" s="92" t="str">
        <f aca="false">IFERROR(INDEX(Tasks[UID],SMALL(Tasks[_PickKey],Tasks[[#This Row],[_Row]]))&amp;" "&amp;INDEX(Tasks[Task Name],SMALL(Tasks[_PickKey],Tasks[[#This Row],[_Row]])),"")</f>
        <v>24 Go-live readiness review</v>
      </c>
      <c r="HE13" s="43" t="n">
        <f aca="false">IF(Tasks[[#This Row],[Task Name]]="","",IF(Tasks[[#This Row],[_IsSummary]],NETWORKDAYS.INTL(Tasks[[#This Row],[Start]],Tasks[[#This Row],[Finish]],WorkWeek,Holidays),N(Tasks[[#This Row],[_Days]])))</f>
        <v>0</v>
      </c>
      <c r="HF13" s="43" t="n">
        <f aca="false">IF(Tasks[[#This Row],[Expected]]="",0,((Tasks[[#This Row],[Pessimistic]]-Tasks[[#This Row],[Optimistic]])/6)^2)</f>
        <v>0</v>
      </c>
      <c r="HG13" s="43" t="n">
        <f aca="false">IF(Tasks[[#This Row],[Expected]]="",0,Tasks[[#This Row],[Expected]]-N(Tasks[[#This Row],[_Days]]))</f>
        <v>0</v>
      </c>
    </row>
    <row r="14" customFormat="false" ht="15" hidden="false" customHeight="false" outlineLevel="0" collapsed="false">
      <c r="A14" s="21" t="n">
        <f aca="false">IF(Tasks[[#This Row],[Task Name]]="","",COUNTA(Tasks[[#Headers],[Task Name]]:Tasks[[#This Row],[Task Name]])-1)</f>
        <v>9</v>
      </c>
      <c r="B14" s="22" t="n">
        <v>20</v>
      </c>
      <c r="C14" s="22" t="n">
        <v>1</v>
      </c>
      <c r="D14" s="23" t="s">
        <v>654</v>
      </c>
      <c r="E14" s="22"/>
      <c r="F14" s="23"/>
      <c r="G14" s="22"/>
      <c r="H14" s="22"/>
      <c r="I14" s="23"/>
      <c r="J14" s="22"/>
      <c r="K14" s="22"/>
      <c r="L14" s="23"/>
      <c r="M14" s="22"/>
      <c r="N14" s="22"/>
      <c r="O14" s="23"/>
      <c r="P14" s="22"/>
      <c r="Q14" s="22"/>
      <c r="R14" s="23"/>
      <c r="S14" s="23"/>
      <c r="T14" s="84"/>
      <c r="U14" s="23"/>
      <c r="V14" s="84"/>
      <c r="W14" s="23"/>
      <c r="X14" s="84"/>
      <c r="Y14" s="23"/>
      <c r="Z14" s="84"/>
      <c r="AA14" s="23"/>
      <c r="AB14" s="23"/>
      <c r="AC14" s="7"/>
      <c r="AD14" s="7"/>
      <c r="AE14" s="63" t="n">
        <f aca="false">IF(Tasks[[#This Row],[Task Name]]="","",IF(Tasks[[#This Row],[_IsSummary]],MIN(INDEX(Tasks[_ShownFcstStart],Tasks[[#This Row],[_Row]]+1):INDEX(Tasks[_ShownFcstStart],Tasks[[#This Row],[_Row]]+Tasks[[#This Row],[_Descendants]])),Tasks[[#This Row],[_ShownFcstStart]]))</f>
        <v>46302</v>
      </c>
      <c r="AF14" s="63" t="n">
        <f aca="false">IF(Tasks[[#This Row],[Task Name]]="","",IF(Tasks[[#This Row],[_IsSummary]],MAX(INDEX(Tasks[_ShownFcstFinish],Tasks[[#This Row],[_Row]]+1):INDEX(Tasks[_ShownFcstFinish],Tasks[[#This Row],[_Row]]+Tasks[[#This Row],[_Descendants]])),Tasks[[#This Row],[_ShownFcstFinish]]))</f>
        <v>46324</v>
      </c>
      <c r="AG14" s="21" t="str">
        <f aca="false">""</f>
        <v/>
      </c>
      <c r="AH14" s="23"/>
      <c r="AI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 s="7"/>
      <c r="AK14" s="22" t="s">
        <v>248</v>
      </c>
      <c r="AL14" s="23"/>
      <c r="AM14" s="7"/>
      <c r="AN14" s="47" t="n">
        <f aca="false">IF(Tasks[[#This Row],[Task Name]]="","",IF(Tasks[[#This Row],[Finish]]&gt;=Tasks[[#This Row],[Planned Finish]],NETWORKDAYS.INTL(Tasks[[#This Row],[Planned Finish]],Tasks[[#This Row],[Finish]],WorkWeek,Holidays)-1,1-NETWORKDAYS.INTL(Tasks[[#This Row],[Finish]],Tasks[[#This Row],[Planned Finish]],WorkWeek,Holidays)))</f>
        <v>4</v>
      </c>
      <c r="AO14" s="21" t="str">
        <f aca="false">IF(Tasks[[#This Row],[Task Name]]="","",IF(Tasks[[#This Row],[Progress]]&gt;=1,"Complete",IF(OR(N(Tasks[[#This Row],[Actual Start]])&gt;0,Tasks[[#This Row],[Progress]]&gt;0),IF(Tasks[[#This Row],[Finish Var]]&gt;0,"Behind","In Progress"),IF(Tasks[[#This Row],[Planned Start]]&lt;StatusDate,"Late Start","Not Started"))))</f>
        <v>Behind</v>
      </c>
      <c r="AP14" s="21" t="str">
        <f aca="false">IF(Tasks[[#This Row],[Task Name]]="","",IF(IF(Tasks[[#This Row],[_IsSummary]],COUNTIF(INDEX(Tasks[_LeafCritical],Tasks[[#This Row],[_Row]]+1):INDEX(Tasks[_LeafCritical],Tasks[[#This Row],[_Row]]+Tasks[[#This Row],[_Descendants]]),TRUE())&gt;0,Tasks[[#This Row],[_LeafCritical]]),"Yes",""))</f>
        <v>Yes</v>
      </c>
      <c r="AQ14" s="63" t="n">
        <f aca="false">IF(Tasks[[#This Row],[Task Name]]="","",IF(N(Tasks[[#This Row],[Baseline Start]])&gt;0,Tasks[[#This Row],[Baseline Start]],Tasks[[#This Row],[_CalcStart]]))</f>
        <v>46297</v>
      </c>
      <c r="AR14" s="63" t="n">
        <f aca="false">IF(Tasks[[#This Row],[Task Name]]="","",IF(N(Tasks[[#This Row],[Baseline Finish]])&gt;0,Tasks[[#This Row],[Baseline Finish]],Tasks[[#This Row],[_CalcFinish]]))</f>
        <v>46318</v>
      </c>
      <c r="AS14" s="47" t="n">
        <f aca="false">IF(Tasks[[#This Row],[Task Name]]="","",IF(Tasks[[#This Row],[Start]]&gt;=Tasks[[#This Row],[Planned Start]],NETWORKDAYS.INTL(Tasks[[#This Row],[Planned Start]],Tasks[[#This Row],[Start]],WorkWeek,Holidays)-1,1-NETWORKDAYS.INTL(Tasks[[#This Row],[Start]],Tasks[[#This Row],[Planned Start]],WorkWeek,Holidays)))</f>
        <v>3</v>
      </c>
      <c r="AT14" s="63" t="n">
        <f aca="false">IF(Tasks[[#This Row],[Task Name]]="","",IF(Tasks[[#This Row],[_IsSummary]],MIN(INDEX(Tasks[_LeafLateStart],Tasks[[#This Row],[_Row]]+1):INDEX(Tasks[_LeafLateStart],Tasks[[#This Row],[_Row]]+Tasks[[#This Row],[_Descendants]])),Tasks[[#This Row],[_LeafLateStart]]))</f>
        <v>46303</v>
      </c>
      <c r="AU14" s="63" t="n">
        <f aca="false">IF(Tasks[[#This Row],[Task Name]]="","",IF(Tasks[[#This Row],[_IsSummary]],MAX(INDEX(Tasks[_LeafLateFinish],Tasks[[#This Row],[_Row]]+1):INDEX(Tasks[_LeafLateFinish],Tasks[[#This Row],[_Row]]+Tasks[[#This Row],[_Descendants]])),Tasks[[#This Row],[_LeafLateFinish]]))</f>
        <v>46324</v>
      </c>
      <c r="AV14" s="47" t="n">
        <f aca="false">IF(Tasks[[#This Row],[Task Name]]="","",IF(Tasks[[#This Row],[_IsSummary]],MIN(INDEX(Tasks[_LeafTotalSlack],Tasks[[#This Row],[_Row]]+1):INDEX(Tasks[_LeafTotalSlack],Tasks[[#This Row],[_Row]]+Tasks[[#This Row],[_Descendants]])),Tasks[[#This Row],[_LeafTotalSlack]]))</f>
        <v>0</v>
      </c>
      <c r="AW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5"/>
      <c r="BA14"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0.791925465838509</v>
      </c>
      <c r="BB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BD14" s="21" t="str">
        <f aca="false">IF(Tasks[[#This Row],[Task Name]]="","",IF(Tasks[[#This Row],[_Level]]&lt;=OutlineShowLevel,"Yes","No"))</f>
        <v>Yes</v>
      </c>
      <c r="BE14" s="86" t="n">
        <f aca="false">IF(Tasks[[#This Row],[Task Name]]="","",IF(Tasks[[#This Row],[_IsSummary]],SUM(INDEX(Tasks[_LeafTotalWork],Tasks[[#This Row],[_Row]]+1):INDEX(Tasks[_LeafTotalWork],Tasks[[#This Row],[_Row]]+Tasks[[#This Row],[_Descendants]])),Tasks[[#This Row],[_LeafTotalWork]]))</f>
        <v>188</v>
      </c>
      <c r="BF14" s="23" t="s">
        <v>655</v>
      </c>
      <c r="BG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t="str">
        <f aca="false">""</f>
        <v/>
      </c>
      <c r="BI14" s="87"/>
      <c r="BJ14" s="22"/>
      <c r="BK14" s="47" t="n">
        <f aca="false">IF(OR(Tasks[[#This Row],[Task Name]]="",Tasks[[#This Row],[Baseline Duration]]=""),"",Tasks[[#This Row],[_SpanDays]]-N(Tasks[[#This Row],[Baseline Duration]]))</f>
        <v>1</v>
      </c>
      <c r="BL14" s="86" t="n">
        <f aca="false">IF(OR(Tasks[[#This Row],[Task Name]]="",Tasks[[#This Row],[Baseline Work]]=""),"",Tasks[[#This Row],[Work]]-N(Tasks[[#This Row],[Baseline Work]]))</f>
        <v>60</v>
      </c>
      <c r="BM14" s="63" t="n">
        <f aca="false">IF(Tasks[[#This Row],[Task Name]]="","",IF(OR(TakeBaseline="Yes",N(Tasks[[#This Row],[Baseline Start]])=0),Tasks[[#This Row],[Start]],Tasks[[#This Row],[Baseline Start]]))</f>
        <v>46297</v>
      </c>
      <c r="BN14" s="63" t="n">
        <f aca="false">IF(Tasks[[#This Row],[Task Name]]="","",IF(OR(TakeBaseline="Yes",N(Tasks[[#This Row],[Baseline Finish]])=0),Tasks[[#This Row],[Finish]],Tasks[[#This Row],[Baseline Finish]]))</f>
        <v>46318</v>
      </c>
      <c r="BO14" s="21" t="n">
        <f aca="false">IF(Tasks[[#This Row],[Task Name]]="","",IF(OR(TakeBaseline="Yes",N(Tasks[[#This Row],[Baseline Duration]])=0),Tasks[[#This Row],[_SpanDays]],Tasks[[#This Row],[Baseline Duration]]))</f>
        <v>16</v>
      </c>
      <c r="BP14" s="86" t="n">
        <f aca="false">IF(Tasks[[#This Row],[Task Name]]="","",IF(OR(TakeBaseline="Yes",N(Tasks[[#This Row],[Baseline Work]])=0),Tasks[[#This Row],[Work]],Tasks[[#This Row],[Baseline Work]]))</f>
        <v>128</v>
      </c>
      <c r="BQ14" s="7" t="n">
        <v>46297</v>
      </c>
      <c r="BR14" s="7" t="n">
        <v>46318</v>
      </c>
      <c r="BS14" s="22" t="n">
        <v>16</v>
      </c>
      <c r="BT14" s="88" t="n">
        <v>128</v>
      </c>
      <c r="BU14" s="23"/>
      <c r="BV14" s="23"/>
      <c r="BW14" s="23"/>
      <c r="BX14" s="89" t="str">
        <f aca="false">IF(AND(Tasks[[#This Row],[_IsLeaf]]=1,ISNUMBER(Tasks[[#This Row],[Optimistic]]),ISNUMBER(Tasks[[#This Row],[Pessimistic]])),ROUND((Tasks[[#This Row],[Optimistic]]+4*N(Tasks[[#This Row],[_Days]])+Tasks[[#This Row],[Pessimistic]])/6,1),"")</f>
        <v/>
      </c>
      <c r="BY14" s="87"/>
      <c r="BZ14" s="87"/>
      <c r="CA14" s="22"/>
      <c r="CB14" s="43" t="n">
        <f aca="false">IF(Tasks[[#This Row],[Task Name]]="","",MAX(1,N(Tasks[[#This Row],[Level]])))</f>
        <v>1</v>
      </c>
      <c r="CC14" s="43" t="n">
        <f aca="false">ROW()-ROW(Tasks[[#Headers],[ID]])</f>
        <v>9</v>
      </c>
      <c r="CD14" s="43" t="n">
        <f aca="false">IF(OR(Tasks[[#This Row],[Task Name]]="",Tasks[[#This Row],[_Level]]&lt;=1),0,IFERROR(LOOKUP(2,1/(Tasks[[#Headers],[_Level]]:Tasks[[#This Row],[_Level]]=Tasks[[#This Row],[_Level]]-1),ROW(Tasks[[#Headers],[_Level]]:Tasks[[#This Row],[_Level]])),0))</f>
        <v>0</v>
      </c>
      <c r="CE14" s="43" t="n">
        <f aca="false">IFERROR(N(INDEX(Tasks[_Level],Tasks[[#This Row],[_Row]]+1)),0)</f>
        <v>2</v>
      </c>
      <c r="CF14" s="90" t="b">
        <f aca="false">AND(Tasks[[#This Row],[Task Name]]&lt;&gt;"",Tasks[[#This Row],[_NextLevel]]&gt;Tasks[[#This Row],[_Level]])</f>
        <v>1</v>
      </c>
      <c r="CG14" s="43" t="n">
        <f aca="false">IF(Tasks[[#This Row],[_IsSummary]],COUNTIF(Tasks[WBS],Tasks[[#This Row],[WBS]]&amp;".*"),0)</f>
        <v>3</v>
      </c>
      <c r="CH14" s="43" t="n">
        <f aca="false">IF(AND(Tasks[[#This Row],[Task Name]]&lt;&gt;"",NOT(Tasks[[#This Row],[_IsSummary]])),1,0)</f>
        <v>0</v>
      </c>
      <c r="CI14" s="43" t="n">
        <f aca="false">IF(N(Tasks[[#This Row],[_Pred1UID]])=0,0,IFERROR(MATCH(Tasks[[#This Row],[_Pred1UID]],Tasks[UID],0),-1))</f>
        <v>0</v>
      </c>
      <c r="CJ14" s="43" t="n">
        <f aca="false">IF(N(Tasks[[#This Row],[_Pred2UID]])=0,0,IFERROR(MATCH(Tasks[[#This Row],[_Pred2UID]],Tasks[UID],0),-1))</f>
        <v>0</v>
      </c>
      <c r="CK14" s="43" t="n">
        <f aca="false">IF(N(Tasks[[#This Row],[_Pred3UID]])=0,0,IFERROR(MATCH(Tasks[[#This Row],[_Pred3UID]],Tasks[UID],0),-1))</f>
        <v>0</v>
      </c>
      <c r="CL14" s="43" t="n">
        <f aca="false">IF(N(Tasks[[#This Row],[_Pred4UID]])=0,0,IFERROR(MATCH(Tasks[[#This Row],[_Pred4UID]],Tasks[UID],0),-1))</f>
        <v>0</v>
      </c>
      <c r="CM1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 s="91" t="n">
        <f aca="false">IF(OR(Tasks[[#This Row],[_ConstraintCode]]=2,Tasks[[#This Row],[_ConstraintCode]]=3,Tasks[[#This Row],[_ConstraintCode]]=4,Tasks[[#This Row],[_ConstraintCode]]=6),Tasks[[#This Row],[_ConstraintStart]],0)</f>
        <v>0</v>
      </c>
      <c r="CP14" s="91" t="n">
        <f aca="false">IF(OR(Tasks[[#This Row],[_ConstraintCode]]=2,Tasks[[#This Row],[_ConstraintCode]]=3,Tasks[[#This Row],[_ConstraintCode]]=5,Tasks[[#This Row],[_ConstraintCode]]=7),Tasks[[#This Row],[_ConstraintStart]],2958465)</f>
        <v>2958465</v>
      </c>
      <c r="CQ1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 s="91" t="str">
        <f aca="false">IF(NOT(Tasks[[#This Row],[_IsLeaf]]=1),"",IF(N(Tasks[[#This Row],[_Days]])&lt;=0,Tasks[[#This Row],[_LeafCalcStart]],WORKDAY.INTL(Tasks[[#This Row],[_LeafCalcStart]],Tasks[[#This Row],[_Days]]-1,WorkWeek,Holidays)))</f>
        <v/>
      </c>
      <c r="CS1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 s="43" t="str">
        <f aca="false">IF(Tasks[[#This Row],[_Predecessors]]="","",TRIM(MID(SUBSTITUTE(SUBSTITUTE(SUBSTITUTE(UPPER(Tasks[[#This Row],[_Predecessors]]),";",",")," ",""),",",REPT(" ",99)),1,99)))</f>
        <v/>
      </c>
      <c r="CV14" s="43" t="str">
        <f aca="false">IF(Tasks[[#This Row],[_Pred1Text]]="","",IFERROR(VALUE(LEFT(Tasks[[#This Row],[_Pred1Text]],MIN(FIND("F",Tasks[[#This Row],[_Pred1Text]]&amp;"F"),FIND("S",Tasks[[#This Row],[_Pred1Text]]&amp;"S"),FIND("+",Tasks[[#This Row],[_Pred1Text]]&amp;"+"),FIND("-",Tasks[[#This Row],[_Pred1Text]]&amp;"-"))-1)),""))</f>
        <v/>
      </c>
      <c r="CW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 s="43" t="str">
        <f aca="false">IF(Tasks[[#This Row],[_Pred1Text]]="","",TRIM(MID(SUBSTITUTE(SUBSTITUTE(SUBSTITUTE(UPPER(Tasks[[#This Row],[_Predecessors]]),";",",")," ",""),",",REPT(" ",99)),100,99)))</f>
        <v/>
      </c>
      <c r="CZ14" s="43" t="str">
        <f aca="false">IF(Tasks[[#This Row],[_Pred2Text]]="","",IFERROR(VALUE(LEFT(Tasks[[#This Row],[_Pred2Text]],MIN(FIND("F",Tasks[[#This Row],[_Pred2Text]]&amp;"F"),FIND("S",Tasks[[#This Row],[_Pred2Text]]&amp;"S"),FIND("+",Tasks[[#This Row],[_Pred2Text]]&amp;"+"),FIND("-",Tasks[[#This Row],[_Pred2Text]]&amp;"-"))-1)),""))</f>
        <v/>
      </c>
      <c r="DA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 s="43" t="str">
        <f aca="false">IF(Tasks[[#This Row],[_Pred2Text]]="","",TRIM(MID(SUBSTITUTE(SUBSTITUTE(SUBSTITUTE(UPPER(Tasks[[#This Row],[_Predecessors]]),";",",")," ",""),",",REPT(" ",99)),199,99)))</f>
        <v/>
      </c>
      <c r="DD14" s="43" t="str">
        <f aca="false">IF(Tasks[[#This Row],[_Pred3Text]]="","",IFERROR(VALUE(LEFT(Tasks[[#This Row],[_Pred3Text]],MIN(FIND("F",Tasks[[#This Row],[_Pred3Text]]&amp;"F"),FIND("S",Tasks[[#This Row],[_Pred3Text]]&amp;"S"),FIND("+",Tasks[[#This Row],[_Pred3Text]]&amp;"+"),FIND("-",Tasks[[#This Row],[_Pred3Text]]&amp;"-"))-1)),""))</f>
        <v/>
      </c>
      <c r="DE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 s="43" t="str">
        <f aca="false">IF(Tasks[[#This Row],[_Pred3Text]]="","",TRIM(MID(SUBSTITUTE(SUBSTITUTE(SUBSTITUTE(UPPER(Tasks[[#This Row],[_Predecessors]]),";",",")," ",""),",",REPT(" ",99)),298,99)))</f>
        <v/>
      </c>
      <c r="DH14" s="43" t="str">
        <f aca="false">IF(Tasks[[#This Row],[_Pred4Text]]="","",IFERROR(VALUE(LEFT(Tasks[[#This Row],[_Pred4Text]],MIN(FIND("F",Tasks[[#This Row],[_Pred4Text]]&amp;"F"),FIND("S",Tasks[[#This Row],[_Pred4Text]]&amp;"S"),FIND("+",Tasks[[#This Row],[_Pred4Text]]&amp;"+"),FIND("-",Tasks[[#This Row],[_Pred4Text]]&amp;"-"))-1)),""))</f>
        <v/>
      </c>
      <c r="DI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 s="43" t="str">
        <f aca="false">IF(OR(Tasks[[#This Row],[Task Name]]="",Tasks[[#This Row],[_Resources]]=""),"",TRIM(MID(SUBSTITUTE(Tasks[[#This Row],[_Resources]],",",REPT(" ",99)),1,99)))</f>
        <v/>
      </c>
      <c r="DL14" s="43" t="str">
        <f aca="false">IF(Tasks[[#This Row],[_Res1Text]]="","",TRIM(MID(SUBSTITUTE(Tasks[[#This Row],[_Resources]],",",REPT(" ",99)),100,99)))</f>
        <v/>
      </c>
      <c r="DM14" s="43" t="str">
        <f aca="false">IF(Tasks[[#This Row],[_Res2Text]]="","",TRIM(MID(SUBSTITUTE(Tasks[[#This Row],[_Resources]],",",REPT(" ",99)),199,99)))</f>
        <v/>
      </c>
      <c r="DN14" s="43" t="str">
        <f aca="false">IF(Tasks[[#This Row],[_Res3Text]]="","",TRIM(MID(SUBSTITUTE(Tasks[[#This Row],[_Resources]],",",REPT(" ",99)),298,99)))</f>
        <v/>
      </c>
      <c r="DO14" s="43" t="n">
        <f aca="false">IF(Tasks[[#This Row],[_Res1Text]]="",0,IFERROR(MATCH(TRIM(LEFT(Tasks[[#This Row],[_Res1Text]],FIND("[",Tasks[[#This Row],[_Res1Text]]&amp;"[")-1)),res_Name,0),IFERROR(MATCH(TRIM(LEFT(Tasks[[#This Row],[_Res1Text]],FIND("[",Tasks[[#This Row],[_Res1Text]]&amp;"[")-1)),res_Initials,0),0)))</f>
        <v>0</v>
      </c>
      <c r="DP14" s="43" t="n">
        <f aca="false">IF(Tasks[[#This Row],[_Res2Text]]="",0,IFERROR(MATCH(TRIM(LEFT(Tasks[[#This Row],[_Res2Text]],FIND("[",Tasks[[#This Row],[_Res2Text]]&amp;"[")-1)),res_Name,0),IFERROR(MATCH(TRIM(LEFT(Tasks[[#This Row],[_Res2Text]],FIND("[",Tasks[[#This Row],[_Res2Text]]&amp;"[")-1)),res_Initials,0),0)))</f>
        <v>0</v>
      </c>
      <c r="DQ14" s="43" t="n">
        <f aca="false">IF(Tasks[[#This Row],[_Res3Text]]="",0,IFERROR(MATCH(TRIM(LEFT(Tasks[[#This Row],[_Res3Text]],FIND("[",Tasks[[#This Row],[_Res3Text]]&amp;"[")-1)),res_Name,0),IFERROR(MATCH(TRIM(LEFT(Tasks[[#This Row],[_Res3Text]],FIND("[",Tasks[[#This Row],[_Res3Text]]&amp;"[")-1)),res_Initials,0),0)))</f>
        <v>0</v>
      </c>
      <c r="DR14" s="43" t="n">
        <f aca="false">IF(Tasks[[#This Row],[_Res4Text]]="",0,IFERROR(MATCH(TRIM(LEFT(Tasks[[#This Row],[_Res4Text]],FIND("[",Tasks[[#This Row],[_Res4Text]]&amp;"[")-1)),res_Name,0),IFERROR(MATCH(TRIM(LEFT(Tasks[[#This Row],[_Res4Text]],FIND("[",Tasks[[#This Row],[_Res4Text]]&amp;"[")-1)),res_Initials,0),0)))</f>
        <v>0</v>
      </c>
      <c r="DS14" s="43" t="str">
        <f aca="false">IF(Tasks[[#This Row],[_Res1Text]]="","",IF(Tasks[[#This Row],[_Res1Row]]&gt;0,INDEX(res_Name,Tasks[[#This Row],[_Res1Row]]),TRIM(LEFT(Tasks[[#This Row],[_Res1Text]],FIND("[",Tasks[[#This Row],[_Res1Text]]&amp;"[")-1))))</f>
        <v/>
      </c>
      <c r="DT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 s="43" t="n">
        <f aca="false">IF(NOT(Tasks[[#This Row],[_IsLeaf]]=1),0,(Tasks[[#This Row],[_Resource1]]&lt;&gt;"")+(Tasks[[#This Row],[_Res2]]&lt;&gt;"")+(Tasks[[#This Row],[_Res3]]&lt;&gt;"")+(Tasks[[#This Row],[_Res4]]&lt;&gt;""))</f>
        <v>0</v>
      </c>
      <c r="DV14" s="43" t="str">
        <f aca="false">IF(Tasks[[#This Row],[_Res2Text]]="","",IF(Tasks[[#This Row],[_Res2Row]]&gt;0,INDEX(res_Name,Tasks[[#This Row],[_Res2Row]]),TRIM(LEFT(Tasks[[#This Row],[_Res2Text]],FIND("[",Tasks[[#This Row],[_Res2Text]]&amp;"[")-1))))</f>
        <v/>
      </c>
      <c r="DW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 s="43" t="n">
        <f aca="false">IF(OR(NOT(Tasks[[#This Row],[_IsLeaf]]=1),Tasks[[#This Row],[_Res2Row]]=0),0,N(Tasks[[#This Row],[_Days]])*HoursPerDay*IF(Tasks[[#This Row],[_Res2Units]]="",DefaultUnits,Tasks[[#This Row],[_Res2Units]]))</f>
        <v>0</v>
      </c>
      <c r="DY14" s="43" t="n">
        <f aca="false">IF(AND(AND(Tasks[[#This Row],[_IsLeaf]]=1,Tasks[[#This Row],[_LeafTotalWork]]&gt;0),Tasks[[#This Row],[_Res2Work]]&gt;0),Tasks[[#This Row],[_Res2Work]]/(Tasks[[#This Row],[_FinishWorkday]]-Tasks[[#This Row],[_StartWorkday]]+1),0)</f>
        <v>0</v>
      </c>
      <c r="DZ14" s="43" t="n">
        <f aca="false">Tasks[[#This Row],[_Res2WorkPerWD]]*MAX(0,Tasks[[#This Row],[_StartWorkday]]-1)</f>
        <v>0</v>
      </c>
      <c r="EA14" s="43" t="n">
        <f aca="false">Tasks[[#This Row],[_Res2Work]]*Tasks[[#This Row],[_LeafProgress]]</f>
        <v>0</v>
      </c>
      <c r="EB14" s="43" t="str">
        <f aca="false">IF(Tasks[[#This Row],[_Res3Text]]="","",IF(Tasks[[#This Row],[_Res3Row]]&gt;0,INDEX(res_Name,Tasks[[#This Row],[_Res3Row]]),TRIM(LEFT(Tasks[[#This Row],[_Res3Text]],FIND("[",Tasks[[#This Row],[_Res3Text]]&amp;"[")-1))))</f>
        <v/>
      </c>
      <c r="EC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 s="43" t="n">
        <f aca="false">IF(OR(NOT(Tasks[[#This Row],[_IsLeaf]]=1),Tasks[[#This Row],[_Res3Row]]=0),0,N(Tasks[[#This Row],[_Days]])*HoursPerDay*IF(Tasks[[#This Row],[_Res3Units]]="",DefaultUnits,Tasks[[#This Row],[_Res3Units]]))</f>
        <v>0</v>
      </c>
      <c r="EE14" s="43" t="n">
        <f aca="false">IF(AND(AND(Tasks[[#This Row],[_IsLeaf]]=1,Tasks[[#This Row],[_LeafTotalWork]]&gt;0),Tasks[[#This Row],[_Res3Work]]&gt;0),Tasks[[#This Row],[_Res3Work]]/(Tasks[[#This Row],[_FinishWorkday]]-Tasks[[#This Row],[_StartWorkday]]+1),0)</f>
        <v>0</v>
      </c>
      <c r="EF14" s="43" t="n">
        <f aca="false">Tasks[[#This Row],[_Res3WorkPerWD]]*MAX(0,Tasks[[#This Row],[_StartWorkday]]-1)</f>
        <v>0</v>
      </c>
      <c r="EG14" s="43" t="n">
        <f aca="false">Tasks[[#This Row],[_Res3Work]]*Tasks[[#This Row],[_LeafProgress]]</f>
        <v>0</v>
      </c>
      <c r="EH14" s="43" t="str">
        <f aca="false">IF(Tasks[[#This Row],[_Res4Text]]="","",IF(Tasks[[#This Row],[_Res4Row]]&gt;0,INDEX(res_Name,Tasks[[#This Row],[_Res4Row]]),TRIM(LEFT(Tasks[[#This Row],[_Res4Text]],FIND("[",Tasks[[#This Row],[_Res4Text]]&amp;"[")-1))))</f>
        <v/>
      </c>
      <c r="EI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 s="43" t="n">
        <f aca="false">IF(OR(NOT(Tasks[[#This Row],[_IsLeaf]]=1),Tasks[[#This Row],[_Res4Row]]=0),0,N(Tasks[[#This Row],[_Days]])*HoursPerDay*IF(Tasks[[#This Row],[_Res4Units]]="",DefaultUnits,Tasks[[#This Row],[_Res4Units]]))</f>
        <v>0</v>
      </c>
      <c r="EK14" s="43" t="n">
        <f aca="false">IF(AND(AND(Tasks[[#This Row],[_IsLeaf]]=1,Tasks[[#This Row],[_LeafTotalWork]]&gt;0),Tasks[[#This Row],[_Res4Work]]&gt;0),Tasks[[#This Row],[_Res4Work]]/(Tasks[[#This Row],[_FinishWorkday]]-Tasks[[#This Row],[_StartWorkday]]+1),0)</f>
        <v>0</v>
      </c>
      <c r="EL14" s="43" t="n">
        <f aca="false">Tasks[[#This Row],[_Res4WorkPerWD]]*MAX(0,Tasks[[#This Row],[_StartWorkday]]-1)</f>
        <v>0</v>
      </c>
      <c r="EM14" s="43" t="n">
        <f aca="false">Tasks[[#This Row],[_Res4Work]]*Tasks[[#This Row],[_LeafProgress]]</f>
        <v>0</v>
      </c>
      <c r="EN14" s="43" t="n">
        <f aca="false">IF(ISNUMBER(Tasks[[#This Row],[% Complete]]),Tasks[[#This Row],[% Complete]],IF(Tasks[[#This Row],[Stage]]="",0,IFERROR(INDEX(stg_Pct,MATCH(Tasks[[#This Row],[Stage]],stg_Name,0)),0)))</f>
        <v>0</v>
      </c>
      <c r="EO14" s="43" t="n">
        <f aca="false">IF(NOT(Tasks[[#This Row],[_IsLeaf]]=1),0,IF(N(Tasks[[#This Row],[Actual Finish]])&gt;0,1,MIN(1,Tasks[[#This Row],[_Pct]])))</f>
        <v>0</v>
      </c>
      <c r="EP14" s="43" t="n">
        <f aca="false">IF(OR(NOT(Tasks[[#This Row],[_IsLeaf]]=1),Tasks[[#This Row],[_Res1Row]]=0),0,N(Tasks[[#This Row],[_Days]])*HoursPerDay*IF(Tasks[[#This Row],[_Units1]]="",DefaultUnits,Tasks[[#This Row],[_Units1]]))</f>
        <v>0</v>
      </c>
      <c r="EQ14" s="43" t="n">
        <f aca="false">Tasks[[#This Row],[_LeafWork]]+Tasks[[#This Row],[_Res2Work]]+Tasks[[#This Row],[_Res3Work]]+Tasks[[#This Row],[_Res4Work]]</f>
        <v>0</v>
      </c>
      <c r="ER1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 s="43" t="n">
        <f aca="false">IF(NOT(Tasks[[#This Row],[_IsLeaf]]=1),0,MAX(_xlfn.MAXIFS(Tasks[_Row],Tasks[_Pred1UID],Tasks[[#This Row],[UID]]),_xlfn.MAXIFS(Tasks[_Row],Tasks[_Pred2UID],Tasks[[#This Row],[UID]]),_xlfn.MAXIFS(Tasks[_Row],Tasks[_Pred3UID],Tasks[[#This Row],[UID]]),_xlfn.MAXIFS(Tasks[_Row],Tasks[_Pred4UID],Tasks[[#This Row],[UID]])))</f>
        <v>0</v>
      </c>
      <c r="FA1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 s="91" t="str">
        <f aca="false">IF(NOT(Tasks[[#This Row],[_IsLeaf]]=1),"",IF(N(Tasks[[#This Row],[_Days]])&lt;=0,Tasks[[#This Row],[_LeafLateFinish]],WORKDAY.INTL(Tasks[[#This Row],[_LeafLateFinish]],-(Tasks[[#This Row],[_Days]]-1),WorkWeek,Holidays)))</f>
        <v/>
      </c>
      <c r="FD1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 s="90" t="b">
        <f aca="false">AND(Tasks[[#This Row],[_IsLeaf]]=1,Tasks[[#This Row],[_LeafProgress]]&lt;1,N(Tasks[[#This Row],[_LeafTotalSlack]])&lt;=CriticalSlackDays)</f>
        <v>0</v>
      </c>
      <c r="FF14" s="43" t="n">
        <f aca="false">IF(AND(Tasks[[#This Row],[_IsLeaf]]=1,Tasks[[#This Row],[_ConstraintCode]]=1,Tasks[[#This Row],[Mode]]&lt;&gt;"Manual",N(Tasks[[#This Row],[Actual Start]])=0),MAX(0,N(Tasks[[#This Row],[Free Slack]])),0)</f>
        <v>0</v>
      </c>
      <c r="FG14" s="91" t="str">
        <f aca="false">IF(NOT(Tasks[[#This Row],[_IsLeaf]]=1),"",IF(Tasks[[#This Row],[_AlapShift]]=0,Tasks[[#This Row],[_LeafCalcStart]],WORKDAY.INTL(Tasks[[#This Row],[_LeafCalcStart]],Tasks[[#This Row],[_AlapShift]],WorkWeek,Holidays)))</f>
        <v/>
      </c>
      <c r="FH14" s="91" t="str">
        <f aca="false">IF(NOT(Tasks[[#This Row],[_IsLeaf]]=1),"",IF(Tasks[[#This Row],[_AlapShift]]=0,Tasks[[#This Row],[_LeafCalcFinish]],WORKDAY.INTL(Tasks[[#This Row],[_LeafCalcFinish]],Tasks[[#This Row],[_AlapShift]],WorkWeek,Holidays)))</f>
        <v/>
      </c>
      <c r="FI14" s="91" t="str">
        <f aca="false">IF(NOT(Tasks[[#This Row],[_IsLeaf]]=1),"",IF(Tasks[[#This Row],[_AlapShift]]=0,Tasks[[#This Row],[_LeafFcstStart]],WORKDAY.INTL(Tasks[[#This Row],[_LeafFcstStart]],Tasks[[#This Row],[_AlapShift]],WorkWeek,Holidays)))</f>
        <v/>
      </c>
      <c r="FJ14" s="91" t="str">
        <f aca="false">IF(NOT(Tasks[[#This Row],[_IsLeaf]]=1),"",IF(Tasks[[#This Row],[_AlapShift]]=0,Tasks[[#This Row],[_LeafFcstFinish]],WORKDAY.INTL(Tasks[[#This Row],[_LeafFcstFinish]],Tasks[[#This Row],[_AlapShift]],WorkWeek,Holidays)))</f>
        <v/>
      </c>
      <c r="FK14" s="91" t="n">
        <f aca="false">IF(Tasks[[#This Row],[Task Name]]="","",IF(Tasks[[#This Row],[_IsSummary]],MIN(INDEX(Tasks[_ShownCalcStart],Tasks[[#This Row],[_Row]]+1):INDEX(Tasks[_ShownCalcStart],Tasks[[#This Row],[_Row]]+Tasks[[#This Row],[_Descendants]])),Tasks[[#This Row],[_ShownCalcStart]]))</f>
        <v>46297</v>
      </c>
      <c r="FL14" s="91" t="n">
        <f aca="false">IF(Tasks[[#This Row],[Task Name]]="","",IF(Tasks[[#This Row],[_IsSummary]],MAX(INDEX(Tasks[_ShownCalcFinish],Tasks[[#This Row],[_Row]]+1):INDEX(Tasks[_ShownCalcFinish],Tasks[[#This Row],[_Row]]+Tasks[[#This Row],[_Descendants]])),Tasks[[#This Row],[_ShownCalcFinish]]))</f>
        <v>46318</v>
      </c>
      <c r="FM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 s="43" t="n">
        <f aca="false">IF(AND(Tasks[[#This Row],[_IsLeaf]]=1,Tasks[[#This Row],[_LeafTotalWork]]&gt;0),NETWORKDAYS.INTL(ProjectStart,Tasks[[#This Row],[_ShownFcstStart]],WorkWeek,Holidays),0)</f>
        <v>0</v>
      </c>
      <c r="FZ14" s="43" t="n">
        <f aca="false">IF(AND(Tasks[[#This Row],[_IsLeaf]]=1,Tasks[[#This Row],[_LeafTotalWork]]&gt;0),MAX(Tasks[[#This Row],[_StartWorkday]],NETWORKDAYS.INTL(ProjectStart,Tasks[[#This Row],[_ShownFcstFinish]],WorkWeek,Holidays)),0)</f>
        <v>0</v>
      </c>
      <c r="GA14" s="43" t="n">
        <f aca="false">IF(AND(Tasks[[#This Row],[_IsLeaf]]=1,Tasks[[#This Row],[_LeafTotalWork]]&gt;0),Tasks[[#This Row],[_LeafWork]]/(Tasks[[#This Row],[_FinishWorkday]]-Tasks[[#This Row],[_StartWorkday]]+1),0)</f>
        <v>0</v>
      </c>
      <c r="GB14" s="43" t="n">
        <f aca="false">Tasks[[#This Row],[_WorkPerWorkday]]*(Tasks[[#This Row],[_StartWorkday]]-1)</f>
        <v>-0</v>
      </c>
      <c r="GC14" s="43" t="n">
        <f aca="false">IF(Tasks[[#This Row],[_IsLeaf]]=1,MAX(N(Tasks[[#This Row],[_Days]]),0.1),0)</f>
        <v>0</v>
      </c>
      <c r="GD14" s="43" t="n">
        <f aca="false">Tasks[[#This Row],[_WeightDur]]*Tasks[[#This Row],[_LeafProgress]]</f>
        <v>0</v>
      </c>
      <c r="GE14" s="43" t="n">
        <f aca="false">Tasks[[#This Row],[_WeightDur]]*Tasks[[#This Row],[_PlannedPct]]</f>
        <v>0</v>
      </c>
      <c r="GF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 s="43" t="str">
        <f aca="false">IF(AND(Tasks[[#This Row],[_IsLeaf]]=1,N(Tasks[[#This Row],[_Days]])=0,Tasks[[#This Row],[_LeafProgress]]&lt;1),Tasks[[#This Row],[_ShownFcstFinish]]+Tasks[[#This Row],[_Row]]/100000,"")</f>
        <v/>
      </c>
      <c r="GH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 s="43" t="str">
        <f aca="false">IF(Tasks[[#This Row],[Task Name]]="","",LEFT(Tasks[[#This Row],[WBS]],FIND(".",Tasks[[#This Row],[WBS]]&amp;".")-1))</f>
        <v>3</v>
      </c>
      <c r="GJ14" s="43" t="n">
        <f aca="false">IF(AND(Tasks[[#This Row],[Task Name]]&lt;&gt;"",Tasks[[#This Row],[_Level]]=1),Tasks[[#This Row],[_Row]],"")</f>
        <v>9</v>
      </c>
      <c r="GK14" s="43" t="str">
        <f aca="false">IF(AND(Tasks[[#This Row],[_IsLeaf]]=1,N(Tasks[[#This Row],[_Days]])=0),Tasks[[#This Row],[Planned Finish]]+Tasks[[#This Row],[_Row]]/100000,"")</f>
        <v/>
      </c>
      <c r="GL14" s="43" t="str">
        <f aca="false">IF(AND(Tasks[[#This Row],[_IsLeaf]]=1,Tasks[[#This Row],[_LeafProgress]]&lt;1,OR(N(Tasks[[#This Row],[Finish Var]])&gt;0,Tasks[[#This Row],[Status]]="Late Start")),MAX(0,Tasks[[#This Row],[Finish Var]])+1-Tasks[[#This Row],[_Row]]/1000000,"")</f>
        <v/>
      </c>
      <c r="GM14" s="43" t="str">
        <f aca="false">IF(AND(Tasks[[#This Row],[_IsLeaf]]=1,N(Tasks[[#This Row],[Actual Start]])=0,Tasks[[#This Row],[_ShownFcstStart]]&gt;=StatusDate,Tasks[[#This Row],[_ShownFcstStart]]&lt;=LookaheadEnd),Tasks[[#This Row],[_ShownFcstStart]]+Tasks[[#This Row],[_Row]]/100000,"")</f>
        <v/>
      </c>
      <c r="GN14" s="43" t="str">
        <f aca="false">IF(AND(Tasks[[#This Row],[_IsLeaf]]=1,Tasks[[#This Row],[_LeafProgress]]&lt;1,Tasks[[#This Row],[_ShownFcstFinish]]&gt;=StatusDate,Tasks[[#This Row],[_ShownFcstFinish]]&lt;=LookaheadEnd),Tasks[[#This Row],[_ShownFcstFinish]]+Tasks[[#This Row],[_Row]]/100000,"")</f>
        <v/>
      </c>
      <c r="GO14" s="43" t="str">
        <f aca="false">IF(Tasks[[#This Row],[_LeafCritical]],Tasks[[#This Row],[_ShownFcstStart]]+Tasks[[#This Row],[_Row]]/100000,"")</f>
        <v/>
      </c>
      <c r="GP14" s="43" t="n">
        <f aca="false">Tasks[[#This Row],[_LeafWork]]*Tasks[[#This Row],[_LeafProgress]]</f>
        <v>0</v>
      </c>
      <c r="GQ14" s="91" t="str">
        <f aca="false">IF(AND(Tasks[[#This Row],[_IsLeaf]]=1,Tasks[[#This Row],[_LeafProgress]]&gt;=1),IF(N(Tasks[[#This Row],[Actual Finish]])&gt;0,Tasks[[#This Row],[Actual Finish]],Tasks[[#This Row],[_ShownFcstFinish]]),"")</f>
        <v/>
      </c>
      <c r="GR14" s="43" t="n">
        <f aca="false">IF(Tasks[[#This Row],[_IsLeaf]]=1,N(Tasks[[#This Row],[Story Points]]),0)</f>
        <v>0</v>
      </c>
      <c r="GS14" s="43" t="str">
        <f aca="false">""</f>
        <v/>
      </c>
      <c r="GT14" s="90" t="b">
        <f aca="false">IF(Tasks[[#This Row],[Task Name]]="",FALSE(),AND(Tasks[[#This Row],[_IsLeaf]]=1,N(Tasks[[#This Row],[_Days]])=0))</f>
        <v>0</v>
      </c>
      <c r="GU14" s="91" t="n">
        <f aca="false">IF(Tasks[[#This Row],[Task Name]]="",0,IF(AND(Tasks[[#This Row],[_IsLeaf]]=1,NOT(Tasks[[#This Row],[_IsMilestone]]),N(Tasks[[#This Row],[Progress]])&gt;0),Tasks[[#This Row],[Start]],0))</f>
        <v>0</v>
      </c>
      <c r="GV14" s="91" t="n">
        <f aca="false">IF(Tasks[[#This Row],[_DoneFrom]]=0,0,IF(Tasks[[#This Row],[Progress]]&gt;=1,Tasks[[#This Row],[Finish]],MAX(Tasks[[#This Row],[_DoneFrom]],Tasks[[#This Row],[Start]]+ROUND((Tasks[[#This Row],[Finish]]-Tasks[[#This Row],[Start]]+1)*Tasks[[#This Row],[Progress]],0)-1)))</f>
        <v>0</v>
      </c>
      <c r="GW14" s="91" t="n">
        <f aca="false">IF(Tasks[[#This Row],[Task Name]]="",0,IF(OR(NOT(Tasks[[#This Row],[_IsLeaf]]=1),Tasks[[#This Row],[_IsMilestone]],N(Tasks[[#This Row],[Progress]])&gt;=1),0,IF(Tasks[[#This Row],[_DoneTo]]&gt;0,Tasks[[#This Row],[_DoneTo]]+1,Tasks[[#This Row],[Start]])))</f>
        <v>0</v>
      </c>
      <c r="GX14" s="91" t="n">
        <f aca="false">IF(Tasks[[#This Row],[_RemFrom]]=0,0,Tasks[[#This Row],[Finish]])</f>
        <v>0</v>
      </c>
      <c r="GY14" s="90" t="b">
        <f aca="false">IF(Tasks[[#This Row],[Task Name]]="",FALSE(),OR(NOT(BaselineSet),N(Tasks[[#This Row],[Baseline Start]])&gt;0))</f>
        <v>1</v>
      </c>
      <c r="GZ1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 s="92" t="str">
        <f aca="false">IF(Tasks[[#This Row],[_IsLeaf]]=1,Tasks[[#This Row],[_Row]],"")</f>
        <v/>
      </c>
      <c r="HD14" s="92" t="str">
        <f aca="false">IFERROR(INDEX(Tasks[UID],SMALL(Tasks[_PickKey],Tasks[[#This Row],[_Row]]))&amp;" "&amp;INDEX(Tasks[Task Name],SMALL(Tasks[_PickKey],Tasks[[#This Row],[_Row]])),"")</f>
        <v>25 Go-live</v>
      </c>
      <c r="HE14" s="43" t="n">
        <f aca="false">IF(Tasks[[#This Row],[Task Name]]="","",IF(Tasks[[#This Row],[_IsSummary]],NETWORKDAYS.INTL(Tasks[[#This Row],[Start]],Tasks[[#This Row],[Finish]],WorkWeek,Holidays),N(Tasks[[#This Row],[_Days]])))</f>
        <v>17</v>
      </c>
      <c r="HF14" s="43" t="n">
        <f aca="false">IF(Tasks[[#This Row],[Expected]]="",0,((Tasks[[#This Row],[Pessimistic]]-Tasks[[#This Row],[Optimistic]])/6)^2)</f>
        <v>0</v>
      </c>
      <c r="HG14" s="43" t="n">
        <f aca="false">IF(Tasks[[#This Row],[Expected]]="",0,Tasks[[#This Row],[Expected]]-N(Tasks[[#This Row],[_Days]]))</f>
        <v>0</v>
      </c>
    </row>
    <row r="15" customFormat="false" ht="15" hidden="false" customHeight="false" outlineLevel="1" collapsed="false">
      <c r="A15" s="21" t="n">
        <f aca="false">IF(Tasks[[#This Row],[Task Name]]="","",COUNTA(Tasks[[#Headers],[Task Name]]:Tasks[[#This Row],[Task Name]])-1)</f>
        <v>10</v>
      </c>
      <c r="B15" s="22" t="n">
        <v>21</v>
      </c>
      <c r="C15" s="22" t="n">
        <v>2</v>
      </c>
      <c r="D15" s="93" t="s">
        <v>656</v>
      </c>
      <c r="E15" s="22" t="n">
        <v>15</v>
      </c>
      <c r="F15" s="23" t="n">
        <v>9</v>
      </c>
      <c r="G15" s="22"/>
      <c r="H15" s="22"/>
      <c r="I15" s="23"/>
      <c r="J15" s="22"/>
      <c r="K15" s="22"/>
      <c r="L15" s="23"/>
      <c r="M15" s="22"/>
      <c r="N15" s="22"/>
      <c r="O15" s="23"/>
      <c r="P15" s="22"/>
      <c r="Q15" s="22"/>
      <c r="R15" s="23"/>
      <c r="S15" s="23" t="s">
        <v>655</v>
      </c>
      <c r="T15" s="84"/>
      <c r="U15" s="23" t="s">
        <v>657</v>
      </c>
      <c r="V15" s="84" t="n">
        <v>0.5</v>
      </c>
      <c r="W15" s="23"/>
      <c r="X15" s="84"/>
      <c r="Y15" s="23"/>
      <c r="Z15" s="84"/>
      <c r="AA15" s="23"/>
      <c r="AB15" s="23" t="s">
        <v>260</v>
      </c>
      <c r="AC15" s="7" t="n">
        <v>46302</v>
      </c>
      <c r="AD15" s="7"/>
      <c r="AE15" s="63" t="n">
        <f aca="false">IF(Tasks[[#This Row],[Task Name]]="","",IF(Tasks[[#This Row],[_IsSummary]],MIN(INDEX(Tasks[_ShownFcstStart],Tasks[[#This Row],[_Row]]+1):INDEX(Tasks[_ShownFcstStart],Tasks[[#This Row],[_Row]]+Tasks[[#This Row],[_Descendants]])),Tasks[[#This Row],[_ShownFcstStart]]))</f>
        <v>46302</v>
      </c>
      <c r="AF15" s="63" t="n">
        <f aca="false">IF(Tasks[[#This Row],[Task Name]]="","",IF(Tasks[[#This Row],[_IsSummary]],MAX(INDEX(Tasks[_ShownFcstFinish],Tasks[[#This Row],[_Row]]+1):INDEX(Tasks[_ShownFcstFinish],Tasks[[#This Row],[_Row]]+Tasks[[#This Row],[_Descendants]])),Tasks[[#This Row],[_ShownFcstFinish]]))</f>
        <v>46323</v>
      </c>
      <c r="AG15" s="21" t="str">
        <f aca="false">""</f>
        <v/>
      </c>
      <c r="AH15" s="23" t="s">
        <v>658</v>
      </c>
      <c r="AI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Optimistic should be at most the Duration and Pessimistic at least it.</v>
      </c>
      <c r="AJ15" s="7"/>
      <c r="AK15" s="22" t="s">
        <v>248</v>
      </c>
      <c r="AL15" s="23"/>
      <c r="AM15" s="7"/>
      <c r="AN15" s="47" t="n">
        <f aca="false">IF(Tasks[[#This Row],[Task Name]]="","",IF(Tasks[[#This Row],[Finish]]&gt;=Tasks[[#This Row],[Planned Finish]],NETWORKDAYS.INTL(Tasks[[#This Row],[Planned Finish]],Tasks[[#This Row],[Finish]],WorkWeek,Holidays)-1,1-NETWORKDAYS.INTL(Tasks[[#This Row],[Finish]],Tasks[[#This Row],[Planned Finish]],WorkWeek,Holidays)))</f>
        <v>4</v>
      </c>
      <c r="AO15" s="21" t="str">
        <f aca="false">IF(Tasks[[#This Row],[Task Name]]="","",IF(Tasks[[#This Row],[Progress]]&gt;=1,"Complete",IF(OR(N(Tasks[[#This Row],[Actual Start]])&gt;0,Tasks[[#This Row],[Progress]]&gt;0),IF(Tasks[[#This Row],[Finish Var]]&gt;0,"Behind","In Progress"),IF(Tasks[[#This Row],[Planned Start]]&lt;StatusDate,"Late Start","Not Started"))))</f>
        <v>Behind</v>
      </c>
      <c r="AP15" s="21" t="str">
        <f aca="false">IF(Tasks[[#This Row],[Task Name]]="","",IF(IF(Tasks[[#This Row],[_IsSummary]],COUNTIF(INDEX(Tasks[_LeafCritical],Tasks[[#This Row],[_Row]]+1):INDEX(Tasks[_LeafCritical],Tasks[[#This Row],[_Row]]+Tasks[[#This Row],[_Descendants]]),TRUE())&gt;0,Tasks[[#This Row],[_LeafCritical]]),"Yes",""))</f>
        <v>Yes</v>
      </c>
      <c r="AQ15" s="63" t="n">
        <f aca="false">IF(Tasks[[#This Row],[Task Name]]="","",IF(N(Tasks[[#This Row],[Baseline Start]])&gt;0,Tasks[[#This Row],[Baseline Start]],Tasks[[#This Row],[_CalcStart]]))</f>
        <v>46297</v>
      </c>
      <c r="AR15" s="63" t="n">
        <f aca="false">IF(Tasks[[#This Row],[Task Name]]="","",IF(N(Tasks[[#This Row],[Baseline Finish]])&gt;0,Tasks[[#This Row],[Baseline Finish]],Tasks[[#This Row],[_CalcFinish]]))</f>
        <v>46317</v>
      </c>
      <c r="AS15" s="47" t="n">
        <f aca="false">IF(Tasks[[#This Row],[Task Name]]="","",IF(Tasks[[#This Row],[Start]]&gt;=Tasks[[#This Row],[Planned Start]],NETWORKDAYS.INTL(Tasks[[#This Row],[Planned Start]],Tasks[[#This Row],[Start]],WorkWeek,Holidays)-1,1-NETWORKDAYS.INTL(Tasks[[#This Row],[Start]],Tasks[[#This Row],[Planned Start]],WorkWeek,Holidays)))</f>
        <v>3</v>
      </c>
      <c r="AT15" s="63" t="n">
        <f aca="false">IF(Tasks[[#This Row],[Task Name]]="","",IF(Tasks[[#This Row],[_IsSummary]],MIN(INDEX(Tasks[_LeafLateStart],Tasks[[#This Row],[_Row]]+1):INDEX(Tasks[_LeafLateStart],Tasks[[#This Row],[_Row]]+Tasks[[#This Row],[_Descendants]])),Tasks[[#This Row],[_LeafLateStart]]))</f>
        <v>46303</v>
      </c>
      <c r="AU15" s="63" t="n">
        <f aca="false">IF(Tasks[[#This Row],[Task Name]]="","",IF(Tasks[[#This Row],[_IsSummary]],MAX(INDEX(Tasks[_LeafLateFinish],Tasks[[#This Row],[_Row]]+1):INDEX(Tasks[_LeafLateFinish],Tasks[[#This Row],[_Row]]+Tasks[[#This Row],[_Descendants]])),Tasks[[#This Row],[_LeafLateFinish]]))</f>
        <v>46323</v>
      </c>
      <c r="AV15" s="47" t="n">
        <f aca="false">IF(Tasks[[#This Row],[Task Name]]="","",IF(Tasks[[#This Row],[_IsSummary]],MIN(INDEX(Tasks[_LeafTotalSlack],Tasks[[#This Row],[_Row]]+1):INDEX(Tasks[_LeafTotalSlack],Tasks[[#This Row],[_Row]]+Tasks[[#This Row],[_Descendants]])),Tasks[[#This Row],[_LeafTotalSlack]]))</f>
        <v>0</v>
      </c>
      <c r="AW15"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5"/>
      <c r="BA15"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0.85</v>
      </c>
      <c r="BB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8</v>
      </c>
      <c r="BC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BD15" s="21" t="str">
        <f aca="false">IF(Tasks[[#This Row],[Task Name]]="","",IF(Tasks[[#This Row],[_Level]]&lt;=OutlineShowLevel,"Yes","No"))</f>
        <v>Yes</v>
      </c>
      <c r="BE15" s="86" t="n">
        <f aca="false">IF(Tasks[[#This Row],[Task Name]]="","",IF(Tasks[[#This Row],[_IsSummary]],SUM(INDEX(Tasks[_LeafTotalWork],Tasks[[#This Row],[_Row]]+1):INDEX(Tasks[_LeafTotalWork],Tasks[[#This Row],[_Row]]+Tasks[[#This Row],[_Descendants]])),Tasks[[#This Row],[_LeafTotalWork]]))</f>
        <v>180</v>
      </c>
      <c r="BF15" s="23"/>
      <c r="BG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Taylor Morgan, Sam Rivera[50%]</v>
      </c>
      <c r="BH15" s="21" t="str">
        <f aca="false">""</f>
        <v/>
      </c>
      <c r="BI15" s="87"/>
      <c r="BJ15" s="22"/>
      <c r="BK15" s="47" t="n">
        <f aca="false">IF(OR(Tasks[[#This Row],[Task Name]]="",Tasks[[#This Row],[Baseline Duration]]=""),"",Tasks[[#This Row],[_SpanDays]]-N(Tasks[[#This Row],[Baseline Duration]]))</f>
        <v>0</v>
      </c>
      <c r="BL15" s="86" t="n">
        <f aca="false">IF(OR(Tasks[[#This Row],[Task Name]]="",Tasks[[#This Row],[Baseline Work]]=""),"",Tasks[[#This Row],[Work]]-N(Tasks[[#This Row],[Baseline Work]]))</f>
        <v>60</v>
      </c>
      <c r="BM15" s="63" t="n">
        <f aca="false">IF(Tasks[[#This Row],[Task Name]]="","",IF(OR(TakeBaseline="Yes",N(Tasks[[#This Row],[Baseline Start]])=0),Tasks[[#This Row],[Start]],Tasks[[#This Row],[Baseline Start]]))</f>
        <v>46297</v>
      </c>
      <c r="BN15" s="63" t="n">
        <f aca="false">IF(Tasks[[#This Row],[Task Name]]="","",IF(OR(TakeBaseline="Yes",N(Tasks[[#This Row],[Baseline Finish]])=0),Tasks[[#This Row],[Finish]],Tasks[[#This Row],[Baseline Finish]]))</f>
        <v>46317</v>
      </c>
      <c r="BO15" s="21" t="n">
        <f aca="false">IF(Tasks[[#This Row],[Task Name]]="","",IF(OR(TakeBaseline="Yes",N(Tasks[[#This Row],[Baseline Duration]])=0),Tasks[[#This Row],[_SpanDays]],Tasks[[#This Row],[Baseline Duration]]))</f>
        <v>15</v>
      </c>
      <c r="BP15" s="86" t="n">
        <f aca="false">IF(Tasks[[#This Row],[Task Name]]="","",IF(OR(TakeBaseline="Yes",N(Tasks[[#This Row],[Baseline Work]])=0),Tasks[[#This Row],[Work]],Tasks[[#This Row],[Baseline Work]]))</f>
        <v>120</v>
      </c>
      <c r="BQ15" s="7" t="n">
        <v>46297</v>
      </c>
      <c r="BR15" s="7" t="n">
        <v>46317</v>
      </c>
      <c r="BS15" s="22" t="n">
        <v>15</v>
      </c>
      <c r="BT15" s="88" t="n">
        <v>120</v>
      </c>
      <c r="BU15" s="23" t="s">
        <v>655</v>
      </c>
      <c r="BV15" s="23" t="s">
        <v>659</v>
      </c>
      <c r="BW15" s="23" t="s">
        <v>643</v>
      </c>
      <c r="BX15" s="89" t="n">
        <f aca="false">IF(AND(Tasks[[#This Row],[_IsLeaf]]=1,ISNUMBER(Tasks[[#This Row],[Optimistic]]),ISNUMBER(Tasks[[#This Row],[Pessimistic]])),ROUND((Tasks[[#This Row],[Optimistic]]+4*N(Tasks[[#This Row],[_Days]])+Tasks[[#This Row],[Pessimistic]])/6,1),"")</f>
        <v>13.2</v>
      </c>
      <c r="BY15" s="87" t="n">
        <v>6</v>
      </c>
      <c r="BZ15" s="87" t="n">
        <v>13</v>
      </c>
      <c r="CA15" s="22"/>
      <c r="CB15" s="43" t="n">
        <f aca="false">IF(Tasks[[#This Row],[Task Name]]="","",MAX(1,N(Tasks[[#This Row],[Level]])))</f>
        <v>2</v>
      </c>
      <c r="CC15" s="43" t="n">
        <f aca="false">ROW()-ROW(Tasks[[#Headers],[ID]])</f>
        <v>10</v>
      </c>
      <c r="CD15" s="43" t="n">
        <f aca="false">IF(OR(Tasks[[#This Row],[Task Name]]="",Tasks[[#This Row],[_Level]]&lt;=1),0,IFERROR(LOOKUP(2,1/(Tasks[[#Headers],[_Level]]:Tasks[[#This Row],[_Level]]=Tasks[[#This Row],[_Level]]-1),ROW(Tasks[[#Headers],[_Level]]:Tasks[[#This Row],[_Level]])),0))</f>
        <v>14</v>
      </c>
      <c r="CE15" s="43" t="n">
        <f aca="false">IFERROR(N(INDEX(Tasks[_Level],Tasks[[#This Row],[_Row]]+1)),0)</f>
        <v>2</v>
      </c>
      <c r="CF15" s="90" t="b">
        <f aca="false">AND(Tasks[[#This Row],[Task Name]]&lt;&gt;"",Tasks[[#This Row],[_NextLevel]]&gt;Tasks[[#This Row],[_Level]])</f>
        <v>0</v>
      </c>
      <c r="CG15" s="43" t="n">
        <f aca="false">IF(Tasks[[#This Row],[_IsSummary]],COUNTIF(Tasks[WBS],Tasks[[#This Row],[WBS]]&amp;".*"),0)</f>
        <v>0</v>
      </c>
      <c r="CH15" s="43" t="n">
        <f aca="false">IF(AND(Tasks[[#This Row],[Task Name]]&lt;&gt;"",NOT(Tasks[[#This Row],[_IsSummary]])),1,0)</f>
        <v>1</v>
      </c>
      <c r="CI15" s="43" t="n">
        <f aca="false">IF(N(Tasks[[#This Row],[_Pred1UID]])=0,0,IFERROR(MATCH(Tasks[[#This Row],[_Pred1UID]],Tasks[UID],0),-1))</f>
        <v>8</v>
      </c>
      <c r="CJ15" s="43" t="n">
        <f aca="false">IF(N(Tasks[[#This Row],[_Pred2UID]])=0,0,IFERROR(MATCH(Tasks[[#This Row],[_Pred2UID]],Tasks[UID],0),-1))</f>
        <v>0</v>
      </c>
      <c r="CK15" s="43" t="n">
        <f aca="false">IF(N(Tasks[[#This Row],[_Pred3UID]])=0,0,IFERROR(MATCH(Tasks[[#This Row],[_Pred3UID]],Tasks[UID],0),-1))</f>
        <v>0</v>
      </c>
      <c r="CL15" s="43" t="n">
        <f aca="false">IF(N(Tasks[[#This Row],[_Pred4UID]])=0,0,IFERROR(MATCH(Tasks[[#This Row],[_Pred4UID]],Tasks[UID],0),-1))</f>
        <v>0</v>
      </c>
      <c r="CM15"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 s="91" t="n">
        <f aca="false">IF(OR(Tasks[[#This Row],[_ConstraintCode]]=2,Tasks[[#This Row],[_ConstraintCode]]=3,Tasks[[#This Row],[_ConstraintCode]]=4,Tasks[[#This Row],[_ConstraintCode]]=6),Tasks[[#This Row],[_ConstraintStart]],0)</f>
        <v>0</v>
      </c>
      <c r="CP15" s="91" t="n">
        <f aca="false">IF(OR(Tasks[[#This Row],[_ConstraintCode]]=2,Tasks[[#This Row],[_ConstraintCode]]=3,Tasks[[#This Row],[_ConstraintCode]]=5,Tasks[[#This Row],[_ConstraintCode]]=7),Tasks[[#This Row],[_ConstraintStart]],2958465)</f>
        <v>2958465</v>
      </c>
      <c r="CQ15"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R15" s="91" t="n">
        <f aca="false">IF(NOT(Tasks[[#This Row],[_IsLeaf]]=1),"",IF(N(Tasks[[#This Row],[_Days]])&lt;=0,Tasks[[#This Row],[_LeafCalcStart]],WORKDAY.INTL(Tasks[[#This Row],[_LeafCalcStart]],Tasks[[#This Row],[_Days]]-1,WorkWeek,Holidays)))</f>
        <v>46317</v>
      </c>
      <c r="CS15"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T15"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46323</v>
      </c>
      <c r="CU15" s="43" t="str">
        <f aca="false">IF(Tasks[[#This Row],[_Predecessors]]="","",TRIM(MID(SUBSTITUTE(SUBSTITUTE(SUBSTITUTE(UPPER(Tasks[[#This Row],[_Predecessors]]),";",",")," ",""),",",REPT(" ",99)),1,99)))</f>
        <v>9</v>
      </c>
      <c r="CV15" s="43" t="n">
        <f aca="false">IF(Tasks[[#This Row],[_Pred1Text]]="","",IFERROR(VALUE(LEFT(Tasks[[#This Row],[_Pred1Text]],MIN(FIND("F",Tasks[[#This Row],[_Pred1Text]]&amp;"F"),FIND("S",Tasks[[#This Row],[_Pred1Text]]&amp;"S"),FIND("+",Tasks[[#This Row],[_Pred1Text]]&amp;"+"),FIND("-",Tasks[[#This Row],[_Pred1Text]]&amp;"-"))-1)),""))</f>
        <v>9</v>
      </c>
      <c r="CW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5"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5" s="43" t="str">
        <f aca="false">IF(Tasks[[#This Row],[_Pred1Text]]="","",TRIM(MID(SUBSTITUTE(SUBSTITUTE(SUBSTITUTE(UPPER(Tasks[[#This Row],[_Predecessors]]),";",",")," ",""),",",REPT(" ",99)),100,99)))</f>
        <v/>
      </c>
      <c r="CZ15" s="43" t="str">
        <f aca="false">IF(Tasks[[#This Row],[_Pred2Text]]="","",IFERROR(VALUE(LEFT(Tasks[[#This Row],[_Pred2Text]],MIN(FIND("F",Tasks[[#This Row],[_Pred2Text]]&amp;"F"),FIND("S",Tasks[[#This Row],[_Pred2Text]]&amp;"S"),FIND("+",Tasks[[#This Row],[_Pred2Text]]&amp;"+"),FIND("-",Tasks[[#This Row],[_Pred2Text]]&amp;"-"))-1)),""))</f>
        <v/>
      </c>
      <c r="DA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 s="43" t="str">
        <f aca="false">IF(Tasks[[#This Row],[_Pred2Text]]="","",TRIM(MID(SUBSTITUTE(SUBSTITUTE(SUBSTITUTE(UPPER(Tasks[[#This Row],[_Predecessors]]),";",",")," ",""),",",REPT(" ",99)),199,99)))</f>
        <v/>
      </c>
      <c r="DD15" s="43" t="str">
        <f aca="false">IF(Tasks[[#This Row],[_Pred3Text]]="","",IFERROR(VALUE(LEFT(Tasks[[#This Row],[_Pred3Text]],MIN(FIND("F",Tasks[[#This Row],[_Pred3Text]]&amp;"F"),FIND("S",Tasks[[#This Row],[_Pred3Text]]&amp;"S"),FIND("+",Tasks[[#This Row],[_Pred3Text]]&amp;"+"),FIND("-",Tasks[[#This Row],[_Pred3Text]]&amp;"-"))-1)),""))</f>
        <v/>
      </c>
      <c r="DE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 s="43" t="str">
        <f aca="false">IF(Tasks[[#This Row],[_Pred3Text]]="","",TRIM(MID(SUBSTITUTE(SUBSTITUTE(SUBSTITUTE(UPPER(Tasks[[#This Row],[_Predecessors]]),";",",")," ",""),",",REPT(" ",99)),298,99)))</f>
        <v/>
      </c>
      <c r="DH15" s="43" t="str">
        <f aca="false">IF(Tasks[[#This Row],[_Pred4Text]]="","",IFERROR(VALUE(LEFT(Tasks[[#This Row],[_Pred4Text]],MIN(FIND("F",Tasks[[#This Row],[_Pred4Text]]&amp;"F"),FIND("S",Tasks[[#This Row],[_Pred4Text]]&amp;"S"),FIND("+",Tasks[[#This Row],[_Pred4Text]]&amp;"+"),FIND("-",Tasks[[#This Row],[_Pred4Text]]&amp;"-"))-1)),""))</f>
        <v/>
      </c>
      <c r="DI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 s="43" t="str">
        <f aca="false">IF(OR(Tasks[[#This Row],[Task Name]]="",Tasks[[#This Row],[_Resources]]=""),"",TRIM(MID(SUBSTITUTE(Tasks[[#This Row],[_Resources]],",",REPT(" ",99)),1,99)))</f>
        <v>Taylor Morgan</v>
      </c>
      <c r="DL15" s="43" t="str">
        <f aca="false">IF(Tasks[[#This Row],[_Res1Text]]="","",TRIM(MID(SUBSTITUTE(Tasks[[#This Row],[_Resources]],",",REPT(" ",99)),100,99)))</f>
        <v>Sam Rivera[50%]</v>
      </c>
      <c r="DM15" s="43" t="str">
        <f aca="false">IF(Tasks[[#This Row],[_Res2Text]]="","",TRIM(MID(SUBSTITUTE(Tasks[[#This Row],[_Resources]],",",REPT(" ",99)),199,99)))</f>
        <v/>
      </c>
      <c r="DN15" s="43" t="str">
        <f aca="false">IF(Tasks[[#This Row],[_Res3Text]]="","",TRIM(MID(SUBSTITUTE(Tasks[[#This Row],[_Resources]],",",REPT(" ",99)),298,99)))</f>
        <v/>
      </c>
      <c r="DO15" s="43" t="n">
        <f aca="false">IF(Tasks[[#This Row],[_Res1Text]]="",0,IFERROR(MATCH(TRIM(LEFT(Tasks[[#This Row],[_Res1Text]],FIND("[",Tasks[[#This Row],[_Res1Text]]&amp;"[")-1)),res_Name,0),IFERROR(MATCH(TRIM(LEFT(Tasks[[#This Row],[_Res1Text]],FIND("[",Tasks[[#This Row],[_Res1Text]]&amp;"[")-1)),res_Initials,0),0)))</f>
        <v>7</v>
      </c>
      <c r="DP15" s="43" t="n">
        <f aca="false">IF(Tasks[[#This Row],[_Res2Text]]="",0,IFERROR(MATCH(TRIM(LEFT(Tasks[[#This Row],[_Res2Text]],FIND("[",Tasks[[#This Row],[_Res2Text]]&amp;"[")-1)),res_Name,0),IFERROR(MATCH(TRIM(LEFT(Tasks[[#This Row],[_Res2Text]],FIND("[",Tasks[[#This Row],[_Res2Text]]&amp;"[")-1)),res_Initials,0),0)))</f>
        <v>6</v>
      </c>
      <c r="DQ15" s="43" t="n">
        <f aca="false">IF(Tasks[[#This Row],[_Res3Text]]="",0,IFERROR(MATCH(TRIM(LEFT(Tasks[[#This Row],[_Res3Text]],FIND("[",Tasks[[#This Row],[_Res3Text]]&amp;"[")-1)),res_Name,0),IFERROR(MATCH(TRIM(LEFT(Tasks[[#This Row],[_Res3Text]],FIND("[",Tasks[[#This Row],[_Res3Text]]&amp;"[")-1)),res_Initials,0),0)))</f>
        <v>0</v>
      </c>
      <c r="DR15" s="43" t="n">
        <f aca="false">IF(Tasks[[#This Row],[_Res4Text]]="",0,IFERROR(MATCH(TRIM(LEFT(Tasks[[#This Row],[_Res4Text]],FIND("[",Tasks[[#This Row],[_Res4Text]]&amp;"[")-1)),res_Name,0),IFERROR(MATCH(TRIM(LEFT(Tasks[[#This Row],[_Res4Text]],FIND("[",Tasks[[#This Row],[_Res4Text]]&amp;"[")-1)),res_Initials,0),0)))</f>
        <v>0</v>
      </c>
      <c r="DS15" s="43" t="str">
        <f aca="false">IF(Tasks[[#This Row],[_Res1Text]]="","",IF(Tasks[[#This Row],[_Res1Row]]&gt;0,INDEX(res_Name,Tasks[[#This Row],[_Res1Row]]),TRIM(LEFT(Tasks[[#This Row],[_Res1Text]],FIND("[",Tasks[[#This Row],[_Res1Text]]&amp;"[")-1))))</f>
        <v>Taylor Morgan</v>
      </c>
      <c r="DT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 s="43" t="n">
        <f aca="false">IF(NOT(Tasks[[#This Row],[_IsLeaf]]=1),0,(Tasks[[#This Row],[_Resource1]]&lt;&gt;"")+(Tasks[[#This Row],[_Res2]]&lt;&gt;"")+(Tasks[[#This Row],[_Res3]]&lt;&gt;"")+(Tasks[[#This Row],[_Res4]]&lt;&gt;""))</f>
        <v>2</v>
      </c>
      <c r="DV15" s="43" t="str">
        <f aca="false">IF(Tasks[[#This Row],[_Res2Text]]="","",IF(Tasks[[#This Row],[_Res2Row]]&gt;0,INDEX(res_Name,Tasks[[#This Row],[_Res2Row]]),TRIM(LEFT(Tasks[[#This Row],[_Res2Text]],FIND("[",Tasks[[#This Row],[_Res2Text]]&amp;"[")-1))))</f>
        <v>Sam Rivera</v>
      </c>
      <c r="DW15" s="43"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DX15" s="43" t="n">
        <f aca="false">IF(OR(NOT(Tasks[[#This Row],[_IsLeaf]]=1),Tasks[[#This Row],[_Res2Row]]=0),0,N(Tasks[[#This Row],[_Days]])*HoursPerDay*IF(Tasks[[#This Row],[_Res2Units]]="",DefaultUnits,Tasks[[#This Row],[_Res2Units]]))</f>
        <v>60</v>
      </c>
      <c r="DY15" s="43" t="n">
        <f aca="false">IF(AND(AND(Tasks[[#This Row],[_IsLeaf]]=1,Tasks[[#This Row],[_LeafTotalWork]]&gt;0),Tasks[[#This Row],[_Res2Work]]&gt;0),Tasks[[#This Row],[_Res2Work]]/(Tasks[[#This Row],[_FinishWorkday]]-Tasks[[#This Row],[_StartWorkday]]+1),0)</f>
        <v>3.75</v>
      </c>
      <c r="DZ15" s="43" t="n">
        <f aca="false">Tasks[[#This Row],[_Res2WorkPerWD]]*MAX(0,Tasks[[#This Row],[_StartWorkday]]-1)</f>
        <v>82.5</v>
      </c>
      <c r="EA15" s="43" t="n">
        <f aca="false">Tasks[[#This Row],[_Res2Work]]*Tasks[[#This Row],[_LeafProgress]]</f>
        <v>51</v>
      </c>
      <c r="EB15" s="43" t="str">
        <f aca="false">IF(Tasks[[#This Row],[_Res3Text]]="","",IF(Tasks[[#This Row],[_Res3Row]]&gt;0,INDEX(res_Name,Tasks[[#This Row],[_Res3Row]]),TRIM(LEFT(Tasks[[#This Row],[_Res3Text]],FIND("[",Tasks[[#This Row],[_Res3Text]]&amp;"[")-1))))</f>
        <v/>
      </c>
      <c r="EC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 s="43" t="n">
        <f aca="false">IF(OR(NOT(Tasks[[#This Row],[_IsLeaf]]=1),Tasks[[#This Row],[_Res3Row]]=0),0,N(Tasks[[#This Row],[_Days]])*HoursPerDay*IF(Tasks[[#This Row],[_Res3Units]]="",DefaultUnits,Tasks[[#This Row],[_Res3Units]]))</f>
        <v>0</v>
      </c>
      <c r="EE15" s="43" t="n">
        <f aca="false">IF(AND(AND(Tasks[[#This Row],[_IsLeaf]]=1,Tasks[[#This Row],[_LeafTotalWork]]&gt;0),Tasks[[#This Row],[_Res3Work]]&gt;0),Tasks[[#This Row],[_Res3Work]]/(Tasks[[#This Row],[_FinishWorkday]]-Tasks[[#This Row],[_StartWorkday]]+1),0)</f>
        <v>0</v>
      </c>
      <c r="EF15" s="43" t="n">
        <f aca="false">Tasks[[#This Row],[_Res3WorkPerWD]]*MAX(0,Tasks[[#This Row],[_StartWorkday]]-1)</f>
        <v>0</v>
      </c>
      <c r="EG15" s="43" t="n">
        <f aca="false">Tasks[[#This Row],[_Res3Work]]*Tasks[[#This Row],[_LeafProgress]]</f>
        <v>0</v>
      </c>
      <c r="EH15" s="43" t="str">
        <f aca="false">IF(Tasks[[#This Row],[_Res4Text]]="","",IF(Tasks[[#This Row],[_Res4Row]]&gt;0,INDEX(res_Name,Tasks[[#This Row],[_Res4Row]]),TRIM(LEFT(Tasks[[#This Row],[_Res4Text]],FIND("[",Tasks[[#This Row],[_Res4Text]]&amp;"[")-1))))</f>
        <v/>
      </c>
      <c r="EI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 s="43" t="n">
        <f aca="false">IF(OR(NOT(Tasks[[#This Row],[_IsLeaf]]=1),Tasks[[#This Row],[_Res4Row]]=0),0,N(Tasks[[#This Row],[_Days]])*HoursPerDay*IF(Tasks[[#This Row],[_Res4Units]]="",DefaultUnits,Tasks[[#This Row],[_Res4Units]]))</f>
        <v>0</v>
      </c>
      <c r="EK15" s="43" t="n">
        <f aca="false">IF(AND(AND(Tasks[[#This Row],[_IsLeaf]]=1,Tasks[[#This Row],[_LeafTotalWork]]&gt;0),Tasks[[#This Row],[_Res4Work]]&gt;0),Tasks[[#This Row],[_Res4Work]]/(Tasks[[#This Row],[_FinishWorkday]]-Tasks[[#This Row],[_StartWorkday]]+1),0)</f>
        <v>0</v>
      </c>
      <c r="EL15" s="43" t="n">
        <f aca="false">Tasks[[#This Row],[_Res4WorkPerWD]]*MAX(0,Tasks[[#This Row],[_StartWorkday]]-1)</f>
        <v>0</v>
      </c>
      <c r="EM15" s="43" t="n">
        <f aca="false">Tasks[[#This Row],[_Res4Work]]*Tasks[[#This Row],[_LeafProgress]]</f>
        <v>0</v>
      </c>
      <c r="EN15" s="94" t="n">
        <f aca="false">IF(ISNUMBER(Tasks[[#This Row],[% Complete]]),Tasks[[#This Row],[% Complete]],IF(Tasks[[#This Row],[Stage]]="",0,IFERROR(INDEX(stg_Pct,MATCH(Tasks[[#This Row],[Stage]],stg_Name,0)),0)))</f>
        <v>0.85</v>
      </c>
      <c r="EO15" s="43" t="n">
        <f aca="false">IF(NOT(Tasks[[#This Row],[_IsLeaf]]=1),0,IF(N(Tasks[[#This Row],[Actual Finish]])&gt;0,1,MIN(1,Tasks[[#This Row],[_Pct]])))</f>
        <v>0.85</v>
      </c>
      <c r="EP15" s="43" t="n">
        <f aca="false">IF(OR(NOT(Tasks[[#This Row],[_IsLeaf]]=1),Tasks[[#This Row],[_Res1Row]]=0),0,N(Tasks[[#This Row],[_Days]])*HoursPerDay*IF(Tasks[[#This Row],[_Units1]]="",DefaultUnits,Tasks[[#This Row],[_Units1]]))</f>
        <v>120</v>
      </c>
      <c r="EQ15" s="43" t="n">
        <f aca="false">Tasks[[#This Row],[_LeafWork]]+Tasks[[#This Row],[_Res2Work]]+Tasks[[#This Row],[_Res3Work]]+Tasks[[#This Row],[_Res4Work]]</f>
        <v>180</v>
      </c>
      <c r="ER15"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S1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 s="43" t="n">
        <f aca="false">IF(NOT(Tasks[[#This Row],[_IsLeaf]]=1),0,MAX(_xlfn.MAXIFS(Tasks[_Row],Tasks[_Pred1UID],Tasks[[#This Row],[UID]]),_xlfn.MAXIFS(Tasks[_Row],Tasks[_Pred2UID],Tasks[[#This Row],[UID]]),_xlfn.MAXIFS(Tasks[_Row],Tasks[_Pred3UID],Tasks[[#This Row],[UID]]),_xlfn.MAXIFS(Tasks[_Row],Tasks[_Pred4UID],Tasks[[#This Row],[UID]])))</f>
        <v>11</v>
      </c>
      <c r="FA15"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46323</v>
      </c>
      <c r="FB15"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46323</v>
      </c>
      <c r="FC15" s="91" t="n">
        <f aca="false">IF(NOT(Tasks[[#This Row],[_IsLeaf]]=1),"",IF(N(Tasks[[#This Row],[_Days]])&lt;=0,Tasks[[#This Row],[_LeafLateFinish]],WORKDAY.INTL(Tasks[[#This Row],[_LeafLateFinish]],-(Tasks[[#This Row],[_Days]]-1),WorkWeek,Holidays)))</f>
        <v>46303</v>
      </c>
      <c r="FD15"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5" s="90" t="b">
        <f aca="false">AND(Tasks[[#This Row],[_IsLeaf]]=1,Tasks[[#This Row],[_LeafProgress]]&lt;1,N(Tasks[[#This Row],[_LeafTotalSlack]])&lt;=CriticalSlackDays)</f>
        <v>1</v>
      </c>
      <c r="FF15" s="43" t="n">
        <f aca="false">IF(AND(Tasks[[#This Row],[_IsLeaf]]=1,Tasks[[#This Row],[_ConstraintCode]]=1,Tasks[[#This Row],[Mode]]&lt;&gt;"Manual",N(Tasks[[#This Row],[Actual Start]])=0),MAX(0,N(Tasks[[#This Row],[Free Slack]])),0)</f>
        <v>0</v>
      </c>
      <c r="FG15" s="91" t="n">
        <f aca="false">IF(NOT(Tasks[[#This Row],[_IsLeaf]]=1),"",IF(Tasks[[#This Row],[_AlapShift]]=0,Tasks[[#This Row],[_LeafCalcStart]],WORKDAY.INTL(Tasks[[#This Row],[_LeafCalcStart]],Tasks[[#This Row],[_AlapShift]],WorkWeek,Holidays)))</f>
        <v>46297</v>
      </c>
      <c r="FH15" s="91" t="n">
        <f aca="false">IF(NOT(Tasks[[#This Row],[_IsLeaf]]=1),"",IF(Tasks[[#This Row],[_AlapShift]]=0,Tasks[[#This Row],[_LeafCalcFinish]],WORKDAY.INTL(Tasks[[#This Row],[_LeafCalcFinish]],Tasks[[#This Row],[_AlapShift]],WorkWeek,Holidays)))</f>
        <v>46317</v>
      </c>
      <c r="FI15" s="91" t="n">
        <f aca="false">IF(NOT(Tasks[[#This Row],[_IsLeaf]]=1),"",IF(Tasks[[#This Row],[_AlapShift]]=0,Tasks[[#This Row],[_LeafFcstStart]],WORKDAY.INTL(Tasks[[#This Row],[_LeafFcstStart]],Tasks[[#This Row],[_AlapShift]],WorkWeek,Holidays)))</f>
        <v>46302</v>
      </c>
      <c r="FJ15" s="91" t="n">
        <f aca="false">IF(NOT(Tasks[[#This Row],[_IsLeaf]]=1),"",IF(Tasks[[#This Row],[_AlapShift]]=0,Tasks[[#This Row],[_LeafFcstFinish]],WORKDAY.INTL(Tasks[[#This Row],[_LeafFcstFinish]],Tasks[[#This Row],[_AlapShift]],WorkWeek,Holidays)))</f>
        <v>46323</v>
      </c>
      <c r="FK15" s="91" t="n">
        <f aca="false">IF(Tasks[[#This Row],[Task Name]]="","",IF(Tasks[[#This Row],[_IsSummary]],MIN(INDEX(Tasks[_ShownCalcStart],Tasks[[#This Row],[_Row]]+1):INDEX(Tasks[_ShownCalcStart],Tasks[[#This Row],[_Row]]+Tasks[[#This Row],[_Descendants]])),Tasks[[#This Row],[_ShownCalcStart]]))</f>
        <v>46297</v>
      </c>
      <c r="FL15" s="91" t="n">
        <f aca="false">IF(Tasks[[#This Row],[Task Name]]="","",IF(Tasks[[#This Row],[_IsSummary]],MAX(INDEX(Tasks[_ShownCalcFinish],Tasks[[#This Row],[_Row]]+1):INDEX(Tasks[_ShownCalcFinish],Tasks[[#This Row],[_Row]]+Tasks[[#This Row],[_Descendants]])),Tasks[[#This Row],[_ShownCalcFinish]]))</f>
        <v>46317</v>
      </c>
      <c r="FM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46297</v>
      </c>
      <c r="FR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46302</v>
      </c>
      <c r="FV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 s="43" t="n">
        <f aca="false">IF(AND(Tasks[[#This Row],[_IsLeaf]]=1,Tasks[[#This Row],[_LeafTotalWork]]&gt;0),NETWORKDAYS.INTL(ProjectStart,Tasks[[#This Row],[_ShownFcstStart]],WorkWeek,Holidays),0)</f>
        <v>23</v>
      </c>
      <c r="FZ15" s="43" t="n">
        <f aca="false">IF(AND(Tasks[[#This Row],[_IsLeaf]]=1,Tasks[[#This Row],[_LeafTotalWork]]&gt;0),MAX(Tasks[[#This Row],[_StartWorkday]],NETWORKDAYS.INTL(ProjectStart,Tasks[[#This Row],[_ShownFcstFinish]],WorkWeek,Holidays)),0)</f>
        <v>38</v>
      </c>
      <c r="GA15" s="43" t="n">
        <f aca="false">IF(AND(Tasks[[#This Row],[_IsLeaf]]=1,Tasks[[#This Row],[_LeafTotalWork]]&gt;0),Tasks[[#This Row],[_LeafWork]]/(Tasks[[#This Row],[_FinishWorkday]]-Tasks[[#This Row],[_StartWorkday]]+1),0)</f>
        <v>7.5</v>
      </c>
      <c r="GB15" s="43" t="n">
        <f aca="false">Tasks[[#This Row],[_WorkPerWorkday]]*(Tasks[[#This Row],[_StartWorkday]]-1)</f>
        <v>165</v>
      </c>
      <c r="GC15" s="43" t="n">
        <f aca="false">IF(Tasks[[#This Row],[_IsLeaf]]=1,MAX(N(Tasks[[#This Row],[_Days]]),0.1),0)</f>
        <v>15</v>
      </c>
      <c r="GD15" s="43" t="n">
        <f aca="false">Tasks[[#This Row],[_WeightDur]]*Tasks[[#This Row],[_LeafProgress]]</f>
        <v>12.75</v>
      </c>
      <c r="GE15" s="43" t="n">
        <f aca="false">Tasks[[#This Row],[_WeightDur]]*Tasks[[#This Row],[_PlannedPct]]</f>
        <v>15</v>
      </c>
      <c r="GF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GG15" s="43" t="str">
        <f aca="false">IF(AND(Tasks[[#This Row],[_IsLeaf]]=1,N(Tasks[[#This Row],[_Days]])=0,Tasks[[#This Row],[_LeafProgress]]&lt;1),Tasks[[#This Row],[_ShownFcstFinish]]+Tasks[[#This Row],[_Row]]/100000,"")</f>
        <v/>
      </c>
      <c r="GH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5" s="43" t="str">
        <f aca="false">IF(Tasks[[#This Row],[Task Name]]="","",LEFT(Tasks[[#This Row],[WBS]],FIND(".",Tasks[[#This Row],[WBS]]&amp;".")-1))</f>
        <v>3</v>
      </c>
      <c r="GJ15" s="43" t="str">
        <f aca="false">IF(AND(Tasks[[#This Row],[Task Name]]&lt;&gt;"",Tasks[[#This Row],[_Level]]=1),Tasks[[#This Row],[_Row]],"")</f>
        <v/>
      </c>
      <c r="GK15" s="43" t="str">
        <f aca="false">IF(AND(Tasks[[#This Row],[_IsLeaf]]=1,N(Tasks[[#This Row],[_Days]])=0),Tasks[[#This Row],[Planned Finish]]+Tasks[[#This Row],[_Row]]/100000,"")</f>
        <v/>
      </c>
      <c r="GL15" s="43" t="n">
        <f aca="false">IF(AND(Tasks[[#This Row],[_IsLeaf]]=1,Tasks[[#This Row],[_LeafProgress]]&lt;1,OR(N(Tasks[[#This Row],[Finish Var]])&gt;0,Tasks[[#This Row],[Status]]="Late Start")),MAX(0,Tasks[[#This Row],[Finish Var]])+1-Tasks[[#This Row],[_Row]]/1000000,"")</f>
        <v>4.99999</v>
      </c>
      <c r="GM15" s="43" t="str">
        <f aca="false">IF(AND(Tasks[[#This Row],[_IsLeaf]]=1,N(Tasks[[#This Row],[Actual Start]])=0,Tasks[[#This Row],[_ShownFcstStart]]&gt;=StatusDate,Tasks[[#This Row],[_ShownFcstStart]]&lt;=LookaheadEnd),Tasks[[#This Row],[_ShownFcstStart]]+Tasks[[#This Row],[_Row]]/100000,"")</f>
        <v/>
      </c>
      <c r="GN15" s="95" t="n">
        <f aca="false">IF(AND(Tasks[[#This Row],[_IsLeaf]]=1,Tasks[[#This Row],[_LeafProgress]]&lt;1,Tasks[[#This Row],[_ShownFcstFinish]]&gt;=StatusDate,Tasks[[#This Row],[_ShownFcstFinish]]&lt;=LookaheadEnd),Tasks[[#This Row],[_ShownFcstFinish]]+Tasks[[#This Row],[_Row]]/100000,"")</f>
        <v>46323.0001</v>
      </c>
      <c r="GO15" s="95" t="n">
        <f aca="false">IF(Tasks[[#This Row],[_LeafCritical]],Tasks[[#This Row],[_ShownFcstStart]]+Tasks[[#This Row],[_Row]]/100000,"")</f>
        <v>46302.0001</v>
      </c>
      <c r="GP15" s="43" t="n">
        <f aca="false">Tasks[[#This Row],[_LeafWork]]*Tasks[[#This Row],[_LeafProgress]]</f>
        <v>102</v>
      </c>
      <c r="GQ15" s="91" t="str">
        <f aca="false">IF(AND(Tasks[[#This Row],[_IsLeaf]]=1,Tasks[[#This Row],[_LeafProgress]]&gt;=1),IF(N(Tasks[[#This Row],[Actual Finish]])&gt;0,Tasks[[#This Row],[Actual Finish]],Tasks[[#This Row],[_ShownFcstFinish]]),"")</f>
        <v/>
      </c>
      <c r="GR15" s="43" t="n">
        <f aca="false">IF(Tasks[[#This Row],[_IsLeaf]]=1,N(Tasks[[#This Row],[Story Points]]),0)</f>
        <v>0</v>
      </c>
      <c r="GS15" s="43" t="str">
        <f aca="false">""</f>
        <v/>
      </c>
      <c r="GT15" s="90" t="b">
        <f aca="false">IF(Tasks[[#This Row],[Task Name]]="",FALSE(),AND(Tasks[[#This Row],[_IsLeaf]]=1,N(Tasks[[#This Row],[_Days]])=0))</f>
        <v>0</v>
      </c>
      <c r="GU15" s="91" t="n">
        <f aca="false">IF(Tasks[[#This Row],[Task Name]]="",0,IF(AND(Tasks[[#This Row],[_IsLeaf]]=1,NOT(Tasks[[#This Row],[_IsMilestone]]),N(Tasks[[#This Row],[Progress]])&gt;0),Tasks[[#This Row],[Start]],0))</f>
        <v>46302</v>
      </c>
      <c r="GV15" s="91" t="n">
        <f aca="false">IF(Tasks[[#This Row],[_DoneFrom]]=0,0,IF(Tasks[[#This Row],[Progress]]&gt;=1,Tasks[[#This Row],[Finish]],MAX(Tasks[[#This Row],[_DoneFrom]],Tasks[[#This Row],[Start]]+ROUND((Tasks[[#This Row],[Finish]]-Tasks[[#This Row],[Start]]+1)*Tasks[[#This Row],[Progress]],0)-1)))</f>
        <v>46320</v>
      </c>
      <c r="GW15" s="91" t="n">
        <f aca="false">IF(Tasks[[#This Row],[Task Name]]="",0,IF(OR(NOT(Tasks[[#This Row],[_IsLeaf]]=1),Tasks[[#This Row],[_IsMilestone]],N(Tasks[[#This Row],[Progress]])&gt;=1),0,IF(Tasks[[#This Row],[_DoneTo]]&gt;0,Tasks[[#This Row],[_DoneTo]]+1,Tasks[[#This Row],[Start]])))</f>
        <v>46321</v>
      </c>
      <c r="GX15" s="91" t="n">
        <f aca="false">IF(Tasks[[#This Row],[_RemFrom]]=0,0,Tasks[[#This Row],[Finish]])</f>
        <v>46323</v>
      </c>
      <c r="GY15" s="90" t="b">
        <f aca="false">IF(Tasks[[#This Row],[Task Name]]="",FALSE(),OR(NOT(BaselineSet),N(Tasks[[#This Row],[Baseline Start]])&gt;0))</f>
        <v>1</v>
      </c>
      <c r="GZ15" s="43" t="n">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15</v>
      </c>
      <c r="HA1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9</v>
      </c>
      <c r="HB1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Taylor Morgan, Sam Rivera[50%]</v>
      </c>
      <c r="HC15" s="92" t="n">
        <f aca="false">IF(Tasks[[#This Row],[_IsLeaf]]=1,Tasks[[#This Row],[_Row]],"")</f>
        <v>10</v>
      </c>
      <c r="HD15" s="92" t="str">
        <f aca="false">IFERROR(INDEX(Tasks[UID],SMALL(Tasks[_PickKey],Tasks[[#This Row],[_Row]]))&amp;" "&amp;INDEX(Tasks[Task Name],SMALL(Tasks[_PickKey],Tasks[[#This Row],[_Row]])),"")</f>
        <v/>
      </c>
      <c r="HE15" s="43" t="n">
        <f aca="false">IF(Tasks[[#This Row],[Task Name]]="","",IF(Tasks[[#This Row],[_IsSummary]],NETWORKDAYS.INTL(Tasks[[#This Row],[Start]],Tasks[[#This Row],[Finish]],WorkWeek,Holidays),N(Tasks[[#This Row],[_Days]])))</f>
        <v>15</v>
      </c>
      <c r="HF15" s="43" t="n">
        <f aca="false">IF(Tasks[[#This Row],[Expected]]="",0,((Tasks[[#This Row],[Pessimistic]]-Tasks[[#This Row],[Optimistic]])/6)^2)</f>
        <v>1.36111111111111</v>
      </c>
      <c r="HG15" s="43" t="n">
        <f aca="false">IF(Tasks[[#This Row],[Expected]]="",0,Tasks[[#This Row],[Expected]]-N(Tasks[[#This Row],[_Days]]))</f>
        <v>-1.8</v>
      </c>
    </row>
    <row r="16" customFormat="false" ht="15" hidden="false" customHeight="false" outlineLevel="1" collapsed="false">
      <c r="A16" s="21" t="n">
        <f aca="false">IF(Tasks[[#This Row],[Task Name]]="","",COUNTA(Tasks[[#Headers],[Task Name]]:Tasks[[#This Row],[Task Name]])-1)</f>
        <v>11</v>
      </c>
      <c r="B16" s="22" t="n">
        <v>24</v>
      </c>
      <c r="C16" s="22" t="n">
        <v>2</v>
      </c>
      <c r="D16" s="93" t="s">
        <v>660</v>
      </c>
      <c r="E16" s="22" t="n">
        <v>1</v>
      </c>
      <c r="F16" s="23" t="n">
        <v>21</v>
      </c>
      <c r="G16" s="22"/>
      <c r="H16" s="22"/>
      <c r="I16" s="23"/>
      <c r="J16" s="22"/>
      <c r="K16" s="22"/>
      <c r="L16" s="23"/>
      <c r="M16" s="22"/>
      <c r="N16" s="22"/>
      <c r="O16" s="23"/>
      <c r="P16" s="22"/>
      <c r="Q16" s="22"/>
      <c r="R16" s="23"/>
      <c r="S16" s="23" t="s">
        <v>6</v>
      </c>
      <c r="T16" s="84"/>
      <c r="U16" s="23"/>
      <c r="V16" s="84"/>
      <c r="W16" s="23"/>
      <c r="X16" s="84"/>
      <c r="Y16" s="23"/>
      <c r="Z16" s="84"/>
      <c r="AA16" s="23"/>
      <c r="AB16" s="23"/>
      <c r="AC16" s="7"/>
      <c r="AD16" s="7"/>
      <c r="AE16" s="63" t="n">
        <f aca="false">IF(Tasks[[#This Row],[Task Name]]="","",IF(Tasks[[#This Row],[_IsSummary]],MIN(INDEX(Tasks[_ShownFcstStart],Tasks[[#This Row],[_Row]]+1):INDEX(Tasks[_ShownFcstStart],Tasks[[#This Row],[_Row]]+Tasks[[#This Row],[_Descendants]])),Tasks[[#This Row],[_ShownFcstStart]]))</f>
        <v>46324</v>
      </c>
      <c r="AF16" s="63" t="n">
        <f aca="false">IF(Tasks[[#This Row],[Task Name]]="","",IF(Tasks[[#This Row],[_IsSummary]],MAX(INDEX(Tasks[_ShownFcstFinish],Tasks[[#This Row],[_Row]]+1):INDEX(Tasks[_ShownFcstFinish],Tasks[[#This Row],[_Row]]+Tasks[[#This Row],[_Descendants]])),Tasks[[#This Row],[_ShownFcstFinish]]))</f>
        <v>46324</v>
      </c>
      <c r="AG16" s="21" t="str">
        <f aca="false">""</f>
        <v/>
      </c>
      <c r="AH16" s="23" t="s">
        <v>661</v>
      </c>
      <c r="AI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 s="7"/>
      <c r="AK16" s="22" t="s">
        <v>248</v>
      </c>
      <c r="AL16" s="23"/>
      <c r="AM16" s="7"/>
      <c r="AN16" s="47" t="n">
        <f aca="false">IF(Tasks[[#This Row],[Task Name]]="","",IF(Tasks[[#This Row],[Finish]]&gt;=Tasks[[#This Row],[Planned Finish]],NETWORKDAYS.INTL(Tasks[[#This Row],[Planned Finish]],Tasks[[#This Row],[Finish]],WorkWeek,Holidays)-1,1-NETWORKDAYS.INTL(Tasks[[#This Row],[Finish]],Tasks[[#This Row],[Planned Finish]],WorkWeek,Holidays)))</f>
        <v>4</v>
      </c>
      <c r="AO16" s="21" t="str">
        <f aca="false">IF(Tasks[[#This Row],[Task Name]]="","",IF(Tasks[[#This Row],[Progress]]&gt;=1,"Complete",IF(OR(N(Tasks[[#This Row],[Actual Start]])&gt;0,Tasks[[#This Row],[Progress]]&gt;0),IF(Tasks[[#This Row],[Finish Var]]&gt;0,"Behind","In Progress"),IF(Tasks[[#This Row],[Planned Start]]&lt;StatusDate,"Late Start","Not Started"))))</f>
        <v>Late Start</v>
      </c>
      <c r="AP16" s="21" t="str">
        <f aca="false">IF(Tasks[[#This Row],[Task Name]]="","",IF(IF(Tasks[[#This Row],[_IsSummary]],COUNTIF(INDEX(Tasks[_LeafCritical],Tasks[[#This Row],[_Row]]+1):INDEX(Tasks[_LeafCritical],Tasks[[#This Row],[_Row]]+Tasks[[#This Row],[_Descendants]]),TRUE())&gt;0,Tasks[[#This Row],[_LeafCritical]]),"Yes",""))</f>
        <v>Yes</v>
      </c>
      <c r="AQ16" s="63" t="n">
        <f aca="false">IF(Tasks[[#This Row],[Task Name]]="","",IF(N(Tasks[[#This Row],[Baseline Start]])&gt;0,Tasks[[#This Row],[Baseline Start]],Tasks[[#This Row],[_CalcStart]]))</f>
        <v>46318</v>
      </c>
      <c r="AR16" s="63" t="n">
        <f aca="false">IF(Tasks[[#This Row],[Task Name]]="","",IF(N(Tasks[[#This Row],[Baseline Finish]])&gt;0,Tasks[[#This Row],[Baseline Finish]],Tasks[[#This Row],[_CalcFinish]]))</f>
        <v>46318</v>
      </c>
      <c r="AS16" s="47" t="n">
        <f aca="false">IF(Tasks[[#This Row],[Task Name]]="","",IF(Tasks[[#This Row],[Start]]&gt;=Tasks[[#This Row],[Planned Start]],NETWORKDAYS.INTL(Tasks[[#This Row],[Planned Start]],Tasks[[#This Row],[Start]],WorkWeek,Holidays)-1,1-NETWORKDAYS.INTL(Tasks[[#This Row],[Start]],Tasks[[#This Row],[Planned Start]],WorkWeek,Holidays)))</f>
        <v>4</v>
      </c>
      <c r="AT16" s="63" t="n">
        <f aca="false">IF(Tasks[[#This Row],[Task Name]]="","",IF(Tasks[[#This Row],[_IsSummary]],MIN(INDEX(Tasks[_LeafLateStart],Tasks[[#This Row],[_Row]]+1):INDEX(Tasks[_LeafLateStart],Tasks[[#This Row],[_Row]]+Tasks[[#This Row],[_Descendants]])),Tasks[[#This Row],[_LeafLateStart]]))</f>
        <v>46324</v>
      </c>
      <c r="AU16" s="63" t="n">
        <f aca="false">IF(Tasks[[#This Row],[Task Name]]="","",IF(Tasks[[#This Row],[_IsSummary]],MAX(INDEX(Tasks[_LeafLateFinish],Tasks[[#This Row],[_Row]]+1):INDEX(Tasks[_LeafLateFinish],Tasks[[#This Row],[_Row]]+Tasks[[#This Row],[_Descendants]])),Tasks[[#This Row],[_LeafLateFinish]]))</f>
        <v>46324</v>
      </c>
      <c r="AV16" s="47" t="n">
        <f aca="false">IF(Tasks[[#This Row],[Task Name]]="","",IF(Tasks[[#This Row],[_IsSummary]],MIN(INDEX(Tasks[_LeafTotalSlack],Tasks[[#This Row],[_Row]]+1):INDEX(Tasks[_LeafTotalSlack],Tasks[[#This Row],[_Row]]+Tasks[[#This Row],[_Descendants]])),Tasks[[#This Row],[_LeafTotalSlack]]))</f>
        <v>0</v>
      </c>
      <c r="AW16"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5"/>
      <c r="BA16"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10</v>
      </c>
      <c r="BC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BD16" s="21" t="str">
        <f aca="false">IF(Tasks[[#This Row],[Task Name]]="","",IF(Tasks[[#This Row],[_Level]]&lt;=OutlineShowLevel,"Yes","No"))</f>
        <v>Yes</v>
      </c>
      <c r="BE16" s="86" t="n">
        <f aca="false">IF(Tasks[[#This Row],[Task Name]]="","",IF(Tasks[[#This Row],[_IsSummary]],SUM(INDEX(Tasks[_LeafTotalWork],Tasks[[#This Row],[_Row]]+1):INDEX(Tasks[_LeafTotalWork],Tasks[[#This Row],[_Row]]+Tasks[[#This Row],[_Descendants]])),Tasks[[#This Row],[_LeafTotalWork]]))</f>
        <v>8</v>
      </c>
      <c r="BF16" s="23"/>
      <c r="BG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16" s="21" t="str">
        <f aca="false">""</f>
        <v/>
      </c>
      <c r="BI16" s="87"/>
      <c r="BJ16" s="22"/>
      <c r="BK16" s="47" t="n">
        <f aca="false">IF(OR(Tasks[[#This Row],[Task Name]]="",Tasks[[#This Row],[Baseline Duration]]=""),"",Tasks[[#This Row],[_SpanDays]]-N(Tasks[[#This Row],[Baseline Duration]]))</f>
        <v>0</v>
      </c>
      <c r="BL16" s="86" t="n">
        <f aca="false">IF(OR(Tasks[[#This Row],[Task Name]]="",Tasks[[#This Row],[Baseline Work]]=""),"",Tasks[[#This Row],[Work]]-N(Tasks[[#This Row],[Baseline Work]]))</f>
        <v>0</v>
      </c>
      <c r="BM16" s="63" t="n">
        <f aca="false">IF(Tasks[[#This Row],[Task Name]]="","",IF(OR(TakeBaseline="Yes",N(Tasks[[#This Row],[Baseline Start]])=0),Tasks[[#This Row],[Start]],Tasks[[#This Row],[Baseline Start]]))</f>
        <v>46318</v>
      </c>
      <c r="BN16" s="63" t="n">
        <f aca="false">IF(Tasks[[#This Row],[Task Name]]="","",IF(OR(TakeBaseline="Yes",N(Tasks[[#This Row],[Baseline Finish]])=0),Tasks[[#This Row],[Finish]],Tasks[[#This Row],[Baseline Finish]]))</f>
        <v>46318</v>
      </c>
      <c r="BO16" s="21" t="n">
        <f aca="false">IF(Tasks[[#This Row],[Task Name]]="","",IF(OR(TakeBaseline="Yes",N(Tasks[[#This Row],[Baseline Duration]])=0),Tasks[[#This Row],[_SpanDays]],Tasks[[#This Row],[Baseline Duration]]))</f>
        <v>1</v>
      </c>
      <c r="BP16" s="86" t="n">
        <f aca="false">IF(Tasks[[#This Row],[Task Name]]="","",IF(OR(TakeBaseline="Yes",N(Tasks[[#This Row],[Baseline Work]])=0),Tasks[[#This Row],[Work]],Tasks[[#This Row],[Baseline Work]]))</f>
        <v>8</v>
      </c>
      <c r="BQ16" s="7" t="n">
        <v>46318</v>
      </c>
      <c r="BR16" s="7" t="n">
        <v>46318</v>
      </c>
      <c r="BS16" s="22" t="n">
        <v>1</v>
      </c>
      <c r="BT16" s="88" t="n">
        <v>8</v>
      </c>
      <c r="BU16" s="23"/>
      <c r="BV16" s="23"/>
      <c r="BW16" s="23"/>
      <c r="BX16" s="89" t="str">
        <f aca="false">IF(AND(Tasks[[#This Row],[_IsLeaf]]=1,ISNUMBER(Tasks[[#This Row],[Optimistic]]),ISNUMBER(Tasks[[#This Row],[Pessimistic]])),ROUND((Tasks[[#This Row],[Optimistic]]+4*N(Tasks[[#This Row],[_Days]])+Tasks[[#This Row],[Pessimistic]])/6,1),"")</f>
        <v/>
      </c>
      <c r="BY16" s="87"/>
      <c r="BZ16" s="87"/>
      <c r="CA16" s="22"/>
      <c r="CB16" s="43" t="n">
        <f aca="false">IF(Tasks[[#This Row],[Task Name]]="","",MAX(1,N(Tasks[[#This Row],[Level]])))</f>
        <v>2</v>
      </c>
      <c r="CC16" s="43" t="n">
        <f aca="false">ROW()-ROW(Tasks[[#Headers],[ID]])</f>
        <v>11</v>
      </c>
      <c r="CD16" s="43" t="n">
        <f aca="false">IF(OR(Tasks[[#This Row],[Task Name]]="",Tasks[[#This Row],[_Level]]&lt;=1),0,IFERROR(LOOKUP(2,1/(Tasks[[#Headers],[_Level]]:Tasks[[#This Row],[_Level]]=Tasks[[#This Row],[_Level]]-1),ROW(Tasks[[#Headers],[_Level]]:Tasks[[#This Row],[_Level]])),0))</f>
        <v>14</v>
      </c>
      <c r="CE16" s="43" t="n">
        <f aca="false">IFERROR(N(INDEX(Tasks[_Level],Tasks[[#This Row],[_Row]]+1)),0)</f>
        <v>2</v>
      </c>
      <c r="CF16" s="90" t="b">
        <f aca="false">AND(Tasks[[#This Row],[Task Name]]&lt;&gt;"",Tasks[[#This Row],[_NextLevel]]&gt;Tasks[[#This Row],[_Level]])</f>
        <v>0</v>
      </c>
      <c r="CG16" s="43" t="n">
        <f aca="false">IF(Tasks[[#This Row],[_IsSummary]],COUNTIF(Tasks[WBS],Tasks[[#This Row],[WBS]]&amp;".*"),0)</f>
        <v>0</v>
      </c>
      <c r="CH16" s="43" t="n">
        <f aca="false">IF(AND(Tasks[[#This Row],[Task Name]]&lt;&gt;"",NOT(Tasks[[#This Row],[_IsSummary]])),1,0)</f>
        <v>1</v>
      </c>
      <c r="CI16" s="43" t="n">
        <f aca="false">IF(N(Tasks[[#This Row],[_Pred1UID]])=0,0,IFERROR(MATCH(Tasks[[#This Row],[_Pred1UID]],Tasks[UID],0),-1))</f>
        <v>10</v>
      </c>
      <c r="CJ16" s="43" t="n">
        <f aca="false">IF(N(Tasks[[#This Row],[_Pred2UID]])=0,0,IFERROR(MATCH(Tasks[[#This Row],[_Pred2UID]],Tasks[UID],0),-1))</f>
        <v>0</v>
      </c>
      <c r="CK16" s="43" t="n">
        <f aca="false">IF(N(Tasks[[#This Row],[_Pred3UID]])=0,0,IFERROR(MATCH(Tasks[[#This Row],[_Pred3UID]],Tasks[UID],0),-1))</f>
        <v>0</v>
      </c>
      <c r="CL16" s="43" t="n">
        <f aca="false">IF(N(Tasks[[#This Row],[_Pred4UID]])=0,0,IFERROR(MATCH(Tasks[[#This Row],[_Pred4UID]],Tasks[UID],0),-1))</f>
        <v>0</v>
      </c>
      <c r="CM16"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 s="91" t="n">
        <f aca="false">IF(OR(Tasks[[#This Row],[_ConstraintCode]]=2,Tasks[[#This Row],[_ConstraintCode]]=3,Tasks[[#This Row],[_ConstraintCode]]=4,Tasks[[#This Row],[_ConstraintCode]]=6),Tasks[[#This Row],[_ConstraintStart]],0)</f>
        <v>0</v>
      </c>
      <c r="CP16" s="91" t="n">
        <f aca="false">IF(OR(Tasks[[#This Row],[_ConstraintCode]]=2,Tasks[[#This Row],[_ConstraintCode]]=3,Tasks[[#This Row],[_ConstraintCode]]=5,Tasks[[#This Row],[_ConstraintCode]]=7),Tasks[[#This Row],[_ConstraintStart]],2958465)</f>
        <v>2958465</v>
      </c>
      <c r="CQ16"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R16" s="91" t="n">
        <f aca="false">IF(NOT(Tasks[[#This Row],[_IsLeaf]]=1),"",IF(N(Tasks[[#This Row],[_Days]])&lt;=0,Tasks[[#This Row],[_LeafCalcStart]],WORKDAY.INTL(Tasks[[#This Row],[_LeafCalcStart]],Tasks[[#This Row],[_Days]]-1,WorkWeek,Holidays)))</f>
        <v>46318</v>
      </c>
      <c r="CS16"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T16"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U16" s="43" t="str">
        <f aca="false">IF(Tasks[[#This Row],[_Predecessors]]="","",TRIM(MID(SUBSTITUTE(SUBSTITUTE(SUBSTITUTE(UPPER(Tasks[[#This Row],[_Predecessors]]),";",",")," ",""),",",REPT(" ",99)),1,99)))</f>
        <v>21</v>
      </c>
      <c r="CV16" s="43" t="n">
        <f aca="false">IF(Tasks[[#This Row],[_Pred1Text]]="","",IFERROR(VALUE(LEFT(Tasks[[#This Row],[_Pred1Text]],MIN(FIND("F",Tasks[[#This Row],[_Pred1Text]]&amp;"F"),FIND("S",Tasks[[#This Row],[_Pred1Text]]&amp;"S"),FIND("+",Tasks[[#This Row],[_Pred1Text]]&amp;"+"),FIND("-",Tasks[[#This Row],[_Pred1Text]]&amp;"-"))-1)),""))</f>
        <v>21</v>
      </c>
      <c r="CW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6"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6" s="43" t="str">
        <f aca="false">IF(Tasks[[#This Row],[_Pred1Text]]="","",TRIM(MID(SUBSTITUTE(SUBSTITUTE(SUBSTITUTE(UPPER(Tasks[[#This Row],[_Predecessors]]),";",",")," ",""),",",REPT(" ",99)),100,99)))</f>
        <v/>
      </c>
      <c r="CZ16" s="43" t="str">
        <f aca="false">IF(Tasks[[#This Row],[_Pred2Text]]="","",IFERROR(VALUE(LEFT(Tasks[[#This Row],[_Pred2Text]],MIN(FIND("F",Tasks[[#This Row],[_Pred2Text]]&amp;"F"),FIND("S",Tasks[[#This Row],[_Pred2Text]]&amp;"S"),FIND("+",Tasks[[#This Row],[_Pred2Text]]&amp;"+"),FIND("-",Tasks[[#This Row],[_Pred2Text]]&amp;"-"))-1)),""))</f>
        <v/>
      </c>
      <c r="DA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 s="43" t="str">
        <f aca="false">IF(Tasks[[#This Row],[_Pred2Text]]="","",TRIM(MID(SUBSTITUTE(SUBSTITUTE(SUBSTITUTE(UPPER(Tasks[[#This Row],[_Predecessors]]),";",",")," ",""),",",REPT(" ",99)),199,99)))</f>
        <v/>
      </c>
      <c r="DD16" s="43" t="str">
        <f aca="false">IF(Tasks[[#This Row],[_Pred3Text]]="","",IFERROR(VALUE(LEFT(Tasks[[#This Row],[_Pred3Text]],MIN(FIND("F",Tasks[[#This Row],[_Pred3Text]]&amp;"F"),FIND("S",Tasks[[#This Row],[_Pred3Text]]&amp;"S"),FIND("+",Tasks[[#This Row],[_Pred3Text]]&amp;"+"),FIND("-",Tasks[[#This Row],[_Pred3Text]]&amp;"-"))-1)),""))</f>
        <v/>
      </c>
      <c r="DE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 s="43" t="str">
        <f aca="false">IF(Tasks[[#This Row],[_Pred3Text]]="","",TRIM(MID(SUBSTITUTE(SUBSTITUTE(SUBSTITUTE(UPPER(Tasks[[#This Row],[_Predecessors]]),";",",")," ",""),",",REPT(" ",99)),298,99)))</f>
        <v/>
      </c>
      <c r="DH16" s="43" t="str">
        <f aca="false">IF(Tasks[[#This Row],[_Pred4Text]]="","",IFERROR(VALUE(LEFT(Tasks[[#This Row],[_Pred4Text]],MIN(FIND("F",Tasks[[#This Row],[_Pred4Text]]&amp;"F"),FIND("S",Tasks[[#This Row],[_Pred4Text]]&amp;"S"),FIND("+",Tasks[[#This Row],[_Pred4Text]]&amp;"+"),FIND("-",Tasks[[#This Row],[_Pred4Text]]&amp;"-"))-1)),""))</f>
        <v/>
      </c>
      <c r="DI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 s="43" t="str">
        <f aca="false">IF(OR(Tasks[[#This Row],[Task Name]]="",Tasks[[#This Row],[_Resources]]=""),"",TRIM(MID(SUBSTITUTE(Tasks[[#This Row],[_Resources]],",",REPT(" ",99)),1,99)))</f>
        <v>Priya Sharma</v>
      </c>
      <c r="DL16" s="43" t="str">
        <f aca="false">IF(Tasks[[#This Row],[_Res1Text]]="","",TRIM(MID(SUBSTITUTE(Tasks[[#This Row],[_Resources]],",",REPT(" ",99)),100,99)))</f>
        <v/>
      </c>
      <c r="DM16" s="43" t="str">
        <f aca="false">IF(Tasks[[#This Row],[_Res2Text]]="","",TRIM(MID(SUBSTITUTE(Tasks[[#This Row],[_Resources]],",",REPT(" ",99)),199,99)))</f>
        <v/>
      </c>
      <c r="DN16" s="43" t="str">
        <f aca="false">IF(Tasks[[#This Row],[_Res3Text]]="","",TRIM(MID(SUBSTITUTE(Tasks[[#This Row],[_Resources]],",",REPT(" ",99)),298,99)))</f>
        <v/>
      </c>
      <c r="DO16" s="43" t="n">
        <f aca="false">IF(Tasks[[#This Row],[_Res1Text]]="",0,IFERROR(MATCH(TRIM(LEFT(Tasks[[#This Row],[_Res1Text]],FIND("[",Tasks[[#This Row],[_Res1Text]]&amp;"[")-1)),res_Name,0),IFERROR(MATCH(TRIM(LEFT(Tasks[[#This Row],[_Res1Text]],FIND("[",Tasks[[#This Row],[_Res1Text]]&amp;"[")-1)),res_Initials,0),0)))</f>
        <v>1</v>
      </c>
      <c r="DP16" s="43" t="n">
        <f aca="false">IF(Tasks[[#This Row],[_Res2Text]]="",0,IFERROR(MATCH(TRIM(LEFT(Tasks[[#This Row],[_Res2Text]],FIND("[",Tasks[[#This Row],[_Res2Text]]&amp;"[")-1)),res_Name,0),IFERROR(MATCH(TRIM(LEFT(Tasks[[#This Row],[_Res2Text]],FIND("[",Tasks[[#This Row],[_Res2Text]]&amp;"[")-1)),res_Initials,0),0)))</f>
        <v>0</v>
      </c>
      <c r="DQ16" s="43" t="n">
        <f aca="false">IF(Tasks[[#This Row],[_Res3Text]]="",0,IFERROR(MATCH(TRIM(LEFT(Tasks[[#This Row],[_Res3Text]],FIND("[",Tasks[[#This Row],[_Res3Text]]&amp;"[")-1)),res_Name,0),IFERROR(MATCH(TRIM(LEFT(Tasks[[#This Row],[_Res3Text]],FIND("[",Tasks[[#This Row],[_Res3Text]]&amp;"[")-1)),res_Initials,0),0)))</f>
        <v>0</v>
      </c>
      <c r="DR16" s="43" t="n">
        <f aca="false">IF(Tasks[[#This Row],[_Res4Text]]="",0,IFERROR(MATCH(TRIM(LEFT(Tasks[[#This Row],[_Res4Text]],FIND("[",Tasks[[#This Row],[_Res4Text]]&amp;"[")-1)),res_Name,0),IFERROR(MATCH(TRIM(LEFT(Tasks[[#This Row],[_Res4Text]],FIND("[",Tasks[[#This Row],[_Res4Text]]&amp;"[")-1)),res_Initials,0),0)))</f>
        <v>0</v>
      </c>
      <c r="DS16" s="43" t="str">
        <f aca="false">IF(Tasks[[#This Row],[_Res1Text]]="","",IF(Tasks[[#This Row],[_Res1Row]]&gt;0,INDEX(res_Name,Tasks[[#This Row],[_Res1Row]]),TRIM(LEFT(Tasks[[#This Row],[_Res1Text]],FIND("[",Tasks[[#This Row],[_Res1Text]]&amp;"[")-1))))</f>
        <v>Priya Sharma</v>
      </c>
      <c r="DT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 s="43" t="n">
        <f aca="false">IF(NOT(Tasks[[#This Row],[_IsLeaf]]=1),0,(Tasks[[#This Row],[_Resource1]]&lt;&gt;"")+(Tasks[[#This Row],[_Res2]]&lt;&gt;"")+(Tasks[[#This Row],[_Res3]]&lt;&gt;"")+(Tasks[[#This Row],[_Res4]]&lt;&gt;""))</f>
        <v>1</v>
      </c>
      <c r="DV16" s="43" t="str">
        <f aca="false">IF(Tasks[[#This Row],[_Res2Text]]="","",IF(Tasks[[#This Row],[_Res2Row]]&gt;0,INDEX(res_Name,Tasks[[#This Row],[_Res2Row]]),TRIM(LEFT(Tasks[[#This Row],[_Res2Text]],FIND("[",Tasks[[#This Row],[_Res2Text]]&amp;"[")-1))))</f>
        <v/>
      </c>
      <c r="DW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 s="43" t="n">
        <f aca="false">IF(OR(NOT(Tasks[[#This Row],[_IsLeaf]]=1),Tasks[[#This Row],[_Res2Row]]=0),0,N(Tasks[[#This Row],[_Days]])*HoursPerDay*IF(Tasks[[#This Row],[_Res2Units]]="",DefaultUnits,Tasks[[#This Row],[_Res2Units]]))</f>
        <v>0</v>
      </c>
      <c r="DY16" s="43" t="n">
        <f aca="false">IF(AND(AND(Tasks[[#This Row],[_IsLeaf]]=1,Tasks[[#This Row],[_LeafTotalWork]]&gt;0),Tasks[[#This Row],[_Res2Work]]&gt;0),Tasks[[#This Row],[_Res2Work]]/(Tasks[[#This Row],[_FinishWorkday]]-Tasks[[#This Row],[_StartWorkday]]+1),0)</f>
        <v>0</v>
      </c>
      <c r="DZ16" s="43" t="n">
        <f aca="false">Tasks[[#This Row],[_Res2WorkPerWD]]*MAX(0,Tasks[[#This Row],[_StartWorkday]]-1)</f>
        <v>0</v>
      </c>
      <c r="EA16" s="43" t="n">
        <f aca="false">Tasks[[#This Row],[_Res2Work]]*Tasks[[#This Row],[_LeafProgress]]</f>
        <v>0</v>
      </c>
      <c r="EB16" s="43" t="str">
        <f aca="false">IF(Tasks[[#This Row],[_Res3Text]]="","",IF(Tasks[[#This Row],[_Res3Row]]&gt;0,INDEX(res_Name,Tasks[[#This Row],[_Res3Row]]),TRIM(LEFT(Tasks[[#This Row],[_Res3Text]],FIND("[",Tasks[[#This Row],[_Res3Text]]&amp;"[")-1))))</f>
        <v/>
      </c>
      <c r="EC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 s="43" t="n">
        <f aca="false">IF(OR(NOT(Tasks[[#This Row],[_IsLeaf]]=1),Tasks[[#This Row],[_Res3Row]]=0),0,N(Tasks[[#This Row],[_Days]])*HoursPerDay*IF(Tasks[[#This Row],[_Res3Units]]="",DefaultUnits,Tasks[[#This Row],[_Res3Units]]))</f>
        <v>0</v>
      </c>
      <c r="EE16" s="43" t="n">
        <f aca="false">IF(AND(AND(Tasks[[#This Row],[_IsLeaf]]=1,Tasks[[#This Row],[_LeafTotalWork]]&gt;0),Tasks[[#This Row],[_Res3Work]]&gt;0),Tasks[[#This Row],[_Res3Work]]/(Tasks[[#This Row],[_FinishWorkday]]-Tasks[[#This Row],[_StartWorkday]]+1),0)</f>
        <v>0</v>
      </c>
      <c r="EF16" s="43" t="n">
        <f aca="false">Tasks[[#This Row],[_Res3WorkPerWD]]*MAX(0,Tasks[[#This Row],[_StartWorkday]]-1)</f>
        <v>0</v>
      </c>
      <c r="EG16" s="43" t="n">
        <f aca="false">Tasks[[#This Row],[_Res3Work]]*Tasks[[#This Row],[_LeafProgress]]</f>
        <v>0</v>
      </c>
      <c r="EH16" s="43" t="str">
        <f aca="false">IF(Tasks[[#This Row],[_Res4Text]]="","",IF(Tasks[[#This Row],[_Res4Row]]&gt;0,INDEX(res_Name,Tasks[[#This Row],[_Res4Row]]),TRIM(LEFT(Tasks[[#This Row],[_Res4Text]],FIND("[",Tasks[[#This Row],[_Res4Text]]&amp;"[")-1))))</f>
        <v/>
      </c>
      <c r="EI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 s="43" t="n">
        <f aca="false">IF(OR(NOT(Tasks[[#This Row],[_IsLeaf]]=1),Tasks[[#This Row],[_Res4Row]]=0),0,N(Tasks[[#This Row],[_Days]])*HoursPerDay*IF(Tasks[[#This Row],[_Res4Units]]="",DefaultUnits,Tasks[[#This Row],[_Res4Units]]))</f>
        <v>0</v>
      </c>
      <c r="EK16" s="43" t="n">
        <f aca="false">IF(AND(AND(Tasks[[#This Row],[_IsLeaf]]=1,Tasks[[#This Row],[_LeafTotalWork]]&gt;0),Tasks[[#This Row],[_Res4Work]]&gt;0),Tasks[[#This Row],[_Res4Work]]/(Tasks[[#This Row],[_FinishWorkday]]-Tasks[[#This Row],[_StartWorkday]]+1),0)</f>
        <v>0</v>
      </c>
      <c r="EL16" s="43" t="n">
        <f aca="false">Tasks[[#This Row],[_Res4WorkPerWD]]*MAX(0,Tasks[[#This Row],[_StartWorkday]]-1)</f>
        <v>0</v>
      </c>
      <c r="EM16" s="43" t="n">
        <f aca="false">Tasks[[#This Row],[_Res4Work]]*Tasks[[#This Row],[_LeafProgress]]</f>
        <v>0</v>
      </c>
      <c r="EN16" s="43" t="n">
        <f aca="false">IF(ISNUMBER(Tasks[[#This Row],[% Complete]]),Tasks[[#This Row],[% Complete]],IF(Tasks[[#This Row],[Stage]]="",0,IFERROR(INDEX(stg_Pct,MATCH(Tasks[[#This Row],[Stage]],stg_Name,0)),0)))</f>
        <v>0</v>
      </c>
      <c r="EO16" s="43" t="n">
        <f aca="false">IF(NOT(Tasks[[#This Row],[_IsLeaf]]=1),0,IF(N(Tasks[[#This Row],[Actual Finish]])&gt;0,1,MIN(1,Tasks[[#This Row],[_Pct]])))</f>
        <v>0</v>
      </c>
      <c r="EP16" s="43" t="n">
        <f aca="false">IF(OR(NOT(Tasks[[#This Row],[_IsLeaf]]=1),Tasks[[#This Row],[_Res1Row]]=0),0,N(Tasks[[#This Row],[_Days]])*HoursPerDay*IF(Tasks[[#This Row],[_Units1]]="",DefaultUnits,Tasks[[#This Row],[_Units1]]))</f>
        <v>8</v>
      </c>
      <c r="EQ16" s="43" t="n">
        <f aca="false">Tasks[[#This Row],[_LeafWork]]+Tasks[[#This Row],[_Res2Work]]+Tasks[[#This Row],[_Res3Work]]+Tasks[[#This Row],[_Res4Work]]</f>
        <v>8</v>
      </c>
      <c r="ER16"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2912142</v>
      </c>
      <c r="ES1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 s="43" t="n">
        <f aca="false">IF(NOT(Tasks[[#This Row],[_IsLeaf]]=1),0,MAX(_xlfn.MAXIFS(Tasks[_Row],Tasks[_Pred1UID],Tasks[[#This Row],[UID]]),_xlfn.MAXIFS(Tasks[_Row],Tasks[_Pred2UID],Tasks[[#This Row],[UID]]),_xlfn.MAXIFS(Tasks[_Row],Tasks[_Pred3UID],Tasks[[#This Row],[UID]]),_xlfn.MAXIFS(Tasks[_Row],Tasks[_Pred4UID],Tasks[[#This Row],[UID]])))</f>
        <v>12</v>
      </c>
      <c r="FA16"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FB16"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FC16" s="91" t="n">
        <f aca="false">IF(NOT(Tasks[[#This Row],[_IsLeaf]]=1),"",IF(N(Tasks[[#This Row],[_Days]])&lt;=0,Tasks[[#This Row],[_LeafLateFinish]],WORKDAY.INTL(Tasks[[#This Row],[_LeafLateFinish]],-(Tasks[[#This Row],[_Days]]-1),WorkWeek,Holidays)))</f>
        <v>46324</v>
      </c>
      <c r="FD16"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6" s="90" t="b">
        <f aca="false">AND(Tasks[[#This Row],[_IsLeaf]]=1,Tasks[[#This Row],[_LeafProgress]]&lt;1,N(Tasks[[#This Row],[_LeafTotalSlack]])&lt;=CriticalSlackDays)</f>
        <v>1</v>
      </c>
      <c r="FF16" s="43" t="n">
        <f aca="false">IF(AND(Tasks[[#This Row],[_IsLeaf]]=1,Tasks[[#This Row],[_ConstraintCode]]=1,Tasks[[#This Row],[Mode]]&lt;&gt;"Manual",N(Tasks[[#This Row],[Actual Start]])=0),MAX(0,N(Tasks[[#This Row],[Free Slack]])),0)</f>
        <v>0</v>
      </c>
      <c r="FG16" s="91" t="n">
        <f aca="false">IF(NOT(Tasks[[#This Row],[_IsLeaf]]=1),"",IF(Tasks[[#This Row],[_AlapShift]]=0,Tasks[[#This Row],[_LeafCalcStart]],WORKDAY.INTL(Tasks[[#This Row],[_LeafCalcStart]],Tasks[[#This Row],[_AlapShift]],WorkWeek,Holidays)))</f>
        <v>46318</v>
      </c>
      <c r="FH16" s="91" t="n">
        <f aca="false">IF(NOT(Tasks[[#This Row],[_IsLeaf]]=1),"",IF(Tasks[[#This Row],[_AlapShift]]=0,Tasks[[#This Row],[_LeafCalcFinish]],WORKDAY.INTL(Tasks[[#This Row],[_LeafCalcFinish]],Tasks[[#This Row],[_AlapShift]],WorkWeek,Holidays)))</f>
        <v>46318</v>
      </c>
      <c r="FI16" s="91" t="n">
        <f aca="false">IF(NOT(Tasks[[#This Row],[_IsLeaf]]=1),"",IF(Tasks[[#This Row],[_AlapShift]]=0,Tasks[[#This Row],[_LeafFcstStart]],WORKDAY.INTL(Tasks[[#This Row],[_LeafFcstStart]],Tasks[[#This Row],[_AlapShift]],WorkWeek,Holidays)))</f>
        <v>46324</v>
      </c>
      <c r="FJ16" s="91" t="n">
        <f aca="false">IF(NOT(Tasks[[#This Row],[_IsLeaf]]=1),"",IF(Tasks[[#This Row],[_AlapShift]]=0,Tasks[[#This Row],[_LeafFcstFinish]],WORKDAY.INTL(Tasks[[#This Row],[_LeafFcstFinish]],Tasks[[#This Row],[_AlapShift]],WorkWeek,Holidays)))</f>
        <v>46324</v>
      </c>
      <c r="FK16" s="91" t="n">
        <f aca="false">IF(Tasks[[#This Row],[Task Name]]="","",IF(Tasks[[#This Row],[_IsSummary]],MIN(INDEX(Tasks[_ShownCalcStart],Tasks[[#This Row],[_Row]]+1):INDEX(Tasks[_ShownCalcStart],Tasks[[#This Row],[_Row]]+Tasks[[#This Row],[_Descendants]])),Tasks[[#This Row],[_ShownCalcStart]]))</f>
        <v>46318</v>
      </c>
      <c r="FL16" s="91" t="n">
        <f aca="false">IF(Tasks[[#This Row],[Task Name]]="","",IF(Tasks[[#This Row],[_IsSummary]],MAX(INDEX(Tasks[_ShownCalcFinish],Tasks[[#This Row],[_Row]]+1):INDEX(Tasks[_ShownCalcFinish],Tasks[[#This Row],[_Row]]+Tasks[[#This Row],[_Descendants]])),Tasks[[#This Row],[_ShownCalcFinish]]))</f>
        <v>46318</v>
      </c>
      <c r="FM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R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V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 s="43" t="n">
        <f aca="false">IF(AND(Tasks[[#This Row],[_IsLeaf]]=1,Tasks[[#This Row],[_LeafTotalWork]]&gt;0),NETWORKDAYS.INTL(ProjectStart,Tasks[[#This Row],[_ShownFcstStart]],WorkWeek,Holidays),0)</f>
        <v>39</v>
      </c>
      <c r="FZ16" s="43" t="n">
        <f aca="false">IF(AND(Tasks[[#This Row],[_IsLeaf]]=1,Tasks[[#This Row],[_LeafTotalWork]]&gt;0),MAX(Tasks[[#This Row],[_StartWorkday]],NETWORKDAYS.INTL(ProjectStart,Tasks[[#This Row],[_ShownFcstFinish]],WorkWeek,Holidays)),0)</f>
        <v>39</v>
      </c>
      <c r="GA16" s="43" t="n">
        <f aca="false">IF(AND(Tasks[[#This Row],[_IsLeaf]]=1,Tasks[[#This Row],[_LeafTotalWork]]&gt;0),Tasks[[#This Row],[_LeafWork]]/(Tasks[[#This Row],[_FinishWorkday]]-Tasks[[#This Row],[_StartWorkday]]+1),0)</f>
        <v>8</v>
      </c>
      <c r="GB16" s="43" t="n">
        <f aca="false">Tasks[[#This Row],[_WorkPerWorkday]]*(Tasks[[#This Row],[_StartWorkday]]-1)</f>
        <v>304</v>
      </c>
      <c r="GC16" s="43" t="n">
        <f aca="false">IF(Tasks[[#This Row],[_IsLeaf]]=1,MAX(N(Tasks[[#This Row],[_Days]]),0.1),0)</f>
        <v>1</v>
      </c>
      <c r="GD16" s="43" t="n">
        <f aca="false">Tasks[[#This Row],[_WeightDur]]*Tasks[[#This Row],[_LeafProgress]]</f>
        <v>0</v>
      </c>
      <c r="GE16" s="43" t="n">
        <f aca="false">Tasks[[#This Row],[_WeightDur]]*Tasks[[#This Row],[_PlannedPct]]</f>
        <v>1</v>
      </c>
      <c r="GF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GG16" s="43" t="str">
        <f aca="false">IF(AND(Tasks[[#This Row],[_IsLeaf]]=1,N(Tasks[[#This Row],[_Days]])=0,Tasks[[#This Row],[_LeafProgress]]&lt;1),Tasks[[#This Row],[_ShownFcstFinish]]+Tasks[[#This Row],[_Row]]/100000,"")</f>
        <v/>
      </c>
      <c r="GH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6" s="43" t="str">
        <f aca="false">IF(Tasks[[#This Row],[Task Name]]="","",LEFT(Tasks[[#This Row],[WBS]],FIND(".",Tasks[[#This Row],[WBS]]&amp;".")-1))</f>
        <v>3</v>
      </c>
      <c r="GJ16" s="43" t="str">
        <f aca="false">IF(AND(Tasks[[#This Row],[Task Name]]&lt;&gt;"",Tasks[[#This Row],[_Level]]=1),Tasks[[#This Row],[_Row]],"")</f>
        <v/>
      </c>
      <c r="GK16" s="43" t="str">
        <f aca="false">IF(AND(Tasks[[#This Row],[_IsLeaf]]=1,N(Tasks[[#This Row],[_Days]])=0),Tasks[[#This Row],[Planned Finish]]+Tasks[[#This Row],[_Row]]/100000,"")</f>
        <v/>
      </c>
      <c r="GL16" s="43" t="n">
        <f aca="false">IF(AND(Tasks[[#This Row],[_IsLeaf]]=1,Tasks[[#This Row],[_LeafProgress]]&lt;1,OR(N(Tasks[[#This Row],[Finish Var]])&gt;0,Tasks[[#This Row],[Status]]="Late Start")),MAX(0,Tasks[[#This Row],[Finish Var]])+1-Tasks[[#This Row],[_Row]]/1000000,"")</f>
        <v>4.999989</v>
      </c>
      <c r="GM16" s="95" t="n">
        <f aca="false">IF(AND(Tasks[[#This Row],[_IsLeaf]]=1,N(Tasks[[#This Row],[Actual Start]])=0,Tasks[[#This Row],[_ShownFcstStart]]&gt;=StatusDate,Tasks[[#This Row],[_ShownFcstStart]]&lt;=LookaheadEnd),Tasks[[#This Row],[_ShownFcstStart]]+Tasks[[#This Row],[_Row]]/100000,"")</f>
        <v>46324.00011</v>
      </c>
      <c r="GN16" s="95" t="n">
        <f aca="false">IF(AND(Tasks[[#This Row],[_IsLeaf]]=1,Tasks[[#This Row],[_LeafProgress]]&lt;1,Tasks[[#This Row],[_ShownFcstFinish]]&gt;=StatusDate,Tasks[[#This Row],[_ShownFcstFinish]]&lt;=LookaheadEnd),Tasks[[#This Row],[_ShownFcstFinish]]+Tasks[[#This Row],[_Row]]/100000,"")</f>
        <v>46324.00011</v>
      </c>
      <c r="GO16" s="95" t="n">
        <f aca="false">IF(Tasks[[#This Row],[_LeafCritical]],Tasks[[#This Row],[_ShownFcstStart]]+Tasks[[#This Row],[_Row]]/100000,"")</f>
        <v>46324.00011</v>
      </c>
      <c r="GP16" s="43" t="n">
        <f aca="false">Tasks[[#This Row],[_LeafWork]]*Tasks[[#This Row],[_LeafProgress]]</f>
        <v>0</v>
      </c>
      <c r="GQ16" s="91" t="str">
        <f aca="false">IF(AND(Tasks[[#This Row],[_IsLeaf]]=1,Tasks[[#This Row],[_LeafProgress]]&gt;=1),IF(N(Tasks[[#This Row],[Actual Finish]])&gt;0,Tasks[[#This Row],[Actual Finish]],Tasks[[#This Row],[_ShownFcstFinish]]),"")</f>
        <v/>
      </c>
      <c r="GR16" s="43" t="n">
        <f aca="false">IF(Tasks[[#This Row],[_IsLeaf]]=1,N(Tasks[[#This Row],[Story Points]]),0)</f>
        <v>0</v>
      </c>
      <c r="GS16" s="43" t="str">
        <f aca="false">""</f>
        <v/>
      </c>
      <c r="GT16" s="90" t="b">
        <f aca="false">IF(Tasks[[#This Row],[Task Name]]="",FALSE(),AND(Tasks[[#This Row],[_IsLeaf]]=1,N(Tasks[[#This Row],[_Days]])=0))</f>
        <v>0</v>
      </c>
      <c r="GU16" s="91" t="n">
        <f aca="false">IF(Tasks[[#This Row],[Task Name]]="",0,IF(AND(Tasks[[#This Row],[_IsLeaf]]=1,NOT(Tasks[[#This Row],[_IsMilestone]]),N(Tasks[[#This Row],[Progress]])&gt;0),Tasks[[#This Row],[Start]],0))</f>
        <v>0</v>
      </c>
      <c r="GV16" s="91" t="n">
        <f aca="false">IF(Tasks[[#This Row],[_DoneFrom]]=0,0,IF(Tasks[[#This Row],[Progress]]&gt;=1,Tasks[[#This Row],[Finish]],MAX(Tasks[[#This Row],[_DoneFrom]],Tasks[[#This Row],[Start]]+ROUND((Tasks[[#This Row],[Finish]]-Tasks[[#This Row],[Start]]+1)*Tasks[[#This Row],[Progress]],0)-1)))</f>
        <v>0</v>
      </c>
      <c r="GW16" s="91" t="n">
        <f aca="false">IF(Tasks[[#This Row],[Task Name]]="",0,IF(OR(NOT(Tasks[[#This Row],[_IsLeaf]]=1),Tasks[[#This Row],[_IsMilestone]],N(Tasks[[#This Row],[Progress]])&gt;=1),0,IF(Tasks[[#This Row],[_DoneTo]]&gt;0,Tasks[[#This Row],[_DoneTo]]+1,Tasks[[#This Row],[Start]])))</f>
        <v>46324</v>
      </c>
      <c r="GX16" s="91" t="n">
        <f aca="false">IF(Tasks[[#This Row],[_RemFrom]]=0,0,Tasks[[#This Row],[Finish]])</f>
        <v>46324</v>
      </c>
      <c r="GY16" s="90" t="b">
        <f aca="false">IF(Tasks[[#This Row],[Task Name]]="",FALSE(),OR(NOT(BaselineSet),N(Tasks[[#This Row],[Baseline Start]])&gt;0))</f>
        <v>1</v>
      </c>
      <c r="GZ16" s="43" t="n">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v>
      </c>
      <c r="HA1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21</v>
      </c>
      <c r="HB1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HC16" s="92" t="n">
        <f aca="false">IF(Tasks[[#This Row],[_IsLeaf]]=1,Tasks[[#This Row],[_Row]],"")</f>
        <v>11</v>
      </c>
      <c r="HD16" s="92" t="str">
        <f aca="false">IFERROR(INDEX(Tasks[UID],SMALL(Tasks[_PickKey],Tasks[[#This Row],[_Row]]))&amp;" "&amp;INDEX(Tasks[Task Name],SMALL(Tasks[_PickKey],Tasks[[#This Row],[_Row]])),"")</f>
        <v/>
      </c>
      <c r="HE16" s="43" t="n">
        <f aca="false">IF(Tasks[[#This Row],[Task Name]]="","",IF(Tasks[[#This Row],[_IsSummary]],NETWORKDAYS.INTL(Tasks[[#This Row],[Start]],Tasks[[#This Row],[Finish]],WorkWeek,Holidays),N(Tasks[[#This Row],[_Days]])))</f>
        <v>1</v>
      </c>
      <c r="HF16" s="43" t="n">
        <f aca="false">IF(Tasks[[#This Row],[Expected]]="",0,((Tasks[[#This Row],[Pessimistic]]-Tasks[[#This Row],[Optimistic]])/6)^2)</f>
        <v>0</v>
      </c>
      <c r="HG16" s="43" t="n">
        <f aca="false">IF(Tasks[[#This Row],[Expected]]="",0,Tasks[[#This Row],[Expected]]-N(Tasks[[#This Row],[_Days]]))</f>
        <v>0</v>
      </c>
    </row>
    <row r="17" customFormat="false" ht="15" hidden="false" customHeight="false" outlineLevel="1" collapsed="false">
      <c r="A17" s="21" t="n">
        <f aca="false">IF(Tasks[[#This Row],[Task Name]]="","",COUNTA(Tasks[[#Headers],[Task Name]]:Tasks[[#This Row],[Task Name]])-1)</f>
        <v>12</v>
      </c>
      <c r="B17" s="22" t="n">
        <v>25</v>
      </c>
      <c r="C17" s="22" t="n">
        <v>2</v>
      </c>
      <c r="D17" s="93" t="s">
        <v>662</v>
      </c>
      <c r="E17" s="22" t="n">
        <v>0</v>
      </c>
      <c r="F17" s="23" t="n">
        <v>24</v>
      </c>
      <c r="G17" s="22"/>
      <c r="H17" s="22"/>
      <c r="I17" s="23"/>
      <c r="J17" s="22"/>
      <c r="K17" s="22"/>
      <c r="L17" s="23"/>
      <c r="M17" s="22"/>
      <c r="N17" s="22"/>
      <c r="O17" s="23"/>
      <c r="P17" s="22"/>
      <c r="Q17" s="22"/>
      <c r="R17" s="23"/>
      <c r="S17" s="23"/>
      <c r="T17" s="84"/>
      <c r="U17" s="23"/>
      <c r="V17" s="84"/>
      <c r="W17" s="23"/>
      <c r="X17" s="84"/>
      <c r="Y17" s="23"/>
      <c r="Z17" s="84"/>
      <c r="AA17" s="23"/>
      <c r="AB17" s="23"/>
      <c r="AC17" s="7"/>
      <c r="AD17" s="7"/>
      <c r="AE17" s="63" t="n">
        <f aca="false">IF(Tasks[[#This Row],[Task Name]]="","",IF(Tasks[[#This Row],[_IsSummary]],MIN(INDEX(Tasks[_ShownFcstStart],Tasks[[#This Row],[_Row]]+1):INDEX(Tasks[_ShownFcstStart],Tasks[[#This Row],[_Row]]+Tasks[[#This Row],[_Descendants]])),Tasks[[#This Row],[_ShownFcstStart]]))</f>
        <v>46324</v>
      </c>
      <c r="AF17" s="63" t="n">
        <f aca="false">IF(Tasks[[#This Row],[Task Name]]="","",IF(Tasks[[#This Row],[_IsSummary]],MAX(INDEX(Tasks[_ShownFcstFinish],Tasks[[#This Row],[_Row]]+1):INDEX(Tasks[_ShownFcstFinish],Tasks[[#This Row],[_Row]]+Tasks[[#This Row],[_Descendants]])),Tasks[[#This Row],[_ShownFcstFinish]]))</f>
        <v>46324</v>
      </c>
      <c r="AG17" s="21" t="str">
        <f aca="false">""</f>
        <v/>
      </c>
      <c r="AH17" s="23" t="s">
        <v>663</v>
      </c>
      <c r="AI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 s="7" t="n">
        <v>46374</v>
      </c>
      <c r="AK17" s="22" t="s">
        <v>248</v>
      </c>
      <c r="AL17" s="23"/>
      <c r="AM17" s="7"/>
      <c r="AN17" s="47" t="n">
        <f aca="false">IF(Tasks[[#This Row],[Task Name]]="","",IF(Tasks[[#This Row],[Finish]]&gt;=Tasks[[#This Row],[Planned Finish]],NETWORKDAYS.INTL(Tasks[[#This Row],[Planned Finish]],Tasks[[#This Row],[Finish]],WorkWeek,Holidays)-1,1-NETWORKDAYS.INTL(Tasks[[#This Row],[Finish]],Tasks[[#This Row],[Planned Finish]],WorkWeek,Holidays)))</f>
        <v>4</v>
      </c>
      <c r="AO17" s="21" t="str">
        <f aca="false">IF(Tasks[[#This Row],[Task Name]]="","",IF(Tasks[[#This Row],[Progress]]&gt;=1,"Complete",IF(OR(N(Tasks[[#This Row],[Actual Start]])&gt;0,Tasks[[#This Row],[Progress]]&gt;0),IF(Tasks[[#This Row],[Finish Var]]&gt;0,"Behind","In Progress"),IF(Tasks[[#This Row],[Planned Start]]&lt;StatusDate,"Late Start","Not Started"))))</f>
        <v>Late Start</v>
      </c>
      <c r="AP17" s="21" t="str">
        <f aca="false">IF(Tasks[[#This Row],[Task Name]]="","",IF(IF(Tasks[[#This Row],[_IsSummary]],COUNTIF(INDEX(Tasks[_LeafCritical],Tasks[[#This Row],[_Row]]+1):INDEX(Tasks[_LeafCritical],Tasks[[#This Row],[_Row]]+Tasks[[#This Row],[_Descendants]]),TRUE())&gt;0,Tasks[[#This Row],[_LeafCritical]]),"Yes",""))</f>
        <v>Yes</v>
      </c>
      <c r="AQ17" s="63" t="n">
        <f aca="false">IF(Tasks[[#This Row],[Task Name]]="","",IF(N(Tasks[[#This Row],[Baseline Start]])&gt;0,Tasks[[#This Row],[Baseline Start]],Tasks[[#This Row],[_CalcStart]]))</f>
        <v>46318</v>
      </c>
      <c r="AR17" s="63" t="n">
        <f aca="false">IF(Tasks[[#This Row],[Task Name]]="","",IF(N(Tasks[[#This Row],[Baseline Finish]])&gt;0,Tasks[[#This Row],[Baseline Finish]],Tasks[[#This Row],[_CalcFinish]]))</f>
        <v>46318</v>
      </c>
      <c r="AS17" s="47" t="n">
        <f aca="false">IF(Tasks[[#This Row],[Task Name]]="","",IF(Tasks[[#This Row],[Start]]&gt;=Tasks[[#This Row],[Planned Start]],NETWORKDAYS.INTL(Tasks[[#This Row],[Planned Start]],Tasks[[#This Row],[Start]],WorkWeek,Holidays)-1,1-NETWORKDAYS.INTL(Tasks[[#This Row],[Start]],Tasks[[#This Row],[Planned Start]],WorkWeek,Holidays)))</f>
        <v>4</v>
      </c>
      <c r="AT17" s="63" t="n">
        <f aca="false">IF(Tasks[[#This Row],[Task Name]]="","",IF(Tasks[[#This Row],[_IsSummary]],MIN(INDEX(Tasks[_LeafLateStart],Tasks[[#This Row],[_Row]]+1):INDEX(Tasks[_LeafLateStart],Tasks[[#This Row],[_Row]]+Tasks[[#This Row],[_Descendants]])),Tasks[[#This Row],[_LeafLateStart]]))</f>
        <v>46324</v>
      </c>
      <c r="AU17" s="63" t="n">
        <f aca="false">IF(Tasks[[#This Row],[Task Name]]="","",IF(Tasks[[#This Row],[_IsSummary]],MAX(INDEX(Tasks[_LeafLateFinish],Tasks[[#This Row],[_Row]]+1):INDEX(Tasks[_LeafLateFinish],Tasks[[#This Row],[_Row]]+Tasks[[#This Row],[_Descendants]])),Tasks[[#This Row],[_LeafLateFinish]]))</f>
        <v>46324</v>
      </c>
      <c r="AV17" s="47" t="n">
        <f aca="false">IF(Tasks[[#This Row],[Task Name]]="","",IF(Tasks[[#This Row],[_IsSummary]],MIN(INDEX(Tasks[_LeafTotalSlack],Tasks[[#This Row],[_Row]]+1):INDEX(Tasks[_LeafTotalSlack],Tasks[[#This Row],[_Row]]+Tasks[[#This Row],[_Descendants]])),Tasks[[#This Row],[_LeafTotalSlack]]))</f>
        <v>0</v>
      </c>
      <c r="AW1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Y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5"/>
      <c r="BA17"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11</v>
      </c>
      <c r="BC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BD17" s="21" t="str">
        <f aca="false">IF(Tasks[[#This Row],[Task Name]]="","",IF(Tasks[[#This Row],[_Level]]&lt;=OutlineShowLevel,"Yes","No"))</f>
        <v>Yes</v>
      </c>
      <c r="BE17" s="86" t="n">
        <f aca="false">IF(Tasks[[#This Row],[Task Name]]="","",IF(Tasks[[#This Row],[_IsSummary]],SUM(INDEX(Tasks[_LeafTotalWork],Tasks[[#This Row],[_Row]]+1):INDEX(Tasks[_LeafTotalWork],Tasks[[#This Row],[_Row]]+Tasks[[#This Row],[_Descendants]])),Tasks[[#This Row],[_LeafTotalWork]]))</f>
        <v>0</v>
      </c>
      <c r="BF17" s="23"/>
      <c r="BG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t="str">
        <f aca="false">""</f>
        <v/>
      </c>
      <c r="BI17" s="87"/>
      <c r="BJ17" s="22"/>
      <c r="BK17" s="47" t="n">
        <f aca="false">IF(OR(Tasks[[#This Row],[Task Name]]="",Tasks[[#This Row],[Baseline Duration]]=""),"",Tasks[[#This Row],[_SpanDays]]-N(Tasks[[#This Row],[Baseline Duration]]))</f>
        <v>0</v>
      </c>
      <c r="BL17" s="86" t="n">
        <f aca="false">IF(OR(Tasks[[#This Row],[Task Name]]="",Tasks[[#This Row],[Baseline Work]]=""),"",Tasks[[#This Row],[Work]]-N(Tasks[[#This Row],[Baseline Work]]))</f>
        <v>0</v>
      </c>
      <c r="BM17" s="63" t="n">
        <f aca="false">IF(Tasks[[#This Row],[Task Name]]="","",IF(OR(TakeBaseline="Yes",N(Tasks[[#This Row],[Baseline Start]])=0),Tasks[[#This Row],[Start]],Tasks[[#This Row],[Baseline Start]]))</f>
        <v>46318</v>
      </c>
      <c r="BN17" s="63" t="n">
        <f aca="false">IF(Tasks[[#This Row],[Task Name]]="","",IF(OR(TakeBaseline="Yes",N(Tasks[[#This Row],[Baseline Finish]])=0),Tasks[[#This Row],[Finish]],Tasks[[#This Row],[Baseline Finish]]))</f>
        <v>46318</v>
      </c>
      <c r="BO17" s="21" t="n">
        <f aca="false">IF(Tasks[[#This Row],[Task Name]]="","",IF(OR(TakeBaseline="Yes",N(Tasks[[#This Row],[Baseline Duration]])=0),Tasks[[#This Row],[_SpanDays]],Tasks[[#This Row],[Baseline Duration]]))</f>
        <v>0</v>
      </c>
      <c r="BP17" s="86" t="n">
        <f aca="false">IF(Tasks[[#This Row],[Task Name]]="","",IF(OR(TakeBaseline="Yes",N(Tasks[[#This Row],[Baseline Work]])=0),Tasks[[#This Row],[Work]],Tasks[[#This Row],[Baseline Work]]))</f>
        <v>0</v>
      </c>
      <c r="BQ17" s="7" t="n">
        <v>46318</v>
      </c>
      <c r="BR17" s="7" t="n">
        <v>46318</v>
      </c>
      <c r="BS17" s="22" t="n">
        <v>0</v>
      </c>
      <c r="BT17" s="88" t="n">
        <v>0</v>
      </c>
      <c r="BU17" s="23" t="s">
        <v>6</v>
      </c>
      <c r="BV17" s="23" t="s">
        <v>644</v>
      </c>
      <c r="BW17" s="23" t="s">
        <v>664</v>
      </c>
      <c r="BX17" s="89" t="str">
        <f aca="false">IF(AND(Tasks[[#This Row],[_IsLeaf]]=1,ISNUMBER(Tasks[[#This Row],[Optimistic]]),ISNUMBER(Tasks[[#This Row],[Pessimistic]])),ROUND((Tasks[[#This Row],[Optimistic]]+4*N(Tasks[[#This Row],[_Days]])+Tasks[[#This Row],[Pessimistic]])/6,1),"")</f>
        <v/>
      </c>
      <c r="BY17" s="87"/>
      <c r="BZ17" s="87"/>
      <c r="CA17" s="22"/>
      <c r="CB17" s="43" t="n">
        <f aca="false">IF(Tasks[[#This Row],[Task Name]]="","",MAX(1,N(Tasks[[#This Row],[Level]])))</f>
        <v>2</v>
      </c>
      <c r="CC17" s="43" t="n">
        <f aca="false">ROW()-ROW(Tasks[[#Headers],[ID]])</f>
        <v>12</v>
      </c>
      <c r="CD17" s="43" t="n">
        <f aca="false">IF(OR(Tasks[[#This Row],[Task Name]]="",Tasks[[#This Row],[_Level]]&lt;=1),0,IFERROR(LOOKUP(2,1/(Tasks[[#Headers],[_Level]]:Tasks[[#This Row],[_Level]]=Tasks[[#This Row],[_Level]]-1),ROW(Tasks[[#Headers],[_Level]]:Tasks[[#This Row],[_Level]])),0))</f>
        <v>14</v>
      </c>
      <c r="CE17" s="43" t="n">
        <f aca="false">IFERROR(N(INDEX(Tasks[_Level],Tasks[[#This Row],[_Row]]+1)),0)</f>
        <v>0</v>
      </c>
      <c r="CF17" s="90" t="b">
        <f aca="false">AND(Tasks[[#This Row],[Task Name]]&lt;&gt;"",Tasks[[#This Row],[_NextLevel]]&gt;Tasks[[#This Row],[_Level]])</f>
        <v>0</v>
      </c>
      <c r="CG17" s="43" t="n">
        <f aca="false">IF(Tasks[[#This Row],[_IsSummary]],COUNTIF(Tasks[WBS],Tasks[[#This Row],[WBS]]&amp;".*"),0)</f>
        <v>0</v>
      </c>
      <c r="CH17" s="43" t="n">
        <f aca="false">IF(AND(Tasks[[#This Row],[Task Name]]&lt;&gt;"",NOT(Tasks[[#This Row],[_IsSummary]])),1,0)</f>
        <v>1</v>
      </c>
      <c r="CI17" s="43" t="n">
        <f aca="false">IF(N(Tasks[[#This Row],[_Pred1UID]])=0,0,IFERROR(MATCH(Tasks[[#This Row],[_Pred1UID]],Tasks[UID],0),-1))</f>
        <v>11</v>
      </c>
      <c r="CJ17" s="43" t="n">
        <f aca="false">IF(N(Tasks[[#This Row],[_Pred2UID]])=0,0,IFERROR(MATCH(Tasks[[#This Row],[_Pred2UID]],Tasks[UID],0),-1))</f>
        <v>0</v>
      </c>
      <c r="CK17" s="43" t="n">
        <f aca="false">IF(N(Tasks[[#This Row],[_Pred3UID]])=0,0,IFERROR(MATCH(Tasks[[#This Row],[_Pred3UID]],Tasks[UID],0),-1))</f>
        <v>0</v>
      </c>
      <c r="CL17" s="43" t="n">
        <f aca="false">IF(N(Tasks[[#This Row],[_Pred4UID]])=0,0,IFERROR(MATCH(Tasks[[#This Row],[_Pred4UID]],Tasks[UID],0),-1))</f>
        <v>0</v>
      </c>
      <c r="CM1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 s="91" t="n">
        <f aca="false">IF(OR(Tasks[[#This Row],[_ConstraintCode]]=2,Tasks[[#This Row],[_ConstraintCode]]=3,Tasks[[#This Row],[_ConstraintCode]]=4,Tasks[[#This Row],[_ConstraintCode]]=6),Tasks[[#This Row],[_ConstraintStart]],0)</f>
        <v>0</v>
      </c>
      <c r="CP17" s="91" t="n">
        <f aca="false">IF(OR(Tasks[[#This Row],[_ConstraintCode]]=2,Tasks[[#This Row],[_ConstraintCode]]=3,Tasks[[#This Row],[_ConstraintCode]]=5,Tasks[[#This Row],[_ConstraintCode]]=7),Tasks[[#This Row],[_ConstraintStart]],2958465)</f>
        <v>2958465</v>
      </c>
      <c r="CQ1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R17" s="91" t="n">
        <f aca="false">IF(NOT(Tasks[[#This Row],[_IsLeaf]]=1),"",IF(N(Tasks[[#This Row],[_Days]])&lt;=0,Tasks[[#This Row],[_LeafCalcStart]],WORKDAY.INTL(Tasks[[#This Row],[_LeafCalcStart]],Tasks[[#This Row],[_Days]]-1,WorkWeek,Holidays)))</f>
        <v>46318</v>
      </c>
      <c r="CS1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T17"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U17" s="43" t="str">
        <f aca="false">IF(Tasks[[#This Row],[_Predecessors]]="","",TRIM(MID(SUBSTITUTE(SUBSTITUTE(SUBSTITUTE(UPPER(Tasks[[#This Row],[_Predecessors]]),";",",")," ",""),",",REPT(" ",99)),1,99)))</f>
        <v>24</v>
      </c>
      <c r="CV17" s="43" t="n">
        <f aca="false">IF(Tasks[[#This Row],[_Pred1Text]]="","",IFERROR(VALUE(LEFT(Tasks[[#This Row],[_Pred1Text]],MIN(FIND("F",Tasks[[#This Row],[_Pred1Text]]&amp;"F"),FIND("S",Tasks[[#This Row],[_Pred1Text]]&amp;"S"),FIND("+",Tasks[[#This Row],[_Pred1Text]]&amp;"+"),FIND("-",Tasks[[#This Row],[_Pred1Text]]&amp;"-"))-1)),""))</f>
        <v>24</v>
      </c>
      <c r="CW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7"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7" s="43" t="str">
        <f aca="false">IF(Tasks[[#This Row],[_Pred1Text]]="","",TRIM(MID(SUBSTITUTE(SUBSTITUTE(SUBSTITUTE(UPPER(Tasks[[#This Row],[_Predecessors]]),";",",")," ",""),",",REPT(" ",99)),100,99)))</f>
        <v/>
      </c>
      <c r="CZ17" s="43" t="str">
        <f aca="false">IF(Tasks[[#This Row],[_Pred2Text]]="","",IFERROR(VALUE(LEFT(Tasks[[#This Row],[_Pred2Text]],MIN(FIND("F",Tasks[[#This Row],[_Pred2Text]]&amp;"F"),FIND("S",Tasks[[#This Row],[_Pred2Text]]&amp;"S"),FIND("+",Tasks[[#This Row],[_Pred2Text]]&amp;"+"),FIND("-",Tasks[[#This Row],[_Pred2Text]]&amp;"-"))-1)),""))</f>
        <v/>
      </c>
      <c r="DA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 s="43" t="str">
        <f aca="false">IF(Tasks[[#This Row],[_Pred2Text]]="","",TRIM(MID(SUBSTITUTE(SUBSTITUTE(SUBSTITUTE(UPPER(Tasks[[#This Row],[_Predecessors]]),";",",")," ",""),",",REPT(" ",99)),199,99)))</f>
        <v/>
      </c>
      <c r="DD17" s="43" t="str">
        <f aca="false">IF(Tasks[[#This Row],[_Pred3Text]]="","",IFERROR(VALUE(LEFT(Tasks[[#This Row],[_Pred3Text]],MIN(FIND("F",Tasks[[#This Row],[_Pred3Text]]&amp;"F"),FIND("S",Tasks[[#This Row],[_Pred3Text]]&amp;"S"),FIND("+",Tasks[[#This Row],[_Pred3Text]]&amp;"+"),FIND("-",Tasks[[#This Row],[_Pred3Text]]&amp;"-"))-1)),""))</f>
        <v/>
      </c>
      <c r="DE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 s="43" t="str">
        <f aca="false">IF(Tasks[[#This Row],[_Pred3Text]]="","",TRIM(MID(SUBSTITUTE(SUBSTITUTE(SUBSTITUTE(UPPER(Tasks[[#This Row],[_Predecessors]]),";",",")," ",""),",",REPT(" ",99)),298,99)))</f>
        <v/>
      </c>
      <c r="DH17" s="43" t="str">
        <f aca="false">IF(Tasks[[#This Row],[_Pred4Text]]="","",IFERROR(VALUE(LEFT(Tasks[[#This Row],[_Pred4Text]],MIN(FIND("F",Tasks[[#This Row],[_Pred4Text]]&amp;"F"),FIND("S",Tasks[[#This Row],[_Pred4Text]]&amp;"S"),FIND("+",Tasks[[#This Row],[_Pred4Text]]&amp;"+"),FIND("-",Tasks[[#This Row],[_Pred4Text]]&amp;"-"))-1)),""))</f>
        <v/>
      </c>
      <c r="DI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 s="43" t="str">
        <f aca="false">IF(OR(Tasks[[#This Row],[Task Name]]="",Tasks[[#This Row],[_Resources]]=""),"",TRIM(MID(SUBSTITUTE(Tasks[[#This Row],[_Resources]],",",REPT(" ",99)),1,99)))</f>
        <v/>
      </c>
      <c r="DL17" s="43" t="str">
        <f aca="false">IF(Tasks[[#This Row],[_Res1Text]]="","",TRIM(MID(SUBSTITUTE(Tasks[[#This Row],[_Resources]],",",REPT(" ",99)),100,99)))</f>
        <v/>
      </c>
      <c r="DM17" s="43" t="str">
        <f aca="false">IF(Tasks[[#This Row],[_Res2Text]]="","",TRIM(MID(SUBSTITUTE(Tasks[[#This Row],[_Resources]],",",REPT(" ",99)),199,99)))</f>
        <v/>
      </c>
      <c r="DN17" s="43" t="str">
        <f aca="false">IF(Tasks[[#This Row],[_Res3Text]]="","",TRIM(MID(SUBSTITUTE(Tasks[[#This Row],[_Resources]],",",REPT(" ",99)),298,99)))</f>
        <v/>
      </c>
      <c r="DO17" s="43" t="n">
        <f aca="false">IF(Tasks[[#This Row],[_Res1Text]]="",0,IFERROR(MATCH(TRIM(LEFT(Tasks[[#This Row],[_Res1Text]],FIND("[",Tasks[[#This Row],[_Res1Text]]&amp;"[")-1)),res_Name,0),IFERROR(MATCH(TRIM(LEFT(Tasks[[#This Row],[_Res1Text]],FIND("[",Tasks[[#This Row],[_Res1Text]]&amp;"[")-1)),res_Initials,0),0)))</f>
        <v>0</v>
      </c>
      <c r="DP17" s="43" t="n">
        <f aca="false">IF(Tasks[[#This Row],[_Res2Text]]="",0,IFERROR(MATCH(TRIM(LEFT(Tasks[[#This Row],[_Res2Text]],FIND("[",Tasks[[#This Row],[_Res2Text]]&amp;"[")-1)),res_Name,0),IFERROR(MATCH(TRIM(LEFT(Tasks[[#This Row],[_Res2Text]],FIND("[",Tasks[[#This Row],[_Res2Text]]&amp;"[")-1)),res_Initials,0),0)))</f>
        <v>0</v>
      </c>
      <c r="DQ17" s="43" t="n">
        <f aca="false">IF(Tasks[[#This Row],[_Res3Text]]="",0,IFERROR(MATCH(TRIM(LEFT(Tasks[[#This Row],[_Res3Text]],FIND("[",Tasks[[#This Row],[_Res3Text]]&amp;"[")-1)),res_Name,0),IFERROR(MATCH(TRIM(LEFT(Tasks[[#This Row],[_Res3Text]],FIND("[",Tasks[[#This Row],[_Res3Text]]&amp;"[")-1)),res_Initials,0),0)))</f>
        <v>0</v>
      </c>
      <c r="DR17" s="43" t="n">
        <f aca="false">IF(Tasks[[#This Row],[_Res4Text]]="",0,IFERROR(MATCH(TRIM(LEFT(Tasks[[#This Row],[_Res4Text]],FIND("[",Tasks[[#This Row],[_Res4Text]]&amp;"[")-1)),res_Name,0),IFERROR(MATCH(TRIM(LEFT(Tasks[[#This Row],[_Res4Text]],FIND("[",Tasks[[#This Row],[_Res4Text]]&amp;"[")-1)),res_Initials,0),0)))</f>
        <v>0</v>
      </c>
      <c r="DS17" s="43" t="str">
        <f aca="false">IF(Tasks[[#This Row],[_Res1Text]]="","",IF(Tasks[[#This Row],[_Res1Row]]&gt;0,INDEX(res_Name,Tasks[[#This Row],[_Res1Row]]),TRIM(LEFT(Tasks[[#This Row],[_Res1Text]],FIND("[",Tasks[[#This Row],[_Res1Text]]&amp;"[")-1))))</f>
        <v/>
      </c>
      <c r="DT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 s="43" t="n">
        <f aca="false">IF(NOT(Tasks[[#This Row],[_IsLeaf]]=1),0,(Tasks[[#This Row],[_Resource1]]&lt;&gt;"")+(Tasks[[#This Row],[_Res2]]&lt;&gt;"")+(Tasks[[#This Row],[_Res3]]&lt;&gt;"")+(Tasks[[#This Row],[_Res4]]&lt;&gt;""))</f>
        <v>0</v>
      </c>
      <c r="DV17" s="43" t="str">
        <f aca="false">IF(Tasks[[#This Row],[_Res2Text]]="","",IF(Tasks[[#This Row],[_Res2Row]]&gt;0,INDEX(res_Name,Tasks[[#This Row],[_Res2Row]]),TRIM(LEFT(Tasks[[#This Row],[_Res2Text]],FIND("[",Tasks[[#This Row],[_Res2Text]]&amp;"[")-1))))</f>
        <v/>
      </c>
      <c r="DW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 s="43" t="n">
        <f aca="false">IF(OR(NOT(Tasks[[#This Row],[_IsLeaf]]=1),Tasks[[#This Row],[_Res2Row]]=0),0,N(Tasks[[#This Row],[_Days]])*HoursPerDay*IF(Tasks[[#This Row],[_Res2Units]]="",DefaultUnits,Tasks[[#This Row],[_Res2Units]]))</f>
        <v>0</v>
      </c>
      <c r="DY17" s="43" t="n">
        <f aca="false">IF(AND(AND(Tasks[[#This Row],[_IsLeaf]]=1,Tasks[[#This Row],[_LeafTotalWork]]&gt;0),Tasks[[#This Row],[_Res2Work]]&gt;0),Tasks[[#This Row],[_Res2Work]]/(Tasks[[#This Row],[_FinishWorkday]]-Tasks[[#This Row],[_StartWorkday]]+1),0)</f>
        <v>0</v>
      </c>
      <c r="DZ17" s="43" t="n">
        <f aca="false">Tasks[[#This Row],[_Res2WorkPerWD]]*MAX(0,Tasks[[#This Row],[_StartWorkday]]-1)</f>
        <v>0</v>
      </c>
      <c r="EA17" s="43" t="n">
        <f aca="false">Tasks[[#This Row],[_Res2Work]]*Tasks[[#This Row],[_LeafProgress]]</f>
        <v>0</v>
      </c>
      <c r="EB17" s="43" t="str">
        <f aca="false">IF(Tasks[[#This Row],[_Res3Text]]="","",IF(Tasks[[#This Row],[_Res3Row]]&gt;0,INDEX(res_Name,Tasks[[#This Row],[_Res3Row]]),TRIM(LEFT(Tasks[[#This Row],[_Res3Text]],FIND("[",Tasks[[#This Row],[_Res3Text]]&amp;"[")-1))))</f>
        <v/>
      </c>
      <c r="EC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 s="43" t="n">
        <f aca="false">IF(OR(NOT(Tasks[[#This Row],[_IsLeaf]]=1),Tasks[[#This Row],[_Res3Row]]=0),0,N(Tasks[[#This Row],[_Days]])*HoursPerDay*IF(Tasks[[#This Row],[_Res3Units]]="",DefaultUnits,Tasks[[#This Row],[_Res3Units]]))</f>
        <v>0</v>
      </c>
      <c r="EE17" s="43" t="n">
        <f aca="false">IF(AND(AND(Tasks[[#This Row],[_IsLeaf]]=1,Tasks[[#This Row],[_LeafTotalWork]]&gt;0),Tasks[[#This Row],[_Res3Work]]&gt;0),Tasks[[#This Row],[_Res3Work]]/(Tasks[[#This Row],[_FinishWorkday]]-Tasks[[#This Row],[_StartWorkday]]+1),0)</f>
        <v>0</v>
      </c>
      <c r="EF17" s="43" t="n">
        <f aca="false">Tasks[[#This Row],[_Res3WorkPerWD]]*MAX(0,Tasks[[#This Row],[_StartWorkday]]-1)</f>
        <v>0</v>
      </c>
      <c r="EG17" s="43" t="n">
        <f aca="false">Tasks[[#This Row],[_Res3Work]]*Tasks[[#This Row],[_LeafProgress]]</f>
        <v>0</v>
      </c>
      <c r="EH17" s="43" t="str">
        <f aca="false">IF(Tasks[[#This Row],[_Res4Text]]="","",IF(Tasks[[#This Row],[_Res4Row]]&gt;0,INDEX(res_Name,Tasks[[#This Row],[_Res4Row]]),TRIM(LEFT(Tasks[[#This Row],[_Res4Text]],FIND("[",Tasks[[#This Row],[_Res4Text]]&amp;"[")-1))))</f>
        <v/>
      </c>
      <c r="EI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 s="43" t="n">
        <f aca="false">IF(OR(NOT(Tasks[[#This Row],[_IsLeaf]]=1),Tasks[[#This Row],[_Res4Row]]=0),0,N(Tasks[[#This Row],[_Days]])*HoursPerDay*IF(Tasks[[#This Row],[_Res4Units]]="",DefaultUnits,Tasks[[#This Row],[_Res4Units]]))</f>
        <v>0</v>
      </c>
      <c r="EK17" s="43" t="n">
        <f aca="false">IF(AND(AND(Tasks[[#This Row],[_IsLeaf]]=1,Tasks[[#This Row],[_LeafTotalWork]]&gt;0),Tasks[[#This Row],[_Res4Work]]&gt;0),Tasks[[#This Row],[_Res4Work]]/(Tasks[[#This Row],[_FinishWorkday]]-Tasks[[#This Row],[_StartWorkday]]+1),0)</f>
        <v>0</v>
      </c>
      <c r="EL17" s="43" t="n">
        <f aca="false">Tasks[[#This Row],[_Res4WorkPerWD]]*MAX(0,Tasks[[#This Row],[_StartWorkday]]-1)</f>
        <v>0</v>
      </c>
      <c r="EM17" s="43" t="n">
        <f aca="false">Tasks[[#This Row],[_Res4Work]]*Tasks[[#This Row],[_LeafProgress]]</f>
        <v>0</v>
      </c>
      <c r="EN17" s="43" t="n">
        <f aca="false">IF(ISNUMBER(Tasks[[#This Row],[% Complete]]),Tasks[[#This Row],[% Complete]],IF(Tasks[[#This Row],[Stage]]="",0,IFERROR(INDEX(stg_Pct,MATCH(Tasks[[#This Row],[Stage]],stg_Name,0)),0)))</f>
        <v>0</v>
      </c>
      <c r="EO17" s="43" t="n">
        <f aca="false">IF(NOT(Tasks[[#This Row],[_IsLeaf]]=1),0,IF(N(Tasks[[#This Row],[Actual Finish]])&gt;0,1,MIN(1,Tasks[[#This Row],[_Pct]])))</f>
        <v>0</v>
      </c>
      <c r="EP17" s="43" t="n">
        <f aca="false">IF(OR(NOT(Tasks[[#This Row],[_IsLeaf]]=1),Tasks[[#This Row],[_Res1Row]]=0),0,N(Tasks[[#This Row],[_Days]])*HoursPerDay*IF(Tasks[[#This Row],[_Units1]]="",DefaultUnits,Tasks[[#This Row],[_Units1]]))</f>
        <v>0</v>
      </c>
      <c r="EQ17" s="43" t="n">
        <f aca="false">Tasks[[#This Row],[_LeafWork]]+Tasks[[#This Row],[_Res2Work]]+Tasks[[#This Row],[_Res3Work]]+Tasks[[#This Row],[_Res4Work]]</f>
        <v>0</v>
      </c>
      <c r="ER17"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2912141</v>
      </c>
      <c r="ES1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 s="43" t="n">
        <f aca="false">IF(NOT(Tasks[[#This Row],[_IsLeaf]]=1),0,MAX(_xlfn.MAXIFS(Tasks[_Row],Tasks[_Pred1UID],Tasks[[#This Row],[UID]]),_xlfn.MAXIFS(Tasks[_Row],Tasks[_Pred2UID],Tasks[[#This Row],[UID]]),_xlfn.MAXIFS(Tasks[_Row],Tasks[_Pred3UID],Tasks[[#This Row],[UID]]),_xlfn.MAXIFS(Tasks[_Row],Tasks[_Pred4UID],Tasks[[#This Row],[UID]])))</f>
        <v>0</v>
      </c>
      <c r="FA1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FB17"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FC17" s="91" t="n">
        <f aca="false">IF(NOT(Tasks[[#This Row],[_IsLeaf]]=1),"",IF(N(Tasks[[#This Row],[_Days]])&lt;=0,Tasks[[#This Row],[_LeafLateFinish]],WORKDAY.INTL(Tasks[[#This Row],[_LeafLateFinish]],-(Tasks[[#This Row],[_Days]]-1),WorkWeek,Holidays)))</f>
        <v>46324</v>
      </c>
      <c r="FD1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7" s="90" t="b">
        <f aca="false">AND(Tasks[[#This Row],[_IsLeaf]]=1,Tasks[[#This Row],[_LeafProgress]]&lt;1,N(Tasks[[#This Row],[_LeafTotalSlack]])&lt;=CriticalSlackDays)</f>
        <v>1</v>
      </c>
      <c r="FF17" s="43" t="n">
        <f aca="false">IF(AND(Tasks[[#This Row],[_IsLeaf]]=1,Tasks[[#This Row],[_ConstraintCode]]=1,Tasks[[#This Row],[Mode]]&lt;&gt;"Manual",N(Tasks[[#This Row],[Actual Start]])=0),MAX(0,N(Tasks[[#This Row],[Free Slack]])),0)</f>
        <v>0</v>
      </c>
      <c r="FG17" s="91" t="n">
        <f aca="false">IF(NOT(Tasks[[#This Row],[_IsLeaf]]=1),"",IF(Tasks[[#This Row],[_AlapShift]]=0,Tasks[[#This Row],[_LeafCalcStart]],WORKDAY.INTL(Tasks[[#This Row],[_LeafCalcStart]],Tasks[[#This Row],[_AlapShift]],WorkWeek,Holidays)))</f>
        <v>46318</v>
      </c>
      <c r="FH17" s="91" t="n">
        <f aca="false">IF(NOT(Tasks[[#This Row],[_IsLeaf]]=1),"",IF(Tasks[[#This Row],[_AlapShift]]=0,Tasks[[#This Row],[_LeafCalcFinish]],WORKDAY.INTL(Tasks[[#This Row],[_LeafCalcFinish]],Tasks[[#This Row],[_AlapShift]],WorkWeek,Holidays)))</f>
        <v>46318</v>
      </c>
      <c r="FI17" s="91" t="n">
        <f aca="false">IF(NOT(Tasks[[#This Row],[_IsLeaf]]=1),"",IF(Tasks[[#This Row],[_AlapShift]]=0,Tasks[[#This Row],[_LeafFcstStart]],WORKDAY.INTL(Tasks[[#This Row],[_LeafFcstStart]],Tasks[[#This Row],[_AlapShift]],WorkWeek,Holidays)))</f>
        <v>46324</v>
      </c>
      <c r="FJ17" s="91" t="n">
        <f aca="false">IF(NOT(Tasks[[#This Row],[_IsLeaf]]=1),"",IF(Tasks[[#This Row],[_AlapShift]]=0,Tasks[[#This Row],[_LeafFcstFinish]],WORKDAY.INTL(Tasks[[#This Row],[_LeafFcstFinish]],Tasks[[#This Row],[_AlapShift]],WorkWeek,Holidays)))</f>
        <v>46324</v>
      </c>
      <c r="FK17" s="91" t="n">
        <f aca="false">IF(Tasks[[#This Row],[Task Name]]="","",IF(Tasks[[#This Row],[_IsSummary]],MIN(INDEX(Tasks[_ShownCalcStart],Tasks[[#This Row],[_Row]]+1):INDEX(Tasks[_ShownCalcStart],Tasks[[#This Row],[_Row]]+Tasks[[#This Row],[_Descendants]])),Tasks[[#This Row],[_ShownCalcStart]]))</f>
        <v>46318</v>
      </c>
      <c r="FL17" s="91" t="n">
        <f aca="false">IF(Tasks[[#This Row],[Task Name]]="","",IF(Tasks[[#This Row],[_IsSummary]],MAX(INDEX(Tasks[_ShownCalcFinish],Tasks[[#This Row],[_Row]]+1):INDEX(Tasks[_ShownCalcFinish],Tasks[[#This Row],[_Row]]+Tasks[[#This Row],[_Descendants]])),Tasks[[#This Row],[_ShownCalcFinish]]))</f>
        <v>46318</v>
      </c>
      <c r="FM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R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V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 s="43" t="n">
        <f aca="false">IF(AND(Tasks[[#This Row],[_IsLeaf]]=1,Tasks[[#This Row],[_LeafTotalWork]]&gt;0),NETWORKDAYS.INTL(ProjectStart,Tasks[[#This Row],[_ShownFcstStart]],WorkWeek,Holidays),0)</f>
        <v>0</v>
      </c>
      <c r="FZ17" s="43" t="n">
        <f aca="false">IF(AND(Tasks[[#This Row],[_IsLeaf]]=1,Tasks[[#This Row],[_LeafTotalWork]]&gt;0),MAX(Tasks[[#This Row],[_StartWorkday]],NETWORKDAYS.INTL(ProjectStart,Tasks[[#This Row],[_ShownFcstFinish]],WorkWeek,Holidays)),0)</f>
        <v>0</v>
      </c>
      <c r="GA17" s="43" t="n">
        <f aca="false">IF(AND(Tasks[[#This Row],[_IsLeaf]]=1,Tasks[[#This Row],[_LeafTotalWork]]&gt;0),Tasks[[#This Row],[_LeafWork]]/(Tasks[[#This Row],[_FinishWorkday]]-Tasks[[#This Row],[_StartWorkday]]+1),0)</f>
        <v>0</v>
      </c>
      <c r="GB17" s="43" t="n">
        <f aca="false">Tasks[[#This Row],[_WorkPerWorkday]]*(Tasks[[#This Row],[_StartWorkday]]-1)</f>
        <v>-0</v>
      </c>
      <c r="GC17" s="43" t="n">
        <f aca="false">IF(Tasks[[#This Row],[_IsLeaf]]=1,MAX(N(Tasks[[#This Row],[_Days]]),0.1),0)</f>
        <v>0.1</v>
      </c>
      <c r="GD17" s="43" t="n">
        <f aca="false">Tasks[[#This Row],[_WeightDur]]*Tasks[[#This Row],[_LeafProgress]]</f>
        <v>0</v>
      </c>
      <c r="GE17" s="43" t="n">
        <f aca="false">Tasks[[#This Row],[_WeightDur]]*Tasks[[#This Row],[_PlannedPct]]</f>
        <v>0.1</v>
      </c>
      <c r="GF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GG17" s="95" t="n">
        <f aca="false">IF(AND(Tasks[[#This Row],[_IsLeaf]]=1,N(Tasks[[#This Row],[_Days]])=0,Tasks[[#This Row],[_LeafProgress]]&lt;1),Tasks[[#This Row],[_ShownFcstFinish]]+Tasks[[#This Row],[_Row]]/100000,"")</f>
        <v>46324.00012</v>
      </c>
      <c r="GH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7" s="43" t="str">
        <f aca="false">IF(Tasks[[#This Row],[Task Name]]="","",LEFT(Tasks[[#This Row],[WBS]],FIND(".",Tasks[[#This Row],[WBS]]&amp;".")-1))</f>
        <v>3</v>
      </c>
      <c r="GJ17" s="43" t="str">
        <f aca="false">IF(AND(Tasks[[#This Row],[Task Name]]&lt;&gt;"",Tasks[[#This Row],[_Level]]=1),Tasks[[#This Row],[_Row]],"")</f>
        <v/>
      </c>
      <c r="GK17" s="95" t="n">
        <f aca="false">IF(AND(Tasks[[#This Row],[_IsLeaf]]=1,N(Tasks[[#This Row],[_Days]])=0),Tasks[[#This Row],[Planned Finish]]+Tasks[[#This Row],[_Row]]/100000,"")</f>
        <v>46318.00012</v>
      </c>
      <c r="GL17" s="43" t="n">
        <f aca="false">IF(AND(Tasks[[#This Row],[_IsLeaf]]=1,Tasks[[#This Row],[_LeafProgress]]&lt;1,OR(N(Tasks[[#This Row],[Finish Var]])&gt;0,Tasks[[#This Row],[Status]]="Late Start")),MAX(0,Tasks[[#This Row],[Finish Var]])+1-Tasks[[#This Row],[_Row]]/1000000,"")</f>
        <v>4.999988</v>
      </c>
      <c r="GM17" s="95" t="n">
        <f aca="false">IF(AND(Tasks[[#This Row],[_IsLeaf]]=1,N(Tasks[[#This Row],[Actual Start]])=0,Tasks[[#This Row],[_ShownFcstStart]]&gt;=StatusDate,Tasks[[#This Row],[_ShownFcstStart]]&lt;=LookaheadEnd),Tasks[[#This Row],[_ShownFcstStart]]+Tasks[[#This Row],[_Row]]/100000,"")</f>
        <v>46324.00012</v>
      </c>
      <c r="GN17" s="95" t="n">
        <f aca="false">IF(AND(Tasks[[#This Row],[_IsLeaf]]=1,Tasks[[#This Row],[_LeafProgress]]&lt;1,Tasks[[#This Row],[_ShownFcstFinish]]&gt;=StatusDate,Tasks[[#This Row],[_ShownFcstFinish]]&lt;=LookaheadEnd),Tasks[[#This Row],[_ShownFcstFinish]]+Tasks[[#This Row],[_Row]]/100000,"")</f>
        <v>46324.00012</v>
      </c>
      <c r="GO17" s="95" t="n">
        <f aca="false">IF(Tasks[[#This Row],[_LeafCritical]],Tasks[[#This Row],[_ShownFcstStart]]+Tasks[[#This Row],[_Row]]/100000,"")</f>
        <v>46324.00012</v>
      </c>
      <c r="GP17" s="43" t="n">
        <f aca="false">Tasks[[#This Row],[_LeafWork]]*Tasks[[#This Row],[_LeafProgress]]</f>
        <v>0</v>
      </c>
      <c r="GQ17" s="91" t="str">
        <f aca="false">IF(AND(Tasks[[#This Row],[_IsLeaf]]=1,Tasks[[#This Row],[_LeafProgress]]&gt;=1),IF(N(Tasks[[#This Row],[Actual Finish]])&gt;0,Tasks[[#This Row],[Actual Finish]],Tasks[[#This Row],[_ShownFcstFinish]]),"")</f>
        <v/>
      </c>
      <c r="GR17" s="43" t="n">
        <f aca="false">IF(Tasks[[#This Row],[_IsLeaf]]=1,N(Tasks[[#This Row],[Story Points]]),0)</f>
        <v>0</v>
      </c>
      <c r="GS17" s="43" t="str">
        <f aca="false">""</f>
        <v/>
      </c>
      <c r="GT17" s="90" t="b">
        <f aca="false">IF(Tasks[[#This Row],[Task Name]]="",FALSE(),AND(Tasks[[#This Row],[_IsLeaf]]=1,N(Tasks[[#This Row],[_Days]])=0))</f>
        <v>1</v>
      </c>
      <c r="GU17" s="91" t="n">
        <f aca="false">IF(Tasks[[#This Row],[Task Name]]="",0,IF(AND(Tasks[[#This Row],[_IsLeaf]]=1,NOT(Tasks[[#This Row],[_IsMilestone]]),N(Tasks[[#This Row],[Progress]])&gt;0),Tasks[[#This Row],[Start]],0))</f>
        <v>0</v>
      </c>
      <c r="GV17" s="91" t="n">
        <f aca="false">IF(Tasks[[#This Row],[_DoneFrom]]=0,0,IF(Tasks[[#This Row],[Progress]]&gt;=1,Tasks[[#This Row],[Finish]],MAX(Tasks[[#This Row],[_DoneFrom]],Tasks[[#This Row],[Start]]+ROUND((Tasks[[#This Row],[Finish]]-Tasks[[#This Row],[Start]]+1)*Tasks[[#This Row],[Progress]],0)-1)))</f>
        <v>0</v>
      </c>
      <c r="GW17" s="91" t="n">
        <f aca="false">IF(Tasks[[#This Row],[Task Name]]="",0,IF(OR(NOT(Tasks[[#This Row],[_IsLeaf]]=1),Tasks[[#This Row],[_IsMilestone]],N(Tasks[[#This Row],[Progress]])&gt;=1),0,IF(Tasks[[#This Row],[_DoneTo]]&gt;0,Tasks[[#This Row],[_DoneTo]]+1,Tasks[[#This Row],[Start]])))</f>
        <v>0</v>
      </c>
      <c r="GX17" s="91" t="n">
        <f aca="false">IF(Tasks[[#This Row],[_RemFrom]]=0,0,Tasks[[#This Row],[Finish]])</f>
        <v>0</v>
      </c>
      <c r="GY17" s="90" t="b">
        <f aca="false">IF(Tasks[[#This Row],[Task Name]]="",FALSE(),OR(NOT(BaselineSet),N(Tasks[[#This Row],[Baseline Start]])&gt;0))</f>
        <v>1</v>
      </c>
      <c r="GZ17" s="43" t="n">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1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24</v>
      </c>
      <c r="HB1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 s="92" t="n">
        <f aca="false">IF(Tasks[[#This Row],[_IsLeaf]]=1,Tasks[[#This Row],[_Row]],"")</f>
        <v>12</v>
      </c>
      <c r="HD17" s="92" t="str">
        <f aca="false">IFERROR(INDEX(Tasks[UID],SMALL(Tasks[_PickKey],Tasks[[#This Row],[_Row]]))&amp;" "&amp;INDEX(Tasks[Task Name],SMALL(Tasks[_PickKey],Tasks[[#This Row],[_Row]])),"")</f>
        <v/>
      </c>
      <c r="HE17" s="43" t="n">
        <f aca="false">IF(Tasks[[#This Row],[Task Name]]="","",IF(Tasks[[#This Row],[_IsSummary]],NETWORKDAYS.INTL(Tasks[[#This Row],[Start]],Tasks[[#This Row],[Finish]],WorkWeek,Holidays),N(Tasks[[#This Row],[_Days]])))</f>
        <v>0</v>
      </c>
      <c r="HF17" s="43" t="n">
        <f aca="false">IF(Tasks[[#This Row],[Expected]]="",0,((Tasks[[#This Row],[Pessimistic]]-Tasks[[#This Row],[Optimistic]])/6)^2)</f>
        <v>0</v>
      </c>
      <c r="HG17" s="43" t="n">
        <f aca="false">IF(Tasks[[#This Row],[Expected]]="",0,Tasks[[#This Row],[Expected]]-N(Tasks[[#This Row],[_Days]]))</f>
        <v>0</v>
      </c>
    </row>
    <row r="18" customFormat="false" ht="15" hidden="false" customHeight="false" outlineLevel="0" collapsed="false">
      <c r="A18" s="21" t="str">
        <f aca="false">IF(Tasks[[#This Row],[Task Name]]="","",COUNTA(Tasks[[#Headers],[Task Name]]:Tasks[[#This Row],[Task Name]])-1)</f>
        <v/>
      </c>
      <c r="B18" s="22" t="n">
        <v>26</v>
      </c>
      <c r="C18" s="22"/>
      <c r="D18" s="23"/>
      <c r="E18" s="22"/>
      <c r="F18" s="23"/>
      <c r="G18" s="22"/>
      <c r="H18" s="22"/>
      <c r="I18" s="23"/>
      <c r="J18" s="22"/>
      <c r="K18" s="22"/>
      <c r="L18" s="23"/>
      <c r="M18" s="22"/>
      <c r="N18" s="22"/>
      <c r="O18" s="23"/>
      <c r="P18" s="22"/>
      <c r="Q18" s="22"/>
      <c r="R18" s="23"/>
      <c r="S18" s="23"/>
      <c r="T18" s="84"/>
      <c r="U18" s="23"/>
      <c r="V18" s="84"/>
      <c r="W18" s="23"/>
      <c r="X18" s="84"/>
      <c r="Y18" s="23"/>
      <c r="Z18" s="84"/>
      <c r="AA18" s="23"/>
      <c r="AB18" s="23"/>
      <c r="AC18" s="7"/>
      <c r="AD18" s="7"/>
      <c r="AE18" s="63" t="str">
        <f aca="false">IF(Tasks[[#This Row],[Task Name]]="","",IF(Tasks[[#This Row],[_IsSummary]],MIN(INDEX(Tasks[_ShownFcstStart],Tasks[[#This Row],[_Row]]+1):INDEX(Tasks[_ShownFcstStart],Tasks[[#This Row],[_Row]]+Tasks[[#This Row],[_Descendants]])),Tasks[[#This Row],[_ShownFcstStart]]))</f>
        <v/>
      </c>
      <c r="AF18" s="63" t="str">
        <f aca="false">IF(Tasks[[#This Row],[Task Name]]="","",IF(Tasks[[#This Row],[_IsSummary]],MAX(INDEX(Tasks[_ShownFcstFinish],Tasks[[#This Row],[_Row]]+1):INDEX(Tasks[_ShownFcstFinish],Tasks[[#This Row],[_Row]]+Tasks[[#This Row],[_Descendants]])),Tasks[[#This Row],[_ShownFcstFinish]]))</f>
        <v/>
      </c>
      <c r="AG18" s="21" t="str">
        <f aca="false">""</f>
        <v/>
      </c>
      <c r="AH18" s="23"/>
      <c r="AI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 s="7"/>
      <c r="AK18" s="22"/>
      <c r="AL18" s="23"/>
      <c r="AM18" s="7"/>
      <c r="AN18" s="47" t="str">
        <f aca="false">IF(Tasks[[#This Row],[Task Name]]="","",IF(Tasks[[#This Row],[Finish]]&gt;=Tasks[[#This Row],[Planned Finish]],NETWORKDAYS.INTL(Tasks[[#This Row],[Planned Finish]],Tasks[[#This Row],[Finish]],WorkWeek,Holidays)-1,1-NETWORKDAYS.INTL(Tasks[[#This Row],[Finish]],Tasks[[#This Row],[Planned Finish]],WorkWeek,Holidays)))</f>
        <v/>
      </c>
      <c r="AO18" s="21" t="str">
        <f aca="false">IF(Tasks[[#This Row],[Task Name]]="","",IF(Tasks[[#This Row],[Progress]]&gt;=1,"Complete",IF(OR(N(Tasks[[#This Row],[Actual Start]])&gt;0,Tasks[[#This Row],[Progress]]&gt;0),IF(Tasks[[#This Row],[Finish Var]]&gt;0,"Behind","In Progress"),IF(Tasks[[#This Row],[Planned Start]]&lt;StatusDate,"Late Start","Not Started"))))</f>
        <v/>
      </c>
      <c r="AP18" s="21" t="str">
        <f aca="false">IF(Tasks[[#This Row],[Task Name]]="","",IF(IF(Tasks[[#This Row],[_IsSummary]],COUNTIF(INDEX(Tasks[_LeafCritical],Tasks[[#This Row],[_Row]]+1):INDEX(Tasks[_LeafCritical],Tasks[[#This Row],[_Row]]+Tasks[[#This Row],[_Descendants]]),TRUE())&gt;0,Tasks[[#This Row],[_LeafCritical]]),"Yes",""))</f>
        <v/>
      </c>
      <c r="AQ18" s="63" t="str">
        <f aca="false">IF(Tasks[[#This Row],[Task Name]]="","",IF(N(Tasks[[#This Row],[Baseline Start]])&gt;0,Tasks[[#This Row],[Baseline Start]],Tasks[[#This Row],[_CalcStart]]))</f>
        <v/>
      </c>
      <c r="AR18" s="63" t="str">
        <f aca="false">IF(Tasks[[#This Row],[Task Name]]="","",IF(N(Tasks[[#This Row],[Baseline Finish]])&gt;0,Tasks[[#This Row],[Baseline Finish]],Tasks[[#This Row],[_CalcFinish]]))</f>
        <v/>
      </c>
      <c r="AS18" s="47" t="str">
        <f aca="false">IF(Tasks[[#This Row],[Task Name]]="","",IF(Tasks[[#This Row],[Start]]&gt;=Tasks[[#This Row],[Planned Start]],NETWORKDAYS.INTL(Tasks[[#This Row],[Planned Start]],Tasks[[#This Row],[Start]],WorkWeek,Holidays)-1,1-NETWORKDAYS.INTL(Tasks[[#This Row],[Start]],Tasks[[#This Row],[Planned Start]],WorkWeek,Holidays)))</f>
        <v/>
      </c>
      <c r="AT18" s="63" t="str">
        <f aca="false">IF(Tasks[[#This Row],[Task Name]]="","",IF(Tasks[[#This Row],[_IsSummary]],MIN(INDEX(Tasks[_LeafLateStart],Tasks[[#This Row],[_Row]]+1):INDEX(Tasks[_LeafLateStart],Tasks[[#This Row],[_Row]]+Tasks[[#This Row],[_Descendants]])),Tasks[[#This Row],[_LeafLateStart]]))</f>
        <v/>
      </c>
      <c r="AU18" s="63" t="str">
        <f aca="false">IF(Tasks[[#This Row],[Task Name]]="","",IF(Tasks[[#This Row],[_IsSummary]],MAX(INDEX(Tasks[_LeafLateFinish],Tasks[[#This Row],[_Row]]+1):INDEX(Tasks[_LeafLateFinish],Tasks[[#This Row],[_Row]]+Tasks[[#This Row],[_Descendants]])),Tasks[[#This Row],[_LeafLateFinish]]))</f>
        <v/>
      </c>
      <c r="AV18" s="47" t="str">
        <f aca="false">IF(Tasks[[#This Row],[Task Name]]="","",IF(Tasks[[#This Row],[_IsSummary]],MIN(INDEX(Tasks[_LeafTotalSlack],Tasks[[#This Row],[_Row]]+1):INDEX(Tasks[_LeafTotalSlack],Tasks[[#This Row],[_Row]]+Tasks[[#This Row],[_Descendants]])),Tasks[[#This Row],[_LeafTotalSlack]]))</f>
        <v/>
      </c>
      <c r="AW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5"/>
      <c r="BA1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t="str">
        <f aca="false">IF(Tasks[[#This Row],[Task Name]]="","",IF(Tasks[[#This Row],[_Level]]&lt;=OutlineShowLevel,"Yes","No"))</f>
        <v/>
      </c>
      <c r="BE18" s="86" t="str">
        <f aca="false">IF(Tasks[[#This Row],[Task Name]]="","",IF(Tasks[[#This Row],[_IsSummary]],SUM(INDEX(Tasks[_LeafTotalWork],Tasks[[#This Row],[_Row]]+1):INDEX(Tasks[_LeafTotalWork],Tasks[[#This Row],[_Row]]+Tasks[[#This Row],[_Descendants]])),Tasks[[#This Row],[_LeafTotalWork]]))</f>
        <v/>
      </c>
      <c r="BF18" s="23"/>
      <c r="BG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t="str">
        <f aca="false">""</f>
        <v/>
      </c>
      <c r="BI18" s="87"/>
      <c r="BJ18" s="22"/>
      <c r="BK18" s="47" t="str">
        <f aca="false">IF(OR(Tasks[[#This Row],[Task Name]]="",Tasks[[#This Row],[Baseline Duration]]=""),"",Tasks[[#This Row],[_SpanDays]]-N(Tasks[[#This Row],[Baseline Duration]]))</f>
        <v/>
      </c>
      <c r="BL18" s="86" t="str">
        <f aca="false">IF(OR(Tasks[[#This Row],[Task Name]]="",Tasks[[#This Row],[Baseline Work]]=""),"",Tasks[[#This Row],[Work]]-N(Tasks[[#This Row],[Baseline Work]]))</f>
        <v/>
      </c>
      <c r="BM18" s="63" t="str">
        <f aca="false">IF(Tasks[[#This Row],[Task Name]]="","",IF(OR(TakeBaseline="Yes",N(Tasks[[#This Row],[Baseline Start]])=0),Tasks[[#This Row],[Start]],Tasks[[#This Row],[Baseline Start]]))</f>
        <v/>
      </c>
      <c r="BN18" s="63" t="str">
        <f aca="false">IF(Tasks[[#This Row],[Task Name]]="","",IF(OR(TakeBaseline="Yes",N(Tasks[[#This Row],[Baseline Finish]])=0),Tasks[[#This Row],[Finish]],Tasks[[#This Row],[Baseline Finish]]))</f>
        <v/>
      </c>
      <c r="BO18" s="21" t="str">
        <f aca="false">IF(Tasks[[#This Row],[Task Name]]="","",IF(OR(TakeBaseline="Yes",N(Tasks[[#This Row],[Baseline Duration]])=0),Tasks[[#This Row],[_SpanDays]],Tasks[[#This Row],[Baseline Duration]]))</f>
        <v/>
      </c>
      <c r="BP18" s="86" t="str">
        <f aca="false">IF(Tasks[[#This Row],[Task Name]]="","",IF(OR(TakeBaseline="Yes",N(Tasks[[#This Row],[Baseline Work]])=0),Tasks[[#This Row],[Work]],Tasks[[#This Row],[Baseline Work]]))</f>
        <v/>
      </c>
      <c r="BQ18" s="7"/>
      <c r="BR18" s="7"/>
      <c r="BS18" s="22"/>
      <c r="BT18" s="88"/>
      <c r="BU18" s="23"/>
      <c r="BV18" s="23"/>
      <c r="BW18" s="23"/>
      <c r="BX18" s="89" t="str">
        <f aca="false">IF(AND(Tasks[[#This Row],[_IsLeaf]]=1,ISNUMBER(Tasks[[#This Row],[Optimistic]]),ISNUMBER(Tasks[[#This Row],[Pessimistic]])),ROUND((Tasks[[#This Row],[Optimistic]]+4*N(Tasks[[#This Row],[_Days]])+Tasks[[#This Row],[Pessimistic]])/6,1),"")</f>
        <v/>
      </c>
      <c r="BY18" s="87"/>
      <c r="BZ18" s="87"/>
      <c r="CA18" s="22"/>
      <c r="CB18" s="43" t="str">
        <f aca="false">IF(Tasks[[#This Row],[Task Name]]="","",MAX(1,N(Tasks[[#This Row],[Level]])))</f>
        <v/>
      </c>
      <c r="CC18" s="43" t="n">
        <f aca="false">ROW()-ROW(Tasks[[#Headers],[ID]])</f>
        <v>13</v>
      </c>
      <c r="CD18" s="43" t="n">
        <f aca="false">IF(OR(Tasks[[#This Row],[Task Name]]="",Tasks[[#This Row],[_Level]]&lt;=1),0,IFERROR(LOOKUP(2,1/(Tasks[[#Headers],[_Level]]:Tasks[[#This Row],[_Level]]=Tasks[[#This Row],[_Level]]-1),ROW(Tasks[[#Headers],[_Level]]:Tasks[[#This Row],[_Level]])),0))</f>
        <v>0</v>
      </c>
      <c r="CE18" s="43" t="n">
        <f aca="false">IFERROR(N(INDEX(Tasks[_Level],Tasks[[#This Row],[_Row]]+1)),0)</f>
        <v>0</v>
      </c>
      <c r="CF18" s="90" t="b">
        <f aca="false">AND(Tasks[[#This Row],[Task Name]]&lt;&gt;"",Tasks[[#This Row],[_NextLevel]]&gt;Tasks[[#This Row],[_Level]])</f>
        <v>0</v>
      </c>
      <c r="CG18" s="43" t="n">
        <f aca="false">IF(Tasks[[#This Row],[_IsSummary]],COUNTIF(Tasks[WBS],Tasks[[#This Row],[WBS]]&amp;".*"),0)</f>
        <v>0</v>
      </c>
      <c r="CH18" s="43" t="n">
        <f aca="false">IF(AND(Tasks[[#This Row],[Task Name]]&lt;&gt;"",NOT(Tasks[[#This Row],[_IsSummary]])),1,0)</f>
        <v>0</v>
      </c>
      <c r="CI18" s="43" t="n">
        <f aca="false">IF(N(Tasks[[#This Row],[_Pred1UID]])=0,0,IFERROR(MATCH(Tasks[[#This Row],[_Pred1UID]],Tasks[UID],0),-1))</f>
        <v>0</v>
      </c>
      <c r="CJ18" s="43" t="n">
        <f aca="false">IF(N(Tasks[[#This Row],[_Pred2UID]])=0,0,IFERROR(MATCH(Tasks[[#This Row],[_Pred2UID]],Tasks[UID],0),-1))</f>
        <v>0</v>
      </c>
      <c r="CK18" s="43" t="n">
        <f aca="false">IF(N(Tasks[[#This Row],[_Pred3UID]])=0,0,IFERROR(MATCH(Tasks[[#This Row],[_Pred3UID]],Tasks[UID],0),-1))</f>
        <v>0</v>
      </c>
      <c r="CL18" s="43" t="n">
        <f aca="false">IF(N(Tasks[[#This Row],[_Pred4UID]])=0,0,IFERROR(MATCH(Tasks[[#This Row],[_Pred4UID]],Tasks[UID],0),-1))</f>
        <v>0</v>
      </c>
      <c r="CM1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 s="91" t="n">
        <f aca="false">IF(OR(Tasks[[#This Row],[_ConstraintCode]]=2,Tasks[[#This Row],[_ConstraintCode]]=3,Tasks[[#This Row],[_ConstraintCode]]=4,Tasks[[#This Row],[_ConstraintCode]]=6),Tasks[[#This Row],[_ConstraintStart]],0)</f>
        <v>0</v>
      </c>
      <c r="CP18" s="91" t="n">
        <f aca="false">IF(OR(Tasks[[#This Row],[_ConstraintCode]]=2,Tasks[[#This Row],[_ConstraintCode]]=3,Tasks[[#This Row],[_ConstraintCode]]=5,Tasks[[#This Row],[_ConstraintCode]]=7),Tasks[[#This Row],[_ConstraintStart]],2958465)</f>
        <v>2958465</v>
      </c>
      <c r="CQ1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 s="91" t="str">
        <f aca="false">IF(NOT(Tasks[[#This Row],[_IsLeaf]]=1),"",IF(N(Tasks[[#This Row],[_Days]])&lt;=0,Tasks[[#This Row],[_LeafCalcStart]],WORKDAY.INTL(Tasks[[#This Row],[_LeafCalcStart]],Tasks[[#This Row],[_Days]]-1,WorkWeek,Holidays)))</f>
        <v/>
      </c>
      <c r="CS1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 s="43" t="str">
        <f aca="false">IF(Tasks[[#This Row],[_Predecessors]]="","",TRIM(MID(SUBSTITUTE(SUBSTITUTE(SUBSTITUTE(UPPER(Tasks[[#This Row],[_Predecessors]]),";",",")," ",""),",",REPT(" ",99)),1,99)))</f>
        <v/>
      </c>
      <c r="CV18" s="43" t="str">
        <f aca="false">IF(Tasks[[#This Row],[_Pred1Text]]="","",IFERROR(VALUE(LEFT(Tasks[[#This Row],[_Pred1Text]],MIN(FIND("F",Tasks[[#This Row],[_Pred1Text]]&amp;"F"),FIND("S",Tasks[[#This Row],[_Pred1Text]]&amp;"S"),FIND("+",Tasks[[#This Row],[_Pred1Text]]&amp;"+"),FIND("-",Tasks[[#This Row],[_Pred1Text]]&amp;"-"))-1)),""))</f>
        <v/>
      </c>
      <c r="CW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 s="43" t="str">
        <f aca="false">IF(Tasks[[#This Row],[_Pred1Text]]="","",TRIM(MID(SUBSTITUTE(SUBSTITUTE(SUBSTITUTE(UPPER(Tasks[[#This Row],[_Predecessors]]),";",",")," ",""),",",REPT(" ",99)),100,99)))</f>
        <v/>
      </c>
      <c r="CZ18" s="43" t="str">
        <f aca="false">IF(Tasks[[#This Row],[_Pred2Text]]="","",IFERROR(VALUE(LEFT(Tasks[[#This Row],[_Pred2Text]],MIN(FIND("F",Tasks[[#This Row],[_Pred2Text]]&amp;"F"),FIND("S",Tasks[[#This Row],[_Pred2Text]]&amp;"S"),FIND("+",Tasks[[#This Row],[_Pred2Text]]&amp;"+"),FIND("-",Tasks[[#This Row],[_Pred2Text]]&amp;"-"))-1)),""))</f>
        <v/>
      </c>
      <c r="DA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 s="43" t="str">
        <f aca="false">IF(Tasks[[#This Row],[_Pred2Text]]="","",TRIM(MID(SUBSTITUTE(SUBSTITUTE(SUBSTITUTE(UPPER(Tasks[[#This Row],[_Predecessors]]),";",",")," ",""),",",REPT(" ",99)),199,99)))</f>
        <v/>
      </c>
      <c r="DD18" s="43" t="str">
        <f aca="false">IF(Tasks[[#This Row],[_Pred3Text]]="","",IFERROR(VALUE(LEFT(Tasks[[#This Row],[_Pred3Text]],MIN(FIND("F",Tasks[[#This Row],[_Pred3Text]]&amp;"F"),FIND("S",Tasks[[#This Row],[_Pred3Text]]&amp;"S"),FIND("+",Tasks[[#This Row],[_Pred3Text]]&amp;"+"),FIND("-",Tasks[[#This Row],[_Pred3Text]]&amp;"-"))-1)),""))</f>
        <v/>
      </c>
      <c r="DE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 s="43" t="str">
        <f aca="false">IF(Tasks[[#This Row],[_Pred3Text]]="","",TRIM(MID(SUBSTITUTE(SUBSTITUTE(SUBSTITUTE(UPPER(Tasks[[#This Row],[_Predecessors]]),";",",")," ",""),",",REPT(" ",99)),298,99)))</f>
        <v/>
      </c>
      <c r="DH18" s="43" t="str">
        <f aca="false">IF(Tasks[[#This Row],[_Pred4Text]]="","",IFERROR(VALUE(LEFT(Tasks[[#This Row],[_Pred4Text]],MIN(FIND("F",Tasks[[#This Row],[_Pred4Text]]&amp;"F"),FIND("S",Tasks[[#This Row],[_Pred4Text]]&amp;"S"),FIND("+",Tasks[[#This Row],[_Pred4Text]]&amp;"+"),FIND("-",Tasks[[#This Row],[_Pred4Text]]&amp;"-"))-1)),""))</f>
        <v/>
      </c>
      <c r="DI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 s="43" t="str">
        <f aca="false">IF(OR(Tasks[[#This Row],[Task Name]]="",Tasks[[#This Row],[_Resources]]=""),"",TRIM(MID(SUBSTITUTE(Tasks[[#This Row],[_Resources]],",",REPT(" ",99)),1,99)))</f>
        <v/>
      </c>
      <c r="DL18" s="43" t="str">
        <f aca="false">IF(Tasks[[#This Row],[_Res1Text]]="","",TRIM(MID(SUBSTITUTE(Tasks[[#This Row],[_Resources]],",",REPT(" ",99)),100,99)))</f>
        <v/>
      </c>
      <c r="DM18" s="43" t="str">
        <f aca="false">IF(Tasks[[#This Row],[_Res2Text]]="","",TRIM(MID(SUBSTITUTE(Tasks[[#This Row],[_Resources]],",",REPT(" ",99)),199,99)))</f>
        <v/>
      </c>
      <c r="DN18" s="43" t="str">
        <f aca="false">IF(Tasks[[#This Row],[_Res3Text]]="","",TRIM(MID(SUBSTITUTE(Tasks[[#This Row],[_Resources]],",",REPT(" ",99)),298,99)))</f>
        <v/>
      </c>
      <c r="DO18" s="43" t="n">
        <f aca="false">IF(Tasks[[#This Row],[_Res1Text]]="",0,IFERROR(MATCH(TRIM(LEFT(Tasks[[#This Row],[_Res1Text]],FIND("[",Tasks[[#This Row],[_Res1Text]]&amp;"[")-1)),res_Name,0),IFERROR(MATCH(TRIM(LEFT(Tasks[[#This Row],[_Res1Text]],FIND("[",Tasks[[#This Row],[_Res1Text]]&amp;"[")-1)),res_Initials,0),0)))</f>
        <v>0</v>
      </c>
      <c r="DP18" s="43" t="n">
        <f aca="false">IF(Tasks[[#This Row],[_Res2Text]]="",0,IFERROR(MATCH(TRIM(LEFT(Tasks[[#This Row],[_Res2Text]],FIND("[",Tasks[[#This Row],[_Res2Text]]&amp;"[")-1)),res_Name,0),IFERROR(MATCH(TRIM(LEFT(Tasks[[#This Row],[_Res2Text]],FIND("[",Tasks[[#This Row],[_Res2Text]]&amp;"[")-1)),res_Initials,0),0)))</f>
        <v>0</v>
      </c>
      <c r="DQ18" s="43" t="n">
        <f aca="false">IF(Tasks[[#This Row],[_Res3Text]]="",0,IFERROR(MATCH(TRIM(LEFT(Tasks[[#This Row],[_Res3Text]],FIND("[",Tasks[[#This Row],[_Res3Text]]&amp;"[")-1)),res_Name,0),IFERROR(MATCH(TRIM(LEFT(Tasks[[#This Row],[_Res3Text]],FIND("[",Tasks[[#This Row],[_Res3Text]]&amp;"[")-1)),res_Initials,0),0)))</f>
        <v>0</v>
      </c>
      <c r="DR18" s="43" t="n">
        <f aca="false">IF(Tasks[[#This Row],[_Res4Text]]="",0,IFERROR(MATCH(TRIM(LEFT(Tasks[[#This Row],[_Res4Text]],FIND("[",Tasks[[#This Row],[_Res4Text]]&amp;"[")-1)),res_Name,0),IFERROR(MATCH(TRIM(LEFT(Tasks[[#This Row],[_Res4Text]],FIND("[",Tasks[[#This Row],[_Res4Text]]&amp;"[")-1)),res_Initials,0),0)))</f>
        <v>0</v>
      </c>
      <c r="DS18" s="43" t="str">
        <f aca="false">IF(Tasks[[#This Row],[_Res1Text]]="","",IF(Tasks[[#This Row],[_Res1Row]]&gt;0,INDEX(res_Name,Tasks[[#This Row],[_Res1Row]]),TRIM(LEFT(Tasks[[#This Row],[_Res1Text]],FIND("[",Tasks[[#This Row],[_Res1Text]]&amp;"[")-1))))</f>
        <v/>
      </c>
      <c r="DT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 s="43" t="n">
        <f aca="false">IF(NOT(Tasks[[#This Row],[_IsLeaf]]=1),0,(Tasks[[#This Row],[_Resource1]]&lt;&gt;"")+(Tasks[[#This Row],[_Res2]]&lt;&gt;"")+(Tasks[[#This Row],[_Res3]]&lt;&gt;"")+(Tasks[[#This Row],[_Res4]]&lt;&gt;""))</f>
        <v>0</v>
      </c>
      <c r="DV18" s="43" t="str">
        <f aca="false">IF(Tasks[[#This Row],[_Res2Text]]="","",IF(Tasks[[#This Row],[_Res2Row]]&gt;0,INDEX(res_Name,Tasks[[#This Row],[_Res2Row]]),TRIM(LEFT(Tasks[[#This Row],[_Res2Text]],FIND("[",Tasks[[#This Row],[_Res2Text]]&amp;"[")-1))))</f>
        <v/>
      </c>
      <c r="DW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 s="43" t="n">
        <f aca="false">IF(OR(NOT(Tasks[[#This Row],[_IsLeaf]]=1),Tasks[[#This Row],[_Res2Row]]=0),0,N(Tasks[[#This Row],[_Days]])*HoursPerDay*IF(Tasks[[#This Row],[_Res2Units]]="",DefaultUnits,Tasks[[#This Row],[_Res2Units]]))</f>
        <v>0</v>
      </c>
      <c r="DY18" s="43" t="n">
        <f aca="false">IF(AND(AND(Tasks[[#This Row],[_IsLeaf]]=1,Tasks[[#This Row],[_LeafTotalWork]]&gt;0),Tasks[[#This Row],[_Res2Work]]&gt;0),Tasks[[#This Row],[_Res2Work]]/(Tasks[[#This Row],[_FinishWorkday]]-Tasks[[#This Row],[_StartWorkday]]+1),0)</f>
        <v>0</v>
      </c>
      <c r="DZ18" s="43" t="n">
        <f aca="false">Tasks[[#This Row],[_Res2WorkPerWD]]*MAX(0,Tasks[[#This Row],[_StartWorkday]]-1)</f>
        <v>0</v>
      </c>
      <c r="EA18" s="43" t="n">
        <f aca="false">Tasks[[#This Row],[_Res2Work]]*Tasks[[#This Row],[_LeafProgress]]</f>
        <v>0</v>
      </c>
      <c r="EB18" s="43" t="str">
        <f aca="false">IF(Tasks[[#This Row],[_Res3Text]]="","",IF(Tasks[[#This Row],[_Res3Row]]&gt;0,INDEX(res_Name,Tasks[[#This Row],[_Res3Row]]),TRIM(LEFT(Tasks[[#This Row],[_Res3Text]],FIND("[",Tasks[[#This Row],[_Res3Text]]&amp;"[")-1))))</f>
        <v/>
      </c>
      <c r="EC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 s="43" t="n">
        <f aca="false">IF(OR(NOT(Tasks[[#This Row],[_IsLeaf]]=1),Tasks[[#This Row],[_Res3Row]]=0),0,N(Tasks[[#This Row],[_Days]])*HoursPerDay*IF(Tasks[[#This Row],[_Res3Units]]="",DefaultUnits,Tasks[[#This Row],[_Res3Units]]))</f>
        <v>0</v>
      </c>
      <c r="EE18" s="43" t="n">
        <f aca="false">IF(AND(AND(Tasks[[#This Row],[_IsLeaf]]=1,Tasks[[#This Row],[_LeafTotalWork]]&gt;0),Tasks[[#This Row],[_Res3Work]]&gt;0),Tasks[[#This Row],[_Res3Work]]/(Tasks[[#This Row],[_FinishWorkday]]-Tasks[[#This Row],[_StartWorkday]]+1),0)</f>
        <v>0</v>
      </c>
      <c r="EF18" s="43" t="n">
        <f aca="false">Tasks[[#This Row],[_Res3WorkPerWD]]*MAX(0,Tasks[[#This Row],[_StartWorkday]]-1)</f>
        <v>0</v>
      </c>
      <c r="EG18" s="43" t="n">
        <f aca="false">Tasks[[#This Row],[_Res3Work]]*Tasks[[#This Row],[_LeafProgress]]</f>
        <v>0</v>
      </c>
      <c r="EH18" s="43" t="str">
        <f aca="false">IF(Tasks[[#This Row],[_Res4Text]]="","",IF(Tasks[[#This Row],[_Res4Row]]&gt;0,INDEX(res_Name,Tasks[[#This Row],[_Res4Row]]),TRIM(LEFT(Tasks[[#This Row],[_Res4Text]],FIND("[",Tasks[[#This Row],[_Res4Text]]&amp;"[")-1))))</f>
        <v/>
      </c>
      <c r="EI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 s="43" t="n">
        <f aca="false">IF(OR(NOT(Tasks[[#This Row],[_IsLeaf]]=1),Tasks[[#This Row],[_Res4Row]]=0),0,N(Tasks[[#This Row],[_Days]])*HoursPerDay*IF(Tasks[[#This Row],[_Res4Units]]="",DefaultUnits,Tasks[[#This Row],[_Res4Units]]))</f>
        <v>0</v>
      </c>
      <c r="EK18" s="43" t="n">
        <f aca="false">IF(AND(AND(Tasks[[#This Row],[_IsLeaf]]=1,Tasks[[#This Row],[_LeafTotalWork]]&gt;0),Tasks[[#This Row],[_Res4Work]]&gt;0),Tasks[[#This Row],[_Res4Work]]/(Tasks[[#This Row],[_FinishWorkday]]-Tasks[[#This Row],[_StartWorkday]]+1),0)</f>
        <v>0</v>
      </c>
      <c r="EL18" s="43" t="n">
        <f aca="false">Tasks[[#This Row],[_Res4WorkPerWD]]*MAX(0,Tasks[[#This Row],[_StartWorkday]]-1)</f>
        <v>0</v>
      </c>
      <c r="EM18" s="43" t="n">
        <f aca="false">Tasks[[#This Row],[_Res4Work]]*Tasks[[#This Row],[_LeafProgress]]</f>
        <v>0</v>
      </c>
      <c r="EN18" s="43" t="n">
        <f aca="false">IF(ISNUMBER(Tasks[[#This Row],[% Complete]]),Tasks[[#This Row],[% Complete]],IF(Tasks[[#This Row],[Stage]]="",0,IFERROR(INDEX(stg_Pct,MATCH(Tasks[[#This Row],[Stage]],stg_Name,0)),0)))</f>
        <v>0</v>
      </c>
      <c r="EO18" s="43" t="n">
        <f aca="false">IF(NOT(Tasks[[#This Row],[_IsLeaf]]=1),0,IF(N(Tasks[[#This Row],[Actual Finish]])&gt;0,1,MIN(1,Tasks[[#This Row],[_Pct]])))</f>
        <v>0</v>
      </c>
      <c r="EP18" s="43" t="n">
        <f aca="false">IF(OR(NOT(Tasks[[#This Row],[_IsLeaf]]=1),Tasks[[#This Row],[_Res1Row]]=0),0,N(Tasks[[#This Row],[_Days]])*HoursPerDay*IF(Tasks[[#This Row],[_Units1]]="",DefaultUnits,Tasks[[#This Row],[_Units1]]))</f>
        <v>0</v>
      </c>
      <c r="EQ18" s="43" t="n">
        <f aca="false">Tasks[[#This Row],[_LeafWork]]+Tasks[[#This Row],[_Res2Work]]+Tasks[[#This Row],[_Res3Work]]+Tasks[[#This Row],[_Res4Work]]</f>
        <v>0</v>
      </c>
      <c r="ER1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 s="43" t="n">
        <f aca="false">IF(NOT(Tasks[[#This Row],[_IsLeaf]]=1),0,MAX(_xlfn.MAXIFS(Tasks[_Row],Tasks[_Pred1UID],Tasks[[#This Row],[UID]]),_xlfn.MAXIFS(Tasks[_Row],Tasks[_Pred2UID],Tasks[[#This Row],[UID]]),_xlfn.MAXIFS(Tasks[_Row],Tasks[_Pred3UID],Tasks[[#This Row],[UID]]),_xlfn.MAXIFS(Tasks[_Row],Tasks[_Pred4UID],Tasks[[#This Row],[UID]])))</f>
        <v>0</v>
      </c>
      <c r="FA1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 s="91" t="str">
        <f aca="false">IF(NOT(Tasks[[#This Row],[_IsLeaf]]=1),"",IF(N(Tasks[[#This Row],[_Days]])&lt;=0,Tasks[[#This Row],[_LeafLateFinish]],WORKDAY.INTL(Tasks[[#This Row],[_LeafLateFinish]],-(Tasks[[#This Row],[_Days]]-1),WorkWeek,Holidays)))</f>
        <v/>
      </c>
      <c r="FD1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 s="90" t="b">
        <f aca="false">AND(Tasks[[#This Row],[_IsLeaf]]=1,Tasks[[#This Row],[_LeafProgress]]&lt;1,N(Tasks[[#This Row],[_LeafTotalSlack]])&lt;=CriticalSlackDays)</f>
        <v>0</v>
      </c>
      <c r="FF18" s="43" t="n">
        <f aca="false">IF(AND(Tasks[[#This Row],[_IsLeaf]]=1,Tasks[[#This Row],[_ConstraintCode]]=1,Tasks[[#This Row],[Mode]]&lt;&gt;"Manual",N(Tasks[[#This Row],[Actual Start]])=0),MAX(0,N(Tasks[[#This Row],[Free Slack]])),0)</f>
        <v>0</v>
      </c>
      <c r="FG18" s="91" t="str">
        <f aca="false">IF(NOT(Tasks[[#This Row],[_IsLeaf]]=1),"",IF(Tasks[[#This Row],[_AlapShift]]=0,Tasks[[#This Row],[_LeafCalcStart]],WORKDAY.INTL(Tasks[[#This Row],[_LeafCalcStart]],Tasks[[#This Row],[_AlapShift]],WorkWeek,Holidays)))</f>
        <v/>
      </c>
      <c r="FH18" s="91" t="str">
        <f aca="false">IF(NOT(Tasks[[#This Row],[_IsLeaf]]=1),"",IF(Tasks[[#This Row],[_AlapShift]]=0,Tasks[[#This Row],[_LeafCalcFinish]],WORKDAY.INTL(Tasks[[#This Row],[_LeafCalcFinish]],Tasks[[#This Row],[_AlapShift]],WorkWeek,Holidays)))</f>
        <v/>
      </c>
      <c r="FI18" s="91" t="str">
        <f aca="false">IF(NOT(Tasks[[#This Row],[_IsLeaf]]=1),"",IF(Tasks[[#This Row],[_AlapShift]]=0,Tasks[[#This Row],[_LeafFcstStart]],WORKDAY.INTL(Tasks[[#This Row],[_LeafFcstStart]],Tasks[[#This Row],[_AlapShift]],WorkWeek,Holidays)))</f>
        <v/>
      </c>
      <c r="FJ18" s="91" t="str">
        <f aca="false">IF(NOT(Tasks[[#This Row],[_IsLeaf]]=1),"",IF(Tasks[[#This Row],[_AlapShift]]=0,Tasks[[#This Row],[_LeafFcstFinish]],WORKDAY.INTL(Tasks[[#This Row],[_LeafFcstFinish]],Tasks[[#This Row],[_AlapShift]],WorkWeek,Holidays)))</f>
        <v/>
      </c>
      <c r="FK18" s="91" t="str">
        <f aca="false">IF(Tasks[[#This Row],[Task Name]]="","",IF(Tasks[[#This Row],[_IsSummary]],MIN(INDEX(Tasks[_ShownCalcStart],Tasks[[#This Row],[_Row]]+1):INDEX(Tasks[_ShownCalcStart],Tasks[[#This Row],[_Row]]+Tasks[[#This Row],[_Descendants]])),Tasks[[#This Row],[_ShownCalcStart]]))</f>
        <v/>
      </c>
      <c r="FL18" s="91" t="str">
        <f aca="false">IF(Tasks[[#This Row],[Task Name]]="","",IF(Tasks[[#This Row],[_IsSummary]],MAX(INDEX(Tasks[_ShownCalcFinish],Tasks[[#This Row],[_Row]]+1):INDEX(Tasks[_ShownCalcFinish],Tasks[[#This Row],[_Row]]+Tasks[[#This Row],[_Descendants]])),Tasks[[#This Row],[_ShownCalcFinish]]))</f>
        <v/>
      </c>
      <c r="FM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 s="43" t="n">
        <f aca="false">IF(AND(Tasks[[#This Row],[_IsLeaf]]=1,Tasks[[#This Row],[_LeafTotalWork]]&gt;0),NETWORKDAYS.INTL(ProjectStart,Tasks[[#This Row],[_ShownFcstStart]],WorkWeek,Holidays),0)</f>
        <v>0</v>
      </c>
      <c r="FZ18" s="43" t="n">
        <f aca="false">IF(AND(Tasks[[#This Row],[_IsLeaf]]=1,Tasks[[#This Row],[_LeafTotalWork]]&gt;0),MAX(Tasks[[#This Row],[_StartWorkday]],NETWORKDAYS.INTL(ProjectStart,Tasks[[#This Row],[_ShownFcstFinish]],WorkWeek,Holidays)),0)</f>
        <v>0</v>
      </c>
      <c r="GA18" s="43" t="n">
        <f aca="false">IF(AND(Tasks[[#This Row],[_IsLeaf]]=1,Tasks[[#This Row],[_LeafTotalWork]]&gt;0),Tasks[[#This Row],[_LeafWork]]/(Tasks[[#This Row],[_FinishWorkday]]-Tasks[[#This Row],[_StartWorkday]]+1),0)</f>
        <v>0</v>
      </c>
      <c r="GB18" s="43" t="n">
        <f aca="false">Tasks[[#This Row],[_WorkPerWorkday]]*(Tasks[[#This Row],[_StartWorkday]]-1)</f>
        <v>-0</v>
      </c>
      <c r="GC18" s="43" t="n">
        <f aca="false">IF(Tasks[[#This Row],[_IsLeaf]]=1,MAX(N(Tasks[[#This Row],[_Days]]),0.1),0)</f>
        <v>0</v>
      </c>
      <c r="GD18" s="43" t="n">
        <f aca="false">Tasks[[#This Row],[_WeightDur]]*Tasks[[#This Row],[_LeafProgress]]</f>
        <v>0</v>
      </c>
      <c r="GE18" s="43" t="n">
        <f aca="false">Tasks[[#This Row],[_WeightDur]]*Tasks[[#This Row],[_PlannedPct]]</f>
        <v>0</v>
      </c>
      <c r="GF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 s="43" t="str">
        <f aca="false">IF(AND(Tasks[[#This Row],[_IsLeaf]]=1,N(Tasks[[#This Row],[_Days]])=0,Tasks[[#This Row],[_LeafProgress]]&lt;1),Tasks[[#This Row],[_ShownFcstFinish]]+Tasks[[#This Row],[_Row]]/100000,"")</f>
        <v/>
      </c>
      <c r="GH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 s="43" t="str">
        <f aca="false">IF(Tasks[[#This Row],[Task Name]]="","",LEFT(Tasks[[#This Row],[WBS]],FIND(".",Tasks[[#This Row],[WBS]]&amp;".")-1))</f>
        <v/>
      </c>
      <c r="GJ18" s="43" t="str">
        <f aca="false">IF(AND(Tasks[[#This Row],[Task Name]]&lt;&gt;"",Tasks[[#This Row],[_Level]]=1),Tasks[[#This Row],[_Row]],"")</f>
        <v/>
      </c>
      <c r="GK18" s="43" t="str">
        <f aca="false">IF(AND(Tasks[[#This Row],[_IsLeaf]]=1,N(Tasks[[#This Row],[_Days]])=0),Tasks[[#This Row],[Planned Finish]]+Tasks[[#This Row],[_Row]]/100000,"")</f>
        <v/>
      </c>
      <c r="GL18" s="43" t="str">
        <f aca="false">IF(AND(Tasks[[#This Row],[_IsLeaf]]=1,Tasks[[#This Row],[_LeafProgress]]&lt;1,OR(N(Tasks[[#This Row],[Finish Var]])&gt;0,Tasks[[#This Row],[Status]]="Late Start")),MAX(0,Tasks[[#This Row],[Finish Var]])+1-Tasks[[#This Row],[_Row]]/1000000,"")</f>
        <v/>
      </c>
      <c r="GM18" s="43" t="str">
        <f aca="false">IF(AND(Tasks[[#This Row],[_IsLeaf]]=1,N(Tasks[[#This Row],[Actual Start]])=0,Tasks[[#This Row],[_ShownFcstStart]]&gt;=StatusDate,Tasks[[#This Row],[_ShownFcstStart]]&lt;=LookaheadEnd),Tasks[[#This Row],[_ShownFcstStart]]+Tasks[[#This Row],[_Row]]/100000,"")</f>
        <v/>
      </c>
      <c r="GN18" s="43" t="str">
        <f aca="false">IF(AND(Tasks[[#This Row],[_IsLeaf]]=1,Tasks[[#This Row],[_LeafProgress]]&lt;1,Tasks[[#This Row],[_ShownFcstFinish]]&gt;=StatusDate,Tasks[[#This Row],[_ShownFcstFinish]]&lt;=LookaheadEnd),Tasks[[#This Row],[_ShownFcstFinish]]+Tasks[[#This Row],[_Row]]/100000,"")</f>
        <v/>
      </c>
      <c r="GO18" s="43" t="str">
        <f aca="false">IF(Tasks[[#This Row],[_LeafCritical]],Tasks[[#This Row],[_ShownFcstStart]]+Tasks[[#This Row],[_Row]]/100000,"")</f>
        <v/>
      </c>
      <c r="GP18" s="43" t="n">
        <f aca="false">Tasks[[#This Row],[_LeafWork]]*Tasks[[#This Row],[_LeafProgress]]</f>
        <v>0</v>
      </c>
      <c r="GQ18" s="91" t="str">
        <f aca="false">IF(AND(Tasks[[#This Row],[_IsLeaf]]=1,Tasks[[#This Row],[_LeafProgress]]&gt;=1),IF(N(Tasks[[#This Row],[Actual Finish]])&gt;0,Tasks[[#This Row],[Actual Finish]],Tasks[[#This Row],[_ShownFcstFinish]]),"")</f>
        <v/>
      </c>
      <c r="GR18" s="43" t="n">
        <f aca="false">IF(Tasks[[#This Row],[_IsLeaf]]=1,N(Tasks[[#This Row],[Story Points]]),0)</f>
        <v>0</v>
      </c>
      <c r="GS18" s="43" t="str">
        <f aca="false">""</f>
        <v/>
      </c>
      <c r="GT18" s="90" t="b">
        <f aca="false">IF(Tasks[[#This Row],[Task Name]]="",FALSE(),AND(Tasks[[#This Row],[_IsLeaf]]=1,N(Tasks[[#This Row],[_Days]])=0))</f>
        <v>0</v>
      </c>
      <c r="GU18" s="91" t="n">
        <f aca="false">IF(Tasks[[#This Row],[Task Name]]="",0,IF(AND(Tasks[[#This Row],[_IsLeaf]]=1,NOT(Tasks[[#This Row],[_IsMilestone]]),N(Tasks[[#This Row],[Progress]])&gt;0),Tasks[[#This Row],[Start]],0))</f>
        <v>0</v>
      </c>
      <c r="GV18" s="91" t="n">
        <f aca="false">IF(Tasks[[#This Row],[_DoneFrom]]=0,0,IF(Tasks[[#This Row],[Progress]]&gt;=1,Tasks[[#This Row],[Finish]],MAX(Tasks[[#This Row],[_DoneFrom]],Tasks[[#This Row],[Start]]+ROUND((Tasks[[#This Row],[Finish]]-Tasks[[#This Row],[Start]]+1)*Tasks[[#This Row],[Progress]],0)-1)))</f>
        <v>0</v>
      </c>
      <c r="GW18" s="91" t="n">
        <f aca="false">IF(Tasks[[#This Row],[Task Name]]="",0,IF(OR(NOT(Tasks[[#This Row],[_IsLeaf]]=1),Tasks[[#This Row],[_IsMilestone]],N(Tasks[[#This Row],[Progress]])&gt;=1),0,IF(Tasks[[#This Row],[_DoneTo]]&gt;0,Tasks[[#This Row],[_DoneTo]]+1,Tasks[[#This Row],[Start]])))</f>
        <v>0</v>
      </c>
      <c r="GX18" s="91" t="n">
        <f aca="false">IF(Tasks[[#This Row],[_RemFrom]]=0,0,Tasks[[#This Row],[Finish]])</f>
        <v>0</v>
      </c>
      <c r="GY18" s="90" t="b">
        <f aca="false">IF(Tasks[[#This Row],[Task Name]]="",FALSE(),OR(NOT(BaselineSet),N(Tasks[[#This Row],[Baseline Start]])&gt;0))</f>
        <v>0</v>
      </c>
      <c r="GZ1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 s="92" t="str">
        <f aca="false">IF(Tasks[[#This Row],[_IsLeaf]]=1,Tasks[[#This Row],[_Row]],"")</f>
        <v/>
      </c>
      <c r="HD18" s="92" t="str">
        <f aca="false">IFERROR(INDEX(Tasks[UID],SMALL(Tasks[_PickKey],Tasks[[#This Row],[_Row]]))&amp;" "&amp;INDEX(Tasks[Task Name],SMALL(Tasks[_PickKey],Tasks[[#This Row],[_Row]])),"")</f>
        <v/>
      </c>
      <c r="HE18" s="43" t="str">
        <f aca="false">IF(Tasks[[#This Row],[Task Name]]="","",IF(Tasks[[#This Row],[_IsSummary]],NETWORKDAYS.INTL(Tasks[[#This Row],[Start]],Tasks[[#This Row],[Finish]],WorkWeek,Holidays),N(Tasks[[#This Row],[_Days]])))</f>
        <v/>
      </c>
      <c r="HF18" s="43" t="n">
        <f aca="false">IF(Tasks[[#This Row],[Expected]]="",0,((Tasks[[#This Row],[Pessimistic]]-Tasks[[#This Row],[Optimistic]])/6)^2)</f>
        <v>0</v>
      </c>
      <c r="HG18" s="43" t="n">
        <f aca="false">IF(Tasks[[#This Row],[Expected]]="",0,Tasks[[#This Row],[Expected]]-N(Tasks[[#This Row],[_Days]]))</f>
        <v>0</v>
      </c>
    </row>
    <row r="19" customFormat="false" ht="15" hidden="false" customHeight="false" outlineLevel="0" collapsed="false">
      <c r="A19" s="21" t="str">
        <f aca="false">IF(Tasks[[#This Row],[Task Name]]="","",COUNTA(Tasks[[#Headers],[Task Name]]:Tasks[[#This Row],[Task Name]])-1)</f>
        <v/>
      </c>
      <c r="B19" s="22" t="n">
        <v>27</v>
      </c>
      <c r="C19" s="22"/>
      <c r="D19" s="23"/>
      <c r="E19" s="22"/>
      <c r="F19" s="23"/>
      <c r="G19" s="22"/>
      <c r="H19" s="22"/>
      <c r="I19" s="23"/>
      <c r="J19" s="22"/>
      <c r="K19" s="22"/>
      <c r="L19" s="23"/>
      <c r="M19" s="22"/>
      <c r="N19" s="22"/>
      <c r="O19" s="23"/>
      <c r="P19" s="22"/>
      <c r="Q19" s="22"/>
      <c r="R19" s="23"/>
      <c r="S19" s="23"/>
      <c r="T19" s="84"/>
      <c r="U19" s="23"/>
      <c r="V19" s="84"/>
      <c r="W19" s="23"/>
      <c r="X19" s="84"/>
      <c r="Y19" s="23"/>
      <c r="Z19" s="84"/>
      <c r="AA19" s="23"/>
      <c r="AB19" s="23"/>
      <c r="AC19" s="7"/>
      <c r="AD19" s="7"/>
      <c r="AE19" s="63" t="str">
        <f aca="false">IF(Tasks[[#This Row],[Task Name]]="","",IF(Tasks[[#This Row],[_IsSummary]],MIN(INDEX(Tasks[_ShownFcstStart],Tasks[[#This Row],[_Row]]+1):INDEX(Tasks[_ShownFcstStart],Tasks[[#This Row],[_Row]]+Tasks[[#This Row],[_Descendants]])),Tasks[[#This Row],[_ShownFcstStart]]))</f>
        <v/>
      </c>
      <c r="AF19" s="63" t="str">
        <f aca="false">IF(Tasks[[#This Row],[Task Name]]="","",IF(Tasks[[#This Row],[_IsSummary]],MAX(INDEX(Tasks[_ShownFcstFinish],Tasks[[#This Row],[_Row]]+1):INDEX(Tasks[_ShownFcstFinish],Tasks[[#This Row],[_Row]]+Tasks[[#This Row],[_Descendants]])),Tasks[[#This Row],[_ShownFcstFinish]]))</f>
        <v/>
      </c>
      <c r="AG19" s="21" t="str">
        <f aca="false">""</f>
        <v/>
      </c>
      <c r="AH19" s="23"/>
      <c r="AI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 s="7"/>
      <c r="AK19" s="22"/>
      <c r="AL19" s="23"/>
      <c r="AM19" s="7"/>
      <c r="AN19" s="47" t="str">
        <f aca="false">IF(Tasks[[#This Row],[Task Name]]="","",IF(Tasks[[#This Row],[Finish]]&gt;=Tasks[[#This Row],[Planned Finish]],NETWORKDAYS.INTL(Tasks[[#This Row],[Planned Finish]],Tasks[[#This Row],[Finish]],WorkWeek,Holidays)-1,1-NETWORKDAYS.INTL(Tasks[[#This Row],[Finish]],Tasks[[#This Row],[Planned Finish]],WorkWeek,Holidays)))</f>
        <v/>
      </c>
      <c r="AO19" s="21" t="str">
        <f aca="false">IF(Tasks[[#This Row],[Task Name]]="","",IF(Tasks[[#This Row],[Progress]]&gt;=1,"Complete",IF(OR(N(Tasks[[#This Row],[Actual Start]])&gt;0,Tasks[[#This Row],[Progress]]&gt;0),IF(Tasks[[#This Row],[Finish Var]]&gt;0,"Behind","In Progress"),IF(Tasks[[#This Row],[Planned Start]]&lt;StatusDate,"Late Start","Not Started"))))</f>
        <v/>
      </c>
      <c r="AP19" s="21" t="str">
        <f aca="false">IF(Tasks[[#This Row],[Task Name]]="","",IF(IF(Tasks[[#This Row],[_IsSummary]],COUNTIF(INDEX(Tasks[_LeafCritical],Tasks[[#This Row],[_Row]]+1):INDEX(Tasks[_LeafCritical],Tasks[[#This Row],[_Row]]+Tasks[[#This Row],[_Descendants]]),TRUE())&gt;0,Tasks[[#This Row],[_LeafCritical]]),"Yes",""))</f>
        <v/>
      </c>
      <c r="AQ19" s="63" t="str">
        <f aca="false">IF(Tasks[[#This Row],[Task Name]]="","",IF(N(Tasks[[#This Row],[Baseline Start]])&gt;0,Tasks[[#This Row],[Baseline Start]],Tasks[[#This Row],[_CalcStart]]))</f>
        <v/>
      </c>
      <c r="AR19" s="63" t="str">
        <f aca="false">IF(Tasks[[#This Row],[Task Name]]="","",IF(N(Tasks[[#This Row],[Baseline Finish]])&gt;0,Tasks[[#This Row],[Baseline Finish]],Tasks[[#This Row],[_CalcFinish]]))</f>
        <v/>
      </c>
      <c r="AS19" s="47" t="str">
        <f aca="false">IF(Tasks[[#This Row],[Task Name]]="","",IF(Tasks[[#This Row],[Start]]&gt;=Tasks[[#This Row],[Planned Start]],NETWORKDAYS.INTL(Tasks[[#This Row],[Planned Start]],Tasks[[#This Row],[Start]],WorkWeek,Holidays)-1,1-NETWORKDAYS.INTL(Tasks[[#This Row],[Start]],Tasks[[#This Row],[Planned Start]],WorkWeek,Holidays)))</f>
        <v/>
      </c>
      <c r="AT19" s="63" t="str">
        <f aca="false">IF(Tasks[[#This Row],[Task Name]]="","",IF(Tasks[[#This Row],[_IsSummary]],MIN(INDEX(Tasks[_LeafLateStart],Tasks[[#This Row],[_Row]]+1):INDEX(Tasks[_LeafLateStart],Tasks[[#This Row],[_Row]]+Tasks[[#This Row],[_Descendants]])),Tasks[[#This Row],[_LeafLateStart]]))</f>
        <v/>
      </c>
      <c r="AU19" s="63" t="str">
        <f aca="false">IF(Tasks[[#This Row],[Task Name]]="","",IF(Tasks[[#This Row],[_IsSummary]],MAX(INDEX(Tasks[_LeafLateFinish],Tasks[[#This Row],[_Row]]+1):INDEX(Tasks[_LeafLateFinish],Tasks[[#This Row],[_Row]]+Tasks[[#This Row],[_Descendants]])),Tasks[[#This Row],[_LeafLateFinish]]))</f>
        <v/>
      </c>
      <c r="AV19" s="47" t="str">
        <f aca="false">IF(Tasks[[#This Row],[Task Name]]="","",IF(Tasks[[#This Row],[_IsSummary]],MIN(INDEX(Tasks[_LeafTotalSlack],Tasks[[#This Row],[_Row]]+1):INDEX(Tasks[_LeafTotalSlack],Tasks[[#This Row],[_Row]]+Tasks[[#This Row],[_Descendants]])),Tasks[[#This Row],[_LeafTotalSlack]]))</f>
        <v/>
      </c>
      <c r="AW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5"/>
      <c r="BA1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t="str">
        <f aca="false">IF(Tasks[[#This Row],[Task Name]]="","",IF(Tasks[[#This Row],[_Level]]&lt;=OutlineShowLevel,"Yes","No"))</f>
        <v/>
      </c>
      <c r="BE19" s="86" t="str">
        <f aca="false">IF(Tasks[[#This Row],[Task Name]]="","",IF(Tasks[[#This Row],[_IsSummary]],SUM(INDEX(Tasks[_LeafTotalWork],Tasks[[#This Row],[_Row]]+1):INDEX(Tasks[_LeafTotalWork],Tasks[[#This Row],[_Row]]+Tasks[[#This Row],[_Descendants]])),Tasks[[#This Row],[_LeafTotalWork]]))</f>
        <v/>
      </c>
      <c r="BF19" s="23"/>
      <c r="BG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t="str">
        <f aca="false">""</f>
        <v/>
      </c>
      <c r="BI19" s="87"/>
      <c r="BJ19" s="22"/>
      <c r="BK19" s="47" t="str">
        <f aca="false">IF(OR(Tasks[[#This Row],[Task Name]]="",Tasks[[#This Row],[Baseline Duration]]=""),"",Tasks[[#This Row],[_SpanDays]]-N(Tasks[[#This Row],[Baseline Duration]]))</f>
        <v/>
      </c>
      <c r="BL19" s="86" t="str">
        <f aca="false">IF(OR(Tasks[[#This Row],[Task Name]]="",Tasks[[#This Row],[Baseline Work]]=""),"",Tasks[[#This Row],[Work]]-N(Tasks[[#This Row],[Baseline Work]]))</f>
        <v/>
      </c>
      <c r="BM19" s="63" t="str">
        <f aca="false">IF(Tasks[[#This Row],[Task Name]]="","",IF(OR(TakeBaseline="Yes",N(Tasks[[#This Row],[Baseline Start]])=0),Tasks[[#This Row],[Start]],Tasks[[#This Row],[Baseline Start]]))</f>
        <v/>
      </c>
      <c r="BN19" s="63" t="str">
        <f aca="false">IF(Tasks[[#This Row],[Task Name]]="","",IF(OR(TakeBaseline="Yes",N(Tasks[[#This Row],[Baseline Finish]])=0),Tasks[[#This Row],[Finish]],Tasks[[#This Row],[Baseline Finish]]))</f>
        <v/>
      </c>
      <c r="BO19" s="21" t="str">
        <f aca="false">IF(Tasks[[#This Row],[Task Name]]="","",IF(OR(TakeBaseline="Yes",N(Tasks[[#This Row],[Baseline Duration]])=0),Tasks[[#This Row],[_SpanDays]],Tasks[[#This Row],[Baseline Duration]]))</f>
        <v/>
      </c>
      <c r="BP19" s="86" t="str">
        <f aca="false">IF(Tasks[[#This Row],[Task Name]]="","",IF(OR(TakeBaseline="Yes",N(Tasks[[#This Row],[Baseline Work]])=0),Tasks[[#This Row],[Work]],Tasks[[#This Row],[Baseline Work]]))</f>
        <v/>
      </c>
      <c r="BQ19" s="7"/>
      <c r="BR19" s="7"/>
      <c r="BS19" s="22"/>
      <c r="BT19" s="88"/>
      <c r="BU19" s="23"/>
      <c r="BV19" s="23"/>
      <c r="BW19" s="23"/>
      <c r="BX19" s="89" t="str">
        <f aca="false">IF(AND(Tasks[[#This Row],[_IsLeaf]]=1,ISNUMBER(Tasks[[#This Row],[Optimistic]]),ISNUMBER(Tasks[[#This Row],[Pessimistic]])),ROUND((Tasks[[#This Row],[Optimistic]]+4*N(Tasks[[#This Row],[_Days]])+Tasks[[#This Row],[Pessimistic]])/6,1),"")</f>
        <v/>
      </c>
      <c r="BY19" s="87"/>
      <c r="BZ19" s="87"/>
      <c r="CA19" s="22"/>
      <c r="CB19" s="43" t="str">
        <f aca="false">IF(Tasks[[#This Row],[Task Name]]="","",MAX(1,N(Tasks[[#This Row],[Level]])))</f>
        <v/>
      </c>
      <c r="CC19" s="43" t="n">
        <f aca="false">ROW()-ROW(Tasks[[#Headers],[ID]])</f>
        <v>14</v>
      </c>
      <c r="CD19" s="43" t="n">
        <f aca="false">IF(OR(Tasks[[#This Row],[Task Name]]="",Tasks[[#This Row],[_Level]]&lt;=1),0,IFERROR(LOOKUP(2,1/(Tasks[[#Headers],[_Level]]:Tasks[[#This Row],[_Level]]=Tasks[[#This Row],[_Level]]-1),ROW(Tasks[[#Headers],[_Level]]:Tasks[[#This Row],[_Level]])),0))</f>
        <v>0</v>
      </c>
      <c r="CE19" s="43" t="n">
        <f aca="false">IFERROR(N(INDEX(Tasks[_Level],Tasks[[#This Row],[_Row]]+1)),0)</f>
        <v>0</v>
      </c>
      <c r="CF19" s="90" t="b">
        <f aca="false">AND(Tasks[[#This Row],[Task Name]]&lt;&gt;"",Tasks[[#This Row],[_NextLevel]]&gt;Tasks[[#This Row],[_Level]])</f>
        <v>0</v>
      </c>
      <c r="CG19" s="43" t="n">
        <f aca="false">IF(Tasks[[#This Row],[_IsSummary]],COUNTIF(Tasks[WBS],Tasks[[#This Row],[WBS]]&amp;".*"),0)</f>
        <v>0</v>
      </c>
      <c r="CH19" s="43" t="n">
        <f aca="false">IF(AND(Tasks[[#This Row],[Task Name]]&lt;&gt;"",NOT(Tasks[[#This Row],[_IsSummary]])),1,0)</f>
        <v>0</v>
      </c>
      <c r="CI19" s="43" t="n">
        <f aca="false">IF(N(Tasks[[#This Row],[_Pred1UID]])=0,0,IFERROR(MATCH(Tasks[[#This Row],[_Pred1UID]],Tasks[UID],0),-1))</f>
        <v>0</v>
      </c>
      <c r="CJ19" s="43" t="n">
        <f aca="false">IF(N(Tasks[[#This Row],[_Pred2UID]])=0,0,IFERROR(MATCH(Tasks[[#This Row],[_Pred2UID]],Tasks[UID],0),-1))</f>
        <v>0</v>
      </c>
      <c r="CK19" s="43" t="n">
        <f aca="false">IF(N(Tasks[[#This Row],[_Pred3UID]])=0,0,IFERROR(MATCH(Tasks[[#This Row],[_Pred3UID]],Tasks[UID],0),-1))</f>
        <v>0</v>
      </c>
      <c r="CL19" s="43" t="n">
        <f aca="false">IF(N(Tasks[[#This Row],[_Pred4UID]])=0,0,IFERROR(MATCH(Tasks[[#This Row],[_Pred4UID]],Tasks[UID],0),-1))</f>
        <v>0</v>
      </c>
      <c r="CM1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 s="91" t="n">
        <f aca="false">IF(OR(Tasks[[#This Row],[_ConstraintCode]]=2,Tasks[[#This Row],[_ConstraintCode]]=3,Tasks[[#This Row],[_ConstraintCode]]=4,Tasks[[#This Row],[_ConstraintCode]]=6),Tasks[[#This Row],[_ConstraintStart]],0)</f>
        <v>0</v>
      </c>
      <c r="CP19" s="91" t="n">
        <f aca="false">IF(OR(Tasks[[#This Row],[_ConstraintCode]]=2,Tasks[[#This Row],[_ConstraintCode]]=3,Tasks[[#This Row],[_ConstraintCode]]=5,Tasks[[#This Row],[_ConstraintCode]]=7),Tasks[[#This Row],[_ConstraintStart]],2958465)</f>
        <v>2958465</v>
      </c>
      <c r="CQ1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 s="91" t="str">
        <f aca="false">IF(NOT(Tasks[[#This Row],[_IsLeaf]]=1),"",IF(N(Tasks[[#This Row],[_Days]])&lt;=0,Tasks[[#This Row],[_LeafCalcStart]],WORKDAY.INTL(Tasks[[#This Row],[_LeafCalcStart]],Tasks[[#This Row],[_Days]]-1,WorkWeek,Holidays)))</f>
        <v/>
      </c>
      <c r="CS1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 s="43" t="str">
        <f aca="false">IF(Tasks[[#This Row],[_Predecessors]]="","",TRIM(MID(SUBSTITUTE(SUBSTITUTE(SUBSTITUTE(UPPER(Tasks[[#This Row],[_Predecessors]]),";",",")," ",""),",",REPT(" ",99)),1,99)))</f>
        <v/>
      </c>
      <c r="CV19" s="43" t="str">
        <f aca="false">IF(Tasks[[#This Row],[_Pred1Text]]="","",IFERROR(VALUE(LEFT(Tasks[[#This Row],[_Pred1Text]],MIN(FIND("F",Tasks[[#This Row],[_Pred1Text]]&amp;"F"),FIND("S",Tasks[[#This Row],[_Pred1Text]]&amp;"S"),FIND("+",Tasks[[#This Row],[_Pred1Text]]&amp;"+"),FIND("-",Tasks[[#This Row],[_Pred1Text]]&amp;"-"))-1)),""))</f>
        <v/>
      </c>
      <c r="CW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 s="43" t="str">
        <f aca="false">IF(Tasks[[#This Row],[_Pred1Text]]="","",TRIM(MID(SUBSTITUTE(SUBSTITUTE(SUBSTITUTE(UPPER(Tasks[[#This Row],[_Predecessors]]),";",",")," ",""),",",REPT(" ",99)),100,99)))</f>
        <v/>
      </c>
      <c r="CZ19" s="43" t="str">
        <f aca="false">IF(Tasks[[#This Row],[_Pred2Text]]="","",IFERROR(VALUE(LEFT(Tasks[[#This Row],[_Pred2Text]],MIN(FIND("F",Tasks[[#This Row],[_Pred2Text]]&amp;"F"),FIND("S",Tasks[[#This Row],[_Pred2Text]]&amp;"S"),FIND("+",Tasks[[#This Row],[_Pred2Text]]&amp;"+"),FIND("-",Tasks[[#This Row],[_Pred2Text]]&amp;"-"))-1)),""))</f>
        <v/>
      </c>
      <c r="DA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 s="43" t="str">
        <f aca="false">IF(Tasks[[#This Row],[_Pred2Text]]="","",TRIM(MID(SUBSTITUTE(SUBSTITUTE(SUBSTITUTE(UPPER(Tasks[[#This Row],[_Predecessors]]),";",",")," ",""),",",REPT(" ",99)),199,99)))</f>
        <v/>
      </c>
      <c r="DD19" s="43" t="str">
        <f aca="false">IF(Tasks[[#This Row],[_Pred3Text]]="","",IFERROR(VALUE(LEFT(Tasks[[#This Row],[_Pred3Text]],MIN(FIND("F",Tasks[[#This Row],[_Pred3Text]]&amp;"F"),FIND("S",Tasks[[#This Row],[_Pred3Text]]&amp;"S"),FIND("+",Tasks[[#This Row],[_Pred3Text]]&amp;"+"),FIND("-",Tasks[[#This Row],[_Pred3Text]]&amp;"-"))-1)),""))</f>
        <v/>
      </c>
      <c r="DE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 s="43" t="str">
        <f aca="false">IF(Tasks[[#This Row],[_Pred3Text]]="","",TRIM(MID(SUBSTITUTE(SUBSTITUTE(SUBSTITUTE(UPPER(Tasks[[#This Row],[_Predecessors]]),";",",")," ",""),",",REPT(" ",99)),298,99)))</f>
        <v/>
      </c>
      <c r="DH19" s="43" t="str">
        <f aca="false">IF(Tasks[[#This Row],[_Pred4Text]]="","",IFERROR(VALUE(LEFT(Tasks[[#This Row],[_Pred4Text]],MIN(FIND("F",Tasks[[#This Row],[_Pred4Text]]&amp;"F"),FIND("S",Tasks[[#This Row],[_Pred4Text]]&amp;"S"),FIND("+",Tasks[[#This Row],[_Pred4Text]]&amp;"+"),FIND("-",Tasks[[#This Row],[_Pred4Text]]&amp;"-"))-1)),""))</f>
        <v/>
      </c>
      <c r="DI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 s="43" t="str">
        <f aca="false">IF(OR(Tasks[[#This Row],[Task Name]]="",Tasks[[#This Row],[_Resources]]=""),"",TRIM(MID(SUBSTITUTE(Tasks[[#This Row],[_Resources]],",",REPT(" ",99)),1,99)))</f>
        <v/>
      </c>
      <c r="DL19" s="43" t="str">
        <f aca="false">IF(Tasks[[#This Row],[_Res1Text]]="","",TRIM(MID(SUBSTITUTE(Tasks[[#This Row],[_Resources]],",",REPT(" ",99)),100,99)))</f>
        <v/>
      </c>
      <c r="DM19" s="43" t="str">
        <f aca="false">IF(Tasks[[#This Row],[_Res2Text]]="","",TRIM(MID(SUBSTITUTE(Tasks[[#This Row],[_Resources]],",",REPT(" ",99)),199,99)))</f>
        <v/>
      </c>
      <c r="DN19" s="43" t="str">
        <f aca="false">IF(Tasks[[#This Row],[_Res3Text]]="","",TRIM(MID(SUBSTITUTE(Tasks[[#This Row],[_Resources]],",",REPT(" ",99)),298,99)))</f>
        <v/>
      </c>
      <c r="DO19" s="43" t="n">
        <f aca="false">IF(Tasks[[#This Row],[_Res1Text]]="",0,IFERROR(MATCH(TRIM(LEFT(Tasks[[#This Row],[_Res1Text]],FIND("[",Tasks[[#This Row],[_Res1Text]]&amp;"[")-1)),res_Name,0),IFERROR(MATCH(TRIM(LEFT(Tasks[[#This Row],[_Res1Text]],FIND("[",Tasks[[#This Row],[_Res1Text]]&amp;"[")-1)),res_Initials,0),0)))</f>
        <v>0</v>
      </c>
      <c r="DP19" s="43" t="n">
        <f aca="false">IF(Tasks[[#This Row],[_Res2Text]]="",0,IFERROR(MATCH(TRIM(LEFT(Tasks[[#This Row],[_Res2Text]],FIND("[",Tasks[[#This Row],[_Res2Text]]&amp;"[")-1)),res_Name,0),IFERROR(MATCH(TRIM(LEFT(Tasks[[#This Row],[_Res2Text]],FIND("[",Tasks[[#This Row],[_Res2Text]]&amp;"[")-1)),res_Initials,0),0)))</f>
        <v>0</v>
      </c>
      <c r="DQ19" s="43" t="n">
        <f aca="false">IF(Tasks[[#This Row],[_Res3Text]]="",0,IFERROR(MATCH(TRIM(LEFT(Tasks[[#This Row],[_Res3Text]],FIND("[",Tasks[[#This Row],[_Res3Text]]&amp;"[")-1)),res_Name,0),IFERROR(MATCH(TRIM(LEFT(Tasks[[#This Row],[_Res3Text]],FIND("[",Tasks[[#This Row],[_Res3Text]]&amp;"[")-1)),res_Initials,0),0)))</f>
        <v>0</v>
      </c>
      <c r="DR19" s="43" t="n">
        <f aca="false">IF(Tasks[[#This Row],[_Res4Text]]="",0,IFERROR(MATCH(TRIM(LEFT(Tasks[[#This Row],[_Res4Text]],FIND("[",Tasks[[#This Row],[_Res4Text]]&amp;"[")-1)),res_Name,0),IFERROR(MATCH(TRIM(LEFT(Tasks[[#This Row],[_Res4Text]],FIND("[",Tasks[[#This Row],[_Res4Text]]&amp;"[")-1)),res_Initials,0),0)))</f>
        <v>0</v>
      </c>
      <c r="DS19" s="43" t="str">
        <f aca="false">IF(Tasks[[#This Row],[_Res1Text]]="","",IF(Tasks[[#This Row],[_Res1Row]]&gt;0,INDEX(res_Name,Tasks[[#This Row],[_Res1Row]]),TRIM(LEFT(Tasks[[#This Row],[_Res1Text]],FIND("[",Tasks[[#This Row],[_Res1Text]]&amp;"[")-1))))</f>
        <v/>
      </c>
      <c r="DT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 s="43" t="n">
        <f aca="false">IF(NOT(Tasks[[#This Row],[_IsLeaf]]=1),0,(Tasks[[#This Row],[_Resource1]]&lt;&gt;"")+(Tasks[[#This Row],[_Res2]]&lt;&gt;"")+(Tasks[[#This Row],[_Res3]]&lt;&gt;"")+(Tasks[[#This Row],[_Res4]]&lt;&gt;""))</f>
        <v>0</v>
      </c>
      <c r="DV19" s="43" t="str">
        <f aca="false">IF(Tasks[[#This Row],[_Res2Text]]="","",IF(Tasks[[#This Row],[_Res2Row]]&gt;0,INDEX(res_Name,Tasks[[#This Row],[_Res2Row]]),TRIM(LEFT(Tasks[[#This Row],[_Res2Text]],FIND("[",Tasks[[#This Row],[_Res2Text]]&amp;"[")-1))))</f>
        <v/>
      </c>
      <c r="DW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 s="43" t="n">
        <f aca="false">IF(OR(NOT(Tasks[[#This Row],[_IsLeaf]]=1),Tasks[[#This Row],[_Res2Row]]=0),0,N(Tasks[[#This Row],[_Days]])*HoursPerDay*IF(Tasks[[#This Row],[_Res2Units]]="",DefaultUnits,Tasks[[#This Row],[_Res2Units]]))</f>
        <v>0</v>
      </c>
      <c r="DY19" s="43" t="n">
        <f aca="false">IF(AND(AND(Tasks[[#This Row],[_IsLeaf]]=1,Tasks[[#This Row],[_LeafTotalWork]]&gt;0),Tasks[[#This Row],[_Res2Work]]&gt;0),Tasks[[#This Row],[_Res2Work]]/(Tasks[[#This Row],[_FinishWorkday]]-Tasks[[#This Row],[_StartWorkday]]+1),0)</f>
        <v>0</v>
      </c>
      <c r="DZ19" s="43" t="n">
        <f aca="false">Tasks[[#This Row],[_Res2WorkPerWD]]*MAX(0,Tasks[[#This Row],[_StartWorkday]]-1)</f>
        <v>0</v>
      </c>
      <c r="EA19" s="43" t="n">
        <f aca="false">Tasks[[#This Row],[_Res2Work]]*Tasks[[#This Row],[_LeafProgress]]</f>
        <v>0</v>
      </c>
      <c r="EB19" s="43" t="str">
        <f aca="false">IF(Tasks[[#This Row],[_Res3Text]]="","",IF(Tasks[[#This Row],[_Res3Row]]&gt;0,INDEX(res_Name,Tasks[[#This Row],[_Res3Row]]),TRIM(LEFT(Tasks[[#This Row],[_Res3Text]],FIND("[",Tasks[[#This Row],[_Res3Text]]&amp;"[")-1))))</f>
        <v/>
      </c>
      <c r="EC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 s="43" t="n">
        <f aca="false">IF(OR(NOT(Tasks[[#This Row],[_IsLeaf]]=1),Tasks[[#This Row],[_Res3Row]]=0),0,N(Tasks[[#This Row],[_Days]])*HoursPerDay*IF(Tasks[[#This Row],[_Res3Units]]="",DefaultUnits,Tasks[[#This Row],[_Res3Units]]))</f>
        <v>0</v>
      </c>
      <c r="EE19" s="43" t="n">
        <f aca="false">IF(AND(AND(Tasks[[#This Row],[_IsLeaf]]=1,Tasks[[#This Row],[_LeafTotalWork]]&gt;0),Tasks[[#This Row],[_Res3Work]]&gt;0),Tasks[[#This Row],[_Res3Work]]/(Tasks[[#This Row],[_FinishWorkday]]-Tasks[[#This Row],[_StartWorkday]]+1),0)</f>
        <v>0</v>
      </c>
      <c r="EF19" s="43" t="n">
        <f aca="false">Tasks[[#This Row],[_Res3WorkPerWD]]*MAX(0,Tasks[[#This Row],[_StartWorkday]]-1)</f>
        <v>0</v>
      </c>
      <c r="EG19" s="43" t="n">
        <f aca="false">Tasks[[#This Row],[_Res3Work]]*Tasks[[#This Row],[_LeafProgress]]</f>
        <v>0</v>
      </c>
      <c r="EH19" s="43" t="str">
        <f aca="false">IF(Tasks[[#This Row],[_Res4Text]]="","",IF(Tasks[[#This Row],[_Res4Row]]&gt;0,INDEX(res_Name,Tasks[[#This Row],[_Res4Row]]),TRIM(LEFT(Tasks[[#This Row],[_Res4Text]],FIND("[",Tasks[[#This Row],[_Res4Text]]&amp;"[")-1))))</f>
        <v/>
      </c>
      <c r="EI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 s="43" t="n">
        <f aca="false">IF(OR(NOT(Tasks[[#This Row],[_IsLeaf]]=1),Tasks[[#This Row],[_Res4Row]]=0),0,N(Tasks[[#This Row],[_Days]])*HoursPerDay*IF(Tasks[[#This Row],[_Res4Units]]="",DefaultUnits,Tasks[[#This Row],[_Res4Units]]))</f>
        <v>0</v>
      </c>
      <c r="EK19" s="43" t="n">
        <f aca="false">IF(AND(AND(Tasks[[#This Row],[_IsLeaf]]=1,Tasks[[#This Row],[_LeafTotalWork]]&gt;0),Tasks[[#This Row],[_Res4Work]]&gt;0),Tasks[[#This Row],[_Res4Work]]/(Tasks[[#This Row],[_FinishWorkday]]-Tasks[[#This Row],[_StartWorkday]]+1),0)</f>
        <v>0</v>
      </c>
      <c r="EL19" s="43" t="n">
        <f aca="false">Tasks[[#This Row],[_Res4WorkPerWD]]*MAX(0,Tasks[[#This Row],[_StartWorkday]]-1)</f>
        <v>0</v>
      </c>
      <c r="EM19" s="43" t="n">
        <f aca="false">Tasks[[#This Row],[_Res4Work]]*Tasks[[#This Row],[_LeafProgress]]</f>
        <v>0</v>
      </c>
      <c r="EN19" s="43" t="n">
        <f aca="false">IF(ISNUMBER(Tasks[[#This Row],[% Complete]]),Tasks[[#This Row],[% Complete]],IF(Tasks[[#This Row],[Stage]]="",0,IFERROR(INDEX(stg_Pct,MATCH(Tasks[[#This Row],[Stage]],stg_Name,0)),0)))</f>
        <v>0</v>
      </c>
      <c r="EO19" s="43" t="n">
        <f aca="false">IF(NOT(Tasks[[#This Row],[_IsLeaf]]=1),0,IF(N(Tasks[[#This Row],[Actual Finish]])&gt;0,1,MIN(1,Tasks[[#This Row],[_Pct]])))</f>
        <v>0</v>
      </c>
      <c r="EP19" s="43" t="n">
        <f aca="false">IF(OR(NOT(Tasks[[#This Row],[_IsLeaf]]=1),Tasks[[#This Row],[_Res1Row]]=0),0,N(Tasks[[#This Row],[_Days]])*HoursPerDay*IF(Tasks[[#This Row],[_Units1]]="",DefaultUnits,Tasks[[#This Row],[_Units1]]))</f>
        <v>0</v>
      </c>
      <c r="EQ19" s="43" t="n">
        <f aca="false">Tasks[[#This Row],[_LeafWork]]+Tasks[[#This Row],[_Res2Work]]+Tasks[[#This Row],[_Res3Work]]+Tasks[[#This Row],[_Res4Work]]</f>
        <v>0</v>
      </c>
      <c r="ER1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 s="43" t="n">
        <f aca="false">IF(NOT(Tasks[[#This Row],[_IsLeaf]]=1),0,MAX(_xlfn.MAXIFS(Tasks[_Row],Tasks[_Pred1UID],Tasks[[#This Row],[UID]]),_xlfn.MAXIFS(Tasks[_Row],Tasks[_Pred2UID],Tasks[[#This Row],[UID]]),_xlfn.MAXIFS(Tasks[_Row],Tasks[_Pred3UID],Tasks[[#This Row],[UID]]),_xlfn.MAXIFS(Tasks[_Row],Tasks[_Pred4UID],Tasks[[#This Row],[UID]])))</f>
        <v>0</v>
      </c>
      <c r="FA1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 s="91" t="str">
        <f aca="false">IF(NOT(Tasks[[#This Row],[_IsLeaf]]=1),"",IF(N(Tasks[[#This Row],[_Days]])&lt;=0,Tasks[[#This Row],[_LeafLateFinish]],WORKDAY.INTL(Tasks[[#This Row],[_LeafLateFinish]],-(Tasks[[#This Row],[_Days]]-1),WorkWeek,Holidays)))</f>
        <v/>
      </c>
      <c r="FD1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 s="90" t="b">
        <f aca="false">AND(Tasks[[#This Row],[_IsLeaf]]=1,Tasks[[#This Row],[_LeafProgress]]&lt;1,N(Tasks[[#This Row],[_LeafTotalSlack]])&lt;=CriticalSlackDays)</f>
        <v>0</v>
      </c>
      <c r="FF19" s="43" t="n">
        <f aca="false">IF(AND(Tasks[[#This Row],[_IsLeaf]]=1,Tasks[[#This Row],[_ConstraintCode]]=1,Tasks[[#This Row],[Mode]]&lt;&gt;"Manual",N(Tasks[[#This Row],[Actual Start]])=0),MAX(0,N(Tasks[[#This Row],[Free Slack]])),0)</f>
        <v>0</v>
      </c>
      <c r="FG19" s="91" t="str">
        <f aca="false">IF(NOT(Tasks[[#This Row],[_IsLeaf]]=1),"",IF(Tasks[[#This Row],[_AlapShift]]=0,Tasks[[#This Row],[_LeafCalcStart]],WORKDAY.INTL(Tasks[[#This Row],[_LeafCalcStart]],Tasks[[#This Row],[_AlapShift]],WorkWeek,Holidays)))</f>
        <v/>
      </c>
      <c r="FH19" s="91" t="str">
        <f aca="false">IF(NOT(Tasks[[#This Row],[_IsLeaf]]=1),"",IF(Tasks[[#This Row],[_AlapShift]]=0,Tasks[[#This Row],[_LeafCalcFinish]],WORKDAY.INTL(Tasks[[#This Row],[_LeafCalcFinish]],Tasks[[#This Row],[_AlapShift]],WorkWeek,Holidays)))</f>
        <v/>
      </c>
      <c r="FI19" s="91" t="str">
        <f aca="false">IF(NOT(Tasks[[#This Row],[_IsLeaf]]=1),"",IF(Tasks[[#This Row],[_AlapShift]]=0,Tasks[[#This Row],[_LeafFcstStart]],WORKDAY.INTL(Tasks[[#This Row],[_LeafFcstStart]],Tasks[[#This Row],[_AlapShift]],WorkWeek,Holidays)))</f>
        <v/>
      </c>
      <c r="FJ19" s="91" t="str">
        <f aca="false">IF(NOT(Tasks[[#This Row],[_IsLeaf]]=1),"",IF(Tasks[[#This Row],[_AlapShift]]=0,Tasks[[#This Row],[_LeafFcstFinish]],WORKDAY.INTL(Tasks[[#This Row],[_LeafFcstFinish]],Tasks[[#This Row],[_AlapShift]],WorkWeek,Holidays)))</f>
        <v/>
      </c>
      <c r="FK19" s="91" t="str">
        <f aca="false">IF(Tasks[[#This Row],[Task Name]]="","",IF(Tasks[[#This Row],[_IsSummary]],MIN(INDEX(Tasks[_ShownCalcStart],Tasks[[#This Row],[_Row]]+1):INDEX(Tasks[_ShownCalcStart],Tasks[[#This Row],[_Row]]+Tasks[[#This Row],[_Descendants]])),Tasks[[#This Row],[_ShownCalcStart]]))</f>
        <v/>
      </c>
      <c r="FL19" s="91" t="str">
        <f aca="false">IF(Tasks[[#This Row],[Task Name]]="","",IF(Tasks[[#This Row],[_IsSummary]],MAX(INDEX(Tasks[_ShownCalcFinish],Tasks[[#This Row],[_Row]]+1):INDEX(Tasks[_ShownCalcFinish],Tasks[[#This Row],[_Row]]+Tasks[[#This Row],[_Descendants]])),Tasks[[#This Row],[_ShownCalcFinish]]))</f>
        <v/>
      </c>
      <c r="FM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 s="43" t="n">
        <f aca="false">IF(AND(Tasks[[#This Row],[_IsLeaf]]=1,Tasks[[#This Row],[_LeafTotalWork]]&gt;0),NETWORKDAYS.INTL(ProjectStart,Tasks[[#This Row],[_ShownFcstStart]],WorkWeek,Holidays),0)</f>
        <v>0</v>
      </c>
      <c r="FZ19" s="43" t="n">
        <f aca="false">IF(AND(Tasks[[#This Row],[_IsLeaf]]=1,Tasks[[#This Row],[_LeafTotalWork]]&gt;0),MAX(Tasks[[#This Row],[_StartWorkday]],NETWORKDAYS.INTL(ProjectStart,Tasks[[#This Row],[_ShownFcstFinish]],WorkWeek,Holidays)),0)</f>
        <v>0</v>
      </c>
      <c r="GA19" s="43" t="n">
        <f aca="false">IF(AND(Tasks[[#This Row],[_IsLeaf]]=1,Tasks[[#This Row],[_LeafTotalWork]]&gt;0),Tasks[[#This Row],[_LeafWork]]/(Tasks[[#This Row],[_FinishWorkday]]-Tasks[[#This Row],[_StartWorkday]]+1),0)</f>
        <v>0</v>
      </c>
      <c r="GB19" s="43" t="n">
        <f aca="false">Tasks[[#This Row],[_WorkPerWorkday]]*(Tasks[[#This Row],[_StartWorkday]]-1)</f>
        <v>-0</v>
      </c>
      <c r="GC19" s="43" t="n">
        <f aca="false">IF(Tasks[[#This Row],[_IsLeaf]]=1,MAX(N(Tasks[[#This Row],[_Days]]),0.1),0)</f>
        <v>0</v>
      </c>
      <c r="GD19" s="43" t="n">
        <f aca="false">Tasks[[#This Row],[_WeightDur]]*Tasks[[#This Row],[_LeafProgress]]</f>
        <v>0</v>
      </c>
      <c r="GE19" s="43" t="n">
        <f aca="false">Tasks[[#This Row],[_WeightDur]]*Tasks[[#This Row],[_PlannedPct]]</f>
        <v>0</v>
      </c>
      <c r="GF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 s="43" t="str">
        <f aca="false">IF(AND(Tasks[[#This Row],[_IsLeaf]]=1,N(Tasks[[#This Row],[_Days]])=0,Tasks[[#This Row],[_LeafProgress]]&lt;1),Tasks[[#This Row],[_ShownFcstFinish]]+Tasks[[#This Row],[_Row]]/100000,"")</f>
        <v/>
      </c>
      <c r="GH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 s="43" t="str">
        <f aca="false">IF(Tasks[[#This Row],[Task Name]]="","",LEFT(Tasks[[#This Row],[WBS]],FIND(".",Tasks[[#This Row],[WBS]]&amp;".")-1))</f>
        <v/>
      </c>
      <c r="GJ19" s="43" t="str">
        <f aca="false">IF(AND(Tasks[[#This Row],[Task Name]]&lt;&gt;"",Tasks[[#This Row],[_Level]]=1),Tasks[[#This Row],[_Row]],"")</f>
        <v/>
      </c>
      <c r="GK19" s="43" t="str">
        <f aca="false">IF(AND(Tasks[[#This Row],[_IsLeaf]]=1,N(Tasks[[#This Row],[_Days]])=0),Tasks[[#This Row],[Planned Finish]]+Tasks[[#This Row],[_Row]]/100000,"")</f>
        <v/>
      </c>
      <c r="GL19" s="43" t="str">
        <f aca="false">IF(AND(Tasks[[#This Row],[_IsLeaf]]=1,Tasks[[#This Row],[_LeafProgress]]&lt;1,OR(N(Tasks[[#This Row],[Finish Var]])&gt;0,Tasks[[#This Row],[Status]]="Late Start")),MAX(0,Tasks[[#This Row],[Finish Var]])+1-Tasks[[#This Row],[_Row]]/1000000,"")</f>
        <v/>
      </c>
      <c r="GM19" s="43" t="str">
        <f aca="false">IF(AND(Tasks[[#This Row],[_IsLeaf]]=1,N(Tasks[[#This Row],[Actual Start]])=0,Tasks[[#This Row],[_ShownFcstStart]]&gt;=StatusDate,Tasks[[#This Row],[_ShownFcstStart]]&lt;=LookaheadEnd),Tasks[[#This Row],[_ShownFcstStart]]+Tasks[[#This Row],[_Row]]/100000,"")</f>
        <v/>
      </c>
      <c r="GN19" s="43" t="str">
        <f aca="false">IF(AND(Tasks[[#This Row],[_IsLeaf]]=1,Tasks[[#This Row],[_LeafProgress]]&lt;1,Tasks[[#This Row],[_ShownFcstFinish]]&gt;=StatusDate,Tasks[[#This Row],[_ShownFcstFinish]]&lt;=LookaheadEnd),Tasks[[#This Row],[_ShownFcstFinish]]+Tasks[[#This Row],[_Row]]/100000,"")</f>
        <v/>
      </c>
      <c r="GO19" s="43" t="str">
        <f aca="false">IF(Tasks[[#This Row],[_LeafCritical]],Tasks[[#This Row],[_ShownFcstStart]]+Tasks[[#This Row],[_Row]]/100000,"")</f>
        <v/>
      </c>
      <c r="GP19" s="43" t="n">
        <f aca="false">Tasks[[#This Row],[_LeafWork]]*Tasks[[#This Row],[_LeafProgress]]</f>
        <v>0</v>
      </c>
      <c r="GQ19" s="91" t="str">
        <f aca="false">IF(AND(Tasks[[#This Row],[_IsLeaf]]=1,Tasks[[#This Row],[_LeafProgress]]&gt;=1),IF(N(Tasks[[#This Row],[Actual Finish]])&gt;0,Tasks[[#This Row],[Actual Finish]],Tasks[[#This Row],[_ShownFcstFinish]]),"")</f>
        <v/>
      </c>
      <c r="GR19" s="43" t="n">
        <f aca="false">IF(Tasks[[#This Row],[_IsLeaf]]=1,N(Tasks[[#This Row],[Story Points]]),0)</f>
        <v>0</v>
      </c>
      <c r="GS19" s="43" t="str">
        <f aca="false">""</f>
        <v/>
      </c>
      <c r="GT19" s="90" t="b">
        <f aca="false">IF(Tasks[[#This Row],[Task Name]]="",FALSE(),AND(Tasks[[#This Row],[_IsLeaf]]=1,N(Tasks[[#This Row],[_Days]])=0))</f>
        <v>0</v>
      </c>
      <c r="GU19" s="91" t="n">
        <f aca="false">IF(Tasks[[#This Row],[Task Name]]="",0,IF(AND(Tasks[[#This Row],[_IsLeaf]]=1,NOT(Tasks[[#This Row],[_IsMilestone]]),N(Tasks[[#This Row],[Progress]])&gt;0),Tasks[[#This Row],[Start]],0))</f>
        <v>0</v>
      </c>
      <c r="GV19" s="91" t="n">
        <f aca="false">IF(Tasks[[#This Row],[_DoneFrom]]=0,0,IF(Tasks[[#This Row],[Progress]]&gt;=1,Tasks[[#This Row],[Finish]],MAX(Tasks[[#This Row],[_DoneFrom]],Tasks[[#This Row],[Start]]+ROUND((Tasks[[#This Row],[Finish]]-Tasks[[#This Row],[Start]]+1)*Tasks[[#This Row],[Progress]],0)-1)))</f>
        <v>0</v>
      </c>
      <c r="GW19" s="91" t="n">
        <f aca="false">IF(Tasks[[#This Row],[Task Name]]="",0,IF(OR(NOT(Tasks[[#This Row],[_IsLeaf]]=1),Tasks[[#This Row],[_IsMilestone]],N(Tasks[[#This Row],[Progress]])&gt;=1),0,IF(Tasks[[#This Row],[_DoneTo]]&gt;0,Tasks[[#This Row],[_DoneTo]]+1,Tasks[[#This Row],[Start]])))</f>
        <v>0</v>
      </c>
      <c r="GX19" s="91" t="n">
        <f aca="false">IF(Tasks[[#This Row],[_RemFrom]]=0,0,Tasks[[#This Row],[Finish]])</f>
        <v>0</v>
      </c>
      <c r="GY19" s="90" t="b">
        <f aca="false">IF(Tasks[[#This Row],[Task Name]]="",FALSE(),OR(NOT(BaselineSet),N(Tasks[[#This Row],[Baseline Start]])&gt;0))</f>
        <v>0</v>
      </c>
      <c r="GZ1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 s="92" t="str">
        <f aca="false">IF(Tasks[[#This Row],[_IsLeaf]]=1,Tasks[[#This Row],[_Row]],"")</f>
        <v/>
      </c>
      <c r="HD19" s="92" t="str">
        <f aca="false">IFERROR(INDEX(Tasks[UID],SMALL(Tasks[_PickKey],Tasks[[#This Row],[_Row]]))&amp;" "&amp;INDEX(Tasks[Task Name],SMALL(Tasks[_PickKey],Tasks[[#This Row],[_Row]])),"")</f>
        <v/>
      </c>
      <c r="HE19" s="43" t="str">
        <f aca="false">IF(Tasks[[#This Row],[Task Name]]="","",IF(Tasks[[#This Row],[_IsSummary]],NETWORKDAYS.INTL(Tasks[[#This Row],[Start]],Tasks[[#This Row],[Finish]],WorkWeek,Holidays),N(Tasks[[#This Row],[_Days]])))</f>
        <v/>
      </c>
      <c r="HF19" s="43" t="n">
        <f aca="false">IF(Tasks[[#This Row],[Expected]]="",0,((Tasks[[#This Row],[Pessimistic]]-Tasks[[#This Row],[Optimistic]])/6)^2)</f>
        <v>0</v>
      </c>
      <c r="HG19" s="43" t="n">
        <f aca="false">IF(Tasks[[#This Row],[Expected]]="",0,Tasks[[#This Row],[Expected]]-N(Tasks[[#This Row],[_Days]]))</f>
        <v>0</v>
      </c>
    </row>
    <row r="20" customFormat="false" ht="15" hidden="false" customHeight="false" outlineLevel="0" collapsed="false">
      <c r="A20" s="21" t="str">
        <f aca="false">IF(Tasks[[#This Row],[Task Name]]="","",COUNTA(Tasks[[#Headers],[Task Name]]:Tasks[[#This Row],[Task Name]])-1)</f>
        <v/>
      </c>
      <c r="B20" s="22" t="n">
        <v>28</v>
      </c>
      <c r="C20" s="22"/>
      <c r="D20" s="23"/>
      <c r="E20" s="22"/>
      <c r="F20" s="23"/>
      <c r="G20" s="22"/>
      <c r="H20" s="22"/>
      <c r="I20" s="23"/>
      <c r="J20" s="22"/>
      <c r="K20" s="22"/>
      <c r="L20" s="23"/>
      <c r="M20" s="22"/>
      <c r="N20" s="22"/>
      <c r="O20" s="23"/>
      <c r="P20" s="22"/>
      <c r="Q20" s="22"/>
      <c r="R20" s="23"/>
      <c r="S20" s="23"/>
      <c r="T20" s="84"/>
      <c r="U20" s="23"/>
      <c r="V20" s="84"/>
      <c r="W20" s="23"/>
      <c r="X20" s="84"/>
      <c r="Y20" s="23"/>
      <c r="Z20" s="84"/>
      <c r="AA20" s="23"/>
      <c r="AB20" s="23"/>
      <c r="AC20" s="7"/>
      <c r="AD20" s="7"/>
      <c r="AE20" s="63" t="str">
        <f aca="false">IF(Tasks[[#This Row],[Task Name]]="","",IF(Tasks[[#This Row],[_IsSummary]],MIN(INDEX(Tasks[_ShownFcstStart],Tasks[[#This Row],[_Row]]+1):INDEX(Tasks[_ShownFcstStart],Tasks[[#This Row],[_Row]]+Tasks[[#This Row],[_Descendants]])),Tasks[[#This Row],[_ShownFcstStart]]))</f>
        <v/>
      </c>
      <c r="AF20" s="63" t="str">
        <f aca="false">IF(Tasks[[#This Row],[Task Name]]="","",IF(Tasks[[#This Row],[_IsSummary]],MAX(INDEX(Tasks[_ShownFcstFinish],Tasks[[#This Row],[_Row]]+1):INDEX(Tasks[_ShownFcstFinish],Tasks[[#This Row],[_Row]]+Tasks[[#This Row],[_Descendants]])),Tasks[[#This Row],[_ShownFcstFinish]]))</f>
        <v/>
      </c>
      <c r="AG20" s="21" t="str">
        <f aca="false">""</f>
        <v/>
      </c>
      <c r="AH20" s="23"/>
      <c r="AI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 s="7"/>
      <c r="AK20" s="22"/>
      <c r="AL20" s="23"/>
      <c r="AM20" s="7"/>
      <c r="AN20" s="47" t="str">
        <f aca="false">IF(Tasks[[#This Row],[Task Name]]="","",IF(Tasks[[#This Row],[Finish]]&gt;=Tasks[[#This Row],[Planned Finish]],NETWORKDAYS.INTL(Tasks[[#This Row],[Planned Finish]],Tasks[[#This Row],[Finish]],WorkWeek,Holidays)-1,1-NETWORKDAYS.INTL(Tasks[[#This Row],[Finish]],Tasks[[#This Row],[Planned Finish]],WorkWeek,Holidays)))</f>
        <v/>
      </c>
      <c r="AO20" s="21" t="str">
        <f aca="false">IF(Tasks[[#This Row],[Task Name]]="","",IF(Tasks[[#This Row],[Progress]]&gt;=1,"Complete",IF(OR(N(Tasks[[#This Row],[Actual Start]])&gt;0,Tasks[[#This Row],[Progress]]&gt;0),IF(Tasks[[#This Row],[Finish Var]]&gt;0,"Behind","In Progress"),IF(Tasks[[#This Row],[Planned Start]]&lt;StatusDate,"Late Start","Not Started"))))</f>
        <v/>
      </c>
      <c r="AP20" s="21" t="str">
        <f aca="false">IF(Tasks[[#This Row],[Task Name]]="","",IF(IF(Tasks[[#This Row],[_IsSummary]],COUNTIF(INDEX(Tasks[_LeafCritical],Tasks[[#This Row],[_Row]]+1):INDEX(Tasks[_LeafCritical],Tasks[[#This Row],[_Row]]+Tasks[[#This Row],[_Descendants]]),TRUE())&gt;0,Tasks[[#This Row],[_LeafCritical]]),"Yes",""))</f>
        <v/>
      </c>
      <c r="AQ20" s="63" t="str">
        <f aca="false">IF(Tasks[[#This Row],[Task Name]]="","",IF(N(Tasks[[#This Row],[Baseline Start]])&gt;0,Tasks[[#This Row],[Baseline Start]],Tasks[[#This Row],[_CalcStart]]))</f>
        <v/>
      </c>
      <c r="AR20" s="63" t="str">
        <f aca="false">IF(Tasks[[#This Row],[Task Name]]="","",IF(N(Tasks[[#This Row],[Baseline Finish]])&gt;0,Tasks[[#This Row],[Baseline Finish]],Tasks[[#This Row],[_CalcFinish]]))</f>
        <v/>
      </c>
      <c r="AS20" s="47" t="str">
        <f aca="false">IF(Tasks[[#This Row],[Task Name]]="","",IF(Tasks[[#This Row],[Start]]&gt;=Tasks[[#This Row],[Planned Start]],NETWORKDAYS.INTL(Tasks[[#This Row],[Planned Start]],Tasks[[#This Row],[Start]],WorkWeek,Holidays)-1,1-NETWORKDAYS.INTL(Tasks[[#This Row],[Start]],Tasks[[#This Row],[Planned Start]],WorkWeek,Holidays)))</f>
        <v/>
      </c>
      <c r="AT20" s="63" t="str">
        <f aca="false">IF(Tasks[[#This Row],[Task Name]]="","",IF(Tasks[[#This Row],[_IsSummary]],MIN(INDEX(Tasks[_LeafLateStart],Tasks[[#This Row],[_Row]]+1):INDEX(Tasks[_LeafLateStart],Tasks[[#This Row],[_Row]]+Tasks[[#This Row],[_Descendants]])),Tasks[[#This Row],[_LeafLateStart]]))</f>
        <v/>
      </c>
      <c r="AU20" s="63" t="str">
        <f aca="false">IF(Tasks[[#This Row],[Task Name]]="","",IF(Tasks[[#This Row],[_IsSummary]],MAX(INDEX(Tasks[_LeafLateFinish],Tasks[[#This Row],[_Row]]+1):INDEX(Tasks[_LeafLateFinish],Tasks[[#This Row],[_Row]]+Tasks[[#This Row],[_Descendants]])),Tasks[[#This Row],[_LeafLateFinish]]))</f>
        <v/>
      </c>
      <c r="AV20" s="47" t="str">
        <f aca="false">IF(Tasks[[#This Row],[Task Name]]="","",IF(Tasks[[#This Row],[_IsSummary]],MIN(INDEX(Tasks[_LeafTotalSlack],Tasks[[#This Row],[_Row]]+1):INDEX(Tasks[_LeafTotalSlack],Tasks[[#This Row],[_Row]]+Tasks[[#This Row],[_Descendants]])),Tasks[[#This Row],[_LeafTotalSlack]]))</f>
        <v/>
      </c>
      <c r="AW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5"/>
      <c r="BA2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t="str">
        <f aca="false">IF(Tasks[[#This Row],[Task Name]]="","",IF(Tasks[[#This Row],[_Level]]&lt;=OutlineShowLevel,"Yes","No"))</f>
        <v/>
      </c>
      <c r="BE20" s="86" t="str">
        <f aca="false">IF(Tasks[[#This Row],[Task Name]]="","",IF(Tasks[[#This Row],[_IsSummary]],SUM(INDEX(Tasks[_LeafTotalWork],Tasks[[#This Row],[_Row]]+1):INDEX(Tasks[_LeafTotalWork],Tasks[[#This Row],[_Row]]+Tasks[[#This Row],[_Descendants]])),Tasks[[#This Row],[_LeafTotalWork]]))</f>
        <v/>
      </c>
      <c r="BF20" s="23"/>
      <c r="BG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t="str">
        <f aca="false">""</f>
        <v/>
      </c>
      <c r="BI20" s="87"/>
      <c r="BJ20" s="22"/>
      <c r="BK20" s="47" t="str">
        <f aca="false">IF(OR(Tasks[[#This Row],[Task Name]]="",Tasks[[#This Row],[Baseline Duration]]=""),"",Tasks[[#This Row],[_SpanDays]]-N(Tasks[[#This Row],[Baseline Duration]]))</f>
        <v/>
      </c>
      <c r="BL20" s="86" t="str">
        <f aca="false">IF(OR(Tasks[[#This Row],[Task Name]]="",Tasks[[#This Row],[Baseline Work]]=""),"",Tasks[[#This Row],[Work]]-N(Tasks[[#This Row],[Baseline Work]]))</f>
        <v/>
      </c>
      <c r="BM20" s="63" t="str">
        <f aca="false">IF(Tasks[[#This Row],[Task Name]]="","",IF(OR(TakeBaseline="Yes",N(Tasks[[#This Row],[Baseline Start]])=0),Tasks[[#This Row],[Start]],Tasks[[#This Row],[Baseline Start]]))</f>
        <v/>
      </c>
      <c r="BN20" s="63" t="str">
        <f aca="false">IF(Tasks[[#This Row],[Task Name]]="","",IF(OR(TakeBaseline="Yes",N(Tasks[[#This Row],[Baseline Finish]])=0),Tasks[[#This Row],[Finish]],Tasks[[#This Row],[Baseline Finish]]))</f>
        <v/>
      </c>
      <c r="BO20" s="21" t="str">
        <f aca="false">IF(Tasks[[#This Row],[Task Name]]="","",IF(OR(TakeBaseline="Yes",N(Tasks[[#This Row],[Baseline Duration]])=0),Tasks[[#This Row],[_SpanDays]],Tasks[[#This Row],[Baseline Duration]]))</f>
        <v/>
      </c>
      <c r="BP20" s="86" t="str">
        <f aca="false">IF(Tasks[[#This Row],[Task Name]]="","",IF(OR(TakeBaseline="Yes",N(Tasks[[#This Row],[Baseline Work]])=0),Tasks[[#This Row],[Work]],Tasks[[#This Row],[Baseline Work]]))</f>
        <v/>
      </c>
      <c r="BQ20" s="7"/>
      <c r="BR20" s="7"/>
      <c r="BS20" s="22"/>
      <c r="BT20" s="88"/>
      <c r="BU20" s="23"/>
      <c r="BV20" s="23"/>
      <c r="BW20" s="23"/>
      <c r="BX20" s="89" t="str">
        <f aca="false">IF(AND(Tasks[[#This Row],[_IsLeaf]]=1,ISNUMBER(Tasks[[#This Row],[Optimistic]]),ISNUMBER(Tasks[[#This Row],[Pessimistic]])),ROUND((Tasks[[#This Row],[Optimistic]]+4*N(Tasks[[#This Row],[_Days]])+Tasks[[#This Row],[Pessimistic]])/6,1),"")</f>
        <v/>
      </c>
      <c r="BY20" s="87"/>
      <c r="BZ20" s="87"/>
      <c r="CA20" s="22"/>
      <c r="CB20" s="43" t="str">
        <f aca="false">IF(Tasks[[#This Row],[Task Name]]="","",MAX(1,N(Tasks[[#This Row],[Level]])))</f>
        <v/>
      </c>
      <c r="CC20" s="43" t="n">
        <f aca="false">ROW()-ROW(Tasks[[#Headers],[ID]])</f>
        <v>15</v>
      </c>
      <c r="CD20" s="43" t="n">
        <f aca="false">IF(OR(Tasks[[#This Row],[Task Name]]="",Tasks[[#This Row],[_Level]]&lt;=1),0,IFERROR(LOOKUP(2,1/(Tasks[[#Headers],[_Level]]:Tasks[[#This Row],[_Level]]=Tasks[[#This Row],[_Level]]-1),ROW(Tasks[[#Headers],[_Level]]:Tasks[[#This Row],[_Level]])),0))</f>
        <v>0</v>
      </c>
      <c r="CE20" s="43" t="n">
        <f aca="false">IFERROR(N(INDEX(Tasks[_Level],Tasks[[#This Row],[_Row]]+1)),0)</f>
        <v>0</v>
      </c>
      <c r="CF20" s="90" t="b">
        <f aca="false">AND(Tasks[[#This Row],[Task Name]]&lt;&gt;"",Tasks[[#This Row],[_NextLevel]]&gt;Tasks[[#This Row],[_Level]])</f>
        <v>0</v>
      </c>
      <c r="CG20" s="43" t="n">
        <f aca="false">IF(Tasks[[#This Row],[_IsSummary]],COUNTIF(Tasks[WBS],Tasks[[#This Row],[WBS]]&amp;".*"),0)</f>
        <v>0</v>
      </c>
      <c r="CH20" s="43" t="n">
        <f aca="false">IF(AND(Tasks[[#This Row],[Task Name]]&lt;&gt;"",NOT(Tasks[[#This Row],[_IsSummary]])),1,0)</f>
        <v>0</v>
      </c>
      <c r="CI20" s="43" t="n">
        <f aca="false">IF(N(Tasks[[#This Row],[_Pred1UID]])=0,0,IFERROR(MATCH(Tasks[[#This Row],[_Pred1UID]],Tasks[UID],0),-1))</f>
        <v>0</v>
      </c>
      <c r="CJ20" s="43" t="n">
        <f aca="false">IF(N(Tasks[[#This Row],[_Pred2UID]])=0,0,IFERROR(MATCH(Tasks[[#This Row],[_Pred2UID]],Tasks[UID],0),-1))</f>
        <v>0</v>
      </c>
      <c r="CK20" s="43" t="n">
        <f aca="false">IF(N(Tasks[[#This Row],[_Pred3UID]])=0,0,IFERROR(MATCH(Tasks[[#This Row],[_Pred3UID]],Tasks[UID],0),-1))</f>
        <v>0</v>
      </c>
      <c r="CL20" s="43" t="n">
        <f aca="false">IF(N(Tasks[[#This Row],[_Pred4UID]])=0,0,IFERROR(MATCH(Tasks[[#This Row],[_Pred4UID]],Tasks[UID],0),-1))</f>
        <v>0</v>
      </c>
      <c r="CM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 s="91" t="n">
        <f aca="false">IF(OR(Tasks[[#This Row],[_ConstraintCode]]=2,Tasks[[#This Row],[_ConstraintCode]]=3,Tasks[[#This Row],[_ConstraintCode]]=4,Tasks[[#This Row],[_ConstraintCode]]=6),Tasks[[#This Row],[_ConstraintStart]],0)</f>
        <v>0</v>
      </c>
      <c r="CP20" s="91" t="n">
        <f aca="false">IF(OR(Tasks[[#This Row],[_ConstraintCode]]=2,Tasks[[#This Row],[_ConstraintCode]]=3,Tasks[[#This Row],[_ConstraintCode]]=5,Tasks[[#This Row],[_ConstraintCode]]=7),Tasks[[#This Row],[_ConstraintStart]],2958465)</f>
        <v>2958465</v>
      </c>
      <c r="CQ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 s="91" t="str">
        <f aca="false">IF(NOT(Tasks[[#This Row],[_IsLeaf]]=1),"",IF(N(Tasks[[#This Row],[_Days]])&lt;=0,Tasks[[#This Row],[_LeafCalcStart]],WORKDAY.INTL(Tasks[[#This Row],[_LeafCalcStart]],Tasks[[#This Row],[_Days]]-1,WorkWeek,Holidays)))</f>
        <v/>
      </c>
      <c r="CS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 s="43" t="str">
        <f aca="false">IF(Tasks[[#This Row],[_Predecessors]]="","",TRIM(MID(SUBSTITUTE(SUBSTITUTE(SUBSTITUTE(UPPER(Tasks[[#This Row],[_Predecessors]]),";",",")," ",""),",",REPT(" ",99)),1,99)))</f>
        <v/>
      </c>
      <c r="CV20" s="43" t="str">
        <f aca="false">IF(Tasks[[#This Row],[_Pred1Text]]="","",IFERROR(VALUE(LEFT(Tasks[[#This Row],[_Pred1Text]],MIN(FIND("F",Tasks[[#This Row],[_Pred1Text]]&amp;"F"),FIND("S",Tasks[[#This Row],[_Pred1Text]]&amp;"S"),FIND("+",Tasks[[#This Row],[_Pred1Text]]&amp;"+"),FIND("-",Tasks[[#This Row],[_Pred1Text]]&amp;"-"))-1)),""))</f>
        <v/>
      </c>
      <c r="CW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 s="43" t="str">
        <f aca="false">IF(Tasks[[#This Row],[_Pred1Text]]="","",TRIM(MID(SUBSTITUTE(SUBSTITUTE(SUBSTITUTE(UPPER(Tasks[[#This Row],[_Predecessors]]),";",",")," ",""),",",REPT(" ",99)),100,99)))</f>
        <v/>
      </c>
      <c r="CZ20" s="43" t="str">
        <f aca="false">IF(Tasks[[#This Row],[_Pred2Text]]="","",IFERROR(VALUE(LEFT(Tasks[[#This Row],[_Pred2Text]],MIN(FIND("F",Tasks[[#This Row],[_Pred2Text]]&amp;"F"),FIND("S",Tasks[[#This Row],[_Pred2Text]]&amp;"S"),FIND("+",Tasks[[#This Row],[_Pred2Text]]&amp;"+"),FIND("-",Tasks[[#This Row],[_Pred2Text]]&amp;"-"))-1)),""))</f>
        <v/>
      </c>
      <c r="DA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 s="43" t="str">
        <f aca="false">IF(Tasks[[#This Row],[_Pred2Text]]="","",TRIM(MID(SUBSTITUTE(SUBSTITUTE(SUBSTITUTE(UPPER(Tasks[[#This Row],[_Predecessors]]),";",",")," ",""),",",REPT(" ",99)),199,99)))</f>
        <v/>
      </c>
      <c r="DD20" s="43" t="str">
        <f aca="false">IF(Tasks[[#This Row],[_Pred3Text]]="","",IFERROR(VALUE(LEFT(Tasks[[#This Row],[_Pred3Text]],MIN(FIND("F",Tasks[[#This Row],[_Pred3Text]]&amp;"F"),FIND("S",Tasks[[#This Row],[_Pred3Text]]&amp;"S"),FIND("+",Tasks[[#This Row],[_Pred3Text]]&amp;"+"),FIND("-",Tasks[[#This Row],[_Pred3Text]]&amp;"-"))-1)),""))</f>
        <v/>
      </c>
      <c r="DE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 s="43" t="str">
        <f aca="false">IF(Tasks[[#This Row],[_Pred3Text]]="","",TRIM(MID(SUBSTITUTE(SUBSTITUTE(SUBSTITUTE(UPPER(Tasks[[#This Row],[_Predecessors]]),";",",")," ",""),",",REPT(" ",99)),298,99)))</f>
        <v/>
      </c>
      <c r="DH20" s="43" t="str">
        <f aca="false">IF(Tasks[[#This Row],[_Pred4Text]]="","",IFERROR(VALUE(LEFT(Tasks[[#This Row],[_Pred4Text]],MIN(FIND("F",Tasks[[#This Row],[_Pred4Text]]&amp;"F"),FIND("S",Tasks[[#This Row],[_Pred4Text]]&amp;"S"),FIND("+",Tasks[[#This Row],[_Pred4Text]]&amp;"+"),FIND("-",Tasks[[#This Row],[_Pred4Text]]&amp;"-"))-1)),""))</f>
        <v/>
      </c>
      <c r="DI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 s="43" t="str">
        <f aca="false">IF(OR(Tasks[[#This Row],[Task Name]]="",Tasks[[#This Row],[_Resources]]=""),"",TRIM(MID(SUBSTITUTE(Tasks[[#This Row],[_Resources]],",",REPT(" ",99)),1,99)))</f>
        <v/>
      </c>
      <c r="DL20" s="43" t="str">
        <f aca="false">IF(Tasks[[#This Row],[_Res1Text]]="","",TRIM(MID(SUBSTITUTE(Tasks[[#This Row],[_Resources]],",",REPT(" ",99)),100,99)))</f>
        <v/>
      </c>
      <c r="DM20" s="43" t="str">
        <f aca="false">IF(Tasks[[#This Row],[_Res2Text]]="","",TRIM(MID(SUBSTITUTE(Tasks[[#This Row],[_Resources]],",",REPT(" ",99)),199,99)))</f>
        <v/>
      </c>
      <c r="DN20" s="43" t="str">
        <f aca="false">IF(Tasks[[#This Row],[_Res3Text]]="","",TRIM(MID(SUBSTITUTE(Tasks[[#This Row],[_Resources]],",",REPT(" ",99)),298,99)))</f>
        <v/>
      </c>
      <c r="DO20" s="43" t="n">
        <f aca="false">IF(Tasks[[#This Row],[_Res1Text]]="",0,IFERROR(MATCH(TRIM(LEFT(Tasks[[#This Row],[_Res1Text]],FIND("[",Tasks[[#This Row],[_Res1Text]]&amp;"[")-1)),res_Name,0),IFERROR(MATCH(TRIM(LEFT(Tasks[[#This Row],[_Res1Text]],FIND("[",Tasks[[#This Row],[_Res1Text]]&amp;"[")-1)),res_Initials,0),0)))</f>
        <v>0</v>
      </c>
      <c r="DP20" s="43" t="n">
        <f aca="false">IF(Tasks[[#This Row],[_Res2Text]]="",0,IFERROR(MATCH(TRIM(LEFT(Tasks[[#This Row],[_Res2Text]],FIND("[",Tasks[[#This Row],[_Res2Text]]&amp;"[")-1)),res_Name,0),IFERROR(MATCH(TRIM(LEFT(Tasks[[#This Row],[_Res2Text]],FIND("[",Tasks[[#This Row],[_Res2Text]]&amp;"[")-1)),res_Initials,0),0)))</f>
        <v>0</v>
      </c>
      <c r="DQ20" s="43" t="n">
        <f aca="false">IF(Tasks[[#This Row],[_Res3Text]]="",0,IFERROR(MATCH(TRIM(LEFT(Tasks[[#This Row],[_Res3Text]],FIND("[",Tasks[[#This Row],[_Res3Text]]&amp;"[")-1)),res_Name,0),IFERROR(MATCH(TRIM(LEFT(Tasks[[#This Row],[_Res3Text]],FIND("[",Tasks[[#This Row],[_Res3Text]]&amp;"[")-1)),res_Initials,0),0)))</f>
        <v>0</v>
      </c>
      <c r="DR20" s="43" t="n">
        <f aca="false">IF(Tasks[[#This Row],[_Res4Text]]="",0,IFERROR(MATCH(TRIM(LEFT(Tasks[[#This Row],[_Res4Text]],FIND("[",Tasks[[#This Row],[_Res4Text]]&amp;"[")-1)),res_Name,0),IFERROR(MATCH(TRIM(LEFT(Tasks[[#This Row],[_Res4Text]],FIND("[",Tasks[[#This Row],[_Res4Text]]&amp;"[")-1)),res_Initials,0),0)))</f>
        <v>0</v>
      </c>
      <c r="DS20" s="43" t="str">
        <f aca="false">IF(Tasks[[#This Row],[_Res1Text]]="","",IF(Tasks[[#This Row],[_Res1Row]]&gt;0,INDEX(res_Name,Tasks[[#This Row],[_Res1Row]]),TRIM(LEFT(Tasks[[#This Row],[_Res1Text]],FIND("[",Tasks[[#This Row],[_Res1Text]]&amp;"[")-1))))</f>
        <v/>
      </c>
      <c r="DT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 s="43" t="n">
        <f aca="false">IF(NOT(Tasks[[#This Row],[_IsLeaf]]=1),0,(Tasks[[#This Row],[_Resource1]]&lt;&gt;"")+(Tasks[[#This Row],[_Res2]]&lt;&gt;"")+(Tasks[[#This Row],[_Res3]]&lt;&gt;"")+(Tasks[[#This Row],[_Res4]]&lt;&gt;""))</f>
        <v>0</v>
      </c>
      <c r="DV20" s="43" t="str">
        <f aca="false">IF(Tasks[[#This Row],[_Res2Text]]="","",IF(Tasks[[#This Row],[_Res2Row]]&gt;0,INDEX(res_Name,Tasks[[#This Row],[_Res2Row]]),TRIM(LEFT(Tasks[[#This Row],[_Res2Text]],FIND("[",Tasks[[#This Row],[_Res2Text]]&amp;"[")-1))))</f>
        <v/>
      </c>
      <c r="DW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 s="43" t="n">
        <f aca="false">IF(OR(NOT(Tasks[[#This Row],[_IsLeaf]]=1),Tasks[[#This Row],[_Res2Row]]=0),0,N(Tasks[[#This Row],[_Days]])*HoursPerDay*IF(Tasks[[#This Row],[_Res2Units]]="",DefaultUnits,Tasks[[#This Row],[_Res2Units]]))</f>
        <v>0</v>
      </c>
      <c r="DY20" s="43" t="n">
        <f aca="false">IF(AND(AND(Tasks[[#This Row],[_IsLeaf]]=1,Tasks[[#This Row],[_LeafTotalWork]]&gt;0),Tasks[[#This Row],[_Res2Work]]&gt;0),Tasks[[#This Row],[_Res2Work]]/(Tasks[[#This Row],[_FinishWorkday]]-Tasks[[#This Row],[_StartWorkday]]+1),0)</f>
        <v>0</v>
      </c>
      <c r="DZ20" s="43" t="n">
        <f aca="false">Tasks[[#This Row],[_Res2WorkPerWD]]*MAX(0,Tasks[[#This Row],[_StartWorkday]]-1)</f>
        <v>0</v>
      </c>
      <c r="EA20" s="43" t="n">
        <f aca="false">Tasks[[#This Row],[_Res2Work]]*Tasks[[#This Row],[_LeafProgress]]</f>
        <v>0</v>
      </c>
      <c r="EB20" s="43" t="str">
        <f aca="false">IF(Tasks[[#This Row],[_Res3Text]]="","",IF(Tasks[[#This Row],[_Res3Row]]&gt;0,INDEX(res_Name,Tasks[[#This Row],[_Res3Row]]),TRIM(LEFT(Tasks[[#This Row],[_Res3Text]],FIND("[",Tasks[[#This Row],[_Res3Text]]&amp;"[")-1))))</f>
        <v/>
      </c>
      <c r="EC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 s="43" t="n">
        <f aca="false">IF(OR(NOT(Tasks[[#This Row],[_IsLeaf]]=1),Tasks[[#This Row],[_Res3Row]]=0),0,N(Tasks[[#This Row],[_Days]])*HoursPerDay*IF(Tasks[[#This Row],[_Res3Units]]="",DefaultUnits,Tasks[[#This Row],[_Res3Units]]))</f>
        <v>0</v>
      </c>
      <c r="EE20" s="43" t="n">
        <f aca="false">IF(AND(AND(Tasks[[#This Row],[_IsLeaf]]=1,Tasks[[#This Row],[_LeafTotalWork]]&gt;0),Tasks[[#This Row],[_Res3Work]]&gt;0),Tasks[[#This Row],[_Res3Work]]/(Tasks[[#This Row],[_FinishWorkday]]-Tasks[[#This Row],[_StartWorkday]]+1),0)</f>
        <v>0</v>
      </c>
      <c r="EF20" s="43" t="n">
        <f aca="false">Tasks[[#This Row],[_Res3WorkPerWD]]*MAX(0,Tasks[[#This Row],[_StartWorkday]]-1)</f>
        <v>0</v>
      </c>
      <c r="EG20" s="43" t="n">
        <f aca="false">Tasks[[#This Row],[_Res3Work]]*Tasks[[#This Row],[_LeafProgress]]</f>
        <v>0</v>
      </c>
      <c r="EH20" s="43" t="str">
        <f aca="false">IF(Tasks[[#This Row],[_Res4Text]]="","",IF(Tasks[[#This Row],[_Res4Row]]&gt;0,INDEX(res_Name,Tasks[[#This Row],[_Res4Row]]),TRIM(LEFT(Tasks[[#This Row],[_Res4Text]],FIND("[",Tasks[[#This Row],[_Res4Text]]&amp;"[")-1))))</f>
        <v/>
      </c>
      <c r="EI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 s="43" t="n">
        <f aca="false">IF(OR(NOT(Tasks[[#This Row],[_IsLeaf]]=1),Tasks[[#This Row],[_Res4Row]]=0),0,N(Tasks[[#This Row],[_Days]])*HoursPerDay*IF(Tasks[[#This Row],[_Res4Units]]="",DefaultUnits,Tasks[[#This Row],[_Res4Units]]))</f>
        <v>0</v>
      </c>
      <c r="EK20" s="43" t="n">
        <f aca="false">IF(AND(AND(Tasks[[#This Row],[_IsLeaf]]=1,Tasks[[#This Row],[_LeafTotalWork]]&gt;0),Tasks[[#This Row],[_Res4Work]]&gt;0),Tasks[[#This Row],[_Res4Work]]/(Tasks[[#This Row],[_FinishWorkday]]-Tasks[[#This Row],[_StartWorkday]]+1),0)</f>
        <v>0</v>
      </c>
      <c r="EL20" s="43" t="n">
        <f aca="false">Tasks[[#This Row],[_Res4WorkPerWD]]*MAX(0,Tasks[[#This Row],[_StartWorkday]]-1)</f>
        <v>0</v>
      </c>
      <c r="EM20" s="43" t="n">
        <f aca="false">Tasks[[#This Row],[_Res4Work]]*Tasks[[#This Row],[_LeafProgress]]</f>
        <v>0</v>
      </c>
      <c r="EN20" s="43" t="n">
        <f aca="false">IF(ISNUMBER(Tasks[[#This Row],[% Complete]]),Tasks[[#This Row],[% Complete]],IF(Tasks[[#This Row],[Stage]]="",0,IFERROR(INDEX(stg_Pct,MATCH(Tasks[[#This Row],[Stage]],stg_Name,0)),0)))</f>
        <v>0</v>
      </c>
      <c r="EO20" s="43" t="n">
        <f aca="false">IF(NOT(Tasks[[#This Row],[_IsLeaf]]=1),0,IF(N(Tasks[[#This Row],[Actual Finish]])&gt;0,1,MIN(1,Tasks[[#This Row],[_Pct]])))</f>
        <v>0</v>
      </c>
      <c r="EP20" s="43" t="n">
        <f aca="false">IF(OR(NOT(Tasks[[#This Row],[_IsLeaf]]=1),Tasks[[#This Row],[_Res1Row]]=0),0,N(Tasks[[#This Row],[_Days]])*HoursPerDay*IF(Tasks[[#This Row],[_Units1]]="",DefaultUnits,Tasks[[#This Row],[_Units1]]))</f>
        <v>0</v>
      </c>
      <c r="EQ20" s="43" t="n">
        <f aca="false">Tasks[[#This Row],[_LeafWork]]+Tasks[[#This Row],[_Res2Work]]+Tasks[[#This Row],[_Res3Work]]+Tasks[[#This Row],[_Res4Work]]</f>
        <v>0</v>
      </c>
      <c r="ER2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 s="43" t="n">
        <f aca="false">IF(NOT(Tasks[[#This Row],[_IsLeaf]]=1),0,MAX(_xlfn.MAXIFS(Tasks[_Row],Tasks[_Pred1UID],Tasks[[#This Row],[UID]]),_xlfn.MAXIFS(Tasks[_Row],Tasks[_Pred2UID],Tasks[[#This Row],[UID]]),_xlfn.MAXIFS(Tasks[_Row],Tasks[_Pred3UID],Tasks[[#This Row],[UID]]),_xlfn.MAXIFS(Tasks[_Row],Tasks[_Pred4UID],Tasks[[#This Row],[UID]])))</f>
        <v>0</v>
      </c>
      <c r="FA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 s="91" t="str">
        <f aca="false">IF(NOT(Tasks[[#This Row],[_IsLeaf]]=1),"",IF(N(Tasks[[#This Row],[_Days]])&lt;=0,Tasks[[#This Row],[_LeafLateFinish]],WORKDAY.INTL(Tasks[[#This Row],[_LeafLateFinish]],-(Tasks[[#This Row],[_Days]]-1),WorkWeek,Holidays)))</f>
        <v/>
      </c>
      <c r="FD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 s="90" t="b">
        <f aca="false">AND(Tasks[[#This Row],[_IsLeaf]]=1,Tasks[[#This Row],[_LeafProgress]]&lt;1,N(Tasks[[#This Row],[_LeafTotalSlack]])&lt;=CriticalSlackDays)</f>
        <v>0</v>
      </c>
      <c r="FF20" s="43" t="n">
        <f aca="false">IF(AND(Tasks[[#This Row],[_IsLeaf]]=1,Tasks[[#This Row],[_ConstraintCode]]=1,Tasks[[#This Row],[Mode]]&lt;&gt;"Manual",N(Tasks[[#This Row],[Actual Start]])=0),MAX(0,N(Tasks[[#This Row],[Free Slack]])),0)</f>
        <v>0</v>
      </c>
      <c r="FG20" s="91" t="str">
        <f aca="false">IF(NOT(Tasks[[#This Row],[_IsLeaf]]=1),"",IF(Tasks[[#This Row],[_AlapShift]]=0,Tasks[[#This Row],[_LeafCalcStart]],WORKDAY.INTL(Tasks[[#This Row],[_LeafCalcStart]],Tasks[[#This Row],[_AlapShift]],WorkWeek,Holidays)))</f>
        <v/>
      </c>
      <c r="FH20" s="91" t="str">
        <f aca="false">IF(NOT(Tasks[[#This Row],[_IsLeaf]]=1),"",IF(Tasks[[#This Row],[_AlapShift]]=0,Tasks[[#This Row],[_LeafCalcFinish]],WORKDAY.INTL(Tasks[[#This Row],[_LeafCalcFinish]],Tasks[[#This Row],[_AlapShift]],WorkWeek,Holidays)))</f>
        <v/>
      </c>
      <c r="FI20" s="91" t="str">
        <f aca="false">IF(NOT(Tasks[[#This Row],[_IsLeaf]]=1),"",IF(Tasks[[#This Row],[_AlapShift]]=0,Tasks[[#This Row],[_LeafFcstStart]],WORKDAY.INTL(Tasks[[#This Row],[_LeafFcstStart]],Tasks[[#This Row],[_AlapShift]],WorkWeek,Holidays)))</f>
        <v/>
      </c>
      <c r="FJ20" s="91" t="str">
        <f aca="false">IF(NOT(Tasks[[#This Row],[_IsLeaf]]=1),"",IF(Tasks[[#This Row],[_AlapShift]]=0,Tasks[[#This Row],[_LeafFcstFinish]],WORKDAY.INTL(Tasks[[#This Row],[_LeafFcstFinish]],Tasks[[#This Row],[_AlapShift]],WorkWeek,Holidays)))</f>
        <v/>
      </c>
      <c r="FK20" s="91" t="str">
        <f aca="false">IF(Tasks[[#This Row],[Task Name]]="","",IF(Tasks[[#This Row],[_IsSummary]],MIN(INDEX(Tasks[_ShownCalcStart],Tasks[[#This Row],[_Row]]+1):INDEX(Tasks[_ShownCalcStart],Tasks[[#This Row],[_Row]]+Tasks[[#This Row],[_Descendants]])),Tasks[[#This Row],[_ShownCalcStart]]))</f>
        <v/>
      </c>
      <c r="FL20" s="91" t="str">
        <f aca="false">IF(Tasks[[#This Row],[Task Name]]="","",IF(Tasks[[#This Row],[_IsSummary]],MAX(INDEX(Tasks[_ShownCalcFinish],Tasks[[#This Row],[_Row]]+1):INDEX(Tasks[_ShownCalcFinish],Tasks[[#This Row],[_Row]]+Tasks[[#This Row],[_Descendants]])),Tasks[[#This Row],[_ShownCalcFinish]]))</f>
        <v/>
      </c>
      <c r="FM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 s="43" t="n">
        <f aca="false">IF(AND(Tasks[[#This Row],[_IsLeaf]]=1,Tasks[[#This Row],[_LeafTotalWork]]&gt;0),NETWORKDAYS.INTL(ProjectStart,Tasks[[#This Row],[_ShownFcstStart]],WorkWeek,Holidays),0)</f>
        <v>0</v>
      </c>
      <c r="FZ20" s="43" t="n">
        <f aca="false">IF(AND(Tasks[[#This Row],[_IsLeaf]]=1,Tasks[[#This Row],[_LeafTotalWork]]&gt;0),MAX(Tasks[[#This Row],[_StartWorkday]],NETWORKDAYS.INTL(ProjectStart,Tasks[[#This Row],[_ShownFcstFinish]],WorkWeek,Holidays)),0)</f>
        <v>0</v>
      </c>
      <c r="GA20" s="43" t="n">
        <f aca="false">IF(AND(Tasks[[#This Row],[_IsLeaf]]=1,Tasks[[#This Row],[_LeafTotalWork]]&gt;0),Tasks[[#This Row],[_LeafWork]]/(Tasks[[#This Row],[_FinishWorkday]]-Tasks[[#This Row],[_StartWorkday]]+1),0)</f>
        <v>0</v>
      </c>
      <c r="GB20" s="43" t="n">
        <f aca="false">Tasks[[#This Row],[_WorkPerWorkday]]*(Tasks[[#This Row],[_StartWorkday]]-1)</f>
        <v>-0</v>
      </c>
      <c r="GC20" s="43" t="n">
        <f aca="false">IF(Tasks[[#This Row],[_IsLeaf]]=1,MAX(N(Tasks[[#This Row],[_Days]]),0.1),0)</f>
        <v>0</v>
      </c>
      <c r="GD20" s="43" t="n">
        <f aca="false">Tasks[[#This Row],[_WeightDur]]*Tasks[[#This Row],[_LeafProgress]]</f>
        <v>0</v>
      </c>
      <c r="GE20" s="43" t="n">
        <f aca="false">Tasks[[#This Row],[_WeightDur]]*Tasks[[#This Row],[_PlannedPct]]</f>
        <v>0</v>
      </c>
      <c r="GF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 s="43" t="str">
        <f aca="false">IF(AND(Tasks[[#This Row],[_IsLeaf]]=1,N(Tasks[[#This Row],[_Days]])=0,Tasks[[#This Row],[_LeafProgress]]&lt;1),Tasks[[#This Row],[_ShownFcstFinish]]+Tasks[[#This Row],[_Row]]/100000,"")</f>
        <v/>
      </c>
      <c r="GH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 s="43" t="str">
        <f aca="false">IF(Tasks[[#This Row],[Task Name]]="","",LEFT(Tasks[[#This Row],[WBS]],FIND(".",Tasks[[#This Row],[WBS]]&amp;".")-1))</f>
        <v/>
      </c>
      <c r="GJ20" s="43" t="str">
        <f aca="false">IF(AND(Tasks[[#This Row],[Task Name]]&lt;&gt;"",Tasks[[#This Row],[_Level]]=1),Tasks[[#This Row],[_Row]],"")</f>
        <v/>
      </c>
      <c r="GK20" s="43" t="str">
        <f aca="false">IF(AND(Tasks[[#This Row],[_IsLeaf]]=1,N(Tasks[[#This Row],[_Days]])=0),Tasks[[#This Row],[Planned Finish]]+Tasks[[#This Row],[_Row]]/100000,"")</f>
        <v/>
      </c>
      <c r="GL20" s="43" t="str">
        <f aca="false">IF(AND(Tasks[[#This Row],[_IsLeaf]]=1,Tasks[[#This Row],[_LeafProgress]]&lt;1,OR(N(Tasks[[#This Row],[Finish Var]])&gt;0,Tasks[[#This Row],[Status]]="Late Start")),MAX(0,Tasks[[#This Row],[Finish Var]])+1-Tasks[[#This Row],[_Row]]/1000000,"")</f>
        <v/>
      </c>
      <c r="GM20" s="43" t="str">
        <f aca="false">IF(AND(Tasks[[#This Row],[_IsLeaf]]=1,N(Tasks[[#This Row],[Actual Start]])=0,Tasks[[#This Row],[_ShownFcstStart]]&gt;=StatusDate,Tasks[[#This Row],[_ShownFcstStart]]&lt;=LookaheadEnd),Tasks[[#This Row],[_ShownFcstStart]]+Tasks[[#This Row],[_Row]]/100000,"")</f>
        <v/>
      </c>
      <c r="GN20" s="43" t="str">
        <f aca="false">IF(AND(Tasks[[#This Row],[_IsLeaf]]=1,Tasks[[#This Row],[_LeafProgress]]&lt;1,Tasks[[#This Row],[_ShownFcstFinish]]&gt;=StatusDate,Tasks[[#This Row],[_ShownFcstFinish]]&lt;=LookaheadEnd),Tasks[[#This Row],[_ShownFcstFinish]]+Tasks[[#This Row],[_Row]]/100000,"")</f>
        <v/>
      </c>
      <c r="GO20" s="43" t="str">
        <f aca="false">IF(Tasks[[#This Row],[_LeafCritical]],Tasks[[#This Row],[_ShownFcstStart]]+Tasks[[#This Row],[_Row]]/100000,"")</f>
        <v/>
      </c>
      <c r="GP20" s="43" t="n">
        <f aca="false">Tasks[[#This Row],[_LeafWork]]*Tasks[[#This Row],[_LeafProgress]]</f>
        <v>0</v>
      </c>
      <c r="GQ20" s="91" t="str">
        <f aca="false">IF(AND(Tasks[[#This Row],[_IsLeaf]]=1,Tasks[[#This Row],[_LeafProgress]]&gt;=1),IF(N(Tasks[[#This Row],[Actual Finish]])&gt;0,Tasks[[#This Row],[Actual Finish]],Tasks[[#This Row],[_ShownFcstFinish]]),"")</f>
        <v/>
      </c>
      <c r="GR20" s="43" t="n">
        <f aca="false">IF(Tasks[[#This Row],[_IsLeaf]]=1,N(Tasks[[#This Row],[Story Points]]),0)</f>
        <v>0</v>
      </c>
      <c r="GS20" s="43" t="str">
        <f aca="false">""</f>
        <v/>
      </c>
      <c r="GT20" s="90" t="b">
        <f aca="false">IF(Tasks[[#This Row],[Task Name]]="",FALSE(),AND(Tasks[[#This Row],[_IsLeaf]]=1,N(Tasks[[#This Row],[_Days]])=0))</f>
        <v>0</v>
      </c>
      <c r="GU20" s="91" t="n">
        <f aca="false">IF(Tasks[[#This Row],[Task Name]]="",0,IF(AND(Tasks[[#This Row],[_IsLeaf]]=1,NOT(Tasks[[#This Row],[_IsMilestone]]),N(Tasks[[#This Row],[Progress]])&gt;0),Tasks[[#This Row],[Start]],0))</f>
        <v>0</v>
      </c>
      <c r="GV20" s="91" t="n">
        <f aca="false">IF(Tasks[[#This Row],[_DoneFrom]]=0,0,IF(Tasks[[#This Row],[Progress]]&gt;=1,Tasks[[#This Row],[Finish]],MAX(Tasks[[#This Row],[_DoneFrom]],Tasks[[#This Row],[Start]]+ROUND((Tasks[[#This Row],[Finish]]-Tasks[[#This Row],[Start]]+1)*Tasks[[#This Row],[Progress]],0)-1)))</f>
        <v>0</v>
      </c>
      <c r="GW20" s="91" t="n">
        <f aca="false">IF(Tasks[[#This Row],[Task Name]]="",0,IF(OR(NOT(Tasks[[#This Row],[_IsLeaf]]=1),Tasks[[#This Row],[_IsMilestone]],N(Tasks[[#This Row],[Progress]])&gt;=1),0,IF(Tasks[[#This Row],[_DoneTo]]&gt;0,Tasks[[#This Row],[_DoneTo]]+1,Tasks[[#This Row],[Start]])))</f>
        <v>0</v>
      </c>
      <c r="GX20" s="91" t="n">
        <f aca="false">IF(Tasks[[#This Row],[_RemFrom]]=0,0,Tasks[[#This Row],[Finish]])</f>
        <v>0</v>
      </c>
      <c r="GY20" s="90" t="b">
        <f aca="false">IF(Tasks[[#This Row],[Task Name]]="",FALSE(),OR(NOT(BaselineSet),N(Tasks[[#This Row],[Baseline Start]])&gt;0))</f>
        <v>0</v>
      </c>
      <c r="GZ2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 s="92" t="str">
        <f aca="false">IF(Tasks[[#This Row],[_IsLeaf]]=1,Tasks[[#This Row],[_Row]],"")</f>
        <v/>
      </c>
      <c r="HD20" s="92" t="str">
        <f aca="false">IFERROR(INDEX(Tasks[UID],SMALL(Tasks[_PickKey],Tasks[[#This Row],[_Row]]))&amp;" "&amp;INDEX(Tasks[Task Name],SMALL(Tasks[_PickKey],Tasks[[#This Row],[_Row]])),"")</f>
        <v/>
      </c>
      <c r="HE20" s="43" t="str">
        <f aca="false">IF(Tasks[[#This Row],[Task Name]]="","",IF(Tasks[[#This Row],[_IsSummary]],NETWORKDAYS.INTL(Tasks[[#This Row],[Start]],Tasks[[#This Row],[Finish]],WorkWeek,Holidays),N(Tasks[[#This Row],[_Days]])))</f>
        <v/>
      </c>
      <c r="HF20" s="43" t="n">
        <f aca="false">IF(Tasks[[#This Row],[Expected]]="",0,((Tasks[[#This Row],[Pessimistic]]-Tasks[[#This Row],[Optimistic]])/6)^2)</f>
        <v>0</v>
      </c>
      <c r="HG20" s="43" t="n">
        <f aca="false">IF(Tasks[[#This Row],[Expected]]="",0,Tasks[[#This Row],[Expected]]-N(Tasks[[#This Row],[_Days]]))</f>
        <v>0</v>
      </c>
    </row>
    <row r="21" customFormat="false" ht="15" hidden="false" customHeight="false" outlineLevel="0" collapsed="false">
      <c r="A21" s="21" t="str">
        <f aca="false">IF(Tasks[[#This Row],[Task Name]]="","",COUNTA(Tasks[[#Headers],[Task Name]]:Tasks[[#This Row],[Task Name]])-1)</f>
        <v/>
      </c>
      <c r="B21" s="22" t="n">
        <v>29</v>
      </c>
      <c r="C21" s="22"/>
      <c r="D21" s="23"/>
      <c r="E21" s="22"/>
      <c r="F21" s="23"/>
      <c r="G21" s="22"/>
      <c r="H21" s="22"/>
      <c r="I21" s="23"/>
      <c r="J21" s="22"/>
      <c r="K21" s="22"/>
      <c r="L21" s="23"/>
      <c r="M21" s="22"/>
      <c r="N21" s="22"/>
      <c r="O21" s="23"/>
      <c r="P21" s="22"/>
      <c r="Q21" s="22"/>
      <c r="R21" s="23"/>
      <c r="S21" s="23"/>
      <c r="T21" s="84"/>
      <c r="U21" s="23"/>
      <c r="V21" s="84"/>
      <c r="W21" s="23"/>
      <c r="X21" s="84"/>
      <c r="Y21" s="23"/>
      <c r="Z21" s="84"/>
      <c r="AA21" s="23"/>
      <c r="AB21" s="23"/>
      <c r="AC21" s="7"/>
      <c r="AD21" s="7"/>
      <c r="AE21" s="63" t="str">
        <f aca="false">IF(Tasks[[#This Row],[Task Name]]="","",IF(Tasks[[#This Row],[_IsSummary]],MIN(INDEX(Tasks[_ShownFcstStart],Tasks[[#This Row],[_Row]]+1):INDEX(Tasks[_ShownFcstStart],Tasks[[#This Row],[_Row]]+Tasks[[#This Row],[_Descendants]])),Tasks[[#This Row],[_ShownFcstStart]]))</f>
        <v/>
      </c>
      <c r="AF21" s="63" t="str">
        <f aca="false">IF(Tasks[[#This Row],[Task Name]]="","",IF(Tasks[[#This Row],[_IsSummary]],MAX(INDEX(Tasks[_ShownFcstFinish],Tasks[[#This Row],[_Row]]+1):INDEX(Tasks[_ShownFcstFinish],Tasks[[#This Row],[_Row]]+Tasks[[#This Row],[_Descendants]])),Tasks[[#This Row],[_ShownFcstFinish]]))</f>
        <v/>
      </c>
      <c r="AG21" s="21" t="str">
        <f aca="false">""</f>
        <v/>
      </c>
      <c r="AH21" s="23"/>
      <c r="AI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1" s="7"/>
      <c r="AK21" s="22"/>
      <c r="AL21" s="23"/>
      <c r="AM21" s="7"/>
      <c r="AN21" s="47" t="str">
        <f aca="false">IF(Tasks[[#This Row],[Task Name]]="","",IF(Tasks[[#This Row],[Finish]]&gt;=Tasks[[#This Row],[Planned Finish]],NETWORKDAYS.INTL(Tasks[[#This Row],[Planned Finish]],Tasks[[#This Row],[Finish]],WorkWeek,Holidays)-1,1-NETWORKDAYS.INTL(Tasks[[#This Row],[Finish]],Tasks[[#This Row],[Planned Finish]],WorkWeek,Holidays)))</f>
        <v/>
      </c>
      <c r="AO21" s="21" t="str">
        <f aca="false">IF(Tasks[[#This Row],[Task Name]]="","",IF(Tasks[[#This Row],[Progress]]&gt;=1,"Complete",IF(OR(N(Tasks[[#This Row],[Actual Start]])&gt;0,Tasks[[#This Row],[Progress]]&gt;0),IF(Tasks[[#This Row],[Finish Var]]&gt;0,"Behind","In Progress"),IF(Tasks[[#This Row],[Planned Start]]&lt;StatusDate,"Late Start","Not Started"))))</f>
        <v/>
      </c>
      <c r="AP21" s="21" t="str">
        <f aca="false">IF(Tasks[[#This Row],[Task Name]]="","",IF(IF(Tasks[[#This Row],[_IsSummary]],COUNTIF(INDEX(Tasks[_LeafCritical],Tasks[[#This Row],[_Row]]+1):INDEX(Tasks[_LeafCritical],Tasks[[#This Row],[_Row]]+Tasks[[#This Row],[_Descendants]]),TRUE())&gt;0,Tasks[[#This Row],[_LeafCritical]]),"Yes",""))</f>
        <v/>
      </c>
      <c r="AQ21" s="63" t="str">
        <f aca="false">IF(Tasks[[#This Row],[Task Name]]="","",IF(N(Tasks[[#This Row],[Baseline Start]])&gt;0,Tasks[[#This Row],[Baseline Start]],Tasks[[#This Row],[_CalcStart]]))</f>
        <v/>
      </c>
      <c r="AR21" s="63" t="str">
        <f aca="false">IF(Tasks[[#This Row],[Task Name]]="","",IF(N(Tasks[[#This Row],[Baseline Finish]])&gt;0,Tasks[[#This Row],[Baseline Finish]],Tasks[[#This Row],[_CalcFinish]]))</f>
        <v/>
      </c>
      <c r="AS21" s="47" t="str">
        <f aca="false">IF(Tasks[[#This Row],[Task Name]]="","",IF(Tasks[[#This Row],[Start]]&gt;=Tasks[[#This Row],[Planned Start]],NETWORKDAYS.INTL(Tasks[[#This Row],[Planned Start]],Tasks[[#This Row],[Start]],WorkWeek,Holidays)-1,1-NETWORKDAYS.INTL(Tasks[[#This Row],[Start]],Tasks[[#This Row],[Planned Start]],WorkWeek,Holidays)))</f>
        <v/>
      </c>
      <c r="AT21" s="63" t="str">
        <f aca="false">IF(Tasks[[#This Row],[Task Name]]="","",IF(Tasks[[#This Row],[_IsSummary]],MIN(INDEX(Tasks[_LeafLateStart],Tasks[[#This Row],[_Row]]+1):INDEX(Tasks[_LeafLateStart],Tasks[[#This Row],[_Row]]+Tasks[[#This Row],[_Descendants]])),Tasks[[#This Row],[_LeafLateStart]]))</f>
        <v/>
      </c>
      <c r="AU21" s="63" t="str">
        <f aca="false">IF(Tasks[[#This Row],[Task Name]]="","",IF(Tasks[[#This Row],[_IsSummary]],MAX(INDEX(Tasks[_LeafLateFinish],Tasks[[#This Row],[_Row]]+1):INDEX(Tasks[_LeafLateFinish],Tasks[[#This Row],[_Row]]+Tasks[[#This Row],[_Descendants]])),Tasks[[#This Row],[_LeafLateFinish]]))</f>
        <v/>
      </c>
      <c r="AV21" s="47" t="str">
        <f aca="false">IF(Tasks[[#This Row],[Task Name]]="","",IF(Tasks[[#This Row],[_IsSummary]],MIN(INDEX(Tasks[_LeafTotalSlack],Tasks[[#This Row],[_Row]]+1):INDEX(Tasks[_LeafTotalSlack],Tasks[[#This Row],[_Row]]+Tasks[[#This Row],[_Descendants]])),Tasks[[#This Row],[_LeafTotalSlack]]))</f>
        <v/>
      </c>
      <c r="AW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5"/>
      <c r="BA2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t="str">
        <f aca="false">IF(Tasks[[#This Row],[Task Name]]="","",IF(Tasks[[#This Row],[_Level]]&lt;=OutlineShowLevel,"Yes","No"))</f>
        <v/>
      </c>
      <c r="BE21" s="86" t="str">
        <f aca="false">IF(Tasks[[#This Row],[Task Name]]="","",IF(Tasks[[#This Row],[_IsSummary]],SUM(INDEX(Tasks[_LeafTotalWork],Tasks[[#This Row],[_Row]]+1):INDEX(Tasks[_LeafTotalWork],Tasks[[#This Row],[_Row]]+Tasks[[#This Row],[_Descendants]])),Tasks[[#This Row],[_LeafTotalWork]]))</f>
        <v/>
      </c>
      <c r="BF21" s="23"/>
      <c r="BG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t="str">
        <f aca="false">""</f>
        <v/>
      </c>
      <c r="BI21" s="87"/>
      <c r="BJ21" s="22"/>
      <c r="BK21" s="47" t="str">
        <f aca="false">IF(OR(Tasks[[#This Row],[Task Name]]="",Tasks[[#This Row],[Baseline Duration]]=""),"",Tasks[[#This Row],[_SpanDays]]-N(Tasks[[#This Row],[Baseline Duration]]))</f>
        <v/>
      </c>
      <c r="BL21" s="86" t="str">
        <f aca="false">IF(OR(Tasks[[#This Row],[Task Name]]="",Tasks[[#This Row],[Baseline Work]]=""),"",Tasks[[#This Row],[Work]]-N(Tasks[[#This Row],[Baseline Work]]))</f>
        <v/>
      </c>
      <c r="BM21" s="63" t="str">
        <f aca="false">IF(Tasks[[#This Row],[Task Name]]="","",IF(OR(TakeBaseline="Yes",N(Tasks[[#This Row],[Baseline Start]])=0),Tasks[[#This Row],[Start]],Tasks[[#This Row],[Baseline Start]]))</f>
        <v/>
      </c>
      <c r="BN21" s="63" t="str">
        <f aca="false">IF(Tasks[[#This Row],[Task Name]]="","",IF(OR(TakeBaseline="Yes",N(Tasks[[#This Row],[Baseline Finish]])=0),Tasks[[#This Row],[Finish]],Tasks[[#This Row],[Baseline Finish]]))</f>
        <v/>
      </c>
      <c r="BO21" s="21" t="str">
        <f aca="false">IF(Tasks[[#This Row],[Task Name]]="","",IF(OR(TakeBaseline="Yes",N(Tasks[[#This Row],[Baseline Duration]])=0),Tasks[[#This Row],[_SpanDays]],Tasks[[#This Row],[Baseline Duration]]))</f>
        <v/>
      </c>
      <c r="BP21" s="86" t="str">
        <f aca="false">IF(Tasks[[#This Row],[Task Name]]="","",IF(OR(TakeBaseline="Yes",N(Tasks[[#This Row],[Baseline Work]])=0),Tasks[[#This Row],[Work]],Tasks[[#This Row],[Baseline Work]]))</f>
        <v/>
      </c>
      <c r="BQ21" s="7"/>
      <c r="BR21" s="7"/>
      <c r="BS21" s="22"/>
      <c r="BT21" s="88"/>
      <c r="BU21" s="23"/>
      <c r="BV21" s="23"/>
      <c r="BW21" s="23"/>
      <c r="BX21" s="89" t="str">
        <f aca="false">IF(AND(Tasks[[#This Row],[_IsLeaf]]=1,ISNUMBER(Tasks[[#This Row],[Optimistic]]),ISNUMBER(Tasks[[#This Row],[Pessimistic]])),ROUND((Tasks[[#This Row],[Optimistic]]+4*N(Tasks[[#This Row],[_Days]])+Tasks[[#This Row],[Pessimistic]])/6,1),"")</f>
        <v/>
      </c>
      <c r="BY21" s="87"/>
      <c r="BZ21" s="87"/>
      <c r="CA21" s="22"/>
      <c r="CB21" s="43" t="str">
        <f aca="false">IF(Tasks[[#This Row],[Task Name]]="","",MAX(1,N(Tasks[[#This Row],[Level]])))</f>
        <v/>
      </c>
      <c r="CC21" s="43" t="n">
        <f aca="false">ROW()-ROW(Tasks[[#Headers],[ID]])</f>
        <v>16</v>
      </c>
      <c r="CD21" s="43" t="n">
        <f aca="false">IF(OR(Tasks[[#This Row],[Task Name]]="",Tasks[[#This Row],[_Level]]&lt;=1),0,IFERROR(LOOKUP(2,1/(Tasks[[#Headers],[_Level]]:Tasks[[#This Row],[_Level]]=Tasks[[#This Row],[_Level]]-1),ROW(Tasks[[#Headers],[_Level]]:Tasks[[#This Row],[_Level]])),0))</f>
        <v>0</v>
      </c>
      <c r="CE21" s="43" t="n">
        <f aca="false">IFERROR(N(INDEX(Tasks[_Level],Tasks[[#This Row],[_Row]]+1)),0)</f>
        <v>0</v>
      </c>
      <c r="CF21" s="90" t="b">
        <f aca="false">AND(Tasks[[#This Row],[Task Name]]&lt;&gt;"",Tasks[[#This Row],[_NextLevel]]&gt;Tasks[[#This Row],[_Level]])</f>
        <v>0</v>
      </c>
      <c r="CG21" s="43" t="n">
        <f aca="false">IF(Tasks[[#This Row],[_IsSummary]],COUNTIF(Tasks[WBS],Tasks[[#This Row],[WBS]]&amp;".*"),0)</f>
        <v>0</v>
      </c>
      <c r="CH21" s="43" t="n">
        <f aca="false">IF(AND(Tasks[[#This Row],[Task Name]]&lt;&gt;"",NOT(Tasks[[#This Row],[_IsSummary]])),1,0)</f>
        <v>0</v>
      </c>
      <c r="CI21" s="43" t="n">
        <f aca="false">IF(N(Tasks[[#This Row],[_Pred1UID]])=0,0,IFERROR(MATCH(Tasks[[#This Row],[_Pred1UID]],Tasks[UID],0),-1))</f>
        <v>0</v>
      </c>
      <c r="CJ21" s="43" t="n">
        <f aca="false">IF(N(Tasks[[#This Row],[_Pred2UID]])=0,0,IFERROR(MATCH(Tasks[[#This Row],[_Pred2UID]],Tasks[UID],0),-1))</f>
        <v>0</v>
      </c>
      <c r="CK21" s="43" t="n">
        <f aca="false">IF(N(Tasks[[#This Row],[_Pred3UID]])=0,0,IFERROR(MATCH(Tasks[[#This Row],[_Pred3UID]],Tasks[UID],0),-1))</f>
        <v>0</v>
      </c>
      <c r="CL21" s="43" t="n">
        <f aca="false">IF(N(Tasks[[#This Row],[_Pred4UID]])=0,0,IFERROR(MATCH(Tasks[[#This Row],[_Pred4UID]],Tasks[UID],0),-1))</f>
        <v>0</v>
      </c>
      <c r="CM2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1" s="91" t="n">
        <f aca="false">IF(OR(Tasks[[#This Row],[_ConstraintCode]]=2,Tasks[[#This Row],[_ConstraintCode]]=3,Tasks[[#This Row],[_ConstraintCode]]=4,Tasks[[#This Row],[_ConstraintCode]]=6),Tasks[[#This Row],[_ConstraintStart]],0)</f>
        <v>0</v>
      </c>
      <c r="CP21" s="91" t="n">
        <f aca="false">IF(OR(Tasks[[#This Row],[_ConstraintCode]]=2,Tasks[[#This Row],[_ConstraintCode]]=3,Tasks[[#This Row],[_ConstraintCode]]=5,Tasks[[#This Row],[_ConstraintCode]]=7),Tasks[[#This Row],[_ConstraintStart]],2958465)</f>
        <v>2958465</v>
      </c>
      <c r="CQ2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1" s="91" t="str">
        <f aca="false">IF(NOT(Tasks[[#This Row],[_IsLeaf]]=1),"",IF(N(Tasks[[#This Row],[_Days]])&lt;=0,Tasks[[#This Row],[_LeafCalcStart]],WORKDAY.INTL(Tasks[[#This Row],[_LeafCalcStart]],Tasks[[#This Row],[_Days]]-1,WorkWeek,Holidays)))</f>
        <v/>
      </c>
      <c r="CS2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1" s="43" t="str">
        <f aca="false">IF(Tasks[[#This Row],[_Predecessors]]="","",TRIM(MID(SUBSTITUTE(SUBSTITUTE(SUBSTITUTE(UPPER(Tasks[[#This Row],[_Predecessors]]),";",",")," ",""),",",REPT(" ",99)),1,99)))</f>
        <v/>
      </c>
      <c r="CV21" s="43" t="str">
        <f aca="false">IF(Tasks[[#This Row],[_Pred1Text]]="","",IFERROR(VALUE(LEFT(Tasks[[#This Row],[_Pred1Text]],MIN(FIND("F",Tasks[[#This Row],[_Pred1Text]]&amp;"F"),FIND("S",Tasks[[#This Row],[_Pred1Text]]&amp;"S"),FIND("+",Tasks[[#This Row],[_Pred1Text]]&amp;"+"),FIND("-",Tasks[[#This Row],[_Pred1Text]]&amp;"-"))-1)),""))</f>
        <v/>
      </c>
      <c r="CW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1" s="43" t="str">
        <f aca="false">IF(Tasks[[#This Row],[_Pred1Text]]="","",TRIM(MID(SUBSTITUTE(SUBSTITUTE(SUBSTITUTE(UPPER(Tasks[[#This Row],[_Predecessors]]),";",",")," ",""),",",REPT(" ",99)),100,99)))</f>
        <v/>
      </c>
      <c r="CZ21" s="43" t="str">
        <f aca="false">IF(Tasks[[#This Row],[_Pred2Text]]="","",IFERROR(VALUE(LEFT(Tasks[[#This Row],[_Pred2Text]],MIN(FIND("F",Tasks[[#This Row],[_Pred2Text]]&amp;"F"),FIND("S",Tasks[[#This Row],[_Pred2Text]]&amp;"S"),FIND("+",Tasks[[#This Row],[_Pred2Text]]&amp;"+"),FIND("-",Tasks[[#This Row],[_Pred2Text]]&amp;"-"))-1)),""))</f>
        <v/>
      </c>
      <c r="DA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1" s="43" t="str">
        <f aca="false">IF(Tasks[[#This Row],[_Pred2Text]]="","",TRIM(MID(SUBSTITUTE(SUBSTITUTE(SUBSTITUTE(UPPER(Tasks[[#This Row],[_Predecessors]]),";",",")," ",""),",",REPT(" ",99)),199,99)))</f>
        <v/>
      </c>
      <c r="DD21" s="43" t="str">
        <f aca="false">IF(Tasks[[#This Row],[_Pred3Text]]="","",IFERROR(VALUE(LEFT(Tasks[[#This Row],[_Pred3Text]],MIN(FIND("F",Tasks[[#This Row],[_Pred3Text]]&amp;"F"),FIND("S",Tasks[[#This Row],[_Pred3Text]]&amp;"S"),FIND("+",Tasks[[#This Row],[_Pred3Text]]&amp;"+"),FIND("-",Tasks[[#This Row],[_Pred3Text]]&amp;"-"))-1)),""))</f>
        <v/>
      </c>
      <c r="DE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1" s="43" t="str">
        <f aca="false">IF(Tasks[[#This Row],[_Pred3Text]]="","",TRIM(MID(SUBSTITUTE(SUBSTITUTE(SUBSTITUTE(UPPER(Tasks[[#This Row],[_Predecessors]]),";",",")," ",""),",",REPT(" ",99)),298,99)))</f>
        <v/>
      </c>
      <c r="DH21" s="43" t="str">
        <f aca="false">IF(Tasks[[#This Row],[_Pred4Text]]="","",IFERROR(VALUE(LEFT(Tasks[[#This Row],[_Pred4Text]],MIN(FIND("F",Tasks[[#This Row],[_Pred4Text]]&amp;"F"),FIND("S",Tasks[[#This Row],[_Pred4Text]]&amp;"S"),FIND("+",Tasks[[#This Row],[_Pred4Text]]&amp;"+"),FIND("-",Tasks[[#This Row],[_Pred4Text]]&amp;"-"))-1)),""))</f>
        <v/>
      </c>
      <c r="DI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1" s="43" t="str">
        <f aca="false">IF(OR(Tasks[[#This Row],[Task Name]]="",Tasks[[#This Row],[_Resources]]=""),"",TRIM(MID(SUBSTITUTE(Tasks[[#This Row],[_Resources]],",",REPT(" ",99)),1,99)))</f>
        <v/>
      </c>
      <c r="DL21" s="43" t="str">
        <f aca="false">IF(Tasks[[#This Row],[_Res1Text]]="","",TRIM(MID(SUBSTITUTE(Tasks[[#This Row],[_Resources]],",",REPT(" ",99)),100,99)))</f>
        <v/>
      </c>
      <c r="DM21" s="43" t="str">
        <f aca="false">IF(Tasks[[#This Row],[_Res2Text]]="","",TRIM(MID(SUBSTITUTE(Tasks[[#This Row],[_Resources]],",",REPT(" ",99)),199,99)))</f>
        <v/>
      </c>
      <c r="DN21" s="43" t="str">
        <f aca="false">IF(Tasks[[#This Row],[_Res3Text]]="","",TRIM(MID(SUBSTITUTE(Tasks[[#This Row],[_Resources]],",",REPT(" ",99)),298,99)))</f>
        <v/>
      </c>
      <c r="DO21" s="43" t="n">
        <f aca="false">IF(Tasks[[#This Row],[_Res1Text]]="",0,IFERROR(MATCH(TRIM(LEFT(Tasks[[#This Row],[_Res1Text]],FIND("[",Tasks[[#This Row],[_Res1Text]]&amp;"[")-1)),res_Name,0),IFERROR(MATCH(TRIM(LEFT(Tasks[[#This Row],[_Res1Text]],FIND("[",Tasks[[#This Row],[_Res1Text]]&amp;"[")-1)),res_Initials,0),0)))</f>
        <v>0</v>
      </c>
      <c r="DP21" s="43" t="n">
        <f aca="false">IF(Tasks[[#This Row],[_Res2Text]]="",0,IFERROR(MATCH(TRIM(LEFT(Tasks[[#This Row],[_Res2Text]],FIND("[",Tasks[[#This Row],[_Res2Text]]&amp;"[")-1)),res_Name,0),IFERROR(MATCH(TRIM(LEFT(Tasks[[#This Row],[_Res2Text]],FIND("[",Tasks[[#This Row],[_Res2Text]]&amp;"[")-1)),res_Initials,0),0)))</f>
        <v>0</v>
      </c>
      <c r="DQ21" s="43" t="n">
        <f aca="false">IF(Tasks[[#This Row],[_Res3Text]]="",0,IFERROR(MATCH(TRIM(LEFT(Tasks[[#This Row],[_Res3Text]],FIND("[",Tasks[[#This Row],[_Res3Text]]&amp;"[")-1)),res_Name,0),IFERROR(MATCH(TRIM(LEFT(Tasks[[#This Row],[_Res3Text]],FIND("[",Tasks[[#This Row],[_Res3Text]]&amp;"[")-1)),res_Initials,0),0)))</f>
        <v>0</v>
      </c>
      <c r="DR21" s="43" t="n">
        <f aca="false">IF(Tasks[[#This Row],[_Res4Text]]="",0,IFERROR(MATCH(TRIM(LEFT(Tasks[[#This Row],[_Res4Text]],FIND("[",Tasks[[#This Row],[_Res4Text]]&amp;"[")-1)),res_Name,0),IFERROR(MATCH(TRIM(LEFT(Tasks[[#This Row],[_Res4Text]],FIND("[",Tasks[[#This Row],[_Res4Text]]&amp;"[")-1)),res_Initials,0),0)))</f>
        <v>0</v>
      </c>
      <c r="DS21" s="43" t="str">
        <f aca="false">IF(Tasks[[#This Row],[_Res1Text]]="","",IF(Tasks[[#This Row],[_Res1Row]]&gt;0,INDEX(res_Name,Tasks[[#This Row],[_Res1Row]]),TRIM(LEFT(Tasks[[#This Row],[_Res1Text]],FIND("[",Tasks[[#This Row],[_Res1Text]]&amp;"[")-1))))</f>
        <v/>
      </c>
      <c r="DT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1" s="43" t="n">
        <f aca="false">IF(NOT(Tasks[[#This Row],[_IsLeaf]]=1),0,(Tasks[[#This Row],[_Resource1]]&lt;&gt;"")+(Tasks[[#This Row],[_Res2]]&lt;&gt;"")+(Tasks[[#This Row],[_Res3]]&lt;&gt;"")+(Tasks[[#This Row],[_Res4]]&lt;&gt;""))</f>
        <v>0</v>
      </c>
      <c r="DV21" s="43" t="str">
        <f aca="false">IF(Tasks[[#This Row],[_Res2Text]]="","",IF(Tasks[[#This Row],[_Res2Row]]&gt;0,INDEX(res_Name,Tasks[[#This Row],[_Res2Row]]),TRIM(LEFT(Tasks[[#This Row],[_Res2Text]],FIND("[",Tasks[[#This Row],[_Res2Text]]&amp;"[")-1))))</f>
        <v/>
      </c>
      <c r="DW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1" s="43" t="n">
        <f aca="false">IF(OR(NOT(Tasks[[#This Row],[_IsLeaf]]=1),Tasks[[#This Row],[_Res2Row]]=0),0,N(Tasks[[#This Row],[_Days]])*HoursPerDay*IF(Tasks[[#This Row],[_Res2Units]]="",DefaultUnits,Tasks[[#This Row],[_Res2Units]]))</f>
        <v>0</v>
      </c>
      <c r="DY21" s="43" t="n">
        <f aca="false">IF(AND(AND(Tasks[[#This Row],[_IsLeaf]]=1,Tasks[[#This Row],[_LeafTotalWork]]&gt;0),Tasks[[#This Row],[_Res2Work]]&gt;0),Tasks[[#This Row],[_Res2Work]]/(Tasks[[#This Row],[_FinishWorkday]]-Tasks[[#This Row],[_StartWorkday]]+1),0)</f>
        <v>0</v>
      </c>
      <c r="DZ21" s="43" t="n">
        <f aca="false">Tasks[[#This Row],[_Res2WorkPerWD]]*MAX(0,Tasks[[#This Row],[_StartWorkday]]-1)</f>
        <v>0</v>
      </c>
      <c r="EA21" s="43" t="n">
        <f aca="false">Tasks[[#This Row],[_Res2Work]]*Tasks[[#This Row],[_LeafProgress]]</f>
        <v>0</v>
      </c>
      <c r="EB21" s="43" t="str">
        <f aca="false">IF(Tasks[[#This Row],[_Res3Text]]="","",IF(Tasks[[#This Row],[_Res3Row]]&gt;0,INDEX(res_Name,Tasks[[#This Row],[_Res3Row]]),TRIM(LEFT(Tasks[[#This Row],[_Res3Text]],FIND("[",Tasks[[#This Row],[_Res3Text]]&amp;"[")-1))))</f>
        <v/>
      </c>
      <c r="EC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1" s="43" t="n">
        <f aca="false">IF(OR(NOT(Tasks[[#This Row],[_IsLeaf]]=1),Tasks[[#This Row],[_Res3Row]]=0),0,N(Tasks[[#This Row],[_Days]])*HoursPerDay*IF(Tasks[[#This Row],[_Res3Units]]="",DefaultUnits,Tasks[[#This Row],[_Res3Units]]))</f>
        <v>0</v>
      </c>
      <c r="EE21" s="43" t="n">
        <f aca="false">IF(AND(AND(Tasks[[#This Row],[_IsLeaf]]=1,Tasks[[#This Row],[_LeafTotalWork]]&gt;0),Tasks[[#This Row],[_Res3Work]]&gt;0),Tasks[[#This Row],[_Res3Work]]/(Tasks[[#This Row],[_FinishWorkday]]-Tasks[[#This Row],[_StartWorkday]]+1),0)</f>
        <v>0</v>
      </c>
      <c r="EF21" s="43" t="n">
        <f aca="false">Tasks[[#This Row],[_Res3WorkPerWD]]*MAX(0,Tasks[[#This Row],[_StartWorkday]]-1)</f>
        <v>0</v>
      </c>
      <c r="EG21" s="43" t="n">
        <f aca="false">Tasks[[#This Row],[_Res3Work]]*Tasks[[#This Row],[_LeafProgress]]</f>
        <v>0</v>
      </c>
      <c r="EH21" s="43" t="str">
        <f aca="false">IF(Tasks[[#This Row],[_Res4Text]]="","",IF(Tasks[[#This Row],[_Res4Row]]&gt;0,INDEX(res_Name,Tasks[[#This Row],[_Res4Row]]),TRIM(LEFT(Tasks[[#This Row],[_Res4Text]],FIND("[",Tasks[[#This Row],[_Res4Text]]&amp;"[")-1))))</f>
        <v/>
      </c>
      <c r="EI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1" s="43" t="n">
        <f aca="false">IF(OR(NOT(Tasks[[#This Row],[_IsLeaf]]=1),Tasks[[#This Row],[_Res4Row]]=0),0,N(Tasks[[#This Row],[_Days]])*HoursPerDay*IF(Tasks[[#This Row],[_Res4Units]]="",DefaultUnits,Tasks[[#This Row],[_Res4Units]]))</f>
        <v>0</v>
      </c>
      <c r="EK21" s="43" t="n">
        <f aca="false">IF(AND(AND(Tasks[[#This Row],[_IsLeaf]]=1,Tasks[[#This Row],[_LeafTotalWork]]&gt;0),Tasks[[#This Row],[_Res4Work]]&gt;0),Tasks[[#This Row],[_Res4Work]]/(Tasks[[#This Row],[_FinishWorkday]]-Tasks[[#This Row],[_StartWorkday]]+1),0)</f>
        <v>0</v>
      </c>
      <c r="EL21" s="43" t="n">
        <f aca="false">Tasks[[#This Row],[_Res4WorkPerWD]]*MAX(0,Tasks[[#This Row],[_StartWorkday]]-1)</f>
        <v>0</v>
      </c>
      <c r="EM21" s="43" t="n">
        <f aca="false">Tasks[[#This Row],[_Res4Work]]*Tasks[[#This Row],[_LeafProgress]]</f>
        <v>0</v>
      </c>
      <c r="EN21" s="43" t="n">
        <f aca="false">IF(ISNUMBER(Tasks[[#This Row],[% Complete]]),Tasks[[#This Row],[% Complete]],IF(Tasks[[#This Row],[Stage]]="",0,IFERROR(INDEX(stg_Pct,MATCH(Tasks[[#This Row],[Stage]],stg_Name,0)),0)))</f>
        <v>0</v>
      </c>
      <c r="EO21" s="43" t="n">
        <f aca="false">IF(NOT(Tasks[[#This Row],[_IsLeaf]]=1),0,IF(N(Tasks[[#This Row],[Actual Finish]])&gt;0,1,MIN(1,Tasks[[#This Row],[_Pct]])))</f>
        <v>0</v>
      </c>
      <c r="EP21" s="43" t="n">
        <f aca="false">IF(OR(NOT(Tasks[[#This Row],[_IsLeaf]]=1),Tasks[[#This Row],[_Res1Row]]=0),0,N(Tasks[[#This Row],[_Days]])*HoursPerDay*IF(Tasks[[#This Row],[_Units1]]="",DefaultUnits,Tasks[[#This Row],[_Units1]]))</f>
        <v>0</v>
      </c>
      <c r="EQ21" s="43" t="n">
        <f aca="false">Tasks[[#This Row],[_LeafWork]]+Tasks[[#This Row],[_Res2Work]]+Tasks[[#This Row],[_Res3Work]]+Tasks[[#This Row],[_Res4Work]]</f>
        <v>0</v>
      </c>
      <c r="ER2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1" s="43" t="n">
        <f aca="false">IF(NOT(Tasks[[#This Row],[_IsLeaf]]=1),0,MAX(_xlfn.MAXIFS(Tasks[_Row],Tasks[_Pred1UID],Tasks[[#This Row],[UID]]),_xlfn.MAXIFS(Tasks[_Row],Tasks[_Pred2UID],Tasks[[#This Row],[UID]]),_xlfn.MAXIFS(Tasks[_Row],Tasks[_Pred3UID],Tasks[[#This Row],[UID]]),_xlfn.MAXIFS(Tasks[_Row],Tasks[_Pred4UID],Tasks[[#This Row],[UID]])))</f>
        <v>0</v>
      </c>
      <c r="FA2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1" s="91" t="str">
        <f aca="false">IF(NOT(Tasks[[#This Row],[_IsLeaf]]=1),"",IF(N(Tasks[[#This Row],[_Days]])&lt;=0,Tasks[[#This Row],[_LeafLateFinish]],WORKDAY.INTL(Tasks[[#This Row],[_LeafLateFinish]],-(Tasks[[#This Row],[_Days]]-1),WorkWeek,Holidays)))</f>
        <v/>
      </c>
      <c r="FD2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1" s="90" t="b">
        <f aca="false">AND(Tasks[[#This Row],[_IsLeaf]]=1,Tasks[[#This Row],[_LeafProgress]]&lt;1,N(Tasks[[#This Row],[_LeafTotalSlack]])&lt;=CriticalSlackDays)</f>
        <v>0</v>
      </c>
      <c r="FF21" s="43" t="n">
        <f aca="false">IF(AND(Tasks[[#This Row],[_IsLeaf]]=1,Tasks[[#This Row],[_ConstraintCode]]=1,Tasks[[#This Row],[Mode]]&lt;&gt;"Manual",N(Tasks[[#This Row],[Actual Start]])=0),MAX(0,N(Tasks[[#This Row],[Free Slack]])),0)</f>
        <v>0</v>
      </c>
      <c r="FG21" s="91" t="str">
        <f aca="false">IF(NOT(Tasks[[#This Row],[_IsLeaf]]=1),"",IF(Tasks[[#This Row],[_AlapShift]]=0,Tasks[[#This Row],[_LeafCalcStart]],WORKDAY.INTL(Tasks[[#This Row],[_LeafCalcStart]],Tasks[[#This Row],[_AlapShift]],WorkWeek,Holidays)))</f>
        <v/>
      </c>
      <c r="FH21" s="91" t="str">
        <f aca="false">IF(NOT(Tasks[[#This Row],[_IsLeaf]]=1),"",IF(Tasks[[#This Row],[_AlapShift]]=0,Tasks[[#This Row],[_LeafCalcFinish]],WORKDAY.INTL(Tasks[[#This Row],[_LeafCalcFinish]],Tasks[[#This Row],[_AlapShift]],WorkWeek,Holidays)))</f>
        <v/>
      </c>
      <c r="FI21" s="91" t="str">
        <f aca="false">IF(NOT(Tasks[[#This Row],[_IsLeaf]]=1),"",IF(Tasks[[#This Row],[_AlapShift]]=0,Tasks[[#This Row],[_LeafFcstStart]],WORKDAY.INTL(Tasks[[#This Row],[_LeafFcstStart]],Tasks[[#This Row],[_AlapShift]],WorkWeek,Holidays)))</f>
        <v/>
      </c>
      <c r="FJ21" s="91" t="str">
        <f aca="false">IF(NOT(Tasks[[#This Row],[_IsLeaf]]=1),"",IF(Tasks[[#This Row],[_AlapShift]]=0,Tasks[[#This Row],[_LeafFcstFinish]],WORKDAY.INTL(Tasks[[#This Row],[_LeafFcstFinish]],Tasks[[#This Row],[_AlapShift]],WorkWeek,Holidays)))</f>
        <v/>
      </c>
      <c r="FK21" s="91" t="str">
        <f aca="false">IF(Tasks[[#This Row],[Task Name]]="","",IF(Tasks[[#This Row],[_IsSummary]],MIN(INDEX(Tasks[_ShownCalcStart],Tasks[[#This Row],[_Row]]+1):INDEX(Tasks[_ShownCalcStart],Tasks[[#This Row],[_Row]]+Tasks[[#This Row],[_Descendants]])),Tasks[[#This Row],[_ShownCalcStart]]))</f>
        <v/>
      </c>
      <c r="FL21" s="91" t="str">
        <f aca="false">IF(Tasks[[#This Row],[Task Name]]="","",IF(Tasks[[#This Row],[_IsSummary]],MAX(INDEX(Tasks[_ShownCalcFinish],Tasks[[#This Row],[_Row]]+1):INDEX(Tasks[_ShownCalcFinish],Tasks[[#This Row],[_Row]]+Tasks[[#This Row],[_Descendants]])),Tasks[[#This Row],[_ShownCalcFinish]]))</f>
        <v/>
      </c>
      <c r="FM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1" s="43" t="n">
        <f aca="false">IF(AND(Tasks[[#This Row],[_IsLeaf]]=1,Tasks[[#This Row],[_LeafTotalWork]]&gt;0),NETWORKDAYS.INTL(ProjectStart,Tasks[[#This Row],[_ShownFcstStart]],WorkWeek,Holidays),0)</f>
        <v>0</v>
      </c>
      <c r="FZ21" s="43" t="n">
        <f aca="false">IF(AND(Tasks[[#This Row],[_IsLeaf]]=1,Tasks[[#This Row],[_LeafTotalWork]]&gt;0),MAX(Tasks[[#This Row],[_StartWorkday]],NETWORKDAYS.INTL(ProjectStart,Tasks[[#This Row],[_ShownFcstFinish]],WorkWeek,Holidays)),0)</f>
        <v>0</v>
      </c>
      <c r="GA21" s="43" t="n">
        <f aca="false">IF(AND(Tasks[[#This Row],[_IsLeaf]]=1,Tasks[[#This Row],[_LeafTotalWork]]&gt;0),Tasks[[#This Row],[_LeafWork]]/(Tasks[[#This Row],[_FinishWorkday]]-Tasks[[#This Row],[_StartWorkday]]+1),0)</f>
        <v>0</v>
      </c>
      <c r="GB21" s="43" t="n">
        <f aca="false">Tasks[[#This Row],[_WorkPerWorkday]]*(Tasks[[#This Row],[_StartWorkday]]-1)</f>
        <v>-0</v>
      </c>
      <c r="GC21" s="43" t="n">
        <f aca="false">IF(Tasks[[#This Row],[_IsLeaf]]=1,MAX(N(Tasks[[#This Row],[_Days]]),0.1),0)</f>
        <v>0</v>
      </c>
      <c r="GD21" s="43" t="n">
        <f aca="false">Tasks[[#This Row],[_WeightDur]]*Tasks[[#This Row],[_LeafProgress]]</f>
        <v>0</v>
      </c>
      <c r="GE21" s="43" t="n">
        <f aca="false">Tasks[[#This Row],[_WeightDur]]*Tasks[[#This Row],[_PlannedPct]]</f>
        <v>0</v>
      </c>
      <c r="GF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1" s="43" t="str">
        <f aca="false">IF(AND(Tasks[[#This Row],[_IsLeaf]]=1,N(Tasks[[#This Row],[_Days]])=0,Tasks[[#This Row],[_LeafProgress]]&lt;1),Tasks[[#This Row],[_ShownFcstFinish]]+Tasks[[#This Row],[_Row]]/100000,"")</f>
        <v/>
      </c>
      <c r="GH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1" s="43" t="str">
        <f aca="false">IF(Tasks[[#This Row],[Task Name]]="","",LEFT(Tasks[[#This Row],[WBS]],FIND(".",Tasks[[#This Row],[WBS]]&amp;".")-1))</f>
        <v/>
      </c>
      <c r="GJ21" s="43" t="str">
        <f aca="false">IF(AND(Tasks[[#This Row],[Task Name]]&lt;&gt;"",Tasks[[#This Row],[_Level]]=1),Tasks[[#This Row],[_Row]],"")</f>
        <v/>
      </c>
      <c r="GK21" s="43" t="str">
        <f aca="false">IF(AND(Tasks[[#This Row],[_IsLeaf]]=1,N(Tasks[[#This Row],[_Days]])=0),Tasks[[#This Row],[Planned Finish]]+Tasks[[#This Row],[_Row]]/100000,"")</f>
        <v/>
      </c>
      <c r="GL21" s="43" t="str">
        <f aca="false">IF(AND(Tasks[[#This Row],[_IsLeaf]]=1,Tasks[[#This Row],[_LeafProgress]]&lt;1,OR(N(Tasks[[#This Row],[Finish Var]])&gt;0,Tasks[[#This Row],[Status]]="Late Start")),MAX(0,Tasks[[#This Row],[Finish Var]])+1-Tasks[[#This Row],[_Row]]/1000000,"")</f>
        <v/>
      </c>
      <c r="GM21" s="43" t="str">
        <f aca="false">IF(AND(Tasks[[#This Row],[_IsLeaf]]=1,N(Tasks[[#This Row],[Actual Start]])=0,Tasks[[#This Row],[_ShownFcstStart]]&gt;=StatusDate,Tasks[[#This Row],[_ShownFcstStart]]&lt;=LookaheadEnd),Tasks[[#This Row],[_ShownFcstStart]]+Tasks[[#This Row],[_Row]]/100000,"")</f>
        <v/>
      </c>
      <c r="GN21" s="43" t="str">
        <f aca="false">IF(AND(Tasks[[#This Row],[_IsLeaf]]=1,Tasks[[#This Row],[_LeafProgress]]&lt;1,Tasks[[#This Row],[_ShownFcstFinish]]&gt;=StatusDate,Tasks[[#This Row],[_ShownFcstFinish]]&lt;=LookaheadEnd),Tasks[[#This Row],[_ShownFcstFinish]]+Tasks[[#This Row],[_Row]]/100000,"")</f>
        <v/>
      </c>
      <c r="GO21" s="43" t="str">
        <f aca="false">IF(Tasks[[#This Row],[_LeafCritical]],Tasks[[#This Row],[_ShownFcstStart]]+Tasks[[#This Row],[_Row]]/100000,"")</f>
        <v/>
      </c>
      <c r="GP21" s="43" t="n">
        <f aca="false">Tasks[[#This Row],[_LeafWork]]*Tasks[[#This Row],[_LeafProgress]]</f>
        <v>0</v>
      </c>
      <c r="GQ21" s="91" t="str">
        <f aca="false">IF(AND(Tasks[[#This Row],[_IsLeaf]]=1,Tasks[[#This Row],[_LeafProgress]]&gt;=1),IF(N(Tasks[[#This Row],[Actual Finish]])&gt;0,Tasks[[#This Row],[Actual Finish]],Tasks[[#This Row],[_ShownFcstFinish]]),"")</f>
        <v/>
      </c>
      <c r="GR21" s="43" t="n">
        <f aca="false">IF(Tasks[[#This Row],[_IsLeaf]]=1,N(Tasks[[#This Row],[Story Points]]),0)</f>
        <v>0</v>
      </c>
      <c r="GS21" s="43" t="str">
        <f aca="false">""</f>
        <v/>
      </c>
      <c r="GT21" s="90" t="b">
        <f aca="false">IF(Tasks[[#This Row],[Task Name]]="",FALSE(),AND(Tasks[[#This Row],[_IsLeaf]]=1,N(Tasks[[#This Row],[_Days]])=0))</f>
        <v>0</v>
      </c>
      <c r="GU21" s="91" t="n">
        <f aca="false">IF(Tasks[[#This Row],[Task Name]]="",0,IF(AND(Tasks[[#This Row],[_IsLeaf]]=1,NOT(Tasks[[#This Row],[_IsMilestone]]),N(Tasks[[#This Row],[Progress]])&gt;0),Tasks[[#This Row],[Start]],0))</f>
        <v>0</v>
      </c>
      <c r="GV21" s="91" t="n">
        <f aca="false">IF(Tasks[[#This Row],[_DoneFrom]]=0,0,IF(Tasks[[#This Row],[Progress]]&gt;=1,Tasks[[#This Row],[Finish]],MAX(Tasks[[#This Row],[_DoneFrom]],Tasks[[#This Row],[Start]]+ROUND((Tasks[[#This Row],[Finish]]-Tasks[[#This Row],[Start]]+1)*Tasks[[#This Row],[Progress]],0)-1)))</f>
        <v>0</v>
      </c>
      <c r="GW21" s="91" t="n">
        <f aca="false">IF(Tasks[[#This Row],[Task Name]]="",0,IF(OR(NOT(Tasks[[#This Row],[_IsLeaf]]=1),Tasks[[#This Row],[_IsMilestone]],N(Tasks[[#This Row],[Progress]])&gt;=1),0,IF(Tasks[[#This Row],[_DoneTo]]&gt;0,Tasks[[#This Row],[_DoneTo]]+1,Tasks[[#This Row],[Start]])))</f>
        <v>0</v>
      </c>
      <c r="GX21" s="91" t="n">
        <f aca="false">IF(Tasks[[#This Row],[_RemFrom]]=0,0,Tasks[[#This Row],[Finish]])</f>
        <v>0</v>
      </c>
      <c r="GY21" s="90" t="b">
        <f aca="false">IF(Tasks[[#This Row],[Task Name]]="",FALSE(),OR(NOT(BaselineSet),N(Tasks[[#This Row],[Baseline Start]])&gt;0))</f>
        <v>0</v>
      </c>
      <c r="GZ2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1" s="92" t="str">
        <f aca="false">IF(Tasks[[#This Row],[_IsLeaf]]=1,Tasks[[#This Row],[_Row]],"")</f>
        <v/>
      </c>
      <c r="HD21" s="92" t="str">
        <f aca="false">IFERROR(INDEX(Tasks[UID],SMALL(Tasks[_PickKey],Tasks[[#This Row],[_Row]]))&amp;" "&amp;INDEX(Tasks[Task Name],SMALL(Tasks[_PickKey],Tasks[[#This Row],[_Row]])),"")</f>
        <v/>
      </c>
      <c r="HE21" s="43" t="str">
        <f aca="false">IF(Tasks[[#This Row],[Task Name]]="","",IF(Tasks[[#This Row],[_IsSummary]],NETWORKDAYS.INTL(Tasks[[#This Row],[Start]],Tasks[[#This Row],[Finish]],WorkWeek,Holidays),N(Tasks[[#This Row],[_Days]])))</f>
        <v/>
      </c>
      <c r="HF21" s="43" t="n">
        <f aca="false">IF(Tasks[[#This Row],[Expected]]="",0,((Tasks[[#This Row],[Pessimistic]]-Tasks[[#This Row],[Optimistic]])/6)^2)</f>
        <v>0</v>
      </c>
      <c r="HG21" s="43" t="n">
        <f aca="false">IF(Tasks[[#This Row],[Expected]]="",0,Tasks[[#This Row],[Expected]]-N(Tasks[[#This Row],[_Days]]))</f>
        <v>0</v>
      </c>
    </row>
    <row r="22" customFormat="false" ht="15" hidden="false" customHeight="false" outlineLevel="0" collapsed="false">
      <c r="A22" s="21" t="str">
        <f aca="false">IF(Tasks[[#This Row],[Task Name]]="","",COUNTA(Tasks[[#Headers],[Task Name]]:Tasks[[#This Row],[Task Name]])-1)</f>
        <v/>
      </c>
      <c r="B22" s="22" t="n">
        <v>30</v>
      </c>
      <c r="C22" s="22"/>
      <c r="D22" s="23"/>
      <c r="E22" s="22"/>
      <c r="F22" s="23"/>
      <c r="G22" s="22"/>
      <c r="H22" s="22"/>
      <c r="I22" s="23"/>
      <c r="J22" s="22"/>
      <c r="K22" s="22"/>
      <c r="L22" s="23"/>
      <c r="M22" s="22"/>
      <c r="N22" s="22"/>
      <c r="O22" s="23"/>
      <c r="P22" s="22"/>
      <c r="Q22" s="22"/>
      <c r="R22" s="23"/>
      <c r="S22" s="23"/>
      <c r="T22" s="84"/>
      <c r="U22" s="23"/>
      <c r="V22" s="84"/>
      <c r="W22" s="23"/>
      <c r="X22" s="84"/>
      <c r="Y22" s="23"/>
      <c r="Z22" s="84"/>
      <c r="AA22" s="23"/>
      <c r="AB22" s="23"/>
      <c r="AC22" s="7"/>
      <c r="AD22" s="7"/>
      <c r="AE22" s="63" t="str">
        <f aca="false">IF(Tasks[[#This Row],[Task Name]]="","",IF(Tasks[[#This Row],[_IsSummary]],MIN(INDEX(Tasks[_ShownFcstStart],Tasks[[#This Row],[_Row]]+1):INDEX(Tasks[_ShownFcstStart],Tasks[[#This Row],[_Row]]+Tasks[[#This Row],[_Descendants]])),Tasks[[#This Row],[_ShownFcstStart]]))</f>
        <v/>
      </c>
      <c r="AF22" s="63" t="str">
        <f aca="false">IF(Tasks[[#This Row],[Task Name]]="","",IF(Tasks[[#This Row],[_IsSummary]],MAX(INDEX(Tasks[_ShownFcstFinish],Tasks[[#This Row],[_Row]]+1):INDEX(Tasks[_ShownFcstFinish],Tasks[[#This Row],[_Row]]+Tasks[[#This Row],[_Descendants]])),Tasks[[#This Row],[_ShownFcstFinish]]))</f>
        <v/>
      </c>
      <c r="AG22" s="21" t="str">
        <f aca="false">""</f>
        <v/>
      </c>
      <c r="AH22" s="23"/>
      <c r="AI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2" s="7"/>
      <c r="AK22" s="22"/>
      <c r="AL22" s="23"/>
      <c r="AM22" s="7"/>
      <c r="AN22" s="47" t="str">
        <f aca="false">IF(Tasks[[#This Row],[Task Name]]="","",IF(Tasks[[#This Row],[Finish]]&gt;=Tasks[[#This Row],[Planned Finish]],NETWORKDAYS.INTL(Tasks[[#This Row],[Planned Finish]],Tasks[[#This Row],[Finish]],WorkWeek,Holidays)-1,1-NETWORKDAYS.INTL(Tasks[[#This Row],[Finish]],Tasks[[#This Row],[Planned Finish]],WorkWeek,Holidays)))</f>
        <v/>
      </c>
      <c r="AO22" s="21" t="str">
        <f aca="false">IF(Tasks[[#This Row],[Task Name]]="","",IF(Tasks[[#This Row],[Progress]]&gt;=1,"Complete",IF(OR(N(Tasks[[#This Row],[Actual Start]])&gt;0,Tasks[[#This Row],[Progress]]&gt;0),IF(Tasks[[#This Row],[Finish Var]]&gt;0,"Behind","In Progress"),IF(Tasks[[#This Row],[Planned Start]]&lt;StatusDate,"Late Start","Not Started"))))</f>
        <v/>
      </c>
      <c r="AP22" s="21" t="str">
        <f aca="false">IF(Tasks[[#This Row],[Task Name]]="","",IF(IF(Tasks[[#This Row],[_IsSummary]],COUNTIF(INDEX(Tasks[_LeafCritical],Tasks[[#This Row],[_Row]]+1):INDEX(Tasks[_LeafCritical],Tasks[[#This Row],[_Row]]+Tasks[[#This Row],[_Descendants]]),TRUE())&gt;0,Tasks[[#This Row],[_LeafCritical]]),"Yes",""))</f>
        <v/>
      </c>
      <c r="AQ22" s="63" t="str">
        <f aca="false">IF(Tasks[[#This Row],[Task Name]]="","",IF(N(Tasks[[#This Row],[Baseline Start]])&gt;0,Tasks[[#This Row],[Baseline Start]],Tasks[[#This Row],[_CalcStart]]))</f>
        <v/>
      </c>
      <c r="AR22" s="63" t="str">
        <f aca="false">IF(Tasks[[#This Row],[Task Name]]="","",IF(N(Tasks[[#This Row],[Baseline Finish]])&gt;0,Tasks[[#This Row],[Baseline Finish]],Tasks[[#This Row],[_CalcFinish]]))</f>
        <v/>
      </c>
      <c r="AS22" s="47" t="str">
        <f aca="false">IF(Tasks[[#This Row],[Task Name]]="","",IF(Tasks[[#This Row],[Start]]&gt;=Tasks[[#This Row],[Planned Start]],NETWORKDAYS.INTL(Tasks[[#This Row],[Planned Start]],Tasks[[#This Row],[Start]],WorkWeek,Holidays)-1,1-NETWORKDAYS.INTL(Tasks[[#This Row],[Start]],Tasks[[#This Row],[Planned Start]],WorkWeek,Holidays)))</f>
        <v/>
      </c>
      <c r="AT22" s="63" t="str">
        <f aca="false">IF(Tasks[[#This Row],[Task Name]]="","",IF(Tasks[[#This Row],[_IsSummary]],MIN(INDEX(Tasks[_LeafLateStart],Tasks[[#This Row],[_Row]]+1):INDEX(Tasks[_LeafLateStart],Tasks[[#This Row],[_Row]]+Tasks[[#This Row],[_Descendants]])),Tasks[[#This Row],[_LeafLateStart]]))</f>
        <v/>
      </c>
      <c r="AU22" s="63" t="str">
        <f aca="false">IF(Tasks[[#This Row],[Task Name]]="","",IF(Tasks[[#This Row],[_IsSummary]],MAX(INDEX(Tasks[_LeafLateFinish],Tasks[[#This Row],[_Row]]+1):INDEX(Tasks[_LeafLateFinish],Tasks[[#This Row],[_Row]]+Tasks[[#This Row],[_Descendants]])),Tasks[[#This Row],[_LeafLateFinish]]))</f>
        <v/>
      </c>
      <c r="AV22" s="47" t="str">
        <f aca="false">IF(Tasks[[#This Row],[Task Name]]="","",IF(Tasks[[#This Row],[_IsSummary]],MIN(INDEX(Tasks[_LeafTotalSlack],Tasks[[#This Row],[_Row]]+1):INDEX(Tasks[_LeafTotalSlack],Tasks[[#This Row],[_Row]]+Tasks[[#This Row],[_Descendants]])),Tasks[[#This Row],[_LeafTotalSlack]]))</f>
        <v/>
      </c>
      <c r="AW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5"/>
      <c r="BA2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t="str">
        <f aca="false">IF(Tasks[[#This Row],[Task Name]]="","",IF(Tasks[[#This Row],[_Level]]&lt;=OutlineShowLevel,"Yes","No"))</f>
        <v/>
      </c>
      <c r="BE22" s="86" t="str">
        <f aca="false">IF(Tasks[[#This Row],[Task Name]]="","",IF(Tasks[[#This Row],[_IsSummary]],SUM(INDEX(Tasks[_LeafTotalWork],Tasks[[#This Row],[_Row]]+1):INDEX(Tasks[_LeafTotalWork],Tasks[[#This Row],[_Row]]+Tasks[[#This Row],[_Descendants]])),Tasks[[#This Row],[_LeafTotalWork]]))</f>
        <v/>
      </c>
      <c r="BF22" s="23"/>
      <c r="BG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t="str">
        <f aca="false">""</f>
        <v/>
      </c>
      <c r="BI22" s="87"/>
      <c r="BJ22" s="22"/>
      <c r="BK22" s="47" t="str">
        <f aca="false">IF(OR(Tasks[[#This Row],[Task Name]]="",Tasks[[#This Row],[Baseline Duration]]=""),"",Tasks[[#This Row],[_SpanDays]]-N(Tasks[[#This Row],[Baseline Duration]]))</f>
        <v/>
      </c>
      <c r="BL22" s="86" t="str">
        <f aca="false">IF(OR(Tasks[[#This Row],[Task Name]]="",Tasks[[#This Row],[Baseline Work]]=""),"",Tasks[[#This Row],[Work]]-N(Tasks[[#This Row],[Baseline Work]]))</f>
        <v/>
      </c>
      <c r="BM22" s="63" t="str">
        <f aca="false">IF(Tasks[[#This Row],[Task Name]]="","",IF(OR(TakeBaseline="Yes",N(Tasks[[#This Row],[Baseline Start]])=0),Tasks[[#This Row],[Start]],Tasks[[#This Row],[Baseline Start]]))</f>
        <v/>
      </c>
      <c r="BN22" s="63" t="str">
        <f aca="false">IF(Tasks[[#This Row],[Task Name]]="","",IF(OR(TakeBaseline="Yes",N(Tasks[[#This Row],[Baseline Finish]])=0),Tasks[[#This Row],[Finish]],Tasks[[#This Row],[Baseline Finish]]))</f>
        <v/>
      </c>
      <c r="BO22" s="21" t="str">
        <f aca="false">IF(Tasks[[#This Row],[Task Name]]="","",IF(OR(TakeBaseline="Yes",N(Tasks[[#This Row],[Baseline Duration]])=0),Tasks[[#This Row],[_SpanDays]],Tasks[[#This Row],[Baseline Duration]]))</f>
        <v/>
      </c>
      <c r="BP22" s="86" t="str">
        <f aca="false">IF(Tasks[[#This Row],[Task Name]]="","",IF(OR(TakeBaseline="Yes",N(Tasks[[#This Row],[Baseline Work]])=0),Tasks[[#This Row],[Work]],Tasks[[#This Row],[Baseline Work]]))</f>
        <v/>
      </c>
      <c r="BQ22" s="7"/>
      <c r="BR22" s="7"/>
      <c r="BS22" s="22"/>
      <c r="BT22" s="88"/>
      <c r="BU22" s="23"/>
      <c r="BV22" s="23"/>
      <c r="BW22" s="23"/>
      <c r="BX22" s="89" t="str">
        <f aca="false">IF(AND(Tasks[[#This Row],[_IsLeaf]]=1,ISNUMBER(Tasks[[#This Row],[Optimistic]]),ISNUMBER(Tasks[[#This Row],[Pessimistic]])),ROUND((Tasks[[#This Row],[Optimistic]]+4*N(Tasks[[#This Row],[_Days]])+Tasks[[#This Row],[Pessimistic]])/6,1),"")</f>
        <v/>
      </c>
      <c r="BY22" s="87"/>
      <c r="BZ22" s="87"/>
      <c r="CA22" s="22"/>
      <c r="CB22" s="43" t="str">
        <f aca="false">IF(Tasks[[#This Row],[Task Name]]="","",MAX(1,N(Tasks[[#This Row],[Level]])))</f>
        <v/>
      </c>
      <c r="CC22" s="43" t="n">
        <f aca="false">ROW()-ROW(Tasks[[#Headers],[ID]])</f>
        <v>17</v>
      </c>
      <c r="CD22" s="43" t="n">
        <f aca="false">IF(OR(Tasks[[#This Row],[Task Name]]="",Tasks[[#This Row],[_Level]]&lt;=1),0,IFERROR(LOOKUP(2,1/(Tasks[[#Headers],[_Level]]:Tasks[[#This Row],[_Level]]=Tasks[[#This Row],[_Level]]-1),ROW(Tasks[[#Headers],[_Level]]:Tasks[[#This Row],[_Level]])),0))</f>
        <v>0</v>
      </c>
      <c r="CE22" s="43" t="n">
        <f aca="false">IFERROR(N(INDEX(Tasks[_Level],Tasks[[#This Row],[_Row]]+1)),0)</f>
        <v>0</v>
      </c>
      <c r="CF22" s="90" t="b">
        <f aca="false">AND(Tasks[[#This Row],[Task Name]]&lt;&gt;"",Tasks[[#This Row],[_NextLevel]]&gt;Tasks[[#This Row],[_Level]])</f>
        <v>0</v>
      </c>
      <c r="CG22" s="43" t="n">
        <f aca="false">IF(Tasks[[#This Row],[_IsSummary]],COUNTIF(Tasks[WBS],Tasks[[#This Row],[WBS]]&amp;".*"),0)</f>
        <v>0</v>
      </c>
      <c r="CH22" s="43" t="n">
        <f aca="false">IF(AND(Tasks[[#This Row],[Task Name]]&lt;&gt;"",NOT(Tasks[[#This Row],[_IsSummary]])),1,0)</f>
        <v>0</v>
      </c>
      <c r="CI22" s="43" t="n">
        <f aca="false">IF(N(Tasks[[#This Row],[_Pred1UID]])=0,0,IFERROR(MATCH(Tasks[[#This Row],[_Pred1UID]],Tasks[UID],0),-1))</f>
        <v>0</v>
      </c>
      <c r="CJ22" s="43" t="n">
        <f aca="false">IF(N(Tasks[[#This Row],[_Pred2UID]])=0,0,IFERROR(MATCH(Tasks[[#This Row],[_Pred2UID]],Tasks[UID],0),-1))</f>
        <v>0</v>
      </c>
      <c r="CK22" s="43" t="n">
        <f aca="false">IF(N(Tasks[[#This Row],[_Pred3UID]])=0,0,IFERROR(MATCH(Tasks[[#This Row],[_Pred3UID]],Tasks[UID],0),-1))</f>
        <v>0</v>
      </c>
      <c r="CL22" s="43" t="n">
        <f aca="false">IF(N(Tasks[[#This Row],[_Pred4UID]])=0,0,IFERROR(MATCH(Tasks[[#This Row],[_Pred4UID]],Tasks[UID],0),-1))</f>
        <v>0</v>
      </c>
      <c r="CM2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2" s="91" t="n">
        <f aca="false">IF(OR(Tasks[[#This Row],[_ConstraintCode]]=2,Tasks[[#This Row],[_ConstraintCode]]=3,Tasks[[#This Row],[_ConstraintCode]]=4,Tasks[[#This Row],[_ConstraintCode]]=6),Tasks[[#This Row],[_ConstraintStart]],0)</f>
        <v>0</v>
      </c>
      <c r="CP22" s="91" t="n">
        <f aca="false">IF(OR(Tasks[[#This Row],[_ConstraintCode]]=2,Tasks[[#This Row],[_ConstraintCode]]=3,Tasks[[#This Row],[_ConstraintCode]]=5,Tasks[[#This Row],[_ConstraintCode]]=7),Tasks[[#This Row],[_ConstraintStart]],2958465)</f>
        <v>2958465</v>
      </c>
      <c r="CQ2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2" s="91" t="str">
        <f aca="false">IF(NOT(Tasks[[#This Row],[_IsLeaf]]=1),"",IF(N(Tasks[[#This Row],[_Days]])&lt;=0,Tasks[[#This Row],[_LeafCalcStart]],WORKDAY.INTL(Tasks[[#This Row],[_LeafCalcStart]],Tasks[[#This Row],[_Days]]-1,WorkWeek,Holidays)))</f>
        <v/>
      </c>
      <c r="CS2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2" s="43" t="str">
        <f aca="false">IF(Tasks[[#This Row],[_Predecessors]]="","",TRIM(MID(SUBSTITUTE(SUBSTITUTE(SUBSTITUTE(UPPER(Tasks[[#This Row],[_Predecessors]]),";",",")," ",""),",",REPT(" ",99)),1,99)))</f>
        <v/>
      </c>
      <c r="CV22" s="43" t="str">
        <f aca="false">IF(Tasks[[#This Row],[_Pred1Text]]="","",IFERROR(VALUE(LEFT(Tasks[[#This Row],[_Pred1Text]],MIN(FIND("F",Tasks[[#This Row],[_Pred1Text]]&amp;"F"),FIND("S",Tasks[[#This Row],[_Pred1Text]]&amp;"S"),FIND("+",Tasks[[#This Row],[_Pred1Text]]&amp;"+"),FIND("-",Tasks[[#This Row],[_Pred1Text]]&amp;"-"))-1)),""))</f>
        <v/>
      </c>
      <c r="CW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2" s="43" t="str">
        <f aca="false">IF(Tasks[[#This Row],[_Pred1Text]]="","",TRIM(MID(SUBSTITUTE(SUBSTITUTE(SUBSTITUTE(UPPER(Tasks[[#This Row],[_Predecessors]]),";",",")," ",""),",",REPT(" ",99)),100,99)))</f>
        <v/>
      </c>
      <c r="CZ22" s="43" t="str">
        <f aca="false">IF(Tasks[[#This Row],[_Pred2Text]]="","",IFERROR(VALUE(LEFT(Tasks[[#This Row],[_Pred2Text]],MIN(FIND("F",Tasks[[#This Row],[_Pred2Text]]&amp;"F"),FIND("S",Tasks[[#This Row],[_Pred2Text]]&amp;"S"),FIND("+",Tasks[[#This Row],[_Pred2Text]]&amp;"+"),FIND("-",Tasks[[#This Row],[_Pred2Text]]&amp;"-"))-1)),""))</f>
        <v/>
      </c>
      <c r="DA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2" s="43" t="str">
        <f aca="false">IF(Tasks[[#This Row],[_Pred2Text]]="","",TRIM(MID(SUBSTITUTE(SUBSTITUTE(SUBSTITUTE(UPPER(Tasks[[#This Row],[_Predecessors]]),";",",")," ",""),",",REPT(" ",99)),199,99)))</f>
        <v/>
      </c>
      <c r="DD22" s="43" t="str">
        <f aca="false">IF(Tasks[[#This Row],[_Pred3Text]]="","",IFERROR(VALUE(LEFT(Tasks[[#This Row],[_Pred3Text]],MIN(FIND("F",Tasks[[#This Row],[_Pred3Text]]&amp;"F"),FIND("S",Tasks[[#This Row],[_Pred3Text]]&amp;"S"),FIND("+",Tasks[[#This Row],[_Pred3Text]]&amp;"+"),FIND("-",Tasks[[#This Row],[_Pred3Text]]&amp;"-"))-1)),""))</f>
        <v/>
      </c>
      <c r="DE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2" s="43" t="str">
        <f aca="false">IF(Tasks[[#This Row],[_Pred3Text]]="","",TRIM(MID(SUBSTITUTE(SUBSTITUTE(SUBSTITUTE(UPPER(Tasks[[#This Row],[_Predecessors]]),";",",")," ",""),",",REPT(" ",99)),298,99)))</f>
        <v/>
      </c>
      <c r="DH22" s="43" t="str">
        <f aca="false">IF(Tasks[[#This Row],[_Pred4Text]]="","",IFERROR(VALUE(LEFT(Tasks[[#This Row],[_Pred4Text]],MIN(FIND("F",Tasks[[#This Row],[_Pred4Text]]&amp;"F"),FIND("S",Tasks[[#This Row],[_Pred4Text]]&amp;"S"),FIND("+",Tasks[[#This Row],[_Pred4Text]]&amp;"+"),FIND("-",Tasks[[#This Row],[_Pred4Text]]&amp;"-"))-1)),""))</f>
        <v/>
      </c>
      <c r="DI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2" s="43" t="str">
        <f aca="false">IF(OR(Tasks[[#This Row],[Task Name]]="",Tasks[[#This Row],[_Resources]]=""),"",TRIM(MID(SUBSTITUTE(Tasks[[#This Row],[_Resources]],",",REPT(" ",99)),1,99)))</f>
        <v/>
      </c>
      <c r="DL22" s="43" t="str">
        <f aca="false">IF(Tasks[[#This Row],[_Res1Text]]="","",TRIM(MID(SUBSTITUTE(Tasks[[#This Row],[_Resources]],",",REPT(" ",99)),100,99)))</f>
        <v/>
      </c>
      <c r="DM22" s="43" t="str">
        <f aca="false">IF(Tasks[[#This Row],[_Res2Text]]="","",TRIM(MID(SUBSTITUTE(Tasks[[#This Row],[_Resources]],",",REPT(" ",99)),199,99)))</f>
        <v/>
      </c>
      <c r="DN22" s="43" t="str">
        <f aca="false">IF(Tasks[[#This Row],[_Res3Text]]="","",TRIM(MID(SUBSTITUTE(Tasks[[#This Row],[_Resources]],",",REPT(" ",99)),298,99)))</f>
        <v/>
      </c>
      <c r="DO22" s="43" t="n">
        <f aca="false">IF(Tasks[[#This Row],[_Res1Text]]="",0,IFERROR(MATCH(TRIM(LEFT(Tasks[[#This Row],[_Res1Text]],FIND("[",Tasks[[#This Row],[_Res1Text]]&amp;"[")-1)),res_Name,0),IFERROR(MATCH(TRIM(LEFT(Tasks[[#This Row],[_Res1Text]],FIND("[",Tasks[[#This Row],[_Res1Text]]&amp;"[")-1)),res_Initials,0),0)))</f>
        <v>0</v>
      </c>
      <c r="DP22" s="43" t="n">
        <f aca="false">IF(Tasks[[#This Row],[_Res2Text]]="",0,IFERROR(MATCH(TRIM(LEFT(Tasks[[#This Row],[_Res2Text]],FIND("[",Tasks[[#This Row],[_Res2Text]]&amp;"[")-1)),res_Name,0),IFERROR(MATCH(TRIM(LEFT(Tasks[[#This Row],[_Res2Text]],FIND("[",Tasks[[#This Row],[_Res2Text]]&amp;"[")-1)),res_Initials,0),0)))</f>
        <v>0</v>
      </c>
      <c r="DQ22" s="43" t="n">
        <f aca="false">IF(Tasks[[#This Row],[_Res3Text]]="",0,IFERROR(MATCH(TRIM(LEFT(Tasks[[#This Row],[_Res3Text]],FIND("[",Tasks[[#This Row],[_Res3Text]]&amp;"[")-1)),res_Name,0),IFERROR(MATCH(TRIM(LEFT(Tasks[[#This Row],[_Res3Text]],FIND("[",Tasks[[#This Row],[_Res3Text]]&amp;"[")-1)),res_Initials,0),0)))</f>
        <v>0</v>
      </c>
      <c r="DR22" s="43" t="n">
        <f aca="false">IF(Tasks[[#This Row],[_Res4Text]]="",0,IFERROR(MATCH(TRIM(LEFT(Tasks[[#This Row],[_Res4Text]],FIND("[",Tasks[[#This Row],[_Res4Text]]&amp;"[")-1)),res_Name,0),IFERROR(MATCH(TRIM(LEFT(Tasks[[#This Row],[_Res4Text]],FIND("[",Tasks[[#This Row],[_Res4Text]]&amp;"[")-1)),res_Initials,0),0)))</f>
        <v>0</v>
      </c>
      <c r="DS22" s="43" t="str">
        <f aca="false">IF(Tasks[[#This Row],[_Res1Text]]="","",IF(Tasks[[#This Row],[_Res1Row]]&gt;0,INDEX(res_Name,Tasks[[#This Row],[_Res1Row]]),TRIM(LEFT(Tasks[[#This Row],[_Res1Text]],FIND("[",Tasks[[#This Row],[_Res1Text]]&amp;"[")-1))))</f>
        <v/>
      </c>
      <c r="DT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2" s="43" t="n">
        <f aca="false">IF(NOT(Tasks[[#This Row],[_IsLeaf]]=1),0,(Tasks[[#This Row],[_Resource1]]&lt;&gt;"")+(Tasks[[#This Row],[_Res2]]&lt;&gt;"")+(Tasks[[#This Row],[_Res3]]&lt;&gt;"")+(Tasks[[#This Row],[_Res4]]&lt;&gt;""))</f>
        <v>0</v>
      </c>
      <c r="DV22" s="43" t="str">
        <f aca="false">IF(Tasks[[#This Row],[_Res2Text]]="","",IF(Tasks[[#This Row],[_Res2Row]]&gt;0,INDEX(res_Name,Tasks[[#This Row],[_Res2Row]]),TRIM(LEFT(Tasks[[#This Row],[_Res2Text]],FIND("[",Tasks[[#This Row],[_Res2Text]]&amp;"[")-1))))</f>
        <v/>
      </c>
      <c r="DW2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2" s="43" t="n">
        <f aca="false">IF(OR(NOT(Tasks[[#This Row],[_IsLeaf]]=1),Tasks[[#This Row],[_Res2Row]]=0),0,N(Tasks[[#This Row],[_Days]])*HoursPerDay*IF(Tasks[[#This Row],[_Res2Units]]="",DefaultUnits,Tasks[[#This Row],[_Res2Units]]))</f>
        <v>0</v>
      </c>
      <c r="DY22" s="43" t="n">
        <f aca="false">IF(AND(AND(Tasks[[#This Row],[_IsLeaf]]=1,Tasks[[#This Row],[_LeafTotalWork]]&gt;0),Tasks[[#This Row],[_Res2Work]]&gt;0),Tasks[[#This Row],[_Res2Work]]/(Tasks[[#This Row],[_FinishWorkday]]-Tasks[[#This Row],[_StartWorkday]]+1),0)</f>
        <v>0</v>
      </c>
      <c r="DZ22" s="43" t="n">
        <f aca="false">Tasks[[#This Row],[_Res2WorkPerWD]]*MAX(0,Tasks[[#This Row],[_StartWorkday]]-1)</f>
        <v>0</v>
      </c>
      <c r="EA22" s="43" t="n">
        <f aca="false">Tasks[[#This Row],[_Res2Work]]*Tasks[[#This Row],[_LeafProgress]]</f>
        <v>0</v>
      </c>
      <c r="EB22" s="43" t="str">
        <f aca="false">IF(Tasks[[#This Row],[_Res3Text]]="","",IF(Tasks[[#This Row],[_Res3Row]]&gt;0,INDEX(res_Name,Tasks[[#This Row],[_Res3Row]]),TRIM(LEFT(Tasks[[#This Row],[_Res3Text]],FIND("[",Tasks[[#This Row],[_Res3Text]]&amp;"[")-1))))</f>
        <v/>
      </c>
      <c r="EC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2" s="43" t="n">
        <f aca="false">IF(OR(NOT(Tasks[[#This Row],[_IsLeaf]]=1),Tasks[[#This Row],[_Res3Row]]=0),0,N(Tasks[[#This Row],[_Days]])*HoursPerDay*IF(Tasks[[#This Row],[_Res3Units]]="",DefaultUnits,Tasks[[#This Row],[_Res3Units]]))</f>
        <v>0</v>
      </c>
      <c r="EE22" s="43" t="n">
        <f aca="false">IF(AND(AND(Tasks[[#This Row],[_IsLeaf]]=1,Tasks[[#This Row],[_LeafTotalWork]]&gt;0),Tasks[[#This Row],[_Res3Work]]&gt;0),Tasks[[#This Row],[_Res3Work]]/(Tasks[[#This Row],[_FinishWorkday]]-Tasks[[#This Row],[_StartWorkday]]+1),0)</f>
        <v>0</v>
      </c>
      <c r="EF22" s="43" t="n">
        <f aca="false">Tasks[[#This Row],[_Res3WorkPerWD]]*MAX(0,Tasks[[#This Row],[_StartWorkday]]-1)</f>
        <v>0</v>
      </c>
      <c r="EG22" s="43" t="n">
        <f aca="false">Tasks[[#This Row],[_Res3Work]]*Tasks[[#This Row],[_LeafProgress]]</f>
        <v>0</v>
      </c>
      <c r="EH22" s="43" t="str">
        <f aca="false">IF(Tasks[[#This Row],[_Res4Text]]="","",IF(Tasks[[#This Row],[_Res4Row]]&gt;0,INDEX(res_Name,Tasks[[#This Row],[_Res4Row]]),TRIM(LEFT(Tasks[[#This Row],[_Res4Text]],FIND("[",Tasks[[#This Row],[_Res4Text]]&amp;"[")-1))))</f>
        <v/>
      </c>
      <c r="EI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2" s="43" t="n">
        <f aca="false">IF(OR(NOT(Tasks[[#This Row],[_IsLeaf]]=1),Tasks[[#This Row],[_Res4Row]]=0),0,N(Tasks[[#This Row],[_Days]])*HoursPerDay*IF(Tasks[[#This Row],[_Res4Units]]="",DefaultUnits,Tasks[[#This Row],[_Res4Units]]))</f>
        <v>0</v>
      </c>
      <c r="EK22" s="43" t="n">
        <f aca="false">IF(AND(AND(Tasks[[#This Row],[_IsLeaf]]=1,Tasks[[#This Row],[_LeafTotalWork]]&gt;0),Tasks[[#This Row],[_Res4Work]]&gt;0),Tasks[[#This Row],[_Res4Work]]/(Tasks[[#This Row],[_FinishWorkday]]-Tasks[[#This Row],[_StartWorkday]]+1),0)</f>
        <v>0</v>
      </c>
      <c r="EL22" s="43" t="n">
        <f aca="false">Tasks[[#This Row],[_Res4WorkPerWD]]*MAX(0,Tasks[[#This Row],[_StartWorkday]]-1)</f>
        <v>0</v>
      </c>
      <c r="EM22" s="43" t="n">
        <f aca="false">Tasks[[#This Row],[_Res4Work]]*Tasks[[#This Row],[_LeafProgress]]</f>
        <v>0</v>
      </c>
      <c r="EN22" s="43" t="n">
        <f aca="false">IF(ISNUMBER(Tasks[[#This Row],[% Complete]]),Tasks[[#This Row],[% Complete]],IF(Tasks[[#This Row],[Stage]]="",0,IFERROR(INDEX(stg_Pct,MATCH(Tasks[[#This Row],[Stage]],stg_Name,0)),0)))</f>
        <v>0</v>
      </c>
      <c r="EO22" s="43" t="n">
        <f aca="false">IF(NOT(Tasks[[#This Row],[_IsLeaf]]=1),0,IF(N(Tasks[[#This Row],[Actual Finish]])&gt;0,1,MIN(1,Tasks[[#This Row],[_Pct]])))</f>
        <v>0</v>
      </c>
      <c r="EP22" s="43" t="n">
        <f aca="false">IF(OR(NOT(Tasks[[#This Row],[_IsLeaf]]=1),Tasks[[#This Row],[_Res1Row]]=0),0,N(Tasks[[#This Row],[_Days]])*HoursPerDay*IF(Tasks[[#This Row],[_Units1]]="",DefaultUnits,Tasks[[#This Row],[_Units1]]))</f>
        <v>0</v>
      </c>
      <c r="EQ22" s="43" t="n">
        <f aca="false">Tasks[[#This Row],[_LeafWork]]+Tasks[[#This Row],[_Res2Work]]+Tasks[[#This Row],[_Res3Work]]+Tasks[[#This Row],[_Res4Work]]</f>
        <v>0</v>
      </c>
      <c r="ER2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2" s="43" t="n">
        <f aca="false">IF(NOT(Tasks[[#This Row],[_IsLeaf]]=1),0,MAX(_xlfn.MAXIFS(Tasks[_Row],Tasks[_Pred1UID],Tasks[[#This Row],[UID]]),_xlfn.MAXIFS(Tasks[_Row],Tasks[_Pred2UID],Tasks[[#This Row],[UID]]),_xlfn.MAXIFS(Tasks[_Row],Tasks[_Pred3UID],Tasks[[#This Row],[UID]]),_xlfn.MAXIFS(Tasks[_Row],Tasks[_Pred4UID],Tasks[[#This Row],[UID]])))</f>
        <v>0</v>
      </c>
      <c r="FA2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2" s="91" t="str">
        <f aca="false">IF(NOT(Tasks[[#This Row],[_IsLeaf]]=1),"",IF(N(Tasks[[#This Row],[_Days]])&lt;=0,Tasks[[#This Row],[_LeafLateFinish]],WORKDAY.INTL(Tasks[[#This Row],[_LeafLateFinish]],-(Tasks[[#This Row],[_Days]]-1),WorkWeek,Holidays)))</f>
        <v/>
      </c>
      <c r="FD2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2" s="90" t="b">
        <f aca="false">AND(Tasks[[#This Row],[_IsLeaf]]=1,Tasks[[#This Row],[_LeafProgress]]&lt;1,N(Tasks[[#This Row],[_LeafTotalSlack]])&lt;=CriticalSlackDays)</f>
        <v>0</v>
      </c>
      <c r="FF22" s="43" t="n">
        <f aca="false">IF(AND(Tasks[[#This Row],[_IsLeaf]]=1,Tasks[[#This Row],[_ConstraintCode]]=1,Tasks[[#This Row],[Mode]]&lt;&gt;"Manual",N(Tasks[[#This Row],[Actual Start]])=0),MAX(0,N(Tasks[[#This Row],[Free Slack]])),0)</f>
        <v>0</v>
      </c>
      <c r="FG22" s="91" t="str">
        <f aca="false">IF(NOT(Tasks[[#This Row],[_IsLeaf]]=1),"",IF(Tasks[[#This Row],[_AlapShift]]=0,Tasks[[#This Row],[_LeafCalcStart]],WORKDAY.INTL(Tasks[[#This Row],[_LeafCalcStart]],Tasks[[#This Row],[_AlapShift]],WorkWeek,Holidays)))</f>
        <v/>
      </c>
      <c r="FH22" s="91" t="str">
        <f aca="false">IF(NOT(Tasks[[#This Row],[_IsLeaf]]=1),"",IF(Tasks[[#This Row],[_AlapShift]]=0,Tasks[[#This Row],[_LeafCalcFinish]],WORKDAY.INTL(Tasks[[#This Row],[_LeafCalcFinish]],Tasks[[#This Row],[_AlapShift]],WorkWeek,Holidays)))</f>
        <v/>
      </c>
      <c r="FI22" s="91" t="str">
        <f aca="false">IF(NOT(Tasks[[#This Row],[_IsLeaf]]=1),"",IF(Tasks[[#This Row],[_AlapShift]]=0,Tasks[[#This Row],[_LeafFcstStart]],WORKDAY.INTL(Tasks[[#This Row],[_LeafFcstStart]],Tasks[[#This Row],[_AlapShift]],WorkWeek,Holidays)))</f>
        <v/>
      </c>
      <c r="FJ22" s="91" t="str">
        <f aca="false">IF(NOT(Tasks[[#This Row],[_IsLeaf]]=1),"",IF(Tasks[[#This Row],[_AlapShift]]=0,Tasks[[#This Row],[_LeafFcstFinish]],WORKDAY.INTL(Tasks[[#This Row],[_LeafFcstFinish]],Tasks[[#This Row],[_AlapShift]],WorkWeek,Holidays)))</f>
        <v/>
      </c>
      <c r="FK22" s="91" t="str">
        <f aca="false">IF(Tasks[[#This Row],[Task Name]]="","",IF(Tasks[[#This Row],[_IsSummary]],MIN(INDEX(Tasks[_ShownCalcStart],Tasks[[#This Row],[_Row]]+1):INDEX(Tasks[_ShownCalcStart],Tasks[[#This Row],[_Row]]+Tasks[[#This Row],[_Descendants]])),Tasks[[#This Row],[_ShownCalcStart]]))</f>
        <v/>
      </c>
      <c r="FL22" s="91" t="str">
        <f aca="false">IF(Tasks[[#This Row],[Task Name]]="","",IF(Tasks[[#This Row],[_IsSummary]],MAX(INDEX(Tasks[_ShownCalcFinish],Tasks[[#This Row],[_Row]]+1):INDEX(Tasks[_ShownCalcFinish],Tasks[[#This Row],[_Row]]+Tasks[[#This Row],[_Descendants]])),Tasks[[#This Row],[_ShownCalcFinish]]))</f>
        <v/>
      </c>
      <c r="FM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2" s="43" t="n">
        <f aca="false">IF(AND(Tasks[[#This Row],[_IsLeaf]]=1,Tasks[[#This Row],[_LeafTotalWork]]&gt;0),NETWORKDAYS.INTL(ProjectStart,Tasks[[#This Row],[_ShownFcstStart]],WorkWeek,Holidays),0)</f>
        <v>0</v>
      </c>
      <c r="FZ22" s="43" t="n">
        <f aca="false">IF(AND(Tasks[[#This Row],[_IsLeaf]]=1,Tasks[[#This Row],[_LeafTotalWork]]&gt;0),MAX(Tasks[[#This Row],[_StartWorkday]],NETWORKDAYS.INTL(ProjectStart,Tasks[[#This Row],[_ShownFcstFinish]],WorkWeek,Holidays)),0)</f>
        <v>0</v>
      </c>
      <c r="GA22" s="43" t="n">
        <f aca="false">IF(AND(Tasks[[#This Row],[_IsLeaf]]=1,Tasks[[#This Row],[_LeafTotalWork]]&gt;0),Tasks[[#This Row],[_LeafWork]]/(Tasks[[#This Row],[_FinishWorkday]]-Tasks[[#This Row],[_StartWorkday]]+1),0)</f>
        <v>0</v>
      </c>
      <c r="GB22" s="43" t="n">
        <f aca="false">Tasks[[#This Row],[_WorkPerWorkday]]*(Tasks[[#This Row],[_StartWorkday]]-1)</f>
        <v>-0</v>
      </c>
      <c r="GC22" s="43" t="n">
        <f aca="false">IF(Tasks[[#This Row],[_IsLeaf]]=1,MAX(N(Tasks[[#This Row],[_Days]]),0.1),0)</f>
        <v>0</v>
      </c>
      <c r="GD22" s="43" t="n">
        <f aca="false">Tasks[[#This Row],[_WeightDur]]*Tasks[[#This Row],[_LeafProgress]]</f>
        <v>0</v>
      </c>
      <c r="GE22" s="43" t="n">
        <f aca="false">Tasks[[#This Row],[_WeightDur]]*Tasks[[#This Row],[_PlannedPct]]</f>
        <v>0</v>
      </c>
      <c r="GF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2" s="43" t="str">
        <f aca="false">IF(AND(Tasks[[#This Row],[_IsLeaf]]=1,N(Tasks[[#This Row],[_Days]])=0,Tasks[[#This Row],[_LeafProgress]]&lt;1),Tasks[[#This Row],[_ShownFcstFinish]]+Tasks[[#This Row],[_Row]]/100000,"")</f>
        <v/>
      </c>
      <c r="GH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2" s="43" t="str">
        <f aca="false">IF(Tasks[[#This Row],[Task Name]]="","",LEFT(Tasks[[#This Row],[WBS]],FIND(".",Tasks[[#This Row],[WBS]]&amp;".")-1))</f>
        <v/>
      </c>
      <c r="GJ22" s="43" t="str">
        <f aca="false">IF(AND(Tasks[[#This Row],[Task Name]]&lt;&gt;"",Tasks[[#This Row],[_Level]]=1),Tasks[[#This Row],[_Row]],"")</f>
        <v/>
      </c>
      <c r="GK22" s="43" t="str">
        <f aca="false">IF(AND(Tasks[[#This Row],[_IsLeaf]]=1,N(Tasks[[#This Row],[_Days]])=0),Tasks[[#This Row],[Planned Finish]]+Tasks[[#This Row],[_Row]]/100000,"")</f>
        <v/>
      </c>
      <c r="GL22" s="43" t="str">
        <f aca="false">IF(AND(Tasks[[#This Row],[_IsLeaf]]=1,Tasks[[#This Row],[_LeafProgress]]&lt;1,OR(N(Tasks[[#This Row],[Finish Var]])&gt;0,Tasks[[#This Row],[Status]]="Late Start")),MAX(0,Tasks[[#This Row],[Finish Var]])+1-Tasks[[#This Row],[_Row]]/1000000,"")</f>
        <v/>
      </c>
      <c r="GM22" s="43" t="str">
        <f aca="false">IF(AND(Tasks[[#This Row],[_IsLeaf]]=1,N(Tasks[[#This Row],[Actual Start]])=0,Tasks[[#This Row],[_ShownFcstStart]]&gt;=StatusDate,Tasks[[#This Row],[_ShownFcstStart]]&lt;=LookaheadEnd),Tasks[[#This Row],[_ShownFcstStart]]+Tasks[[#This Row],[_Row]]/100000,"")</f>
        <v/>
      </c>
      <c r="GN22" s="43" t="str">
        <f aca="false">IF(AND(Tasks[[#This Row],[_IsLeaf]]=1,Tasks[[#This Row],[_LeafProgress]]&lt;1,Tasks[[#This Row],[_ShownFcstFinish]]&gt;=StatusDate,Tasks[[#This Row],[_ShownFcstFinish]]&lt;=LookaheadEnd),Tasks[[#This Row],[_ShownFcstFinish]]+Tasks[[#This Row],[_Row]]/100000,"")</f>
        <v/>
      </c>
      <c r="GO22" s="43" t="str">
        <f aca="false">IF(Tasks[[#This Row],[_LeafCritical]],Tasks[[#This Row],[_ShownFcstStart]]+Tasks[[#This Row],[_Row]]/100000,"")</f>
        <v/>
      </c>
      <c r="GP22" s="43" t="n">
        <f aca="false">Tasks[[#This Row],[_LeafWork]]*Tasks[[#This Row],[_LeafProgress]]</f>
        <v>0</v>
      </c>
      <c r="GQ22" s="91" t="str">
        <f aca="false">IF(AND(Tasks[[#This Row],[_IsLeaf]]=1,Tasks[[#This Row],[_LeafProgress]]&gt;=1),IF(N(Tasks[[#This Row],[Actual Finish]])&gt;0,Tasks[[#This Row],[Actual Finish]],Tasks[[#This Row],[_ShownFcstFinish]]),"")</f>
        <v/>
      </c>
      <c r="GR22" s="43" t="n">
        <f aca="false">IF(Tasks[[#This Row],[_IsLeaf]]=1,N(Tasks[[#This Row],[Story Points]]),0)</f>
        <v>0</v>
      </c>
      <c r="GS22" s="43" t="str">
        <f aca="false">""</f>
        <v/>
      </c>
      <c r="GT22" s="90" t="b">
        <f aca="false">IF(Tasks[[#This Row],[Task Name]]="",FALSE(),AND(Tasks[[#This Row],[_IsLeaf]]=1,N(Tasks[[#This Row],[_Days]])=0))</f>
        <v>0</v>
      </c>
      <c r="GU22" s="91" t="n">
        <f aca="false">IF(Tasks[[#This Row],[Task Name]]="",0,IF(AND(Tasks[[#This Row],[_IsLeaf]]=1,NOT(Tasks[[#This Row],[_IsMilestone]]),N(Tasks[[#This Row],[Progress]])&gt;0),Tasks[[#This Row],[Start]],0))</f>
        <v>0</v>
      </c>
      <c r="GV22" s="91" t="n">
        <f aca="false">IF(Tasks[[#This Row],[_DoneFrom]]=0,0,IF(Tasks[[#This Row],[Progress]]&gt;=1,Tasks[[#This Row],[Finish]],MAX(Tasks[[#This Row],[_DoneFrom]],Tasks[[#This Row],[Start]]+ROUND((Tasks[[#This Row],[Finish]]-Tasks[[#This Row],[Start]]+1)*Tasks[[#This Row],[Progress]],0)-1)))</f>
        <v>0</v>
      </c>
      <c r="GW22" s="91" t="n">
        <f aca="false">IF(Tasks[[#This Row],[Task Name]]="",0,IF(OR(NOT(Tasks[[#This Row],[_IsLeaf]]=1),Tasks[[#This Row],[_IsMilestone]],N(Tasks[[#This Row],[Progress]])&gt;=1),0,IF(Tasks[[#This Row],[_DoneTo]]&gt;0,Tasks[[#This Row],[_DoneTo]]+1,Tasks[[#This Row],[Start]])))</f>
        <v>0</v>
      </c>
      <c r="GX22" s="91" t="n">
        <f aca="false">IF(Tasks[[#This Row],[_RemFrom]]=0,0,Tasks[[#This Row],[Finish]])</f>
        <v>0</v>
      </c>
      <c r="GY22" s="90" t="b">
        <f aca="false">IF(Tasks[[#This Row],[Task Name]]="",FALSE(),OR(NOT(BaselineSet),N(Tasks[[#This Row],[Baseline Start]])&gt;0))</f>
        <v>0</v>
      </c>
      <c r="GZ2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2" s="92" t="str">
        <f aca="false">IF(Tasks[[#This Row],[_IsLeaf]]=1,Tasks[[#This Row],[_Row]],"")</f>
        <v/>
      </c>
      <c r="HD22" s="92" t="str">
        <f aca="false">IFERROR(INDEX(Tasks[UID],SMALL(Tasks[_PickKey],Tasks[[#This Row],[_Row]]))&amp;" "&amp;INDEX(Tasks[Task Name],SMALL(Tasks[_PickKey],Tasks[[#This Row],[_Row]])),"")</f>
        <v/>
      </c>
      <c r="HE22" s="43" t="str">
        <f aca="false">IF(Tasks[[#This Row],[Task Name]]="","",IF(Tasks[[#This Row],[_IsSummary]],NETWORKDAYS.INTL(Tasks[[#This Row],[Start]],Tasks[[#This Row],[Finish]],WorkWeek,Holidays),N(Tasks[[#This Row],[_Days]])))</f>
        <v/>
      </c>
      <c r="HF22" s="43" t="n">
        <f aca="false">IF(Tasks[[#This Row],[Expected]]="",0,((Tasks[[#This Row],[Pessimistic]]-Tasks[[#This Row],[Optimistic]])/6)^2)</f>
        <v>0</v>
      </c>
      <c r="HG22" s="43" t="n">
        <f aca="false">IF(Tasks[[#This Row],[Expected]]="",0,Tasks[[#This Row],[Expected]]-N(Tasks[[#This Row],[_Days]]))</f>
        <v>0</v>
      </c>
    </row>
    <row r="23" customFormat="false" ht="15" hidden="false" customHeight="false" outlineLevel="0" collapsed="false">
      <c r="A23" s="21" t="str">
        <f aca="false">IF(Tasks[[#This Row],[Task Name]]="","",COUNTA(Tasks[[#Headers],[Task Name]]:Tasks[[#This Row],[Task Name]])-1)</f>
        <v/>
      </c>
      <c r="B23" s="22" t="n">
        <v>31</v>
      </c>
      <c r="C23" s="22"/>
      <c r="D23" s="23"/>
      <c r="E23" s="22"/>
      <c r="F23" s="23"/>
      <c r="G23" s="22"/>
      <c r="H23" s="22"/>
      <c r="I23" s="23"/>
      <c r="J23" s="22"/>
      <c r="K23" s="22"/>
      <c r="L23" s="23"/>
      <c r="M23" s="22"/>
      <c r="N23" s="22"/>
      <c r="O23" s="23"/>
      <c r="P23" s="22"/>
      <c r="Q23" s="22"/>
      <c r="R23" s="23"/>
      <c r="S23" s="23"/>
      <c r="T23" s="84"/>
      <c r="U23" s="23"/>
      <c r="V23" s="84"/>
      <c r="W23" s="23"/>
      <c r="X23" s="84"/>
      <c r="Y23" s="23"/>
      <c r="Z23" s="84"/>
      <c r="AA23" s="23"/>
      <c r="AB23" s="23"/>
      <c r="AC23" s="7"/>
      <c r="AD23" s="7"/>
      <c r="AE23" s="63" t="str">
        <f aca="false">IF(Tasks[[#This Row],[Task Name]]="","",IF(Tasks[[#This Row],[_IsSummary]],MIN(INDEX(Tasks[_ShownFcstStart],Tasks[[#This Row],[_Row]]+1):INDEX(Tasks[_ShownFcstStart],Tasks[[#This Row],[_Row]]+Tasks[[#This Row],[_Descendants]])),Tasks[[#This Row],[_ShownFcstStart]]))</f>
        <v/>
      </c>
      <c r="AF23" s="63" t="str">
        <f aca="false">IF(Tasks[[#This Row],[Task Name]]="","",IF(Tasks[[#This Row],[_IsSummary]],MAX(INDEX(Tasks[_ShownFcstFinish],Tasks[[#This Row],[_Row]]+1):INDEX(Tasks[_ShownFcstFinish],Tasks[[#This Row],[_Row]]+Tasks[[#This Row],[_Descendants]])),Tasks[[#This Row],[_ShownFcstFinish]]))</f>
        <v/>
      </c>
      <c r="AG23" s="21" t="str">
        <f aca="false">""</f>
        <v/>
      </c>
      <c r="AH23" s="23"/>
      <c r="AI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3" s="7"/>
      <c r="AK23" s="22"/>
      <c r="AL23" s="23"/>
      <c r="AM23" s="7"/>
      <c r="AN23" s="47" t="str">
        <f aca="false">IF(Tasks[[#This Row],[Task Name]]="","",IF(Tasks[[#This Row],[Finish]]&gt;=Tasks[[#This Row],[Planned Finish]],NETWORKDAYS.INTL(Tasks[[#This Row],[Planned Finish]],Tasks[[#This Row],[Finish]],WorkWeek,Holidays)-1,1-NETWORKDAYS.INTL(Tasks[[#This Row],[Finish]],Tasks[[#This Row],[Planned Finish]],WorkWeek,Holidays)))</f>
        <v/>
      </c>
      <c r="AO23" s="21" t="str">
        <f aca="false">IF(Tasks[[#This Row],[Task Name]]="","",IF(Tasks[[#This Row],[Progress]]&gt;=1,"Complete",IF(OR(N(Tasks[[#This Row],[Actual Start]])&gt;0,Tasks[[#This Row],[Progress]]&gt;0),IF(Tasks[[#This Row],[Finish Var]]&gt;0,"Behind","In Progress"),IF(Tasks[[#This Row],[Planned Start]]&lt;StatusDate,"Late Start","Not Started"))))</f>
        <v/>
      </c>
      <c r="AP23" s="21" t="str">
        <f aca="false">IF(Tasks[[#This Row],[Task Name]]="","",IF(IF(Tasks[[#This Row],[_IsSummary]],COUNTIF(INDEX(Tasks[_LeafCritical],Tasks[[#This Row],[_Row]]+1):INDEX(Tasks[_LeafCritical],Tasks[[#This Row],[_Row]]+Tasks[[#This Row],[_Descendants]]),TRUE())&gt;0,Tasks[[#This Row],[_LeafCritical]]),"Yes",""))</f>
        <v/>
      </c>
      <c r="AQ23" s="63" t="str">
        <f aca="false">IF(Tasks[[#This Row],[Task Name]]="","",IF(N(Tasks[[#This Row],[Baseline Start]])&gt;0,Tasks[[#This Row],[Baseline Start]],Tasks[[#This Row],[_CalcStart]]))</f>
        <v/>
      </c>
      <c r="AR23" s="63" t="str">
        <f aca="false">IF(Tasks[[#This Row],[Task Name]]="","",IF(N(Tasks[[#This Row],[Baseline Finish]])&gt;0,Tasks[[#This Row],[Baseline Finish]],Tasks[[#This Row],[_CalcFinish]]))</f>
        <v/>
      </c>
      <c r="AS23" s="47" t="str">
        <f aca="false">IF(Tasks[[#This Row],[Task Name]]="","",IF(Tasks[[#This Row],[Start]]&gt;=Tasks[[#This Row],[Planned Start]],NETWORKDAYS.INTL(Tasks[[#This Row],[Planned Start]],Tasks[[#This Row],[Start]],WorkWeek,Holidays)-1,1-NETWORKDAYS.INTL(Tasks[[#This Row],[Start]],Tasks[[#This Row],[Planned Start]],WorkWeek,Holidays)))</f>
        <v/>
      </c>
      <c r="AT23" s="63" t="str">
        <f aca="false">IF(Tasks[[#This Row],[Task Name]]="","",IF(Tasks[[#This Row],[_IsSummary]],MIN(INDEX(Tasks[_LeafLateStart],Tasks[[#This Row],[_Row]]+1):INDEX(Tasks[_LeafLateStart],Tasks[[#This Row],[_Row]]+Tasks[[#This Row],[_Descendants]])),Tasks[[#This Row],[_LeafLateStart]]))</f>
        <v/>
      </c>
      <c r="AU23" s="63" t="str">
        <f aca="false">IF(Tasks[[#This Row],[Task Name]]="","",IF(Tasks[[#This Row],[_IsSummary]],MAX(INDEX(Tasks[_LeafLateFinish],Tasks[[#This Row],[_Row]]+1):INDEX(Tasks[_LeafLateFinish],Tasks[[#This Row],[_Row]]+Tasks[[#This Row],[_Descendants]])),Tasks[[#This Row],[_LeafLateFinish]]))</f>
        <v/>
      </c>
      <c r="AV23" s="47" t="str">
        <f aca="false">IF(Tasks[[#This Row],[Task Name]]="","",IF(Tasks[[#This Row],[_IsSummary]],MIN(INDEX(Tasks[_LeafTotalSlack],Tasks[[#This Row],[_Row]]+1):INDEX(Tasks[_LeafTotalSlack],Tasks[[#This Row],[_Row]]+Tasks[[#This Row],[_Descendants]])),Tasks[[#This Row],[_LeafTotalSlack]]))</f>
        <v/>
      </c>
      <c r="AW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5"/>
      <c r="BA2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t="str">
        <f aca="false">IF(Tasks[[#This Row],[Task Name]]="","",IF(Tasks[[#This Row],[_Level]]&lt;=OutlineShowLevel,"Yes","No"))</f>
        <v/>
      </c>
      <c r="BE23" s="86" t="str">
        <f aca="false">IF(Tasks[[#This Row],[Task Name]]="","",IF(Tasks[[#This Row],[_IsSummary]],SUM(INDEX(Tasks[_LeafTotalWork],Tasks[[#This Row],[_Row]]+1):INDEX(Tasks[_LeafTotalWork],Tasks[[#This Row],[_Row]]+Tasks[[#This Row],[_Descendants]])),Tasks[[#This Row],[_LeafTotalWork]]))</f>
        <v/>
      </c>
      <c r="BF23" s="23"/>
      <c r="BG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t="str">
        <f aca="false">""</f>
        <v/>
      </c>
      <c r="BI23" s="87"/>
      <c r="BJ23" s="22"/>
      <c r="BK23" s="47" t="str">
        <f aca="false">IF(OR(Tasks[[#This Row],[Task Name]]="",Tasks[[#This Row],[Baseline Duration]]=""),"",Tasks[[#This Row],[_SpanDays]]-N(Tasks[[#This Row],[Baseline Duration]]))</f>
        <v/>
      </c>
      <c r="BL23" s="86" t="str">
        <f aca="false">IF(OR(Tasks[[#This Row],[Task Name]]="",Tasks[[#This Row],[Baseline Work]]=""),"",Tasks[[#This Row],[Work]]-N(Tasks[[#This Row],[Baseline Work]]))</f>
        <v/>
      </c>
      <c r="BM23" s="63" t="str">
        <f aca="false">IF(Tasks[[#This Row],[Task Name]]="","",IF(OR(TakeBaseline="Yes",N(Tasks[[#This Row],[Baseline Start]])=0),Tasks[[#This Row],[Start]],Tasks[[#This Row],[Baseline Start]]))</f>
        <v/>
      </c>
      <c r="BN23" s="63" t="str">
        <f aca="false">IF(Tasks[[#This Row],[Task Name]]="","",IF(OR(TakeBaseline="Yes",N(Tasks[[#This Row],[Baseline Finish]])=0),Tasks[[#This Row],[Finish]],Tasks[[#This Row],[Baseline Finish]]))</f>
        <v/>
      </c>
      <c r="BO23" s="21" t="str">
        <f aca="false">IF(Tasks[[#This Row],[Task Name]]="","",IF(OR(TakeBaseline="Yes",N(Tasks[[#This Row],[Baseline Duration]])=0),Tasks[[#This Row],[_SpanDays]],Tasks[[#This Row],[Baseline Duration]]))</f>
        <v/>
      </c>
      <c r="BP23" s="86" t="str">
        <f aca="false">IF(Tasks[[#This Row],[Task Name]]="","",IF(OR(TakeBaseline="Yes",N(Tasks[[#This Row],[Baseline Work]])=0),Tasks[[#This Row],[Work]],Tasks[[#This Row],[Baseline Work]]))</f>
        <v/>
      </c>
      <c r="BQ23" s="7"/>
      <c r="BR23" s="7"/>
      <c r="BS23" s="22"/>
      <c r="BT23" s="88"/>
      <c r="BU23" s="23"/>
      <c r="BV23" s="23"/>
      <c r="BW23" s="23"/>
      <c r="BX23" s="89" t="str">
        <f aca="false">IF(AND(Tasks[[#This Row],[_IsLeaf]]=1,ISNUMBER(Tasks[[#This Row],[Optimistic]]),ISNUMBER(Tasks[[#This Row],[Pessimistic]])),ROUND((Tasks[[#This Row],[Optimistic]]+4*N(Tasks[[#This Row],[_Days]])+Tasks[[#This Row],[Pessimistic]])/6,1),"")</f>
        <v/>
      </c>
      <c r="BY23" s="87"/>
      <c r="BZ23" s="87"/>
      <c r="CA23" s="22"/>
      <c r="CB23" s="43" t="str">
        <f aca="false">IF(Tasks[[#This Row],[Task Name]]="","",MAX(1,N(Tasks[[#This Row],[Level]])))</f>
        <v/>
      </c>
      <c r="CC23" s="43" t="n">
        <f aca="false">ROW()-ROW(Tasks[[#Headers],[ID]])</f>
        <v>18</v>
      </c>
      <c r="CD23" s="43" t="n">
        <f aca="false">IF(OR(Tasks[[#This Row],[Task Name]]="",Tasks[[#This Row],[_Level]]&lt;=1),0,IFERROR(LOOKUP(2,1/(Tasks[[#Headers],[_Level]]:Tasks[[#This Row],[_Level]]=Tasks[[#This Row],[_Level]]-1),ROW(Tasks[[#Headers],[_Level]]:Tasks[[#This Row],[_Level]])),0))</f>
        <v>0</v>
      </c>
      <c r="CE23" s="43" t="n">
        <f aca="false">IFERROR(N(INDEX(Tasks[_Level],Tasks[[#This Row],[_Row]]+1)),0)</f>
        <v>0</v>
      </c>
      <c r="CF23" s="90" t="b">
        <f aca="false">AND(Tasks[[#This Row],[Task Name]]&lt;&gt;"",Tasks[[#This Row],[_NextLevel]]&gt;Tasks[[#This Row],[_Level]])</f>
        <v>0</v>
      </c>
      <c r="CG23" s="43" t="n">
        <f aca="false">IF(Tasks[[#This Row],[_IsSummary]],COUNTIF(Tasks[WBS],Tasks[[#This Row],[WBS]]&amp;".*"),0)</f>
        <v>0</v>
      </c>
      <c r="CH23" s="43" t="n">
        <f aca="false">IF(AND(Tasks[[#This Row],[Task Name]]&lt;&gt;"",NOT(Tasks[[#This Row],[_IsSummary]])),1,0)</f>
        <v>0</v>
      </c>
      <c r="CI23" s="43" t="n">
        <f aca="false">IF(N(Tasks[[#This Row],[_Pred1UID]])=0,0,IFERROR(MATCH(Tasks[[#This Row],[_Pred1UID]],Tasks[UID],0),-1))</f>
        <v>0</v>
      </c>
      <c r="CJ23" s="43" t="n">
        <f aca="false">IF(N(Tasks[[#This Row],[_Pred2UID]])=0,0,IFERROR(MATCH(Tasks[[#This Row],[_Pred2UID]],Tasks[UID],0),-1))</f>
        <v>0</v>
      </c>
      <c r="CK23" s="43" t="n">
        <f aca="false">IF(N(Tasks[[#This Row],[_Pred3UID]])=0,0,IFERROR(MATCH(Tasks[[#This Row],[_Pred3UID]],Tasks[UID],0),-1))</f>
        <v>0</v>
      </c>
      <c r="CL23" s="43" t="n">
        <f aca="false">IF(N(Tasks[[#This Row],[_Pred4UID]])=0,0,IFERROR(MATCH(Tasks[[#This Row],[_Pred4UID]],Tasks[UID],0),-1))</f>
        <v>0</v>
      </c>
      <c r="CM2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3" s="91" t="n">
        <f aca="false">IF(OR(Tasks[[#This Row],[_ConstraintCode]]=2,Tasks[[#This Row],[_ConstraintCode]]=3,Tasks[[#This Row],[_ConstraintCode]]=4,Tasks[[#This Row],[_ConstraintCode]]=6),Tasks[[#This Row],[_ConstraintStart]],0)</f>
        <v>0</v>
      </c>
      <c r="CP23" s="91" t="n">
        <f aca="false">IF(OR(Tasks[[#This Row],[_ConstraintCode]]=2,Tasks[[#This Row],[_ConstraintCode]]=3,Tasks[[#This Row],[_ConstraintCode]]=5,Tasks[[#This Row],[_ConstraintCode]]=7),Tasks[[#This Row],[_ConstraintStart]],2958465)</f>
        <v>2958465</v>
      </c>
      <c r="CQ2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3" s="91" t="str">
        <f aca="false">IF(NOT(Tasks[[#This Row],[_IsLeaf]]=1),"",IF(N(Tasks[[#This Row],[_Days]])&lt;=0,Tasks[[#This Row],[_LeafCalcStart]],WORKDAY.INTL(Tasks[[#This Row],[_LeafCalcStart]],Tasks[[#This Row],[_Days]]-1,WorkWeek,Holidays)))</f>
        <v/>
      </c>
      <c r="CS2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3" s="43" t="str">
        <f aca="false">IF(Tasks[[#This Row],[_Predecessors]]="","",TRIM(MID(SUBSTITUTE(SUBSTITUTE(SUBSTITUTE(UPPER(Tasks[[#This Row],[_Predecessors]]),";",",")," ",""),",",REPT(" ",99)),1,99)))</f>
        <v/>
      </c>
      <c r="CV23" s="43" t="str">
        <f aca="false">IF(Tasks[[#This Row],[_Pred1Text]]="","",IFERROR(VALUE(LEFT(Tasks[[#This Row],[_Pred1Text]],MIN(FIND("F",Tasks[[#This Row],[_Pred1Text]]&amp;"F"),FIND("S",Tasks[[#This Row],[_Pred1Text]]&amp;"S"),FIND("+",Tasks[[#This Row],[_Pred1Text]]&amp;"+"),FIND("-",Tasks[[#This Row],[_Pred1Text]]&amp;"-"))-1)),""))</f>
        <v/>
      </c>
      <c r="CW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3" s="43" t="str">
        <f aca="false">IF(Tasks[[#This Row],[_Pred1Text]]="","",TRIM(MID(SUBSTITUTE(SUBSTITUTE(SUBSTITUTE(UPPER(Tasks[[#This Row],[_Predecessors]]),";",",")," ",""),",",REPT(" ",99)),100,99)))</f>
        <v/>
      </c>
      <c r="CZ23" s="43" t="str">
        <f aca="false">IF(Tasks[[#This Row],[_Pred2Text]]="","",IFERROR(VALUE(LEFT(Tasks[[#This Row],[_Pred2Text]],MIN(FIND("F",Tasks[[#This Row],[_Pred2Text]]&amp;"F"),FIND("S",Tasks[[#This Row],[_Pred2Text]]&amp;"S"),FIND("+",Tasks[[#This Row],[_Pred2Text]]&amp;"+"),FIND("-",Tasks[[#This Row],[_Pred2Text]]&amp;"-"))-1)),""))</f>
        <v/>
      </c>
      <c r="DA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3" s="43" t="str">
        <f aca="false">IF(Tasks[[#This Row],[_Pred2Text]]="","",TRIM(MID(SUBSTITUTE(SUBSTITUTE(SUBSTITUTE(UPPER(Tasks[[#This Row],[_Predecessors]]),";",",")," ",""),",",REPT(" ",99)),199,99)))</f>
        <v/>
      </c>
      <c r="DD23" s="43" t="str">
        <f aca="false">IF(Tasks[[#This Row],[_Pred3Text]]="","",IFERROR(VALUE(LEFT(Tasks[[#This Row],[_Pred3Text]],MIN(FIND("F",Tasks[[#This Row],[_Pred3Text]]&amp;"F"),FIND("S",Tasks[[#This Row],[_Pred3Text]]&amp;"S"),FIND("+",Tasks[[#This Row],[_Pred3Text]]&amp;"+"),FIND("-",Tasks[[#This Row],[_Pred3Text]]&amp;"-"))-1)),""))</f>
        <v/>
      </c>
      <c r="DE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3" s="43" t="str">
        <f aca="false">IF(Tasks[[#This Row],[_Pred3Text]]="","",TRIM(MID(SUBSTITUTE(SUBSTITUTE(SUBSTITUTE(UPPER(Tasks[[#This Row],[_Predecessors]]),";",",")," ",""),",",REPT(" ",99)),298,99)))</f>
        <v/>
      </c>
      <c r="DH23" s="43" t="str">
        <f aca="false">IF(Tasks[[#This Row],[_Pred4Text]]="","",IFERROR(VALUE(LEFT(Tasks[[#This Row],[_Pred4Text]],MIN(FIND("F",Tasks[[#This Row],[_Pred4Text]]&amp;"F"),FIND("S",Tasks[[#This Row],[_Pred4Text]]&amp;"S"),FIND("+",Tasks[[#This Row],[_Pred4Text]]&amp;"+"),FIND("-",Tasks[[#This Row],[_Pred4Text]]&amp;"-"))-1)),""))</f>
        <v/>
      </c>
      <c r="DI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3" s="43" t="str">
        <f aca="false">IF(OR(Tasks[[#This Row],[Task Name]]="",Tasks[[#This Row],[_Resources]]=""),"",TRIM(MID(SUBSTITUTE(Tasks[[#This Row],[_Resources]],",",REPT(" ",99)),1,99)))</f>
        <v/>
      </c>
      <c r="DL23" s="43" t="str">
        <f aca="false">IF(Tasks[[#This Row],[_Res1Text]]="","",TRIM(MID(SUBSTITUTE(Tasks[[#This Row],[_Resources]],",",REPT(" ",99)),100,99)))</f>
        <v/>
      </c>
      <c r="DM23" s="43" t="str">
        <f aca="false">IF(Tasks[[#This Row],[_Res2Text]]="","",TRIM(MID(SUBSTITUTE(Tasks[[#This Row],[_Resources]],",",REPT(" ",99)),199,99)))</f>
        <v/>
      </c>
      <c r="DN23" s="43" t="str">
        <f aca="false">IF(Tasks[[#This Row],[_Res3Text]]="","",TRIM(MID(SUBSTITUTE(Tasks[[#This Row],[_Resources]],",",REPT(" ",99)),298,99)))</f>
        <v/>
      </c>
      <c r="DO23" s="43" t="n">
        <f aca="false">IF(Tasks[[#This Row],[_Res1Text]]="",0,IFERROR(MATCH(TRIM(LEFT(Tasks[[#This Row],[_Res1Text]],FIND("[",Tasks[[#This Row],[_Res1Text]]&amp;"[")-1)),res_Name,0),IFERROR(MATCH(TRIM(LEFT(Tasks[[#This Row],[_Res1Text]],FIND("[",Tasks[[#This Row],[_Res1Text]]&amp;"[")-1)),res_Initials,0),0)))</f>
        <v>0</v>
      </c>
      <c r="DP23" s="43" t="n">
        <f aca="false">IF(Tasks[[#This Row],[_Res2Text]]="",0,IFERROR(MATCH(TRIM(LEFT(Tasks[[#This Row],[_Res2Text]],FIND("[",Tasks[[#This Row],[_Res2Text]]&amp;"[")-1)),res_Name,0),IFERROR(MATCH(TRIM(LEFT(Tasks[[#This Row],[_Res2Text]],FIND("[",Tasks[[#This Row],[_Res2Text]]&amp;"[")-1)),res_Initials,0),0)))</f>
        <v>0</v>
      </c>
      <c r="DQ23" s="43" t="n">
        <f aca="false">IF(Tasks[[#This Row],[_Res3Text]]="",0,IFERROR(MATCH(TRIM(LEFT(Tasks[[#This Row],[_Res3Text]],FIND("[",Tasks[[#This Row],[_Res3Text]]&amp;"[")-1)),res_Name,0),IFERROR(MATCH(TRIM(LEFT(Tasks[[#This Row],[_Res3Text]],FIND("[",Tasks[[#This Row],[_Res3Text]]&amp;"[")-1)),res_Initials,0),0)))</f>
        <v>0</v>
      </c>
      <c r="DR23" s="43" t="n">
        <f aca="false">IF(Tasks[[#This Row],[_Res4Text]]="",0,IFERROR(MATCH(TRIM(LEFT(Tasks[[#This Row],[_Res4Text]],FIND("[",Tasks[[#This Row],[_Res4Text]]&amp;"[")-1)),res_Name,0),IFERROR(MATCH(TRIM(LEFT(Tasks[[#This Row],[_Res4Text]],FIND("[",Tasks[[#This Row],[_Res4Text]]&amp;"[")-1)),res_Initials,0),0)))</f>
        <v>0</v>
      </c>
      <c r="DS23" s="43" t="str">
        <f aca="false">IF(Tasks[[#This Row],[_Res1Text]]="","",IF(Tasks[[#This Row],[_Res1Row]]&gt;0,INDEX(res_Name,Tasks[[#This Row],[_Res1Row]]),TRIM(LEFT(Tasks[[#This Row],[_Res1Text]],FIND("[",Tasks[[#This Row],[_Res1Text]]&amp;"[")-1))))</f>
        <v/>
      </c>
      <c r="DT2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3" s="43" t="n">
        <f aca="false">IF(NOT(Tasks[[#This Row],[_IsLeaf]]=1),0,(Tasks[[#This Row],[_Resource1]]&lt;&gt;"")+(Tasks[[#This Row],[_Res2]]&lt;&gt;"")+(Tasks[[#This Row],[_Res3]]&lt;&gt;"")+(Tasks[[#This Row],[_Res4]]&lt;&gt;""))</f>
        <v>0</v>
      </c>
      <c r="DV23" s="43" t="str">
        <f aca="false">IF(Tasks[[#This Row],[_Res2Text]]="","",IF(Tasks[[#This Row],[_Res2Row]]&gt;0,INDEX(res_Name,Tasks[[#This Row],[_Res2Row]]),TRIM(LEFT(Tasks[[#This Row],[_Res2Text]],FIND("[",Tasks[[#This Row],[_Res2Text]]&amp;"[")-1))))</f>
        <v/>
      </c>
      <c r="DW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3" s="43" t="n">
        <f aca="false">IF(OR(NOT(Tasks[[#This Row],[_IsLeaf]]=1),Tasks[[#This Row],[_Res2Row]]=0),0,N(Tasks[[#This Row],[_Days]])*HoursPerDay*IF(Tasks[[#This Row],[_Res2Units]]="",DefaultUnits,Tasks[[#This Row],[_Res2Units]]))</f>
        <v>0</v>
      </c>
      <c r="DY23" s="43" t="n">
        <f aca="false">IF(AND(AND(Tasks[[#This Row],[_IsLeaf]]=1,Tasks[[#This Row],[_LeafTotalWork]]&gt;0),Tasks[[#This Row],[_Res2Work]]&gt;0),Tasks[[#This Row],[_Res2Work]]/(Tasks[[#This Row],[_FinishWorkday]]-Tasks[[#This Row],[_StartWorkday]]+1),0)</f>
        <v>0</v>
      </c>
      <c r="DZ23" s="43" t="n">
        <f aca="false">Tasks[[#This Row],[_Res2WorkPerWD]]*MAX(0,Tasks[[#This Row],[_StartWorkday]]-1)</f>
        <v>0</v>
      </c>
      <c r="EA23" s="43" t="n">
        <f aca="false">Tasks[[#This Row],[_Res2Work]]*Tasks[[#This Row],[_LeafProgress]]</f>
        <v>0</v>
      </c>
      <c r="EB23" s="43" t="str">
        <f aca="false">IF(Tasks[[#This Row],[_Res3Text]]="","",IF(Tasks[[#This Row],[_Res3Row]]&gt;0,INDEX(res_Name,Tasks[[#This Row],[_Res3Row]]),TRIM(LEFT(Tasks[[#This Row],[_Res3Text]],FIND("[",Tasks[[#This Row],[_Res3Text]]&amp;"[")-1))))</f>
        <v/>
      </c>
      <c r="EC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3" s="43" t="n">
        <f aca="false">IF(OR(NOT(Tasks[[#This Row],[_IsLeaf]]=1),Tasks[[#This Row],[_Res3Row]]=0),0,N(Tasks[[#This Row],[_Days]])*HoursPerDay*IF(Tasks[[#This Row],[_Res3Units]]="",DefaultUnits,Tasks[[#This Row],[_Res3Units]]))</f>
        <v>0</v>
      </c>
      <c r="EE23" s="43" t="n">
        <f aca="false">IF(AND(AND(Tasks[[#This Row],[_IsLeaf]]=1,Tasks[[#This Row],[_LeafTotalWork]]&gt;0),Tasks[[#This Row],[_Res3Work]]&gt;0),Tasks[[#This Row],[_Res3Work]]/(Tasks[[#This Row],[_FinishWorkday]]-Tasks[[#This Row],[_StartWorkday]]+1),0)</f>
        <v>0</v>
      </c>
      <c r="EF23" s="43" t="n">
        <f aca="false">Tasks[[#This Row],[_Res3WorkPerWD]]*MAX(0,Tasks[[#This Row],[_StartWorkday]]-1)</f>
        <v>0</v>
      </c>
      <c r="EG23" s="43" t="n">
        <f aca="false">Tasks[[#This Row],[_Res3Work]]*Tasks[[#This Row],[_LeafProgress]]</f>
        <v>0</v>
      </c>
      <c r="EH23" s="43" t="str">
        <f aca="false">IF(Tasks[[#This Row],[_Res4Text]]="","",IF(Tasks[[#This Row],[_Res4Row]]&gt;0,INDEX(res_Name,Tasks[[#This Row],[_Res4Row]]),TRIM(LEFT(Tasks[[#This Row],[_Res4Text]],FIND("[",Tasks[[#This Row],[_Res4Text]]&amp;"[")-1))))</f>
        <v/>
      </c>
      <c r="EI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3" s="43" t="n">
        <f aca="false">IF(OR(NOT(Tasks[[#This Row],[_IsLeaf]]=1),Tasks[[#This Row],[_Res4Row]]=0),0,N(Tasks[[#This Row],[_Days]])*HoursPerDay*IF(Tasks[[#This Row],[_Res4Units]]="",DefaultUnits,Tasks[[#This Row],[_Res4Units]]))</f>
        <v>0</v>
      </c>
      <c r="EK23" s="43" t="n">
        <f aca="false">IF(AND(AND(Tasks[[#This Row],[_IsLeaf]]=1,Tasks[[#This Row],[_LeafTotalWork]]&gt;0),Tasks[[#This Row],[_Res4Work]]&gt;0),Tasks[[#This Row],[_Res4Work]]/(Tasks[[#This Row],[_FinishWorkday]]-Tasks[[#This Row],[_StartWorkday]]+1),0)</f>
        <v>0</v>
      </c>
      <c r="EL23" s="43" t="n">
        <f aca="false">Tasks[[#This Row],[_Res4WorkPerWD]]*MAX(0,Tasks[[#This Row],[_StartWorkday]]-1)</f>
        <v>0</v>
      </c>
      <c r="EM23" s="43" t="n">
        <f aca="false">Tasks[[#This Row],[_Res4Work]]*Tasks[[#This Row],[_LeafProgress]]</f>
        <v>0</v>
      </c>
      <c r="EN23" s="43" t="n">
        <f aca="false">IF(ISNUMBER(Tasks[[#This Row],[% Complete]]),Tasks[[#This Row],[% Complete]],IF(Tasks[[#This Row],[Stage]]="",0,IFERROR(INDEX(stg_Pct,MATCH(Tasks[[#This Row],[Stage]],stg_Name,0)),0)))</f>
        <v>0</v>
      </c>
      <c r="EO23" s="43" t="n">
        <f aca="false">IF(NOT(Tasks[[#This Row],[_IsLeaf]]=1),0,IF(N(Tasks[[#This Row],[Actual Finish]])&gt;0,1,MIN(1,Tasks[[#This Row],[_Pct]])))</f>
        <v>0</v>
      </c>
      <c r="EP23" s="43" t="n">
        <f aca="false">IF(OR(NOT(Tasks[[#This Row],[_IsLeaf]]=1),Tasks[[#This Row],[_Res1Row]]=0),0,N(Tasks[[#This Row],[_Days]])*HoursPerDay*IF(Tasks[[#This Row],[_Units1]]="",DefaultUnits,Tasks[[#This Row],[_Units1]]))</f>
        <v>0</v>
      </c>
      <c r="EQ23" s="43" t="n">
        <f aca="false">Tasks[[#This Row],[_LeafWork]]+Tasks[[#This Row],[_Res2Work]]+Tasks[[#This Row],[_Res3Work]]+Tasks[[#This Row],[_Res4Work]]</f>
        <v>0</v>
      </c>
      <c r="ER2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3" s="43" t="n">
        <f aca="false">IF(NOT(Tasks[[#This Row],[_IsLeaf]]=1),0,MAX(_xlfn.MAXIFS(Tasks[_Row],Tasks[_Pred1UID],Tasks[[#This Row],[UID]]),_xlfn.MAXIFS(Tasks[_Row],Tasks[_Pred2UID],Tasks[[#This Row],[UID]]),_xlfn.MAXIFS(Tasks[_Row],Tasks[_Pred3UID],Tasks[[#This Row],[UID]]),_xlfn.MAXIFS(Tasks[_Row],Tasks[_Pred4UID],Tasks[[#This Row],[UID]])))</f>
        <v>0</v>
      </c>
      <c r="FA2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3" s="91" t="str">
        <f aca="false">IF(NOT(Tasks[[#This Row],[_IsLeaf]]=1),"",IF(N(Tasks[[#This Row],[_Days]])&lt;=0,Tasks[[#This Row],[_LeafLateFinish]],WORKDAY.INTL(Tasks[[#This Row],[_LeafLateFinish]],-(Tasks[[#This Row],[_Days]]-1),WorkWeek,Holidays)))</f>
        <v/>
      </c>
      <c r="FD2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3" s="90" t="b">
        <f aca="false">AND(Tasks[[#This Row],[_IsLeaf]]=1,Tasks[[#This Row],[_LeafProgress]]&lt;1,N(Tasks[[#This Row],[_LeafTotalSlack]])&lt;=CriticalSlackDays)</f>
        <v>0</v>
      </c>
      <c r="FF23" s="43" t="n">
        <f aca="false">IF(AND(Tasks[[#This Row],[_IsLeaf]]=1,Tasks[[#This Row],[_ConstraintCode]]=1,Tasks[[#This Row],[Mode]]&lt;&gt;"Manual",N(Tasks[[#This Row],[Actual Start]])=0),MAX(0,N(Tasks[[#This Row],[Free Slack]])),0)</f>
        <v>0</v>
      </c>
      <c r="FG23" s="91" t="str">
        <f aca="false">IF(NOT(Tasks[[#This Row],[_IsLeaf]]=1),"",IF(Tasks[[#This Row],[_AlapShift]]=0,Tasks[[#This Row],[_LeafCalcStart]],WORKDAY.INTL(Tasks[[#This Row],[_LeafCalcStart]],Tasks[[#This Row],[_AlapShift]],WorkWeek,Holidays)))</f>
        <v/>
      </c>
      <c r="FH23" s="91" t="str">
        <f aca="false">IF(NOT(Tasks[[#This Row],[_IsLeaf]]=1),"",IF(Tasks[[#This Row],[_AlapShift]]=0,Tasks[[#This Row],[_LeafCalcFinish]],WORKDAY.INTL(Tasks[[#This Row],[_LeafCalcFinish]],Tasks[[#This Row],[_AlapShift]],WorkWeek,Holidays)))</f>
        <v/>
      </c>
      <c r="FI23" s="91" t="str">
        <f aca="false">IF(NOT(Tasks[[#This Row],[_IsLeaf]]=1),"",IF(Tasks[[#This Row],[_AlapShift]]=0,Tasks[[#This Row],[_LeafFcstStart]],WORKDAY.INTL(Tasks[[#This Row],[_LeafFcstStart]],Tasks[[#This Row],[_AlapShift]],WorkWeek,Holidays)))</f>
        <v/>
      </c>
      <c r="FJ23" s="91" t="str">
        <f aca="false">IF(NOT(Tasks[[#This Row],[_IsLeaf]]=1),"",IF(Tasks[[#This Row],[_AlapShift]]=0,Tasks[[#This Row],[_LeafFcstFinish]],WORKDAY.INTL(Tasks[[#This Row],[_LeafFcstFinish]],Tasks[[#This Row],[_AlapShift]],WorkWeek,Holidays)))</f>
        <v/>
      </c>
      <c r="FK23" s="91" t="str">
        <f aca="false">IF(Tasks[[#This Row],[Task Name]]="","",IF(Tasks[[#This Row],[_IsSummary]],MIN(INDEX(Tasks[_ShownCalcStart],Tasks[[#This Row],[_Row]]+1):INDEX(Tasks[_ShownCalcStart],Tasks[[#This Row],[_Row]]+Tasks[[#This Row],[_Descendants]])),Tasks[[#This Row],[_ShownCalcStart]]))</f>
        <v/>
      </c>
      <c r="FL23" s="91" t="str">
        <f aca="false">IF(Tasks[[#This Row],[Task Name]]="","",IF(Tasks[[#This Row],[_IsSummary]],MAX(INDEX(Tasks[_ShownCalcFinish],Tasks[[#This Row],[_Row]]+1):INDEX(Tasks[_ShownCalcFinish],Tasks[[#This Row],[_Row]]+Tasks[[#This Row],[_Descendants]])),Tasks[[#This Row],[_ShownCalcFinish]]))</f>
        <v/>
      </c>
      <c r="FM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3" s="43" t="n">
        <f aca="false">IF(AND(Tasks[[#This Row],[_IsLeaf]]=1,Tasks[[#This Row],[_LeafTotalWork]]&gt;0),NETWORKDAYS.INTL(ProjectStart,Tasks[[#This Row],[_ShownFcstStart]],WorkWeek,Holidays),0)</f>
        <v>0</v>
      </c>
      <c r="FZ23" s="43" t="n">
        <f aca="false">IF(AND(Tasks[[#This Row],[_IsLeaf]]=1,Tasks[[#This Row],[_LeafTotalWork]]&gt;0),MAX(Tasks[[#This Row],[_StartWorkday]],NETWORKDAYS.INTL(ProjectStart,Tasks[[#This Row],[_ShownFcstFinish]],WorkWeek,Holidays)),0)</f>
        <v>0</v>
      </c>
      <c r="GA23" s="43" t="n">
        <f aca="false">IF(AND(Tasks[[#This Row],[_IsLeaf]]=1,Tasks[[#This Row],[_LeafTotalWork]]&gt;0),Tasks[[#This Row],[_LeafWork]]/(Tasks[[#This Row],[_FinishWorkday]]-Tasks[[#This Row],[_StartWorkday]]+1),0)</f>
        <v>0</v>
      </c>
      <c r="GB23" s="43" t="n">
        <f aca="false">Tasks[[#This Row],[_WorkPerWorkday]]*(Tasks[[#This Row],[_StartWorkday]]-1)</f>
        <v>-0</v>
      </c>
      <c r="GC23" s="43" t="n">
        <f aca="false">IF(Tasks[[#This Row],[_IsLeaf]]=1,MAX(N(Tasks[[#This Row],[_Days]]),0.1),0)</f>
        <v>0</v>
      </c>
      <c r="GD23" s="43" t="n">
        <f aca="false">Tasks[[#This Row],[_WeightDur]]*Tasks[[#This Row],[_LeafProgress]]</f>
        <v>0</v>
      </c>
      <c r="GE23" s="43" t="n">
        <f aca="false">Tasks[[#This Row],[_WeightDur]]*Tasks[[#This Row],[_PlannedPct]]</f>
        <v>0</v>
      </c>
      <c r="GF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3" s="43" t="str">
        <f aca="false">IF(AND(Tasks[[#This Row],[_IsLeaf]]=1,N(Tasks[[#This Row],[_Days]])=0,Tasks[[#This Row],[_LeafProgress]]&lt;1),Tasks[[#This Row],[_ShownFcstFinish]]+Tasks[[#This Row],[_Row]]/100000,"")</f>
        <v/>
      </c>
      <c r="GH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3" s="43" t="str">
        <f aca="false">IF(Tasks[[#This Row],[Task Name]]="","",LEFT(Tasks[[#This Row],[WBS]],FIND(".",Tasks[[#This Row],[WBS]]&amp;".")-1))</f>
        <v/>
      </c>
      <c r="GJ23" s="43" t="str">
        <f aca="false">IF(AND(Tasks[[#This Row],[Task Name]]&lt;&gt;"",Tasks[[#This Row],[_Level]]=1),Tasks[[#This Row],[_Row]],"")</f>
        <v/>
      </c>
      <c r="GK23" s="43" t="str">
        <f aca="false">IF(AND(Tasks[[#This Row],[_IsLeaf]]=1,N(Tasks[[#This Row],[_Days]])=0),Tasks[[#This Row],[Planned Finish]]+Tasks[[#This Row],[_Row]]/100000,"")</f>
        <v/>
      </c>
      <c r="GL23" s="43" t="str">
        <f aca="false">IF(AND(Tasks[[#This Row],[_IsLeaf]]=1,Tasks[[#This Row],[_LeafProgress]]&lt;1,OR(N(Tasks[[#This Row],[Finish Var]])&gt;0,Tasks[[#This Row],[Status]]="Late Start")),MAX(0,Tasks[[#This Row],[Finish Var]])+1-Tasks[[#This Row],[_Row]]/1000000,"")</f>
        <v/>
      </c>
      <c r="GM23" s="43" t="str">
        <f aca="false">IF(AND(Tasks[[#This Row],[_IsLeaf]]=1,N(Tasks[[#This Row],[Actual Start]])=0,Tasks[[#This Row],[_ShownFcstStart]]&gt;=StatusDate,Tasks[[#This Row],[_ShownFcstStart]]&lt;=LookaheadEnd),Tasks[[#This Row],[_ShownFcstStart]]+Tasks[[#This Row],[_Row]]/100000,"")</f>
        <v/>
      </c>
      <c r="GN23" s="43" t="str">
        <f aca="false">IF(AND(Tasks[[#This Row],[_IsLeaf]]=1,Tasks[[#This Row],[_LeafProgress]]&lt;1,Tasks[[#This Row],[_ShownFcstFinish]]&gt;=StatusDate,Tasks[[#This Row],[_ShownFcstFinish]]&lt;=LookaheadEnd),Tasks[[#This Row],[_ShownFcstFinish]]+Tasks[[#This Row],[_Row]]/100000,"")</f>
        <v/>
      </c>
      <c r="GO23" s="43" t="str">
        <f aca="false">IF(Tasks[[#This Row],[_LeafCritical]],Tasks[[#This Row],[_ShownFcstStart]]+Tasks[[#This Row],[_Row]]/100000,"")</f>
        <v/>
      </c>
      <c r="GP23" s="43" t="n">
        <f aca="false">Tasks[[#This Row],[_LeafWork]]*Tasks[[#This Row],[_LeafProgress]]</f>
        <v>0</v>
      </c>
      <c r="GQ23" s="91" t="str">
        <f aca="false">IF(AND(Tasks[[#This Row],[_IsLeaf]]=1,Tasks[[#This Row],[_LeafProgress]]&gt;=1),IF(N(Tasks[[#This Row],[Actual Finish]])&gt;0,Tasks[[#This Row],[Actual Finish]],Tasks[[#This Row],[_ShownFcstFinish]]),"")</f>
        <v/>
      </c>
      <c r="GR23" s="43" t="n">
        <f aca="false">IF(Tasks[[#This Row],[_IsLeaf]]=1,N(Tasks[[#This Row],[Story Points]]),0)</f>
        <v>0</v>
      </c>
      <c r="GS23" s="43" t="str">
        <f aca="false">""</f>
        <v/>
      </c>
      <c r="GT23" s="90" t="b">
        <f aca="false">IF(Tasks[[#This Row],[Task Name]]="",FALSE(),AND(Tasks[[#This Row],[_IsLeaf]]=1,N(Tasks[[#This Row],[_Days]])=0))</f>
        <v>0</v>
      </c>
      <c r="GU23" s="91" t="n">
        <f aca="false">IF(Tasks[[#This Row],[Task Name]]="",0,IF(AND(Tasks[[#This Row],[_IsLeaf]]=1,NOT(Tasks[[#This Row],[_IsMilestone]]),N(Tasks[[#This Row],[Progress]])&gt;0),Tasks[[#This Row],[Start]],0))</f>
        <v>0</v>
      </c>
      <c r="GV23" s="91" t="n">
        <f aca="false">IF(Tasks[[#This Row],[_DoneFrom]]=0,0,IF(Tasks[[#This Row],[Progress]]&gt;=1,Tasks[[#This Row],[Finish]],MAX(Tasks[[#This Row],[_DoneFrom]],Tasks[[#This Row],[Start]]+ROUND((Tasks[[#This Row],[Finish]]-Tasks[[#This Row],[Start]]+1)*Tasks[[#This Row],[Progress]],0)-1)))</f>
        <v>0</v>
      </c>
      <c r="GW23" s="91" t="n">
        <f aca="false">IF(Tasks[[#This Row],[Task Name]]="",0,IF(OR(NOT(Tasks[[#This Row],[_IsLeaf]]=1),Tasks[[#This Row],[_IsMilestone]],N(Tasks[[#This Row],[Progress]])&gt;=1),0,IF(Tasks[[#This Row],[_DoneTo]]&gt;0,Tasks[[#This Row],[_DoneTo]]+1,Tasks[[#This Row],[Start]])))</f>
        <v>0</v>
      </c>
      <c r="GX23" s="91" t="n">
        <f aca="false">IF(Tasks[[#This Row],[_RemFrom]]=0,0,Tasks[[#This Row],[Finish]])</f>
        <v>0</v>
      </c>
      <c r="GY23" s="90" t="b">
        <f aca="false">IF(Tasks[[#This Row],[Task Name]]="",FALSE(),OR(NOT(BaselineSet),N(Tasks[[#This Row],[Baseline Start]])&gt;0))</f>
        <v>0</v>
      </c>
      <c r="GZ2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3" s="92" t="str">
        <f aca="false">IF(Tasks[[#This Row],[_IsLeaf]]=1,Tasks[[#This Row],[_Row]],"")</f>
        <v/>
      </c>
      <c r="HD23" s="92" t="str">
        <f aca="false">IFERROR(INDEX(Tasks[UID],SMALL(Tasks[_PickKey],Tasks[[#This Row],[_Row]]))&amp;" "&amp;INDEX(Tasks[Task Name],SMALL(Tasks[_PickKey],Tasks[[#This Row],[_Row]])),"")</f>
        <v/>
      </c>
      <c r="HE23" s="43" t="str">
        <f aca="false">IF(Tasks[[#This Row],[Task Name]]="","",IF(Tasks[[#This Row],[_IsSummary]],NETWORKDAYS.INTL(Tasks[[#This Row],[Start]],Tasks[[#This Row],[Finish]],WorkWeek,Holidays),N(Tasks[[#This Row],[_Days]])))</f>
        <v/>
      </c>
      <c r="HF23" s="43" t="n">
        <f aca="false">IF(Tasks[[#This Row],[Expected]]="",0,((Tasks[[#This Row],[Pessimistic]]-Tasks[[#This Row],[Optimistic]])/6)^2)</f>
        <v>0</v>
      </c>
      <c r="HG23" s="43" t="n">
        <f aca="false">IF(Tasks[[#This Row],[Expected]]="",0,Tasks[[#This Row],[Expected]]-N(Tasks[[#This Row],[_Days]]))</f>
        <v>0</v>
      </c>
    </row>
    <row r="24" customFormat="false" ht="15" hidden="false" customHeight="false" outlineLevel="0" collapsed="false">
      <c r="A24" s="21" t="str">
        <f aca="false">IF(Tasks[[#This Row],[Task Name]]="","",COUNTA(Tasks[[#Headers],[Task Name]]:Tasks[[#This Row],[Task Name]])-1)</f>
        <v/>
      </c>
      <c r="B24" s="22" t="n">
        <v>32</v>
      </c>
      <c r="C24" s="22"/>
      <c r="D24" s="23"/>
      <c r="E24" s="22"/>
      <c r="F24" s="23"/>
      <c r="G24" s="22"/>
      <c r="H24" s="22"/>
      <c r="I24" s="23"/>
      <c r="J24" s="22"/>
      <c r="K24" s="22"/>
      <c r="L24" s="23"/>
      <c r="M24" s="22"/>
      <c r="N24" s="22"/>
      <c r="O24" s="23"/>
      <c r="P24" s="22"/>
      <c r="Q24" s="22"/>
      <c r="R24" s="23"/>
      <c r="S24" s="23"/>
      <c r="T24" s="84"/>
      <c r="U24" s="23"/>
      <c r="V24" s="84"/>
      <c r="W24" s="23"/>
      <c r="X24" s="84"/>
      <c r="Y24" s="23"/>
      <c r="Z24" s="84"/>
      <c r="AA24" s="23"/>
      <c r="AB24" s="23"/>
      <c r="AC24" s="7"/>
      <c r="AD24" s="7"/>
      <c r="AE24" s="63" t="str">
        <f aca="false">IF(Tasks[[#This Row],[Task Name]]="","",IF(Tasks[[#This Row],[_IsSummary]],MIN(INDEX(Tasks[_ShownFcstStart],Tasks[[#This Row],[_Row]]+1):INDEX(Tasks[_ShownFcstStart],Tasks[[#This Row],[_Row]]+Tasks[[#This Row],[_Descendants]])),Tasks[[#This Row],[_ShownFcstStart]]))</f>
        <v/>
      </c>
      <c r="AF24" s="63" t="str">
        <f aca="false">IF(Tasks[[#This Row],[Task Name]]="","",IF(Tasks[[#This Row],[_IsSummary]],MAX(INDEX(Tasks[_ShownFcstFinish],Tasks[[#This Row],[_Row]]+1):INDEX(Tasks[_ShownFcstFinish],Tasks[[#This Row],[_Row]]+Tasks[[#This Row],[_Descendants]])),Tasks[[#This Row],[_ShownFcstFinish]]))</f>
        <v/>
      </c>
      <c r="AG24" s="21" t="str">
        <f aca="false">""</f>
        <v/>
      </c>
      <c r="AH24" s="23"/>
      <c r="AI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4" s="7"/>
      <c r="AK24" s="22"/>
      <c r="AL24" s="23"/>
      <c r="AM24" s="7"/>
      <c r="AN24" s="47" t="str">
        <f aca="false">IF(Tasks[[#This Row],[Task Name]]="","",IF(Tasks[[#This Row],[Finish]]&gt;=Tasks[[#This Row],[Planned Finish]],NETWORKDAYS.INTL(Tasks[[#This Row],[Planned Finish]],Tasks[[#This Row],[Finish]],WorkWeek,Holidays)-1,1-NETWORKDAYS.INTL(Tasks[[#This Row],[Finish]],Tasks[[#This Row],[Planned Finish]],WorkWeek,Holidays)))</f>
        <v/>
      </c>
      <c r="AO24" s="21" t="str">
        <f aca="false">IF(Tasks[[#This Row],[Task Name]]="","",IF(Tasks[[#This Row],[Progress]]&gt;=1,"Complete",IF(OR(N(Tasks[[#This Row],[Actual Start]])&gt;0,Tasks[[#This Row],[Progress]]&gt;0),IF(Tasks[[#This Row],[Finish Var]]&gt;0,"Behind","In Progress"),IF(Tasks[[#This Row],[Planned Start]]&lt;StatusDate,"Late Start","Not Started"))))</f>
        <v/>
      </c>
      <c r="AP24" s="21" t="str">
        <f aca="false">IF(Tasks[[#This Row],[Task Name]]="","",IF(IF(Tasks[[#This Row],[_IsSummary]],COUNTIF(INDEX(Tasks[_LeafCritical],Tasks[[#This Row],[_Row]]+1):INDEX(Tasks[_LeafCritical],Tasks[[#This Row],[_Row]]+Tasks[[#This Row],[_Descendants]]),TRUE())&gt;0,Tasks[[#This Row],[_LeafCritical]]),"Yes",""))</f>
        <v/>
      </c>
      <c r="AQ24" s="63" t="str">
        <f aca="false">IF(Tasks[[#This Row],[Task Name]]="","",IF(N(Tasks[[#This Row],[Baseline Start]])&gt;0,Tasks[[#This Row],[Baseline Start]],Tasks[[#This Row],[_CalcStart]]))</f>
        <v/>
      </c>
      <c r="AR24" s="63" t="str">
        <f aca="false">IF(Tasks[[#This Row],[Task Name]]="","",IF(N(Tasks[[#This Row],[Baseline Finish]])&gt;0,Tasks[[#This Row],[Baseline Finish]],Tasks[[#This Row],[_CalcFinish]]))</f>
        <v/>
      </c>
      <c r="AS24" s="47" t="str">
        <f aca="false">IF(Tasks[[#This Row],[Task Name]]="","",IF(Tasks[[#This Row],[Start]]&gt;=Tasks[[#This Row],[Planned Start]],NETWORKDAYS.INTL(Tasks[[#This Row],[Planned Start]],Tasks[[#This Row],[Start]],WorkWeek,Holidays)-1,1-NETWORKDAYS.INTL(Tasks[[#This Row],[Start]],Tasks[[#This Row],[Planned Start]],WorkWeek,Holidays)))</f>
        <v/>
      </c>
      <c r="AT24" s="63" t="str">
        <f aca="false">IF(Tasks[[#This Row],[Task Name]]="","",IF(Tasks[[#This Row],[_IsSummary]],MIN(INDEX(Tasks[_LeafLateStart],Tasks[[#This Row],[_Row]]+1):INDEX(Tasks[_LeafLateStart],Tasks[[#This Row],[_Row]]+Tasks[[#This Row],[_Descendants]])),Tasks[[#This Row],[_LeafLateStart]]))</f>
        <v/>
      </c>
      <c r="AU24" s="63" t="str">
        <f aca="false">IF(Tasks[[#This Row],[Task Name]]="","",IF(Tasks[[#This Row],[_IsSummary]],MAX(INDEX(Tasks[_LeafLateFinish],Tasks[[#This Row],[_Row]]+1):INDEX(Tasks[_LeafLateFinish],Tasks[[#This Row],[_Row]]+Tasks[[#This Row],[_Descendants]])),Tasks[[#This Row],[_LeafLateFinish]]))</f>
        <v/>
      </c>
      <c r="AV24" s="47" t="str">
        <f aca="false">IF(Tasks[[#This Row],[Task Name]]="","",IF(Tasks[[#This Row],[_IsSummary]],MIN(INDEX(Tasks[_LeafTotalSlack],Tasks[[#This Row],[_Row]]+1):INDEX(Tasks[_LeafTotalSlack],Tasks[[#This Row],[_Row]]+Tasks[[#This Row],[_Descendants]])),Tasks[[#This Row],[_LeafTotalSlack]]))</f>
        <v/>
      </c>
      <c r="AW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5"/>
      <c r="BA2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t="str">
        <f aca="false">IF(Tasks[[#This Row],[Task Name]]="","",IF(Tasks[[#This Row],[_Level]]&lt;=OutlineShowLevel,"Yes","No"))</f>
        <v/>
      </c>
      <c r="BE24" s="86" t="str">
        <f aca="false">IF(Tasks[[#This Row],[Task Name]]="","",IF(Tasks[[#This Row],[_IsSummary]],SUM(INDEX(Tasks[_LeafTotalWork],Tasks[[#This Row],[_Row]]+1):INDEX(Tasks[_LeafTotalWork],Tasks[[#This Row],[_Row]]+Tasks[[#This Row],[_Descendants]])),Tasks[[#This Row],[_LeafTotalWork]]))</f>
        <v/>
      </c>
      <c r="BF24" s="23"/>
      <c r="BG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t="str">
        <f aca="false">""</f>
        <v/>
      </c>
      <c r="BI24" s="87"/>
      <c r="BJ24" s="22"/>
      <c r="BK24" s="47" t="str">
        <f aca="false">IF(OR(Tasks[[#This Row],[Task Name]]="",Tasks[[#This Row],[Baseline Duration]]=""),"",Tasks[[#This Row],[_SpanDays]]-N(Tasks[[#This Row],[Baseline Duration]]))</f>
        <v/>
      </c>
      <c r="BL24" s="86" t="str">
        <f aca="false">IF(OR(Tasks[[#This Row],[Task Name]]="",Tasks[[#This Row],[Baseline Work]]=""),"",Tasks[[#This Row],[Work]]-N(Tasks[[#This Row],[Baseline Work]]))</f>
        <v/>
      </c>
      <c r="BM24" s="63" t="str">
        <f aca="false">IF(Tasks[[#This Row],[Task Name]]="","",IF(OR(TakeBaseline="Yes",N(Tasks[[#This Row],[Baseline Start]])=0),Tasks[[#This Row],[Start]],Tasks[[#This Row],[Baseline Start]]))</f>
        <v/>
      </c>
      <c r="BN24" s="63" t="str">
        <f aca="false">IF(Tasks[[#This Row],[Task Name]]="","",IF(OR(TakeBaseline="Yes",N(Tasks[[#This Row],[Baseline Finish]])=0),Tasks[[#This Row],[Finish]],Tasks[[#This Row],[Baseline Finish]]))</f>
        <v/>
      </c>
      <c r="BO24" s="21" t="str">
        <f aca="false">IF(Tasks[[#This Row],[Task Name]]="","",IF(OR(TakeBaseline="Yes",N(Tasks[[#This Row],[Baseline Duration]])=0),Tasks[[#This Row],[_SpanDays]],Tasks[[#This Row],[Baseline Duration]]))</f>
        <v/>
      </c>
      <c r="BP24" s="86" t="str">
        <f aca="false">IF(Tasks[[#This Row],[Task Name]]="","",IF(OR(TakeBaseline="Yes",N(Tasks[[#This Row],[Baseline Work]])=0),Tasks[[#This Row],[Work]],Tasks[[#This Row],[Baseline Work]]))</f>
        <v/>
      </c>
      <c r="BQ24" s="7"/>
      <c r="BR24" s="7"/>
      <c r="BS24" s="22"/>
      <c r="BT24" s="88"/>
      <c r="BU24" s="23"/>
      <c r="BV24" s="23"/>
      <c r="BW24" s="23"/>
      <c r="BX24" s="89" t="str">
        <f aca="false">IF(AND(Tasks[[#This Row],[_IsLeaf]]=1,ISNUMBER(Tasks[[#This Row],[Optimistic]]),ISNUMBER(Tasks[[#This Row],[Pessimistic]])),ROUND((Tasks[[#This Row],[Optimistic]]+4*N(Tasks[[#This Row],[_Days]])+Tasks[[#This Row],[Pessimistic]])/6,1),"")</f>
        <v/>
      </c>
      <c r="BY24" s="87"/>
      <c r="BZ24" s="87"/>
      <c r="CA24" s="22"/>
      <c r="CB24" s="43" t="str">
        <f aca="false">IF(Tasks[[#This Row],[Task Name]]="","",MAX(1,N(Tasks[[#This Row],[Level]])))</f>
        <v/>
      </c>
      <c r="CC24" s="43" t="n">
        <f aca="false">ROW()-ROW(Tasks[[#Headers],[ID]])</f>
        <v>19</v>
      </c>
      <c r="CD24" s="43" t="n">
        <f aca="false">IF(OR(Tasks[[#This Row],[Task Name]]="",Tasks[[#This Row],[_Level]]&lt;=1),0,IFERROR(LOOKUP(2,1/(Tasks[[#Headers],[_Level]]:Tasks[[#This Row],[_Level]]=Tasks[[#This Row],[_Level]]-1),ROW(Tasks[[#Headers],[_Level]]:Tasks[[#This Row],[_Level]])),0))</f>
        <v>0</v>
      </c>
      <c r="CE24" s="43" t="n">
        <f aca="false">IFERROR(N(INDEX(Tasks[_Level],Tasks[[#This Row],[_Row]]+1)),0)</f>
        <v>0</v>
      </c>
      <c r="CF24" s="90" t="b">
        <f aca="false">AND(Tasks[[#This Row],[Task Name]]&lt;&gt;"",Tasks[[#This Row],[_NextLevel]]&gt;Tasks[[#This Row],[_Level]])</f>
        <v>0</v>
      </c>
      <c r="CG24" s="43" t="n">
        <f aca="false">IF(Tasks[[#This Row],[_IsSummary]],COUNTIF(Tasks[WBS],Tasks[[#This Row],[WBS]]&amp;".*"),0)</f>
        <v>0</v>
      </c>
      <c r="CH24" s="43" t="n">
        <f aca="false">IF(AND(Tasks[[#This Row],[Task Name]]&lt;&gt;"",NOT(Tasks[[#This Row],[_IsSummary]])),1,0)</f>
        <v>0</v>
      </c>
      <c r="CI24" s="43" t="n">
        <f aca="false">IF(N(Tasks[[#This Row],[_Pred1UID]])=0,0,IFERROR(MATCH(Tasks[[#This Row],[_Pred1UID]],Tasks[UID],0),-1))</f>
        <v>0</v>
      </c>
      <c r="CJ24" s="43" t="n">
        <f aca="false">IF(N(Tasks[[#This Row],[_Pred2UID]])=0,0,IFERROR(MATCH(Tasks[[#This Row],[_Pred2UID]],Tasks[UID],0),-1))</f>
        <v>0</v>
      </c>
      <c r="CK24" s="43" t="n">
        <f aca="false">IF(N(Tasks[[#This Row],[_Pred3UID]])=0,0,IFERROR(MATCH(Tasks[[#This Row],[_Pred3UID]],Tasks[UID],0),-1))</f>
        <v>0</v>
      </c>
      <c r="CL24" s="43" t="n">
        <f aca="false">IF(N(Tasks[[#This Row],[_Pred4UID]])=0,0,IFERROR(MATCH(Tasks[[#This Row],[_Pred4UID]],Tasks[UID],0),-1))</f>
        <v>0</v>
      </c>
      <c r="CM2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4" s="91" t="n">
        <f aca="false">IF(OR(Tasks[[#This Row],[_ConstraintCode]]=2,Tasks[[#This Row],[_ConstraintCode]]=3,Tasks[[#This Row],[_ConstraintCode]]=4,Tasks[[#This Row],[_ConstraintCode]]=6),Tasks[[#This Row],[_ConstraintStart]],0)</f>
        <v>0</v>
      </c>
      <c r="CP24" s="91" t="n">
        <f aca="false">IF(OR(Tasks[[#This Row],[_ConstraintCode]]=2,Tasks[[#This Row],[_ConstraintCode]]=3,Tasks[[#This Row],[_ConstraintCode]]=5,Tasks[[#This Row],[_ConstraintCode]]=7),Tasks[[#This Row],[_ConstraintStart]],2958465)</f>
        <v>2958465</v>
      </c>
      <c r="CQ2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4" s="91" t="str">
        <f aca="false">IF(NOT(Tasks[[#This Row],[_IsLeaf]]=1),"",IF(N(Tasks[[#This Row],[_Days]])&lt;=0,Tasks[[#This Row],[_LeafCalcStart]],WORKDAY.INTL(Tasks[[#This Row],[_LeafCalcStart]],Tasks[[#This Row],[_Days]]-1,WorkWeek,Holidays)))</f>
        <v/>
      </c>
      <c r="CS2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4" s="43" t="str">
        <f aca="false">IF(Tasks[[#This Row],[_Predecessors]]="","",TRIM(MID(SUBSTITUTE(SUBSTITUTE(SUBSTITUTE(UPPER(Tasks[[#This Row],[_Predecessors]]),";",",")," ",""),",",REPT(" ",99)),1,99)))</f>
        <v/>
      </c>
      <c r="CV24" s="43" t="str">
        <f aca="false">IF(Tasks[[#This Row],[_Pred1Text]]="","",IFERROR(VALUE(LEFT(Tasks[[#This Row],[_Pred1Text]],MIN(FIND("F",Tasks[[#This Row],[_Pred1Text]]&amp;"F"),FIND("S",Tasks[[#This Row],[_Pred1Text]]&amp;"S"),FIND("+",Tasks[[#This Row],[_Pred1Text]]&amp;"+"),FIND("-",Tasks[[#This Row],[_Pred1Text]]&amp;"-"))-1)),""))</f>
        <v/>
      </c>
      <c r="CW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4" s="43" t="str">
        <f aca="false">IF(Tasks[[#This Row],[_Pred1Text]]="","",TRIM(MID(SUBSTITUTE(SUBSTITUTE(SUBSTITUTE(UPPER(Tasks[[#This Row],[_Predecessors]]),";",",")," ",""),",",REPT(" ",99)),100,99)))</f>
        <v/>
      </c>
      <c r="CZ24" s="43" t="str">
        <f aca="false">IF(Tasks[[#This Row],[_Pred2Text]]="","",IFERROR(VALUE(LEFT(Tasks[[#This Row],[_Pred2Text]],MIN(FIND("F",Tasks[[#This Row],[_Pred2Text]]&amp;"F"),FIND("S",Tasks[[#This Row],[_Pred2Text]]&amp;"S"),FIND("+",Tasks[[#This Row],[_Pred2Text]]&amp;"+"),FIND("-",Tasks[[#This Row],[_Pred2Text]]&amp;"-"))-1)),""))</f>
        <v/>
      </c>
      <c r="DA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4" s="43" t="str">
        <f aca="false">IF(Tasks[[#This Row],[_Pred2Text]]="","",TRIM(MID(SUBSTITUTE(SUBSTITUTE(SUBSTITUTE(UPPER(Tasks[[#This Row],[_Predecessors]]),";",",")," ",""),",",REPT(" ",99)),199,99)))</f>
        <v/>
      </c>
      <c r="DD24" s="43" t="str">
        <f aca="false">IF(Tasks[[#This Row],[_Pred3Text]]="","",IFERROR(VALUE(LEFT(Tasks[[#This Row],[_Pred3Text]],MIN(FIND("F",Tasks[[#This Row],[_Pred3Text]]&amp;"F"),FIND("S",Tasks[[#This Row],[_Pred3Text]]&amp;"S"),FIND("+",Tasks[[#This Row],[_Pred3Text]]&amp;"+"),FIND("-",Tasks[[#This Row],[_Pred3Text]]&amp;"-"))-1)),""))</f>
        <v/>
      </c>
      <c r="DE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4" s="43" t="str">
        <f aca="false">IF(Tasks[[#This Row],[_Pred3Text]]="","",TRIM(MID(SUBSTITUTE(SUBSTITUTE(SUBSTITUTE(UPPER(Tasks[[#This Row],[_Predecessors]]),";",",")," ",""),",",REPT(" ",99)),298,99)))</f>
        <v/>
      </c>
      <c r="DH24" s="43" t="str">
        <f aca="false">IF(Tasks[[#This Row],[_Pred4Text]]="","",IFERROR(VALUE(LEFT(Tasks[[#This Row],[_Pred4Text]],MIN(FIND("F",Tasks[[#This Row],[_Pred4Text]]&amp;"F"),FIND("S",Tasks[[#This Row],[_Pred4Text]]&amp;"S"),FIND("+",Tasks[[#This Row],[_Pred4Text]]&amp;"+"),FIND("-",Tasks[[#This Row],[_Pred4Text]]&amp;"-"))-1)),""))</f>
        <v/>
      </c>
      <c r="DI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4" s="43" t="str">
        <f aca="false">IF(OR(Tasks[[#This Row],[Task Name]]="",Tasks[[#This Row],[_Resources]]=""),"",TRIM(MID(SUBSTITUTE(Tasks[[#This Row],[_Resources]],",",REPT(" ",99)),1,99)))</f>
        <v/>
      </c>
      <c r="DL24" s="43" t="str">
        <f aca="false">IF(Tasks[[#This Row],[_Res1Text]]="","",TRIM(MID(SUBSTITUTE(Tasks[[#This Row],[_Resources]],",",REPT(" ",99)),100,99)))</f>
        <v/>
      </c>
      <c r="DM24" s="43" t="str">
        <f aca="false">IF(Tasks[[#This Row],[_Res2Text]]="","",TRIM(MID(SUBSTITUTE(Tasks[[#This Row],[_Resources]],",",REPT(" ",99)),199,99)))</f>
        <v/>
      </c>
      <c r="DN24" s="43" t="str">
        <f aca="false">IF(Tasks[[#This Row],[_Res3Text]]="","",TRIM(MID(SUBSTITUTE(Tasks[[#This Row],[_Resources]],",",REPT(" ",99)),298,99)))</f>
        <v/>
      </c>
      <c r="DO24" s="43" t="n">
        <f aca="false">IF(Tasks[[#This Row],[_Res1Text]]="",0,IFERROR(MATCH(TRIM(LEFT(Tasks[[#This Row],[_Res1Text]],FIND("[",Tasks[[#This Row],[_Res1Text]]&amp;"[")-1)),res_Name,0),IFERROR(MATCH(TRIM(LEFT(Tasks[[#This Row],[_Res1Text]],FIND("[",Tasks[[#This Row],[_Res1Text]]&amp;"[")-1)),res_Initials,0),0)))</f>
        <v>0</v>
      </c>
      <c r="DP24" s="43" t="n">
        <f aca="false">IF(Tasks[[#This Row],[_Res2Text]]="",0,IFERROR(MATCH(TRIM(LEFT(Tasks[[#This Row],[_Res2Text]],FIND("[",Tasks[[#This Row],[_Res2Text]]&amp;"[")-1)),res_Name,0),IFERROR(MATCH(TRIM(LEFT(Tasks[[#This Row],[_Res2Text]],FIND("[",Tasks[[#This Row],[_Res2Text]]&amp;"[")-1)),res_Initials,0),0)))</f>
        <v>0</v>
      </c>
      <c r="DQ24" s="43" t="n">
        <f aca="false">IF(Tasks[[#This Row],[_Res3Text]]="",0,IFERROR(MATCH(TRIM(LEFT(Tasks[[#This Row],[_Res3Text]],FIND("[",Tasks[[#This Row],[_Res3Text]]&amp;"[")-1)),res_Name,0),IFERROR(MATCH(TRIM(LEFT(Tasks[[#This Row],[_Res3Text]],FIND("[",Tasks[[#This Row],[_Res3Text]]&amp;"[")-1)),res_Initials,0),0)))</f>
        <v>0</v>
      </c>
      <c r="DR24" s="43" t="n">
        <f aca="false">IF(Tasks[[#This Row],[_Res4Text]]="",0,IFERROR(MATCH(TRIM(LEFT(Tasks[[#This Row],[_Res4Text]],FIND("[",Tasks[[#This Row],[_Res4Text]]&amp;"[")-1)),res_Name,0),IFERROR(MATCH(TRIM(LEFT(Tasks[[#This Row],[_Res4Text]],FIND("[",Tasks[[#This Row],[_Res4Text]]&amp;"[")-1)),res_Initials,0),0)))</f>
        <v>0</v>
      </c>
      <c r="DS24" s="43" t="str">
        <f aca="false">IF(Tasks[[#This Row],[_Res1Text]]="","",IF(Tasks[[#This Row],[_Res1Row]]&gt;0,INDEX(res_Name,Tasks[[#This Row],[_Res1Row]]),TRIM(LEFT(Tasks[[#This Row],[_Res1Text]],FIND("[",Tasks[[#This Row],[_Res1Text]]&amp;"[")-1))))</f>
        <v/>
      </c>
      <c r="DT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4" s="43" t="n">
        <f aca="false">IF(NOT(Tasks[[#This Row],[_IsLeaf]]=1),0,(Tasks[[#This Row],[_Resource1]]&lt;&gt;"")+(Tasks[[#This Row],[_Res2]]&lt;&gt;"")+(Tasks[[#This Row],[_Res3]]&lt;&gt;"")+(Tasks[[#This Row],[_Res4]]&lt;&gt;""))</f>
        <v>0</v>
      </c>
      <c r="DV24" s="43" t="str">
        <f aca="false">IF(Tasks[[#This Row],[_Res2Text]]="","",IF(Tasks[[#This Row],[_Res2Row]]&gt;0,INDEX(res_Name,Tasks[[#This Row],[_Res2Row]]),TRIM(LEFT(Tasks[[#This Row],[_Res2Text]],FIND("[",Tasks[[#This Row],[_Res2Text]]&amp;"[")-1))))</f>
        <v/>
      </c>
      <c r="DW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4" s="43" t="n">
        <f aca="false">IF(OR(NOT(Tasks[[#This Row],[_IsLeaf]]=1),Tasks[[#This Row],[_Res2Row]]=0),0,N(Tasks[[#This Row],[_Days]])*HoursPerDay*IF(Tasks[[#This Row],[_Res2Units]]="",DefaultUnits,Tasks[[#This Row],[_Res2Units]]))</f>
        <v>0</v>
      </c>
      <c r="DY24" s="43" t="n">
        <f aca="false">IF(AND(AND(Tasks[[#This Row],[_IsLeaf]]=1,Tasks[[#This Row],[_LeafTotalWork]]&gt;0),Tasks[[#This Row],[_Res2Work]]&gt;0),Tasks[[#This Row],[_Res2Work]]/(Tasks[[#This Row],[_FinishWorkday]]-Tasks[[#This Row],[_StartWorkday]]+1),0)</f>
        <v>0</v>
      </c>
      <c r="DZ24" s="43" t="n">
        <f aca="false">Tasks[[#This Row],[_Res2WorkPerWD]]*MAX(0,Tasks[[#This Row],[_StartWorkday]]-1)</f>
        <v>0</v>
      </c>
      <c r="EA24" s="43" t="n">
        <f aca="false">Tasks[[#This Row],[_Res2Work]]*Tasks[[#This Row],[_LeafProgress]]</f>
        <v>0</v>
      </c>
      <c r="EB24" s="43" t="str">
        <f aca="false">IF(Tasks[[#This Row],[_Res3Text]]="","",IF(Tasks[[#This Row],[_Res3Row]]&gt;0,INDEX(res_Name,Tasks[[#This Row],[_Res3Row]]),TRIM(LEFT(Tasks[[#This Row],[_Res3Text]],FIND("[",Tasks[[#This Row],[_Res3Text]]&amp;"[")-1))))</f>
        <v/>
      </c>
      <c r="EC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4" s="43" t="n">
        <f aca="false">IF(OR(NOT(Tasks[[#This Row],[_IsLeaf]]=1),Tasks[[#This Row],[_Res3Row]]=0),0,N(Tasks[[#This Row],[_Days]])*HoursPerDay*IF(Tasks[[#This Row],[_Res3Units]]="",DefaultUnits,Tasks[[#This Row],[_Res3Units]]))</f>
        <v>0</v>
      </c>
      <c r="EE24" s="43" t="n">
        <f aca="false">IF(AND(AND(Tasks[[#This Row],[_IsLeaf]]=1,Tasks[[#This Row],[_LeafTotalWork]]&gt;0),Tasks[[#This Row],[_Res3Work]]&gt;0),Tasks[[#This Row],[_Res3Work]]/(Tasks[[#This Row],[_FinishWorkday]]-Tasks[[#This Row],[_StartWorkday]]+1),0)</f>
        <v>0</v>
      </c>
      <c r="EF24" s="43" t="n">
        <f aca="false">Tasks[[#This Row],[_Res3WorkPerWD]]*MAX(0,Tasks[[#This Row],[_StartWorkday]]-1)</f>
        <v>0</v>
      </c>
      <c r="EG24" s="43" t="n">
        <f aca="false">Tasks[[#This Row],[_Res3Work]]*Tasks[[#This Row],[_LeafProgress]]</f>
        <v>0</v>
      </c>
      <c r="EH24" s="43" t="str">
        <f aca="false">IF(Tasks[[#This Row],[_Res4Text]]="","",IF(Tasks[[#This Row],[_Res4Row]]&gt;0,INDEX(res_Name,Tasks[[#This Row],[_Res4Row]]),TRIM(LEFT(Tasks[[#This Row],[_Res4Text]],FIND("[",Tasks[[#This Row],[_Res4Text]]&amp;"[")-1))))</f>
        <v/>
      </c>
      <c r="EI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4" s="43" t="n">
        <f aca="false">IF(OR(NOT(Tasks[[#This Row],[_IsLeaf]]=1),Tasks[[#This Row],[_Res4Row]]=0),0,N(Tasks[[#This Row],[_Days]])*HoursPerDay*IF(Tasks[[#This Row],[_Res4Units]]="",DefaultUnits,Tasks[[#This Row],[_Res4Units]]))</f>
        <v>0</v>
      </c>
      <c r="EK24" s="43" t="n">
        <f aca="false">IF(AND(AND(Tasks[[#This Row],[_IsLeaf]]=1,Tasks[[#This Row],[_LeafTotalWork]]&gt;0),Tasks[[#This Row],[_Res4Work]]&gt;0),Tasks[[#This Row],[_Res4Work]]/(Tasks[[#This Row],[_FinishWorkday]]-Tasks[[#This Row],[_StartWorkday]]+1),0)</f>
        <v>0</v>
      </c>
      <c r="EL24" s="43" t="n">
        <f aca="false">Tasks[[#This Row],[_Res4WorkPerWD]]*MAX(0,Tasks[[#This Row],[_StartWorkday]]-1)</f>
        <v>0</v>
      </c>
      <c r="EM24" s="43" t="n">
        <f aca="false">Tasks[[#This Row],[_Res4Work]]*Tasks[[#This Row],[_LeafProgress]]</f>
        <v>0</v>
      </c>
      <c r="EN24" s="43" t="n">
        <f aca="false">IF(ISNUMBER(Tasks[[#This Row],[% Complete]]),Tasks[[#This Row],[% Complete]],IF(Tasks[[#This Row],[Stage]]="",0,IFERROR(INDEX(stg_Pct,MATCH(Tasks[[#This Row],[Stage]],stg_Name,0)),0)))</f>
        <v>0</v>
      </c>
      <c r="EO24" s="43" t="n">
        <f aca="false">IF(NOT(Tasks[[#This Row],[_IsLeaf]]=1),0,IF(N(Tasks[[#This Row],[Actual Finish]])&gt;0,1,MIN(1,Tasks[[#This Row],[_Pct]])))</f>
        <v>0</v>
      </c>
      <c r="EP24" s="43" t="n">
        <f aca="false">IF(OR(NOT(Tasks[[#This Row],[_IsLeaf]]=1),Tasks[[#This Row],[_Res1Row]]=0),0,N(Tasks[[#This Row],[_Days]])*HoursPerDay*IF(Tasks[[#This Row],[_Units1]]="",DefaultUnits,Tasks[[#This Row],[_Units1]]))</f>
        <v>0</v>
      </c>
      <c r="EQ24" s="43" t="n">
        <f aca="false">Tasks[[#This Row],[_LeafWork]]+Tasks[[#This Row],[_Res2Work]]+Tasks[[#This Row],[_Res3Work]]+Tasks[[#This Row],[_Res4Work]]</f>
        <v>0</v>
      </c>
      <c r="ER2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4" s="43" t="n">
        <f aca="false">IF(NOT(Tasks[[#This Row],[_IsLeaf]]=1),0,MAX(_xlfn.MAXIFS(Tasks[_Row],Tasks[_Pred1UID],Tasks[[#This Row],[UID]]),_xlfn.MAXIFS(Tasks[_Row],Tasks[_Pred2UID],Tasks[[#This Row],[UID]]),_xlfn.MAXIFS(Tasks[_Row],Tasks[_Pred3UID],Tasks[[#This Row],[UID]]),_xlfn.MAXIFS(Tasks[_Row],Tasks[_Pred4UID],Tasks[[#This Row],[UID]])))</f>
        <v>0</v>
      </c>
      <c r="FA2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4" s="91" t="str">
        <f aca="false">IF(NOT(Tasks[[#This Row],[_IsLeaf]]=1),"",IF(N(Tasks[[#This Row],[_Days]])&lt;=0,Tasks[[#This Row],[_LeafLateFinish]],WORKDAY.INTL(Tasks[[#This Row],[_LeafLateFinish]],-(Tasks[[#This Row],[_Days]]-1),WorkWeek,Holidays)))</f>
        <v/>
      </c>
      <c r="FD2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4" s="90" t="b">
        <f aca="false">AND(Tasks[[#This Row],[_IsLeaf]]=1,Tasks[[#This Row],[_LeafProgress]]&lt;1,N(Tasks[[#This Row],[_LeafTotalSlack]])&lt;=CriticalSlackDays)</f>
        <v>0</v>
      </c>
      <c r="FF24" s="43" t="n">
        <f aca="false">IF(AND(Tasks[[#This Row],[_IsLeaf]]=1,Tasks[[#This Row],[_ConstraintCode]]=1,Tasks[[#This Row],[Mode]]&lt;&gt;"Manual",N(Tasks[[#This Row],[Actual Start]])=0),MAX(0,N(Tasks[[#This Row],[Free Slack]])),0)</f>
        <v>0</v>
      </c>
      <c r="FG24" s="91" t="str">
        <f aca="false">IF(NOT(Tasks[[#This Row],[_IsLeaf]]=1),"",IF(Tasks[[#This Row],[_AlapShift]]=0,Tasks[[#This Row],[_LeafCalcStart]],WORKDAY.INTL(Tasks[[#This Row],[_LeafCalcStart]],Tasks[[#This Row],[_AlapShift]],WorkWeek,Holidays)))</f>
        <v/>
      </c>
      <c r="FH24" s="91" t="str">
        <f aca="false">IF(NOT(Tasks[[#This Row],[_IsLeaf]]=1),"",IF(Tasks[[#This Row],[_AlapShift]]=0,Tasks[[#This Row],[_LeafCalcFinish]],WORKDAY.INTL(Tasks[[#This Row],[_LeafCalcFinish]],Tasks[[#This Row],[_AlapShift]],WorkWeek,Holidays)))</f>
        <v/>
      </c>
      <c r="FI24" s="91" t="str">
        <f aca="false">IF(NOT(Tasks[[#This Row],[_IsLeaf]]=1),"",IF(Tasks[[#This Row],[_AlapShift]]=0,Tasks[[#This Row],[_LeafFcstStart]],WORKDAY.INTL(Tasks[[#This Row],[_LeafFcstStart]],Tasks[[#This Row],[_AlapShift]],WorkWeek,Holidays)))</f>
        <v/>
      </c>
      <c r="FJ24" s="91" t="str">
        <f aca="false">IF(NOT(Tasks[[#This Row],[_IsLeaf]]=1),"",IF(Tasks[[#This Row],[_AlapShift]]=0,Tasks[[#This Row],[_LeafFcstFinish]],WORKDAY.INTL(Tasks[[#This Row],[_LeafFcstFinish]],Tasks[[#This Row],[_AlapShift]],WorkWeek,Holidays)))</f>
        <v/>
      </c>
      <c r="FK24" s="91" t="str">
        <f aca="false">IF(Tasks[[#This Row],[Task Name]]="","",IF(Tasks[[#This Row],[_IsSummary]],MIN(INDEX(Tasks[_ShownCalcStart],Tasks[[#This Row],[_Row]]+1):INDEX(Tasks[_ShownCalcStart],Tasks[[#This Row],[_Row]]+Tasks[[#This Row],[_Descendants]])),Tasks[[#This Row],[_ShownCalcStart]]))</f>
        <v/>
      </c>
      <c r="FL24" s="91" t="str">
        <f aca="false">IF(Tasks[[#This Row],[Task Name]]="","",IF(Tasks[[#This Row],[_IsSummary]],MAX(INDEX(Tasks[_ShownCalcFinish],Tasks[[#This Row],[_Row]]+1):INDEX(Tasks[_ShownCalcFinish],Tasks[[#This Row],[_Row]]+Tasks[[#This Row],[_Descendants]])),Tasks[[#This Row],[_ShownCalcFinish]]))</f>
        <v/>
      </c>
      <c r="FM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4" s="43" t="n">
        <f aca="false">IF(AND(Tasks[[#This Row],[_IsLeaf]]=1,Tasks[[#This Row],[_LeafTotalWork]]&gt;0),NETWORKDAYS.INTL(ProjectStart,Tasks[[#This Row],[_ShownFcstStart]],WorkWeek,Holidays),0)</f>
        <v>0</v>
      </c>
      <c r="FZ24" s="43" t="n">
        <f aca="false">IF(AND(Tasks[[#This Row],[_IsLeaf]]=1,Tasks[[#This Row],[_LeafTotalWork]]&gt;0),MAX(Tasks[[#This Row],[_StartWorkday]],NETWORKDAYS.INTL(ProjectStart,Tasks[[#This Row],[_ShownFcstFinish]],WorkWeek,Holidays)),0)</f>
        <v>0</v>
      </c>
      <c r="GA24" s="43" t="n">
        <f aca="false">IF(AND(Tasks[[#This Row],[_IsLeaf]]=1,Tasks[[#This Row],[_LeafTotalWork]]&gt;0),Tasks[[#This Row],[_LeafWork]]/(Tasks[[#This Row],[_FinishWorkday]]-Tasks[[#This Row],[_StartWorkday]]+1),0)</f>
        <v>0</v>
      </c>
      <c r="GB24" s="43" t="n">
        <f aca="false">Tasks[[#This Row],[_WorkPerWorkday]]*(Tasks[[#This Row],[_StartWorkday]]-1)</f>
        <v>-0</v>
      </c>
      <c r="GC24" s="43" t="n">
        <f aca="false">IF(Tasks[[#This Row],[_IsLeaf]]=1,MAX(N(Tasks[[#This Row],[_Days]]),0.1),0)</f>
        <v>0</v>
      </c>
      <c r="GD24" s="43" t="n">
        <f aca="false">Tasks[[#This Row],[_WeightDur]]*Tasks[[#This Row],[_LeafProgress]]</f>
        <v>0</v>
      </c>
      <c r="GE24" s="43" t="n">
        <f aca="false">Tasks[[#This Row],[_WeightDur]]*Tasks[[#This Row],[_PlannedPct]]</f>
        <v>0</v>
      </c>
      <c r="GF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4" s="43" t="str">
        <f aca="false">IF(AND(Tasks[[#This Row],[_IsLeaf]]=1,N(Tasks[[#This Row],[_Days]])=0,Tasks[[#This Row],[_LeafProgress]]&lt;1),Tasks[[#This Row],[_ShownFcstFinish]]+Tasks[[#This Row],[_Row]]/100000,"")</f>
        <v/>
      </c>
      <c r="GH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4" s="43" t="str">
        <f aca="false">IF(Tasks[[#This Row],[Task Name]]="","",LEFT(Tasks[[#This Row],[WBS]],FIND(".",Tasks[[#This Row],[WBS]]&amp;".")-1))</f>
        <v/>
      </c>
      <c r="GJ24" s="43" t="str">
        <f aca="false">IF(AND(Tasks[[#This Row],[Task Name]]&lt;&gt;"",Tasks[[#This Row],[_Level]]=1),Tasks[[#This Row],[_Row]],"")</f>
        <v/>
      </c>
      <c r="GK24" s="43" t="str">
        <f aca="false">IF(AND(Tasks[[#This Row],[_IsLeaf]]=1,N(Tasks[[#This Row],[_Days]])=0),Tasks[[#This Row],[Planned Finish]]+Tasks[[#This Row],[_Row]]/100000,"")</f>
        <v/>
      </c>
      <c r="GL24" s="43" t="str">
        <f aca="false">IF(AND(Tasks[[#This Row],[_IsLeaf]]=1,Tasks[[#This Row],[_LeafProgress]]&lt;1,OR(N(Tasks[[#This Row],[Finish Var]])&gt;0,Tasks[[#This Row],[Status]]="Late Start")),MAX(0,Tasks[[#This Row],[Finish Var]])+1-Tasks[[#This Row],[_Row]]/1000000,"")</f>
        <v/>
      </c>
      <c r="GM24" s="43" t="str">
        <f aca="false">IF(AND(Tasks[[#This Row],[_IsLeaf]]=1,N(Tasks[[#This Row],[Actual Start]])=0,Tasks[[#This Row],[_ShownFcstStart]]&gt;=StatusDate,Tasks[[#This Row],[_ShownFcstStart]]&lt;=LookaheadEnd),Tasks[[#This Row],[_ShownFcstStart]]+Tasks[[#This Row],[_Row]]/100000,"")</f>
        <v/>
      </c>
      <c r="GN24" s="43" t="str">
        <f aca="false">IF(AND(Tasks[[#This Row],[_IsLeaf]]=1,Tasks[[#This Row],[_LeafProgress]]&lt;1,Tasks[[#This Row],[_ShownFcstFinish]]&gt;=StatusDate,Tasks[[#This Row],[_ShownFcstFinish]]&lt;=LookaheadEnd),Tasks[[#This Row],[_ShownFcstFinish]]+Tasks[[#This Row],[_Row]]/100000,"")</f>
        <v/>
      </c>
      <c r="GO24" s="43" t="str">
        <f aca="false">IF(Tasks[[#This Row],[_LeafCritical]],Tasks[[#This Row],[_ShownFcstStart]]+Tasks[[#This Row],[_Row]]/100000,"")</f>
        <v/>
      </c>
      <c r="GP24" s="43" t="n">
        <f aca="false">Tasks[[#This Row],[_LeafWork]]*Tasks[[#This Row],[_LeafProgress]]</f>
        <v>0</v>
      </c>
      <c r="GQ24" s="91" t="str">
        <f aca="false">IF(AND(Tasks[[#This Row],[_IsLeaf]]=1,Tasks[[#This Row],[_LeafProgress]]&gt;=1),IF(N(Tasks[[#This Row],[Actual Finish]])&gt;0,Tasks[[#This Row],[Actual Finish]],Tasks[[#This Row],[_ShownFcstFinish]]),"")</f>
        <v/>
      </c>
      <c r="GR24" s="43" t="n">
        <f aca="false">IF(Tasks[[#This Row],[_IsLeaf]]=1,N(Tasks[[#This Row],[Story Points]]),0)</f>
        <v>0</v>
      </c>
      <c r="GS24" s="43" t="str">
        <f aca="false">""</f>
        <v/>
      </c>
      <c r="GT24" s="90" t="b">
        <f aca="false">IF(Tasks[[#This Row],[Task Name]]="",FALSE(),AND(Tasks[[#This Row],[_IsLeaf]]=1,N(Tasks[[#This Row],[_Days]])=0))</f>
        <v>0</v>
      </c>
      <c r="GU24" s="91" t="n">
        <f aca="false">IF(Tasks[[#This Row],[Task Name]]="",0,IF(AND(Tasks[[#This Row],[_IsLeaf]]=1,NOT(Tasks[[#This Row],[_IsMilestone]]),N(Tasks[[#This Row],[Progress]])&gt;0),Tasks[[#This Row],[Start]],0))</f>
        <v>0</v>
      </c>
      <c r="GV24" s="91" t="n">
        <f aca="false">IF(Tasks[[#This Row],[_DoneFrom]]=0,0,IF(Tasks[[#This Row],[Progress]]&gt;=1,Tasks[[#This Row],[Finish]],MAX(Tasks[[#This Row],[_DoneFrom]],Tasks[[#This Row],[Start]]+ROUND((Tasks[[#This Row],[Finish]]-Tasks[[#This Row],[Start]]+1)*Tasks[[#This Row],[Progress]],0)-1)))</f>
        <v>0</v>
      </c>
      <c r="GW24" s="91" t="n">
        <f aca="false">IF(Tasks[[#This Row],[Task Name]]="",0,IF(OR(NOT(Tasks[[#This Row],[_IsLeaf]]=1),Tasks[[#This Row],[_IsMilestone]],N(Tasks[[#This Row],[Progress]])&gt;=1),0,IF(Tasks[[#This Row],[_DoneTo]]&gt;0,Tasks[[#This Row],[_DoneTo]]+1,Tasks[[#This Row],[Start]])))</f>
        <v>0</v>
      </c>
      <c r="GX24" s="91" t="n">
        <f aca="false">IF(Tasks[[#This Row],[_RemFrom]]=0,0,Tasks[[#This Row],[Finish]])</f>
        <v>0</v>
      </c>
      <c r="GY24" s="90" t="b">
        <f aca="false">IF(Tasks[[#This Row],[Task Name]]="",FALSE(),OR(NOT(BaselineSet),N(Tasks[[#This Row],[Baseline Start]])&gt;0))</f>
        <v>0</v>
      </c>
      <c r="GZ2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4" s="92" t="str">
        <f aca="false">IF(Tasks[[#This Row],[_IsLeaf]]=1,Tasks[[#This Row],[_Row]],"")</f>
        <v/>
      </c>
      <c r="HD24" s="92" t="str">
        <f aca="false">IFERROR(INDEX(Tasks[UID],SMALL(Tasks[_PickKey],Tasks[[#This Row],[_Row]]))&amp;" "&amp;INDEX(Tasks[Task Name],SMALL(Tasks[_PickKey],Tasks[[#This Row],[_Row]])),"")</f>
        <v/>
      </c>
      <c r="HE24" s="43" t="str">
        <f aca="false">IF(Tasks[[#This Row],[Task Name]]="","",IF(Tasks[[#This Row],[_IsSummary]],NETWORKDAYS.INTL(Tasks[[#This Row],[Start]],Tasks[[#This Row],[Finish]],WorkWeek,Holidays),N(Tasks[[#This Row],[_Days]])))</f>
        <v/>
      </c>
      <c r="HF24" s="43" t="n">
        <f aca="false">IF(Tasks[[#This Row],[Expected]]="",0,((Tasks[[#This Row],[Pessimistic]]-Tasks[[#This Row],[Optimistic]])/6)^2)</f>
        <v>0</v>
      </c>
      <c r="HG24" s="43" t="n">
        <f aca="false">IF(Tasks[[#This Row],[Expected]]="",0,Tasks[[#This Row],[Expected]]-N(Tasks[[#This Row],[_Days]]))</f>
        <v>0</v>
      </c>
    </row>
    <row r="25" customFormat="false" ht="15" hidden="false" customHeight="false" outlineLevel="0" collapsed="false">
      <c r="A25" s="21" t="str">
        <f aca="false">IF(Tasks[[#This Row],[Task Name]]="","",COUNTA(Tasks[[#Headers],[Task Name]]:Tasks[[#This Row],[Task Name]])-1)</f>
        <v/>
      </c>
      <c r="B25" s="22" t="n">
        <v>33</v>
      </c>
      <c r="C25" s="22"/>
      <c r="D25" s="23"/>
      <c r="E25" s="22"/>
      <c r="F25" s="23"/>
      <c r="G25" s="22"/>
      <c r="H25" s="22"/>
      <c r="I25" s="23"/>
      <c r="J25" s="22"/>
      <c r="K25" s="22"/>
      <c r="L25" s="23"/>
      <c r="M25" s="22"/>
      <c r="N25" s="22"/>
      <c r="O25" s="23"/>
      <c r="P25" s="22"/>
      <c r="Q25" s="22"/>
      <c r="R25" s="23"/>
      <c r="S25" s="23"/>
      <c r="T25" s="84"/>
      <c r="U25" s="23"/>
      <c r="V25" s="84"/>
      <c r="W25" s="23"/>
      <c r="X25" s="84"/>
      <c r="Y25" s="23"/>
      <c r="Z25" s="84"/>
      <c r="AA25" s="23"/>
      <c r="AB25" s="23"/>
      <c r="AC25" s="7"/>
      <c r="AD25" s="7"/>
      <c r="AE25" s="63" t="str">
        <f aca="false">IF(Tasks[[#This Row],[Task Name]]="","",IF(Tasks[[#This Row],[_IsSummary]],MIN(INDEX(Tasks[_ShownFcstStart],Tasks[[#This Row],[_Row]]+1):INDEX(Tasks[_ShownFcstStart],Tasks[[#This Row],[_Row]]+Tasks[[#This Row],[_Descendants]])),Tasks[[#This Row],[_ShownFcstStart]]))</f>
        <v/>
      </c>
      <c r="AF25" s="63" t="str">
        <f aca="false">IF(Tasks[[#This Row],[Task Name]]="","",IF(Tasks[[#This Row],[_IsSummary]],MAX(INDEX(Tasks[_ShownFcstFinish],Tasks[[#This Row],[_Row]]+1):INDEX(Tasks[_ShownFcstFinish],Tasks[[#This Row],[_Row]]+Tasks[[#This Row],[_Descendants]])),Tasks[[#This Row],[_ShownFcstFinish]]))</f>
        <v/>
      </c>
      <c r="AG25" s="21" t="str">
        <f aca="false">""</f>
        <v/>
      </c>
      <c r="AH25" s="23"/>
      <c r="AI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5" s="7"/>
      <c r="AK25" s="22"/>
      <c r="AL25" s="23"/>
      <c r="AM25" s="7"/>
      <c r="AN25" s="47" t="str">
        <f aca="false">IF(Tasks[[#This Row],[Task Name]]="","",IF(Tasks[[#This Row],[Finish]]&gt;=Tasks[[#This Row],[Planned Finish]],NETWORKDAYS.INTL(Tasks[[#This Row],[Planned Finish]],Tasks[[#This Row],[Finish]],WorkWeek,Holidays)-1,1-NETWORKDAYS.INTL(Tasks[[#This Row],[Finish]],Tasks[[#This Row],[Planned Finish]],WorkWeek,Holidays)))</f>
        <v/>
      </c>
      <c r="AO25" s="21" t="str">
        <f aca="false">IF(Tasks[[#This Row],[Task Name]]="","",IF(Tasks[[#This Row],[Progress]]&gt;=1,"Complete",IF(OR(N(Tasks[[#This Row],[Actual Start]])&gt;0,Tasks[[#This Row],[Progress]]&gt;0),IF(Tasks[[#This Row],[Finish Var]]&gt;0,"Behind","In Progress"),IF(Tasks[[#This Row],[Planned Start]]&lt;StatusDate,"Late Start","Not Started"))))</f>
        <v/>
      </c>
      <c r="AP25" s="21" t="str">
        <f aca="false">IF(Tasks[[#This Row],[Task Name]]="","",IF(IF(Tasks[[#This Row],[_IsSummary]],COUNTIF(INDEX(Tasks[_LeafCritical],Tasks[[#This Row],[_Row]]+1):INDEX(Tasks[_LeafCritical],Tasks[[#This Row],[_Row]]+Tasks[[#This Row],[_Descendants]]),TRUE())&gt;0,Tasks[[#This Row],[_LeafCritical]]),"Yes",""))</f>
        <v/>
      </c>
      <c r="AQ25" s="63" t="str">
        <f aca="false">IF(Tasks[[#This Row],[Task Name]]="","",IF(N(Tasks[[#This Row],[Baseline Start]])&gt;0,Tasks[[#This Row],[Baseline Start]],Tasks[[#This Row],[_CalcStart]]))</f>
        <v/>
      </c>
      <c r="AR25" s="63" t="str">
        <f aca="false">IF(Tasks[[#This Row],[Task Name]]="","",IF(N(Tasks[[#This Row],[Baseline Finish]])&gt;0,Tasks[[#This Row],[Baseline Finish]],Tasks[[#This Row],[_CalcFinish]]))</f>
        <v/>
      </c>
      <c r="AS25" s="47" t="str">
        <f aca="false">IF(Tasks[[#This Row],[Task Name]]="","",IF(Tasks[[#This Row],[Start]]&gt;=Tasks[[#This Row],[Planned Start]],NETWORKDAYS.INTL(Tasks[[#This Row],[Planned Start]],Tasks[[#This Row],[Start]],WorkWeek,Holidays)-1,1-NETWORKDAYS.INTL(Tasks[[#This Row],[Start]],Tasks[[#This Row],[Planned Start]],WorkWeek,Holidays)))</f>
        <v/>
      </c>
      <c r="AT25" s="63" t="str">
        <f aca="false">IF(Tasks[[#This Row],[Task Name]]="","",IF(Tasks[[#This Row],[_IsSummary]],MIN(INDEX(Tasks[_LeafLateStart],Tasks[[#This Row],[_Row]]+1):INDEX(Tasks[_LeafLateStart],Tasks[[#This Row],[_Row]]+Tasks[[#This Row],[_Descendants]])),Tasks[[#This Row],[_LeafLateStart]]))</f>
        <v/>
      </c>
      <c r="AU25" s="63" t="str">
        <f aca="false">IF(Tasks[[#This Row],[Task Name]]="","",IF(Tasks[[#This Row],[_IsSummary]],MAX(INDEX(Tasks[_LeafLateFinish],Tasks[[#This Row],[_Row]]+1):INDEX(Tasks[_LeafLateFinish],Tasks[[#This Row],[_Row]]+Tasks[[#This Row],[_Descendants]])),Tasks[[#This Row],[_LeafLateFinish]]))</f>
        <v/>
      </c>
      <c r="AV25" s="47" t="str">
        <f aca="false">IF(Tasks[[#This Row],[Task Name]]="","",IF(Tasks[[#This Row],[_IsSummary]],MIN(INDEX(Tasks[_LeafTotalSlack],Tasks[[#This Row],[_Row]]+1):INDEX(Tasks[_LeafTotalSlack],Tasks[[#This Row],[_Row]]+Tasks[[#This Row],[_Descendants]])),Tasks[[#This Row],[_LeafTotalSlack]]))</f>
        <v/>
      </c>
      <c r="AW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5"/>
      <c r="BA2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t="str">
        <f aca="false">IF(Tasks[[#This Row],[Task Name]]="","",IF(Tasks[[#This Row],[_Level]]&lt;=OutlineShowLevel,"Yes","No"))</f>
        <v/>
      </c>
      <c r="BE25" s="86" t="str">
        <f aca="false">IF(Tasks[[#This Row],[Task Name]]="","",IF(Tasks[[#This Row],[_IsSummary]],SUM(INDEX(Tasks[_LeafTotalWork],Tasks[[#This Row],[_Row]]+1):INDEX(Tasks[_LeafTotalWork],Tasks[[#This Row],[_Row]]+Tasks[[#This Row],[_Descendants]])),Tasks[[#This Row],[_LeafTotalWork]]))</f>
        <v/>
      </c>
      <c r="BF25" s="23"/>
      <c r="BG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t="str">
        <f aca="false">""</f>
        <v/>
      </c>
      <c r="BI25" s="87"/>
      <c r="BJ25" s="22"/>
      <c r="BK25" s="47" t="str">
        <f aca="false">IF(OR(Tasks[[#This Row],[Task Name]]="",Tasks[[#This Row],[Baseline Duration]]=""),"",Tasks[[#This Row],[_SpanDays]]-N(Tasks[[#This Row],[Baseline Duration]]))</f>
        <v/>
      </c>
      <c r="BL25" s="86" t="str">
        <f aca="false">IF(OR(Tasks[[#This Row],[Task Name]]="",Tasks[[#This Row],[Baseline Work]]=""),"",Tasks[[#This Row],[Work]]-N(Tasks[[#This Row],[Baseline Work]]))</f>
        <v/>
      </c>
      <c r="BM25" s="63" t="str">
        <f aca="false">IF(Tasks[[#This Row],[Task Name]]="","",IF(OR(TakeBaseline="Yes",N(Tasks[[#This Row],[Baseline Start]])=0),Tasks[[#This Row],[Start]],Tasks[[#This Row],[Baseline Start]]))</f>
        <v/>
      </c>
      <c r="BN25" s="63" t="str">
        <f aca="false">IF(Tasks[[#This Row],[Task Name]]="","",IF(OR(TakeBaseline="Yes",N(Tasks[[#This Row],[Baseline Finish]])=0),Tasks[[#This Row],[Finish]],Tasks[[#This Row],[Baseline Finish]]))</f>
        <v/>
      </c>
      <c r="BO25" s="21" t="str">
        <f aca="false">IF(Tasks[[#This Row],[Task Name]]="","",IF(OR(TakeBaseline="Yes",N(Tasks[[#This Row],[Baseline Duration]])=0),Tasks[[#This Row],[_SpanDays]],Tasks[[#This Row],[Baseline Duration]]))</f>
        <v/>
      </c>
      <c r="BP25" s="86" t="str">
        <f aca="false">IF(Tasks[[#This Row],[Task Name]]="","",IF(OR(TakeBaseline="Yes",N(Tasks[[#This Row],[Baseline Work]])=0),Tasks[[#This Row],[Work]],Tasks[[#This Row],[Baseline Work]]))</f>
        <v/>
      </c>
      <c r="BQ25" s="7"/>
      <c r="BR25" s="7"/>
      <c r="BS25" s="22"/>
      <c r="BT25" s="88"/>
      <c r="BU25" s="23"/>
      <c r="BV25" s="23"/>
      <c r="BW25" s="23"/>
      <c r="BX25" s="89" t="str">
        <f aca="false">IF(AND(Tasks[[#This Row],[_IsLeaf]]=1,ISNUMBER(Tasks[[#This Row],[Optimistic]]),ISNUMBER(Tasks[[#This Row],[Pessimistic]])),ROUND((Tasks[[#This Row],[Optimistic]]+4*N(Tasks[[#This Row],[_Days]])+Tasks[[#This Row],[Pessimistic]])/6,1),"")</f>
        <v/>
      </c>
      <c r="BY25" s="87"/>
      <c r="BZ25" s="87"/>
      <c r="CA25" s="22"/>
      <c r="CB25" s="43" t="str">
        <f aca="false">IF(Tasks[[#This Row],[Task Name]]="","",MAX(1,N(Tasks[[#This Row],[Level]])))</f>
        <v/>
      </c>
      <c r="CC25" s="43" t="n">
        <f aca="false">ROW()-ROW(Tasks[[#Headers],[ID]])</f>
        <v>20</v>
      </c>
      <c r="CD25" s="43" t="n">
        <f aca="false">IF(OR(Tasks[[#This Row],[Task Name]]="",Tasks[[#This Row],[_Level]]&lt;=1),0,IFERROR(LOOKUP(2,1/(Tasks[[#Headers],[_Level]]:Tasks[[#This Row],[_Level]]=Tasks[[#This Row],[_Level]]-1),ROW(Tasks[[#Headers],[_Level]]:Tasks[[#This Row],[_Level]])),0))</f>
        <v>0</v>
      </c>
      <c r="CE25" s="43" t="n">
        <f aca="false">IFERROR(N(INDEX(Tasks[_Level],Tasks[[#This Row],[_Row]]+1)),0)</f>
        <v>0</v>
      </c>
      <c r="CF25" s="90" t="b">
        <f aca="false">AND(Tasks[[#This Row],[Task Name]]&lt;&gt;"",Tasks[[#This Row],[_NextLevel]]&gt;Tasks[[#This Row],[_Level]])</f>
        <v>0</v>
      </c>
      <c r="CG25" s="43" t="n">
        <f aca="false">IF(Tasks[[#This Row],[_IsSummary]],COUNTIF(Tasks[WBS],Tasks[[#This Row],[WBS]]&amp;".*"),0)</f>
        <v>0</v>
      </c>
      <c r="CH25" s="43" t="n">
        <f aca="false">IF(AND(Tasks[[#This Row],[Task Name]]&lt;&gt;"",NOT(Tasks[[#This Row],[_IsSummary]])),1,0)</f>
        <v>0</v>
      </c>
      <c r="CI25" s="43" t="n">
        <f aca="false">IF(N(Tasks[[#This Row],[_Pred1UID]])=0,0,IFERROR(MATCH(Tasks[[#This Row],[_Pred1UID]],Tasks[UID],0),-1))</f>
        <v>0</v>
      </c>
      <c r="CJ25" s="43" t="n">
        <f aca="false">IF(N(Tasks[[#This Row],[_Pred2UID]])=0,0,IFERROR(MATCH(Tasks[[#This Row],[_Pred2UID]],Tasks[UID],0),-1))</f>
        <v>0</v>
      </c>
      <c r="CK25" s="43" t="n">
        <f aca="false">IF(N(Tasks[[#This Row],[_Pred3UID]])=0,0,IFERROR(MATCH(Tasks[[#This Row],[_Pred3UID]],Tasks[UID],0),-1))</f>
        <v>0</v>
      </c>
      <c r="CL25" s="43" t="n">
        <f aca="false">IF(N(Tasks[[#This Row],[_Pred4UID]])=0,0,IFERROR(MATCH(Tasks[[#This Row],[_Pred4UID]],Tasks[UID],0),-1))</f>
        <v>0</v>
      </c>
      <c r="CM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5" s="91" t="n">
        <f aca="false">IF(OR(Tasks[[#This Row],[_ConstraintCode]]=2,Tasks[[#This Row],[_ConstraintCode]]=3,Tasks[[#This Row],[_ConstraintCode]]=4,Tasks[[#This Row],[_ConstraintCode]]=6),Tasks[[#This Row],[_ConstraintStart]],0)</f>
        <v>0</v>
      </c>
      <c r="CP25" s="91" t="n">
        <f aca="false">IF(OR(Tasks[[#This Row],[_ConstraintCode]]=2,Tasks[[#This Row],[_ConstraintCode]]=3,Tasks[[#This Row],[_ConstraintCode]]=5,Tasks[[#This Row],[_ConstraintCode]]=7),Tasks[[#This Row],[_ConstraintStart]],2958465)</f>
        <v>2958465</v>
      </c>
      <c r="CQ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5" s="91" t="str">
        <f aca="false">IF(NOT(Tasks[[#This Row],[_IsLeaf]]=1),"",IF(N(Tasks[[#This Row],[_Days]])&lt;=0,Tasks[[#This Row],[_LeafCalcStart]],WORKDAY.INTL(Tasks[[#This Row],[_LeafCalcStart]],Tasks[[#This Row],[_Days]]-1,WorkWeek,Holidays)))</f>
        <v/>
      </c>
      <c r="CS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5" s="43" t="str">
        <f aca="false">IF(Tasks[[#This Row],[_Predecessors]]="","",TRIM(MID(SUBSTITUTE(SUBSTITUTE(SUBSTITUTE(UPPER(Tasks[[#This Row],[_Predecessors]]),";",",")," ",""),",",REPT(" ",99)),1,99)))</f>
        <v/>
      </c>
      <c r="CV25" s="43" t="str">
        <f aca="false">IF(Tasks[[#This Row],[_Pred1Text]]="","",IFERROR(VALUE(LEFT(Tasks[[#This Row],[_Pred1Text]],MIN(FIND("F",Tasks[[#This Row],[_Pred1Text]]&amp;"F"),FIND("S",Tasks[[#This Row],[_Pred1Text]]&amp;"S"),FIND("+",Tasks[[#This Row],[_Pred1Text]]&amp;"+"),FIND("-",Tasks[[#This Row],[_Pred1Text]]&amp;"-"))-1)),""))</f>
        <v/>
      </c>
      <c r="CW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5" s="43" t="str">
        <f aca="false">IF(Tasks[[#This Row],[_Pred1Text]]="","",TRIM(MID(SUBSTITUTE(SUBSTITUTE(SUBSTITUTE(UPPER(Tasks[[#This Row],[_Predecessors]]),";",",")," ",""),",",REPT(" ",99)),100,99)))</f>
        <v/>
      </c>
      <c r="CZ25" s="43" t="str">
        <f aca="false">IF(Tasks[[#This Row],[_Pred2Text]]="","",IFERROR(VALUE(LEFT(Tasks[[#This Row],[_Pred2Text]],MIN(FIND("F",Tasks[[#This Row],[_Pred2Text]]&amp;"F"),FIND("S",Tasks[[#This Row],[_Pred2Text]]&amp;"S"),FIND("+",Tasks[[#This Row],[_Pred2Text]]&amp;"+"),FIND("-",Tasks[[#This Row],[_Pred2Text]]&amp;"-"))-1)),""))</f>
        <v/>
      </c>
      <c r="DA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5" s="43" t="str">
        <f aca="false">IF(Tasks[[#This Row],[_Pred2Text]]="","",TRIM(MID(SUBSTITUTE(SUBSTITUTE(SUBSTITUTE(UPPER(Tasks[[#This Row],[_Predecessors]]),";",",")," ",""),",",REPT(" ",99)),199,99)))</f>
        <v/>
      </c>
      <c r="DD25" s="43" t="str">
        <f aca="false">IF(Tasks[[#This Row],[_Pred3Text]]="","",IFERROR(VALUE(LEFT(Tasks[[#This Row],[_Pred3Text]],MIN(FIND("F",Tasks[[#This Row],[_Pred3Text]]&amp;"F"),FIND("S",Tasks[[#This Row],[_Pred3Text]]&amp;"S"),FIND("+",Tasks[[#This Row],[_Pred3Text]]&amp;"+"),FIND("-",Tasks[[#This Row],[_Pred3Text]]&amp;"-"))-1)),""))</f>
        <v/>
      </c>
      <c r="DE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5" s="43" t="str">
        <f aca="false">IF(Tasks[[#This Row],[_Pred3Text]]="","",TRIM(MID(SUBSTITUTE(SUBSTITUTE(SUBSTITUTE(UPPER(Tasks[[#This Row],[_Predecessors]]),";",",")," ",""),",",REPT(" ",99)),298,99)))</f>
        <v/>
      </c>
      <c r="DH25" s="43" t="str">
        <f aca="false">IF(Tasks[[#This Row],[_Pred4Text]]="","",IFERROR(VALUE(LEFT(Tasks[[#This Row],[_Pred4Text]],MIN(FIND("F",Tasks[[#This Row],[_Pred4Text]]&amp;"F"),FIND("S",Tasks[[#This Row],[_Pred4Text]]&amp;"S"),FIND("+",Tasks[[#This Row],[_Pred4Text]]&amp;"+"),FIND("-",Tasks[[#This Row],[_Pred4Text]]&amp;"-"))-1)),""))</f>
        <v/>
      </c>
      <c r="DI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5" s="43" t="str">
        <f aca="false">IF(OR(Tasks[[#This Row],[Task Name]]="",Tasks[[#This Row],[_Resources]]=""),"",TRIM(MID(SUBSTITUTE(Tasks[[#This Row],[_Resources]],",",REPT(" ",99)),1,99)))</f>
        <v/>
      </c>
      <c r="DL25" s="43" t="str">
        <f aca="false">IF(Tasks[[#This Row],[_Res1Text]]="","",TRIM(MID(SUBSTITUTE(Tasks[[#This Row],[_Resources]],",",REPT(" ",99)),100,99)))</f>
        <v/>
      </c>
      <c r="DM25" s="43" t="str">
        <f aca="false">IF(Tasks[[#This Row],[_Res2Text]]="","",TRIM(MID(SUBSTITUTE(Tasks[[#This Row],[_Resources]],",",REPT(" ",99)),199,99)))</f>
        <v/>
      </c>
      <c r="DN25" s="43" t="str">
        <f aca="false">IF(Tasks[[#This Row],[_Res3Text]]="","",TRIM(MID(SUBSTITUTE(Tasks[[#This Row],[_Resources]],",",REPT(" ",99)),298,99)))</f>
        <v/>
      </c>
      <c r="DO25" s="43" t="n">
        <f aca="false">IF(Tasks[[#This Row],[_Res1Text]]="",0,IFERROR(MATCH(TRIM(LEFT(Tasks[[#This Row],[_Res1Text]],FIND("[",Tasks[[#This Row],[_Res1Text]]&amp;"[")-1)),res_Name,0),IFERROR(MATCH(TRIM(LEFT(Tasks[[#This Row],[_Res1Text]],FIND("[",Tasks[[#This Row],[_Res1Text]]&amp;"[")-1)),res_Initials,0),0)))</f>
        <v>0</v>
      </c>
      <c r="DP25" s="43" t="n">
        <f aca="false">IF(Tasks[[#This Row],[_Res2Text]]="",0,IFERROR(MATCH(TRIM(LEFT(Tasks[[#This Row],[_Res2Text]],FIND("[",Tasks[[#This Row],[_Res2Text]]&amp;"[")-1)),res_Name,0),IFERROR(MATCH(TRIM(LEFT(Tasks[[#This Row],[_Res2Text]],FIND("[",Tasks[[#This Row],[_Res2Text]]&amp;"[")-1)),res_Initials,0),0)))</f>
        <v>0</v>
      </c>
      <c r="DQ25" s="43" t="n">
        <f aca="false">IF(Tasks[[#This Row],[_Res3Text]]="",0,IFERROR(MATCH(TRIM(LEFT(Tasks[[#This Row],[_Res3Text]],FIND("[",Tasks[[#This Row],[_Res3Text]]&amp;"[")-1)),res_Name,0),IFERROR(MATCH(TRIM(LEFT(Tasks[[#This Row],[_Res3Text]],FIND("[",Tasks[[#This Row],[_Res3Text]]&amp;"[")-1)),res_Initials,0),0)))</f>
        <v>0</v>
      </c>
      <c r="DR25" s="43" t="n">
        <f aca="false">IF(Tasks[[#This Row],[_Res4Text]]="",0,IFERROR(MATCH(TRIM(LEFT(Tasks[[#This Row],[_Res4Text]],FIND("[",Tasks[[#This Row],[_Res4Text]]&amp;"[")-1)),res_Name,0),IFERROR(MATCH(TRIM(LEFT(Tasks[[#This Row],[_Res4Text]],FIND("[",Tasks[[#This Row],[_Res4Text]]&amp;"[")-1)),res_Initials,0),0)))</f>
        <v>0</v>
      </c>
      <c r="DS25" s="43" t="str">
        <f aca="false">IF(Tasks[[#This Row],[_Res1Text]]="","",IF(Tasks[[#This Row],[_Res1Row]]&gt;0,INDEX(res_Name,Tasks[[#This Row],[_Res1Row]]),TRIM(LEFT(Tasks[[#This Row],[_Res1Text]],FIND("[",Tasks[[#This Row],[_Res1Text]]&amp;"[")-1))))</f>
        <v/>
      </c>
      <c r="DT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5" s="43" t="n">
        <f aca="false">IF(NOT(Tasks[[#This Row],[_IsLeaf]]=1),0,(Tasks[[#This Row],[_Resource1]]&lt;&gt;"")+(Tasks[[#This Row],[_Res2]]&lt;&gt;"")+(Tasks[[#This Row],[_Res3]]&lt;&gt;"")+(Tasks[[#This Row],[_Res4]]&lt;&gt;""))</f>
        <v>0</v>
      </c>
      <c r="DV25" s="43" t="str">
        <f aca="false">IF(Tasks[[#This Row],[_Res2Text]]="","",IF(Tasks[[#This Row],[_Res2Row]]&gt;0,INDEX(res_Name,Tasks[[#This Row],[_Res2Row]]),TRIM(LEFT(Tasks[[#This Row],[_Res2Text]],FIND("[",Tasks[[#This Row],[_Res2Text]]&amp;"[")-1))))</f>
        <v/>
      </c>
      <c r="DW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5" s="43" t="n">
        <f aca="false">IF(OR(NOT(Tasks[[#This Row],[_IsLeaf]]=1),Tasks[[#This Row],[_Res2Row]]=0),0,N(Tasks[[#This Row],[_Days]])*HoursPerDay*IF(Tasks[[#This Row],[_Res2Units]]="",DefaultUnits,Tasks[[#This Row],[_Res2Units]]))</f>
        <v>0</v>
      </c>
      <c r="DY25" s="43" t="n">
        <f aca="false">IF(AND(AND(Tasks[[#This Row],[_IsLeaf]]=1,Tasks[[#This Row],[_LeafTotalWork]]&gt;0),Tasks[[#This Row],[_Res2Work]]&gt;0),Tasks[[#This Row],[_Res2Work]]/(Tasks[[#This Row],[_FinishWorkday]]-Tasks[[#This Row],[_StartWorkday]]+1),0)</f>
        <v>0</v>
      </c>
      <c r="DZ25" s="43" t="n">
        <f aca="false">Tasks[[#This Row],[_Res2WorkPerWD]]*MAX(0,Tasks[[#This Row],[_StartWorkday]]-1)</f>
        <v>0</v>
      </c>
      <c r="EA25" s="43" t="n">
        <f aca="false">Tasks[[#This Row],[_Res2Work]]*Tasks[[#This Row],[_LeafProgress]]</f>
        <v>0</v>
      </c>
      <c r="EB25" s="43" t="str">
        <f aca="false">IF(Tasks[[#This Row],[_Res3Text]]="","",IF(Tasks[[#This Row],[_Res3Row]]&gt;0,INDEX(res_Name,Tasks[[#This Row],[_Res3Row]]),TRIM(LEFT(Tasks[[#This Row],[_Res3Text]],FIND("[",Tasks[[#This Row],[_Res3Text]]&amp;"[")-1))))</f>
        <v/>
      </c>
      <c r="EC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5" s="43" t="n">
        <f aca="false">IF(OR(NOT(Tasks[[#This Row],[_IsLeaf]]=1),Tasks[[#This Row],[_Res3Row]]=0),0,N(Tasks[[#This Row],[_Days]])*HoursPerDay*IF(Tasks[[#This Row],[_Res3Units]]="",DefaultUnits,Tasks[[#This Row],[_Res3Units]]))</f>
        <v>0</v>
      </c>
      <c r="EE25" s="43" t="n">
        <f aca="false">IF(AND(AND(Tasks[[#This Row],[_IsLeaf]]=1,Tasks[[#This Row],[_LeafTotalWork]]&gt;0),Tasks[[#This Row],[_Res3Work]]&gt;0),Tasks[[#This Row],[_Res3Work]]/(Tasks[[#This Row],[_FinishWorkday]]-Tasks[[#This Row],[_StartWorkday]]+1),0)</f>
        <v>0</v>
      </c>
      <c r="EF25" s="43" t="n">
        <f aca="false">Tasks[[#This Row],[_Res3WorkPerWD]]*MAX(0,Tasks[[#This Row],[_StartWorkday]]-1)</f>
        <v>0</v>
      </c>
      <c r="EG25" s="43" t="n">
        <f aca="false">Tasks[[#This Row],[_Res3Work]]*Tasks[[#This Row],[_LeafProgress]]</f>
        <v>0</v>
      </c>
      <c r="EH25" s="43" t="str">
        <f aca="false">IF(Tasks[[#This Row],[_Res4Text]]="","",IF(Tasks[[#This Row],[_Res4Row]]&gt;0,INDEX(res_Name,Tasks[[#This Row],[_Res4Row]]),TRIM(LEFT(Tasks[[#This Row],[_Res4Text]],FIND("[",Tasks[[#This Row],[_Res4Text]]&amp;"[")-1))))</f>
        <v/>
      </c>
      <c r="EI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5" s="43" t="n">
        <f aca="false">IF(OR(NOT(Tasks[[#This Row],[_IsLeaf]]=1),Tasks[[#This Row],[_Res4Row]]=0),0,N(Tasks[[#This Row],[_Days]])*HoursPerDay*IF(Tasks[[#This Row],[_Res4Units]]="",DefaultUnits,Tasks[[#This Row],[_Res4Units]]))</f>
        <v>0</v>
      </c>
      <c r="EK25" s="43" t="n">
        <f aca="false">IF(AND(AND(Tasks[[#This Row],[_IsLeaf]]=1,Tasks[[#This Row],[_LeafTotalWork]]&gt;0),Tasks[[#This Row],[_Res4Work]]&gt;0),Tasks[[#This Row],[_Res4Work]]/(Tasks[[#This Row],[_FinishWorkday]]-Tasks[[#This Row],[_StartWorkday]]+1),0)</f>
        <v>0</v>
      </c>
      <c r="EL25" s="43" t="n">
        <f aca="false">Tasks[[#This Row],[_Res4WorkPerWD]]*MAX(0,Tasks[[#This Row],[_StartWorkday]]-1)</f>
        <v>0</v>
      </c>
      <c r="EM25" s="43" t="n">
        <f aca="false">Tasks[[#This Row],[_Res4Work]]*Tasks[[#This Row],[_LeafProgress]]</f>
        <v>0</v>
      </c>
      <c r="EN25" s="43" t="n">
        <f aca="false">IF(ISNUMBER(Tasks[[#This Row],[% Complete]]),Tasks[[#This Row],[% Complete]],IF(Tasks[[#This Row],[Stage]]="",0,IFERROR(INDEX(stg_Pct,MATCH(Tasks[[#This Row],[Stage]],stg_Name,0)),0)))</f>
        <v>0</v>
      </c>
      <c r="EO25" s="43" t="n">
        <f aca="false">IF(NOT(Tasks[[#This Row],[_IsLeaf]]=1),0,IF(N(Tasks[[#This Row],[Actual Finish]])&gt;0,1,MIN(1,Tasks[[#This Row],[_Pct]])))</f>
        <v>0</v>
      </c>
      <c r="EP25" s="43" t="n">
        <f aca="false">IF(OR(NOT(Tasks[[#This Row],[_IsLeaf]]=1),Tasks[[#This Row],[_Res1Row]]=0),0,N(Tasks[[#This Row],[_Days]])*HoursPerDay*IF(Tasks[[#This Row],[_Units1]]="",DefaultUnits,Tasks[[#This Row],[_Units1]]))</f>
        <v>0</v>
      </c>
      <c r="EQ25" s="43" t="n">
        <f aca="false">Tasks[[#This Row],[_LeafWork]]+Tasks[[#This Row],[_Res2Work]]+Tasks[[#This Row],[_Res3Work]]+Tasks[[#This Row],[_Res4Work]]</f>
        <v>0</v>
      </c>
      <c r="ER2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5" s="43" t="n">
        <f aca="false">IF(NOT(Tasks[[#This Row],[_IsLeaf]]=1),0,MAX(_xlfn.MAXIFS(Tasks[_Row],Tasks[_Pred1UID],Tasks[[#This Row],[UID]]),_xlfn.MAXIFS(Tasks[_Row],Tasks[_Pred2UID],Tasks[[#This Row],[UID]]),_xlfn.MAXIFS(Tasks[_Row],Tasks[_Pred3UID],Tasks[[#This Row],[UID]]),_xlfn.MAXIFS(Tasks[_Row],Tasks[_Pred4UID],Tasks[[#This Row],[UID]])))</f>
        <v>0</v>
      </c>
      <c r="FA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5" s="91" t="str">
        <f aca="false">IF(NOT(Tasks[[#This Row],[_IsLeaf]]=1),"",IF(N(Tasks[[#This Row],[_Days]])&lt;=0,Tasks[[#This Row],[_LeafLateFinish]],WORKDAY.INTL(Tasks[[#This Row],[_LeafLateFinish]],-(Tasks[[#This Row],[_Days]]-1),WorkWeek,Holidays)))</f>
        <v/>
      </c>
      <c r="FD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5" s="90" t="b">
        <f aca="false">AND(Tasks[[#This Row],[_IsLeaf]]=1,Tasks[[#This Row],[_LeafProgress]]&lt;1,N(Tasks[[#This Row],[_LeafTotalSlack]])&lt;=CriticalSlackDays)</f>
        <v>0</v>
      </c>
      <c r="FF25" s="43" t="n">
        <f aca="false">IF(AND(Tasks[[#This Row],[_IsLeaf]]=1,Tasks[[#This Row],[_ConstraintCode]]=1,Tasks[[#This Row],[Mode]]&lt;&gt;"Manual",N(Tasks[[#This Row],[Actual Start]])=0),MAX(0,N(Tasks[[#This Row],[Free Slack]])),0)</f>
        <v>0</v>
      </c>
      <c r="FG25" s="91" t="str">
        <f aca="false">IF(NOT(Tasks[[#This Row],[_IsLeaf]]=1),"",IF(Tasks[[#This Row],[_AlapShift]]=0,Tasks[[#This Row],[_LeafCalcStart]],WORKDAY.INTL(Tasks[[#This Row],[_LeafCalcStart]],Tasks[[#This Row],[_AlapShift]],WorkWeek,Holidays)))</f>
        <v/>
      </c>
      <c r="FH25" s="91" t="str">
        <f aca="false">IF(NOT(Tasks[[#This Row],[_IsLeaf]]=1),"",IF(Tasks[[#This Row],[_AlapShift]]=0,Tasks[[#This Row],[_LeafCalcFinish]],WORKDAY.INTL(Tasks[[#This Row],[_LeafCalcFinish]],Tasks[[#This Row],[_AlapShift]],WorkWeek,Holidays)))</f>
        <v/>
      </c>
      <c r="FI25" s="91" t="str">
        <f aca="false">IF(NOT(Tasks[[#This Row],[_IsLeaf]]=1),"",IF(Tasks[[#This Row],[_AlapShift]]=0,Tasks[[#This Row],[_LeafFcstStart]],WORKDAY.INTL(Tasks[[#This Row],[_LeafFcstStart]],Tasks[[#This Row],[_AlapShift]],WorkWeek,Holidays)))</f>
        <v/>
      </c>
      <c r="FJ25" s="91" t="str">
        <f aca="false">IF(NOT(Tasks[[#This Row],[_IsLeaf]]=1),"",IF(Tasks[[#This Row],[_AlapShift]]=0,Tasks[[#This Row],[_LeafFcstFinish]],WORKDAY.INTL(Tasks[[#This Row],[_LeafFcstFinish]],Tasks[[#This Row],[_AlapShift]],WorkWeek,Holidays)))</f>
        <v/>
      </c>
      <c r="FK25" s="91" t="str">
        <f aca="false">IF(Tasks[[#This Row],[Task Name]]="","",IF(Tasks[[#This Row],[_IsSummary]],MIN(INDEX(Tasks[_ShownCalcStart],Tasks[[#This Row],[_Row]]+1):INDEX(Tasks[_ShownCalcStart],Tasks[[#This Row],[_Row]]+Tasks[[#This Row],[_Descendants]])),Tasks[[#This Row],[_ShownCalcStart]]))</f>
        <v/>
      </c>
      <c r="FL25" s="91" t="str">
        <f aca="false">IF(Tasks[[#This Row],[Task Name]]="","",IF(Tasks[[#This Row],[_IsSummary]],MAX(INDEX(Tasks[_ShownCalcFinish],Tasks[[#This Row],[_Row]]+1):INDEX(Tasks[_ShownCalcFinish],Tasks[[#This Row],[_Row]]+Tasks[[#This Row],[_Descendants]])),Tasks[[#This Row],[_ShownCalcFinish]]))</f>
        <v/>
      </c>
      <c r="FM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5" s="43" t="n">
        <f aca="false">IF(AND(Tasks[[#This Row],[_IsLeaf]]=1,Tasks[[#This Row],[_LeafTotalWork]]&gt;0),NETWORKDAYS.INTL(ProjectStart,Tasks[[#This Row],[_ShownFcstStart]],WorkWeek,Holidays),0)</f>
        <v>0</v>
      </c>
      <c r="FZ25" s="43" t="n">
        <f aca="false">IF(AND(Tasks[[#This Row],[_IsLeaf]]=1,Tasks[[#This Row],[_LeafTotalWork]]&gt;0),MAX(Tasks[[#This Row],[_StartWorkday]],NETWORKDAYS.INTL(ProjectStart,Tasks[[#This Row],[_ShownFcstFinish]],WorkWeek,Holidays)),0)</f>
        <v>0</v>
      </c>
      <c r="GA25" s="43" t="n">
        <f aca="false">IF(AND(Tasks[[#This Row],[_IsLeaf]]=1,Tasks[[#This Row],[_LeafTotalWork]]&gt;0),Tasks[[#This Row],[_LeafWork]]/(Tasks[[#This Row],[_FinishWorkday]]-Tasks[[#This Row],[_StartWorkday]]+1),0)</f>
        <v>0</v>
      </c>
      <c r="GB25" s="43" t="n">
        <f aca="false">Tasks[[#This Row],[_WorkPerWorkday]]*(Tasks[[#This Row],[_StartWorkday]]-1)</f>
        <v>-0</v>
      </c>
      <c r="GC25" s="43" t="n">
        <f aca="false">IF(Tasks[[#This Row],[_IsLeaf]]=1,MAX(N(Tasks[[#This Row],[_Days]]),0.1),0)</f>
        <v>0</v>
      </c>
      <c r="GD25" s="43" t="n">
        <f aca="false">Tasks[[#This Row],[_WeightDur]]*Tasks[[#This Row],[_LeafProgress]]</f>
        <v>0</v>
      </c>
      <c r="GE25" s="43" t="n">
        <f aca="false">Tasks[[#This Row],[_WeightDur]]*Tasks[[#This Row],[_PlannedPct]]</f>
        <v>0</v>
      </c>
      <c r="GF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5" s="43" t="str">
        <f aca="false">IF(AND(Tasks[[#This Row],[_IsLeaf]]=1,N(Tasks[[#This Row],[_Days]])=0,Tasks[[#This Row],[_LeafProgress]]&lt;1),Tasks[[#This Row],[_ShownFcstFinish]]+Tasks[[#This Row],[_Row]]/100000,"")</f>
        <v/>
      </c>
      <c r="GH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5" s="43" t="str">
        <f aca="false">IF(Tasks[[#This Row],[Task Name]]="","",LEFT(Tasks[[#This Row],[WBS]],FIND(".",Tasks[[#This Row],[WBS]]&amp;".")-1))</f>
        <v/>
      </c>
      <c r="GJ25" s="43" t="str">
        <f aca="false">IF(AND(Tasks[[#This Row],[Task Name]]&lt;&gt;"",Tasks[[#This Row],[_Level]]=1),Tasks[[#This Row],[_Row]],"")</f>
        <v/>
      </c>
      <c r="GK25" s="43" t="str">
        <f aca="false">IF(AND(Tasks[[#This Row],[_IsLeaf]]=1,N(Tasks[[#This Row],[_Days]])=0),Tasks[[#This Row],[Planned Finish]]+Tasks[[#This Row],[_Row]]/100000,"")</f>
        <v/>
      </c>
      <c r="GL25" s="43" t="str">
        <f aca="false">IF(AND(Tasks[[#This Row],[_IsLeaf]]=1,Tasks[[#This Row],[_LeafProgress]]&lt;1,OR(N(Tasks[[#This Row],[Finish Var]])&gt;0,Tasks[[#This Row],[Status]]="Late Start")),MAX(0,Tasks[[#This Row],[Finish Var]])+1-Tasks[[#This Row],[_Row]]/1000000,"")</f>
        <v/>
      </c>
      <c r="GM25" s="43" t="str">
        <f aca="false">IF(AND(Tasks[[#This Row],[_IsLeaf]]=1,N(Tasks[[#This Row],[Actual Start]])=0,Tasks[[#This Row],[_ShownFcstStart]]&gt;=StatusDate,Tasks[[#This Row],[_ShownFcstStart]]&lt;=LookaheadEnd),Tasks[[#This Row],[_ShownFcstStart]]+Tasks[[#This Row],[_Row]]/100000,"")</f>
        <v/>
      </c>
      <c r="GN25" s="43" t="str">
        <f aca="false">IF(AND(Tasks[[#This Row],[_IsLeaf]]=1,Tasks[[#This Row],[_LeafProgress]]&lt;1,Tasks[[#This Row],[_ShownFcstFinish]]&gt;=StatusDate,Tasks[[#This Row],[_ShownFcstFinish]]&lt;=LookaheadEnd),Tasks[[#This Row],[_ShownFcstFinish]]+Tasks[[#This Row],[_Row]]/100000,"")</f>
        <v/>
      </c>
      <c r="GO25" s="43" t="str">
        <f aca="false">IF(Tasks[[#This Row],[_LeafCritical]],Tasks[[#This Row],[_ShownFcstStart]]+Tasks[[#This Row],[_Row]]/100000,"")</f>
        <v/>
      </c>
      <c r="GP25" s="43" t="n">
        <f aca="false">Tasks[[#This Row],[_LeafWork]]*Tasks[[#This Row],[_LeafProgress]]</f>
        <v>0</v>
      </c>
      <c r="GQ25" s="91" t="str">
        <f aca="false">IF(AND(Tasks[[#This Row],[_IsLeaf]]=1,Tasks[[#This Row],[_LeafProgress]]&gt;=1),IF(N(Tasks[[#This Row],[Actual Finish]])&gt;0,Tasks[[#This Row],[Actual Finish]],Tasks[[#This Row],[_ShownFcstFinish]]),"")</f>
        <v/>
      </c>
      <c r="GR25" s="43" t="n">
        <f aca="false">IF(Tasks[[#This Row],[_IsLeaf]]=1,N(Tasks[[#This Row],[Story Points]]),0)</f>
        <v>0</v>
      </c>
      <c r="GS25" s="43" t="str">
        <f aca="false">""</f>
        <v/>
      </c>
      <c r="GT25" s="90" t="b">
        <f aca="false">IF(Tasks[[#This Row],[Task Name]]="",FALSE(),AND(Tasks[[#This Row],[_IsLeaf]]=1,N(Tasks[[#This Row],[_Days]])=0))</f>
        <v>0</v>
      </c>
      <c r="GU25" s="91" t="n">
        <f aca="false">IF(Tasks[[#This Row],[Task Name]]="",0,IF(AND(Tasks[[#This Row],[_IsLeaf]]=1,NOT(Tasks[[#This Row],[_IsMilestone]]),N(Tasks[[#This Row],[Progress]])&gt;0),Tasks[[#This Row],[Start]],0))</f>
        <v>0</v>
      </c>
      <c r="GV25" s="91" t="n">
        <f aca="false">IF(Tasks[[#This Row],[_DoneFrom]]=0,0,IF(Tasks[[#This Row],[Progress]]&gt;=1,Tasks[[#This Row],[Finish]],MAX(Tasks[[#This Row],[_DoneFrom]],Tasks[[#This Row],[Start]]+ROUND((Tasks[[#This Row],[Finish]]-Tasks[[#This Row],[Start]]+1)*Tasks[[#This Row],[Progress]],0)-1)))</f>
        <v>0</v>
      </c>
      <c r="GW25" s="91" t="n">
        <f aca="false">IF(Tasks[[#This Row],[Task Name]]="",0,IF(OR(NOT(Tasks[[#This Row],[_IsLeaf]]=1),Tasks[[#This Row],[_IsMilestone]],N(Tasks[[#This Row],[Progress]])&gt;=1),0,IF(Tasks[[#This Row],[_DoneTo]]&gt;0,Tasks[[#This Row],[_DoneTo]]+1,Tasks[[#This Row],[Start]])))</f>
        <v>0</v>
      </c>
      <c r="GX25" s="91" t="n">
        <f aca="false">IF(Tasks[[#This Row],[_RemFrom]]=0,0,Tasks[[#This Row],[Finish]])</f>
        <v>0</v>
      </c>
      <c r="GY25" s="90" t="b">
        <f aca="false">IF(Tasks[[#This Row],[Task Name]]="",FALSE(),OR(NOT(BaselineSet),N(Tasks[[#This Row],[Baseline Start]])&gt;0))</f>
        <v>0</v>
      </c>
      <c r="GZ2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5" s="92" t="str">
        <f aca="false">IF(Tasks[[#This Row],[_IsLeaf]]=1,Tasks[[#This Row],[_Row]],"")</f>
        <v/>
      </c>
      <c r="HD25" s="92" t="str">
        <f aca="false">IFERROR(INDEX(Tasks[UID],SMALL(Tasks[_PickKey],Tasks[[#This Row],[_Row]]))&amp;" "&amp;INDEX(Tasks[Task Name],SMALL(Tasks[_PickKey],Tasks[[#This Row],[_Row]])),"")</f>
        <v/>
      </c>
      <c r="HE25" s="43" t="str">
        <f aca="false">IF(Tasks[[#This Row],[Task Name]]="","",IF(Tasks[[#This Row],[_IsSummary]],NETWORKDAYS.INTL(Tasks[[#This Row],[Start]],Tasks[[#This Row],[Finish]],WorkWeek,Holidays),N(Tasks[[#This Row],[_Days]])))</f>
        <v/>
      </c>
      <c r="HF25" s="43" t="n">
        <f aca="false">IF(Tasks[[#This Row],[Expected]]="",0,((Tasks[[#This Row],[Pessimistic]]-Tasks[[#This Row],[Optimistic]])/6)^2)</f>
        <v>0</v>
      </c>
      <c r="HG25" s="43" t="n">
        <f aca="false">IF(Tasks[[#This Row],[Expected]]="",0,Tasks[[#This Row],[Expected]]-N(Tasks[[#This Row],[_Days]]))</f>
        <v>0</v>
      </c>
    </row>
    <row r="26" customFormat="false" ht="15" hidden="false" customHeight="false" outlineLevel="0" collapsed="false">
      <c r="A26" s="21" t="str">
        <f aca="false">IF(Tasks[[#This Row],[Task Name]]="","",COUNTA(Tasks[[#Headers],[Task Name]]:Tasks[[#This Row],[Task Name]])-1)</f>
        <v/>
      </c>
      <c r="B26" s="22" t="n">
        <v>34</v>
      </c>
      <c r="C26" s="22"/>
      <c r="D26" s="23"/>
      <c r="E26" s="22"/>
      <c r="F26" s="23"/>
      <c r="G26" s="22"/>
      <c r="H26" s="22"/>
      <c r="I26" s="23"/>
      <c r="J26" s="22"/>
      <c r="K26" s="22"/>
      <c r="L26" s="23"/>
      <c r="M26" s="22"/>
      <c r="N26" s="22"/>
      <c r="O26" s="23"/>
      <c r="P26" s="22"/>
      <c r="Q26" s="22"/>
      <c r="R26" s="23"/>
      <c r="S26" s="23"/>
      <c r="T26" s="84"/>
      <c r="U26" s="23"/>
      <c r="V26" s="84"/>
      <c r="W26" s="23"/>
      <c r="X26" s="84"/>
      <c r="Y26" s="23"/>
      <c r="Z26" s="84"/>
      <c r="AA26" s="23"/>
      <c r="AB26" s="23"/>
      <c r="AC26" s="7"/>
      <c r="AD26" s="7"/>
      <c r="AE26" s="63" t="str">
        <f aca="false">IF(Tasks[[#This Row],[Task Name]]="","",IF(Tasks[[#This Row],[_IsSummary]],MIN(INDEX(Tasks[_ShownFcstStart],Tasks[[#This Row],[_Row]]+1):INDEX(Tasks[_ShownFcstStart],Tasks[[#This Row],[_Row]]+Tasks[[#This Row],[_Descendants]])),Tasks[[#This Row],[_ShownFcstStart]]))</f>
        <v/>
      </c>
      <c r="AF26" s="63" t="str">
        <f aca="false">IF(Tasks[[#This Row],[Task Name]]="","",IF(Tasks[[#This Row],[_IsSummary]],MAX(INDEX(Tasks[_ShownFcstFinish],Tasks[[#This Row],[_Row]]+1):INDEX(Tasks[_ShownFcstFinish],Tasks[[#This Row],[_Row]]+Tasks[[#This Row],[_Descendants]])),Tasks[[#This Row],[_ShownFcstFinish]]))</f>
        <v/>
      </c>
      <c r="AG26" s="21" t="str">
        <f aca="false">""</f>
        <v/>
      </c>
      <c r="AH26" s="23"/>
      <c r="AI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6" s="7"/>
      <c r="AK26" s="22"/>
      <c r="AL26" s="23"/>
      <c r="AM26" s="7"/>
      <c r="AN26" s="47" t="str">
        <f aca="false">IF(Tasks[[#This Row],[Task Name]]="","",IF(Tasks[[#This Row],[Finish]]&gt;=Tasks[[#This Row],[Planned Finish]],NETWORKDAYS.INTL(Tasks[[#This Row],[Planned Finish]],Tasks[[#This Row],[Finish]],WorkWeek,Holidays)-1,1-NETWORKDAYS.INTL(Tasks[[#This Row],[Finish]],Tasks[[#This Row],[Planned Finish]],WorkWeek,Holidays)))</f>
        <v/>
      </c>
      <c r="AO26" s="21" t="str">
        <f aca="false">IF(Tasks[[#This Row],[Task Name]]="","",IF(Tasks[[#This Row],[Progress]]&gt;=1,"Complete",IF(OR(N(Tasks[[#This Row],[Actual Start]])&gt;0,Tasks[[#This Row],[Progress]]&gt;0),IF(Tasks[[#This Row],[Finish Var]]&gt;0,"Behind","In Progress"),IF(Tasks[[#This Row],[Planned Start]]&lt;StatusDate,"Late Start","Not Started"))))</f>
        <v/>
      </c>
      <c r="AP26" s="21" t="str">
        <f aca="false">IF(Tasks[[#This Row],[Task Name]]="","",IF(IF(Tasks[[#This Row],[_IsSummary]],COUNTIF(INDEX(Tasks[_LeafCritical],Tasks[[#This Row],[_Row]]+1):INDEX(Tasks[_LeafCritical],Tasks[[#This Row],[_Row]]+Tasks[[#This Row],[_Descendants]]),TRUE())&gt;0,Tasks[[#This Row],[_LeafCritical]]),"Yes",""))</f>
        <v/>
      </c>
      <c r="AQ26" s="63" t="str">
        <f aca="false">IF(Tasks[[#This Row],[Task Name]]="","",IF(N(Tasks[[#This Row],[Baseline Start]])&gt;0,Tasks[[#This Row],[Baseline Start]],Tasks[[#This Row],[_CalcStart]]))</f>
        <v/>
      </c>
      <c r="AR26" s="63" t="str">
        <f aca="false">IF(Tasks[[#This Row],[Task Name]]="","",IF(N(Tasks[[#This Row],[Baseline Finish]])&gt;0,Tasks[[#This Row],[Baseline Finish]],Tasks[[#This Row],[_CalcFinish]]))</f>
        <v/>
      </c>
      <c r="AS26" s="47" t="str">
        <f aca="false">IF(Tasks[[#This Row],[Task Name]]="","",IF(Tasks[[#This Row],[Start]]&gt;=Tasks[[#This Row],[Planned Start]],NETWORKDAYS.INTL(Tasks[[#This Row],[Planned Start]],Tasks[[#This Row],[Start]],WorkWeek,Holidays)-1,1-NETWORKDAYS.INTL(Tasks[[#This Row],[Start]],Tasks[[#This Row],[Planned Start]],WorkWeek,Holidays)))</f>
        <v/>
      </c>
      <c r="AT26" s="63" t="str">
        <f aca="false">IF(Tasks[[#This Row],[Task Name]]="","",IF(Tasks[[#This Row],[_IsSummary]],MIN(INDEX(Tasks[_LeafLateStart],Tasks[[#This Row],[_Row]]+1):INDEX(Tasks[_LeafLateStart],Tasks[[#This Row],[_Row]]+Tasks[[#This Row],[_Descendants]])),Tasks[[#This Row],[_LeafLateStart]]))</f>
        <v/>
      </c>
      <c r="AU26" s="63" t="str">
        <f aca="false">IF(Tasks[[#This Row],[Task Name]]="","",IF(Tasks[[#This Row],[_IsSummary]],MAX(INDEX(Tasks[_LeafLateFinish],Tasks[[#This Row],[_Row]]+1):INDEX(Tasks[_LeafLateFinish],Tasks[[#This Row],[_Row]]+Tasks[[#This Row],[_Descendants]])),Tasks[[#This Row],[_LeafLateFinish]]))</f>
        <v/>
      </c>
      <c r="AV26" s="47" t="str">
        <f aca="false">IF(Tasks[[#This Row],[Task Name]]="","",IF(Tasks[[#This Row],[_IsSummary]],MIN(INDEX(Tasks[_LeafTotalSlack],Tasks[[#This Row],[_Row]]+1):INDEX(Tasks[_LeafTotalSlack],Tasks[[#This Row],[_Row]]+Tasks[[#This Row],[_Descendants]])),Tasks[[#This Row],[_LeafTotalSlack]]))</f>
        <v/>
      </c>
      <c r="AW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5"/>
      <c r="BA2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t="str">
        <f aca="false">IF(Tasks[[#This Row],[Task Name]]="","",IF(Tasks[[#This Row],[_Level]]&lt;=OutlineShowLevel,"Yes","No"))</f>
        <v/>
      </c>
      <c r="BE26" s="86" t="str">
        <f aca="false">IF(Tasks[[#This Row],[Task Name]]="","",IF(Tasks[[#This Row],[_IsSummary]],SUM(INDEX(Tasks[_LeafTotalWork],Tasks[[#This Row],[_Row]]+1):INDEX(Tasks[_LeafTotalWork],Tasks[[#This Row],[_Row]]+Tasks[[#This Row],[_Descendants]])),Tasks[[#This Row],[_LeafTotalWork]]))</f>
        <v/>
      </c>
      <c r="BF26" s="23"/>
      <c r="BG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t="str">
        <f aca="false">""</f>
        <v/>
      </c>
      <c r="BI26" s="87"/>
      <c r="BJ26" s="22"/>
      <c r="BK26" s="47" t="str">
        <f aca="false">IF(OR(Tasks[[#This Row],[Task Name]]="",Tasks[[#This Row],[Baseline Duration]]=""),"",Tasks[[#This Row],[_SpanDays]]-N(Tasks[[#This Row],[Baseline Duration]]))</f>
        <v/>
      </c>
      <c r="BL26" s="86" t="str">
        <f aca="false">IF(OR(Tasks[[#This Row],[Task Name]]="",Tasks[[#This Row],[Baseline Work]]=""),"",Tasks[[#This Row],[Work]]-N(Tasks[[#This Row],[Baseline Work]]))</f>
        <v/>
      </c>
      <c r="BM26" s="63" t="str">
        <f aca="false">IF(Tasks[[#This Row],[Task Name]]="","",IF(OR(TakeBaseline="Yes",N(Tasks[[#This Row],[Baseline Start]])=0),Tasks[[#This Row],[Start]],Tasks[[#This Row],[Baseline Start]]))</f>
        <v/>
      </c>
      <c r="BN26" s="63" t="str">
        <f aca="false">IF(Tasks[[#This Row],[Task Name]]="","",IF(OR(TakeBaseline="Yes",N(Tasks[[#This Row],[Baseline Finish]])=0),Tasks[[#This Row],[Finish]],Tasks[[#This Row],[Baseline Finish]]))</f>
        <v/>
      </c>
      <c r="BO26" s="21" t="str">
        <f aca="false">IF(Tasks[[#This Row],[Task Name]]="","",IF(OR(TakeBaseline="Yes",N(Tasks[[#This Row],[Baseline Duration]])=0),Tasks[[#This Row],[_SpanDays]],Tasks[[#This Row],[Baseline Duration]]))</f>
        <v/>
      </c>
      <c r="BP26" s="86" t="str">
        <f aca="false">IF(Tasks[[#This Row],[Task Name]]="","",IF(OR(TakeBaseline="Yes",N(Tasks[[#This Row],[Baseline Work]])=0),Tasks[[#This Row],[Work]],Tasks[[#This Row],[Baseline Work]]))</f>
        <v/>
      </c>
      <c r="BQ26" s="7"/>
      <c r="BR26" s="7"/>
      <c r="BS26" s="22"/>
      <c r="BT26" s="88"/>
      <c r="BU26" s="23"/>
      <c r="BV26" s="23"/>
      <c r="BW26" s="23"/>
      <c r="BX26" s="89" t="str">
        <f aca="false">IF(AND(Tasks[[#This Row],[_IsLeaf]]=1,ISNUMBER(Tasks[[#This Row],[Optimistic]]),ISNUMBER(Tasks[[#This Row],[Pessimistic]])),ROUND((Tasks[[#This Row],[Optimistic]]+4*N(Tasks[[#This Row],[_Days]])+Tasks[[#This Row],[Pessimistic]])/6,1),"")</f>
        <v/>
      </c>
      <c r="BY26" s="87"/>
      <c r="BZ26" s="87"/>
      <c r="CA26" s="22"/>
      <c r="CB26" s="43" t="str">
        <f aca="false">IF(Tasks[[#This Row],[Task Name]]="","",MAX(1,N(Tasks[[#This Row],[Level]])))</f>
        <v/>
      </c>
      <c r="CC26" s="43" t="n">
        <f aca="false">ROW()-ROW(Tasks[[#Headers],[ID]])</f>
        <v>21</v>
      </c>
      <c r="CD26" s="43" t="n">
        <f aca="false">IF(OR(Tasks[[#This Row],[Task Name]]="",Tasks[[#This Row],[_Level]]&lt;=1),0,IFERROR(LOOKUP(2,1/(Tasks[[#Headers],[_Level]]:Tasks[[#This Row],[_Level]]=Tasks[[#This Row],[_Level]]-1),ROW(Tasks[[#Headers],[_Level]]:Tasks[[#This Row],[_Level]])),0))</f>
        <v>0</v>
      </c>
      <c r="CE26" s="43" t="n">
        <f aca="false">IFERROR(N(INDEX(Tasks[_Level],Tasks[[#This Row],[_Row]]+1)),0)</f>
        <v>0</v>
      </c>
      <c r="CF26" s="90" t="b">
        <f aca="false">AND(Tasks[[#This Row],[Task Name]]&lt;&gt;"",Tasks[[#This Row],[_NextLevel]]&gt;Tasks[[#This Row],[_Level]])</f>
        <v>0</v>
      </c>
      <c r="CG26" s="43" t="n">
        <f aca="false">IF(Tasks[[#This Row],[_IsSummary]],COUNTIF(Tasks[WBS],Tasks[[#This Row],[WBS]]&amp;".*"),0)</f>
        <v>0</v>
      </c>
      <c r="CH26" s="43" t="n">
        <f aca="false">IF(AND(Tasks[[#This Row],[Task Name]]&lt;&gt;"",NOT(Tasks[[#This Row],[_IsSummary]])),1,0)</f>
        <v>0</v>
      </c>
      <c r="CI26" s="43" t="n">
        <f aca="false">IF(N(Tasks[[#This Row],[_Pred1UID]])=0,0,IFERROR(MATCH(Tasks[[#This Row],[_Pred1UID]],Tasks[UID],0),-1))</f>
        <v>0</v>
      </c>
      <c r="CJ26" s="43" t="n">
        <f aca="false">IF(N(Tasks[[#This Row],[_Pred2UID]])=0,0,IFERROR(MATCH(Tasks[[#This Row],[_Pred2UID]],Tasks[UID],0),-1))</f>
        <v>0</v>
      </c>
      <c r="CK26" s="43" t="n">
        <f aca="false">IF(N(Tasks[[#This Row],[_Pred3UID]])=0,0,IFERROR(MATCH(Tasks[[#This Row],[_Pred3UID]],Tasks[UID],0),-1))</f>
        <v>0</v>
      </c>
      <c r="CL26" s="43" t="n">
        <f aca="false">IF(N(Tasks[[#This Row],[_Pred4UID]])=0,0,IFERROR(MATCH(Tasks[[#This Row],[_Pred4UID]],Tasks[UID],0),-1))</f>
        <v>0</v>
      </c>
      <c r="CM2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6" s="91" t="n">
        <f aca="false">IF(OR(Tasks[[#This Row],[_ConstraintCode]]=2,Tasks[[#This Row],[_ConstraintCode]]=3,Tasks[[#This Row],[_ConstraintCode]]=4,Tasks[[#This Row],[_ConstraintCode]]=6),Tasks[[#This Row],[_ConstraintStart]],0)</f>
        <v>0</v>
      </c>
      <c r="CP26" s="91" t="n">
        <f aca="false">IF(OR(Tasks[[#This Row],[_ConstraintCode]]=2,Tasks[[#This Row],[_ConstraintCode]]=3,Tasks[[#This Row],[_ConstraintCode]]=5,Tasks[[#This Row],[_ConstraintCode]]=7),Tasks[[#This Row],[_ConstraintStart]],2958465)</f>
        <v>2958465</v>
      </c>
      <c r="CQ2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6" s="91" t="str">
        <f aca="false">IF(NOT(Tasks[[#This Row],[_IsLeaf]]=1),"",IF(N(Tasks[[#This Row],[_Days]])&lt;=0,Tasks[[#This Row],[_LeafCalcStart]],WORKDAY.INTL(Tasks[[#This Row],[_LeafCalcStart]],Tasks[[#This Row],[_Days]]-1,WorkWeek,Holidays)))</f>
        <v/>
      </c>
      <c r="CS2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6" s="43" t="str">
        <f aca="false">IF(Tasks[[#This Row],[_Predecessors]]="","",TRIM(MID(SUBSTITUTE(SUBSTITUTE(SUBSTITUTE(UPPER(Tasks[[#This Row],[_Predecessors]]),";",",")," ",""),",",REPT(" ",99)),1,99)))</f>
        <v/>
      </c>
      <c r="CV26" s="43" t="str">
        <f aca="false">IF(Tasks[[#This Row],[_Pred1Text]]="","",IFERROR(VALUE(LEFT(Tasks[[#This Row],[_Pred1Text]],MIN(FIND("F",Tasks[[#This Row],[_Pred1Text]]&amp;"F"),FIND("S",Tasks[[#This Row],[_Pred1Text]]&amp;"S"),FIND("+",Tasks[[#This Row],[_Pred1Text]]&amp;"+"),FIND("-",Tasks[[#This Row],[_Pred1Text]]&amp;"-"))-1)),""))</f>
        <v/>
      </c>
      <c r="CW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6" s="43" t="str">
        <f aca="false">IF(Tasks[[#This Row],[_Pred1Text]]="","",TRIM(MID(SUBSTITUTE(SUBSTITUTE(SUBSTITUTE(UPPER(Tasks[[#This Row],[_Predecessors]]),";",",")," ",""),",",REPT(" ",99)),100,99)))</f>
        <v/>
      </c>
      <c r="CZ26" s="43" t="str">
        <f aca="false">IF(Tasks[[#This Row],[_Pred2Text]]="","",IFERROR(VALUE(LEFT(Tasks[[#This Row],[_Pred2Text]],MIN(FIND("F",Tasks[[#This Row],[_Pred2Text]]&amp;"F"),FIND("S",Tasks[[#This Row],[_Pred2Text]]&amp;"S"),FIND("+",Tasks[[#This Row],[_Pred2Text]]&amp;"+"),FIND("-",Tasks[[#This Row],[_Pred2Text]]&amp;"-"))-1)),""))</f>
        <v/>
      </c>
      <c r="DA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6" s="43" t="str">
        <f aca="false">IF(Tasks[[#This Row],[_Pred2Text]]="","",TRIM(MID(SUBSTITUTE(SUBSTITUTE(SUBSTITUTE(UPPER(Tasks[[#This Row],[_Predecessors]]),";",",")," ",""),",",REPT(" ",99)),199,99)))</f>
        <v/>
      </c>
      <c r="DD26" s="43" t="str">
        <f aca="false">IF(Tasks[[#This Row],[_Pred3Text]]="","",IFERROR(VALUE(LEFT(Tasks[[#This Row],[_Pred3Text]],MIN(FIND("F",Tasks[[#This Row],[_Pred3Text]]&amp;"F"),FIND("S",Tasks[[#This Row],[_Pred3Text]]&amp;"S"),FIND("+",Tasks[[#This Row],[_Pred3Text]]&amp;"+"),FIND("-",Tasks[[#This Row],[_Pred3Text]]&amp;"-"))-1)),""))</f>
        <v/>
      </c>
      <c r="DE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6" s="43" t="str">
        <f aca="false">IF(Tasks[[#This Row],[_Pred3Text]]="","",TRIM(MID(SUBSTITUTE(SUBSTITUTE(SUBSTITUTE(UPPER(Tasks[[#This Row],[_Predecessors]]),";",",")," ",""),",",REPT(" ",99)),298,99)))</f>
        <v/>
      </c>
      <c r="DH26" s="43" t="str">
        <f aca="false">IF(Tasks[[#This Row],[_Pred4Text]]="","",IFERROR(VALUE(LEFT(Tasks[[#This Row],[_Pred4Text]],MIN(FIND("F",Tasks[[#This Row],[_Pred4Text]]&amp;"F"),FIND("S",Tasks[[#This Row],[_Pred4Text]]&amp;"S"),FIND("+",Tasks[[#This Row],[_Pred4Text]]&amp;"+"),FIND("-",Tasks[[#This Row],[_Pred4Text]]&amp;"-"))-1)),""))</f>
        <v/>
      </c>
      <c r="DI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6" s="43" t="str">
        <f aca="false">IF(OR(Tasks[[#This Row],[Task Name]]="",Tasks[[#This Row],[_Resources]]=""),"",TRIM(MID(SUBSTITUTE(Tasks[[#This Row],[_Resources]],",",REPT(" ",99)),1,99)))</f>
        <v/>
      </c>
      <c r="DL26" s="43" t="str">
        <f aca="false">IF(Tasks[[#This Row],[_Res1Text]]="","",TRIM(MID(SUBSTITUTE(Tasks[[#This Row],[_Resources]],",",REPT(" ",99)),100,99)))</f>
        <v/>
      </c>
      <c r="DM26" s="43" t="str">
        <f aca="false">IF(Tasks[[#This Row],[_Res2Text]]="","",TRIM(MID(SUBSTITUTE(Tasks[[#This Row],[_Resources]],",",REPT(" ",99)),199,99)))</f>
        <v/>
      </c>
      <c r="DN26" s="43" t="str">
        <f aca="false">IF(Tasks[[#This Row],[_Res3Text]]="","",TRIM(MID(SUBSTITUTE(Tasks[[#This Row],[_Resources]],",",REPT(" ",99)),298,99)))</f>
        <v/>
      </c>
      <c r="DO26" s="43" t="n">
        <f aca="false">IF(Tasks[[#This Row],[_Res1Text]]="",0,IFERROR(MATCH(TRIM(LEFT(Tasks[[#This Row],[_Res1Text]],FIND("[",Tasks[[#This Row],[_Res1Text]]&amp;"[")-1)),res_Name,0),IFERROR(MATCH(TRIM(LEFT(Tasks[[#This Row],[_Res1Text]],FIND("[",Tasks[[#This Row],[_Res1Text]]&amp;"[")-1)),res_Initials,0),0)))</f>
        <v>0</v>
      </c>
      <c r="DP26" s="43" t="n">
        <f aca="false">IF(Tasks[[#This Row],[_Res2Text]]="",0,IFERROR(MATCH(TRIM(LEFT(Tasks[[#This Row],[_Res2Text]],FIND("[",Tasks[[#This Row],[_Res2Text]]&amp;"[")-1)),res_Name,0),IFERROR(MATCH(TRIM(LEFT(Tasks[[#This Row],[_Res2Text]],FIND("[",Tasks[[#This Row],[_Res2Text]]&amp;"[")-1)),res_Initials,0),0)))</f>
        <v>0</v>
      </c>
      <c r="DQ26" s="43" t="n">
        <f aca="false">IF(Tasks[[#This Row],[_Res3Text]]="",0,IFERROR(MATCH(TRIM(LEFT(Tasks[[#This Row],[_Res3Text]],FIND("[",Tasks[[#This Row],[_Res3Text]]&amp;"[")-1)),res_Name,0),IFERROR(MATCH(TRIM(LEFT(Tasks[[#This Row],[_Res3Text]],FIND("[",Tasks[[#This Row],[_Res3Text]]&amp;"[")-1)),res_Initials,0),0)))</f>
        <v>0</v>
      </c>
      <c r="DR26" s="43" t="n">
        <f aca="false">IF(Tasks[[#This Row],[_Res4Text]]="",0,IFERROR(MATCH(TRIM(LEFT(Tasks[[#This Row],[_Res4Text]],FIND("[",Tasks[[#This Row],[_Res4Text]]&amp;"[")-1)),res_Name,0),IFERROR(MATCH(TRIM(LEFT(Tasks[[#This Row],[_Res4Text]],FIND("[",Tasks[[#This Row],[_Res4Text]]&amp;"[")-1)),res_Initials,0),0)))</f>
        <v>0</v>
      </c>
      <c r="DS26" s="43" t="str">
        <f aca="false">IF(Tasks[[#This Row],[_Res1Text]]="","",IF(Tasks[[#This Row],[_Res1Row]]&gt;0,INDEX(res_Name,Tasks[[#This Row],[_Res1Row]]),TRIM(LEFT(Tasks[[#This Row],[_Res1Text]],FIND("[",Tasks[[#This Row],[_Res1Text]]&amp;"[")-1))))</f>
        <v/>
      </c>
      <c r="DT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6" s="43" t="n">
        <f aca="false">IF(NOT(Tasks[[#This Row],[_IsLeaf]]=1),0,(Tasks[[#This Row],[_Resource1]]&lt;&gt;"")+(Tasks[[#This Row],[_Res2]]&lt;&gt;"")+(Tasks[[#This Row],[_Res3]]&lt;&gt;"")+(Tasks[[#This Row],[_Res4]]&lt;&gt;""))</f>
        <v>0</v>
      </c>
      <c r="DV26" s="43" t="str">
        <f aca="false">IF(Tasks[[#This Row],[_Res2Text]]="","",IF(Tasks[[#This Row],[_Res2Row]]&gt;0,INDEX(res_Name,Tasks[[#This Row],[_Res2Row]]),TRIM(LEFT(Tasks[[#This Row],[_Res2Text]],FIND("[",Tasks[[#This Row],[_Res2Text]]&amp;"[")-1))))</f>
        <v/>
      </c>
      <c r="DW2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6" s="43" t="n">
        <f aca="false">IF(OR(NOT(Tasks[[#This Row],[_IsLeaf]]=1),Tasks[[#This Row],[_Res2Row]]=0),0,N(Tasks[[#This Row],[_Days]])*HoursPerDay*IF(Tasks[[#This Row],[_Res2Units]]="",DefaultUnits,Tasks[[#This Row],[_Res2Units]]))</f>
        <v>0</v>
      </c>
      <c r="DY26" s="43" t="n">
        <f aca="false">IF(AND(AND(Tasks[[#This Row],[_IsLeaf]]=1,Tasks[[#This Row],[_LeafTotalWork]]&gt;0),Tasks[[#This Row],[_Res2Work]]&gt;0),Tasks[[#This Row],[_Res2Work]]/(Tasks[[#This Row],[_FinishWorkday]]-Tasks[[#This Row],[_StartWorkday]]+1),0)</f>
        <v>0</v>
      </c>
      <c r="DZ26" s="43" t="n">
        <f aca="false">Tasks[[#This Row],[_Res2WorkPerWD]]*MAX(0,Tasks[[#This Row],[_StartWorkday]]-1)</f>
        <v>0</v>
      </c>
      <c r="EA26" s="43" t="n">
        <f aca="false">Tasks[[#This Row],[_Res2Work]]*Tasks[[#This Row],[_LeafProgress]]</f>
        <v>0</v>
      </c>
      <c r="EB26" s="43" t="str">
        <f aca="false">IF(Tasks[[#This Row],[_Res3Text]]="","",IF(Tasks[[#This Row],[_Res3Row]]&gt;0,INDEX(res_Name,Tasks[[#This Row],[_Res3Row]]),TRIM(LEFT(Tasks[[#This Row],[_Res3Text]],FIND("[",Tasks[[#This Row],[_Res3Text]]&amp;"[")-1))))</f>
        <v/>
      </c>
      <c r="EC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6" s="43" t="n">
        <f aca="false">IF(OR(NOT(Tasks[[#This Row],[_IsLeaf]]=1),Tasks[[#This Row],[_Res3Row]]=0),0,N(Tasks[[#This Row],[_Days]])*HoursPerDay*IF(Tasks[[#This Row],[_Res3Units]]="",DefaultUnits,Tasks[[#This Row],[_Res3Units]]))</f>
        <v>0</v>
      </c>
      <c r="EE26" s="43" t="n">
        <f aca="false">IF(AND(AND(Tasks[[#This Row],[_IsLeaf]]=1,Tasks[[#This Row],[_LeafTotalWork]]&gt;0),Tasks[[#This Row],[_Res3Work]]&gt;0),Tasks[[#This Row],[_Res3Work]]/(Tasks[[#This Row],[_FinishWorkday]]-Tasks[[#This Row],[_StartWorkday]]+1),0)</f>
        <v>0</v>
      </c>
      <c r="EF26" s="43" t="n">
        <f aca="false">Tasks[[#This Row],[_Res3WorkPerWD]]*MAX(0,Tasks[[#This Row],[_StartWorkday]]-1)</f>
        <v>0</v>
      </c>
      <c r="EG26" s="43" t="n">
        <f aca="false">Tasks[[#This Row],[_Res3Work]]*Tasks[[#This Row],[_LeafProgress]]</f>
        <v>0</v>
      </c>
      <c r="EH26" s="43" t="str">
        <f aca="false">IF(Tasks[[#This Row],[_Res4Text]]="","",IF(Tasks[[#This Row],[_Res4Row]]&gt;0,INDEX(res_Name,Tasks[[#This Row],[_Res4Row]]),TRIM(LEFT(Tasks[[#This Row],[_Res4Text]],FIND("[",Tasks[[#This Row],[_Res4Text]]&amp;"[")-1))))</f>
        <v/>
      </c>
      <c r="EI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6" s="43" t="n">
        <f aca="false">IF(OR(NOT(Tasks[[#This Row],[_IsLeaf]]=1),Tasks[[#This Row],[_Res4Row]]=0),0,N(Tasks[[#This Row],[_Days]])*HoursPerDay*IF(Tasks[[#This Row],[_Res4Units]]="",DefaultUnits,Tasks[[#This Row],[_Res4Units]]))</f>
        <v>0</v>
      </c>
      <c r="EK26" s="43" t="n">
        <f aca="false">IF(AND(AND(Tasks[[#This Row],[_IsLeaf]]=1,Tasks[[#This Row],[_LeafTotalWork]]&gt;0),Tasks[[#This Row],[_Res4Work]]&gt;0),Tasks[[#This Row],[_Res4Work]]/(Tasks[[#This Row],[_FinishWorkday]]-Tasks[[#This Row],[_StartWorkday]]+1),0)</f>
        <v>0</v>
      </c>
      <c r="EL26" s="43" t="n">
        <f aca="false">Tasks[[#This Row],[_Res4WorkPerWD]]*MAX(0,Tasks[[#This Row],[_StartWorkday]]-1)</f>
        <v>0</v>
      </c>
      <c r="EM26" s="43" t="n">
        <f aca="false">Tasks[[#This Row],[_Res4Work]]*Tasks[[#This Row],[_LeafProgress]]</f>
        <v>0</v>
      </c>
      <c r="EN26" s="43" t="n">
        <f aca="false">IF(ISNUMBER(Tasks[[#This Row],[% Complete]]),Tasks[[#This Row],[% Complete]],IF(Tasks[[#This Row],[Stage]]="",0,IFERROR(INDEX(stg_Pct,MATCH(Tasks[[#This Row],[Stage]],stg_Name,0)),0)))</f>
        <v>0</v>
      </c>
      <c r="EO26" s="43" t="n">
        <f aca="false">IF(NOT(Tasks[[#This Row],[_IsLeaf]]=1),0,IF(N(Tasks[[#This Row],[Actual Finish]])&gt;0,1,MIN(1,Tasks[[#This Row],[_Pct]])))</f>
        <v>0</v>
      </c>
      <c r="EP26" s="43" t="n">
        <f aca="false">IF(OR(NOT(Tasks[[#This Row],[_IsLeaf]]=1),Tasks[[#This Row],[_Res1Row]]=0),0,N(Tasks[[#This Row],[_Days]])*HoursPerDay*IF(Tasks[[#This Row],[_Units1]]="",DefaultUnits,Tasks[[#This Row],[_Units1]]))</f>
        <v>0</v>
      </c>
      <c r="EQ26" s="43" t="n">
        <f aca="false">Tasks[[#This Row],[_LeafWork]]+Tasks[[#This Row],[_Res2Work]]+Tasks[[#This Row],[_Res3Work]]+Tasks[[#This Row],[_Res4Work]]</f>
        <v>0</v>
      </c>
      <c r="ER2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6" s="43" t="n">
        <f aca="false">IF(NOT(Tasks[[#This Row],[_IsLeaf]]=1),0,MAX(_xlfn.MAXIFS(Tasks[_Row],Tasks[_Pred1UID],Tasks[[#This Row],[UID]]),_xlfn.MAXIFS(Tasks[_Row],Tasks[_Pred2UID],Tasks[[#This Row],[UID]]),_xlfn.MAXIFS(Tasks[_Row],Tasks[_Pred3UID],Tasks[[#This Row],[UID]]),_xlfn.MAXIFS(Tasks[_Row],Tasks[_Pred4UID],Tasks[[#This Row],[UID]])))</f>
        <v>0</v>
      </c>
      <c r="FA2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6" s="91" t="str">
        <f aca="false">IF(NOT(Tasks[[#This Row],[_IsLeaf]]=1),"",IF(N(Tasks[[#This Row],[_Days]])&lt;=0,Tasks[[#This Row],[_LeafLateFinish]],WORKDAY.INTL(Tasks[[#This Row],[_LeafLateFinish]],-(Tasks[[#This Row],[_Days]]-1),WorkWeek,Holidays)))</f>
        <v/>
      </c>
      <c r="FD2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6" s="90" t="b">
        <f aca="false">AND(Tasks[[#This Row],[_IsLeaf]]=1,Tasks[[#This Row],[_LeafProgress]]&lt;1,N(Tasks[[#This Row],[_LeafTotalSlack]])&lt;=CriticalSlackDays)</f>
        <v>0</v>
      </c>
      <c r="FF26" s="43" t="n">
        <f aca="false">IF(AND(Tasks[[#This Row],[_IsLeaf]]=1,Tasks[[#This Row],[_ConstraintCode]]=1,Tasks[[#This Row],[Mode]]&lt;&gt;"Manual",N(Tasks[[#This Row],[Actual Start]])=0),MAX(0,N(Tasks[[#This Row],[Free Slack]])),0)</f>
        <v>0</v>
      </c>
      <c r="FG26" s="91" t="str">
        <f aca="false">IF(NOT(Tasks[[#This Row],[_IsLeaf]]=1),"",IF(Tasks[[#This Row],[_AlapShift]]=0,Tasks[[#This Row],[_LeafCalcStart]],WORKDAY.INTL(Tasks[[#This Row],[_LeafCalcStart]],Tasks[[#This Row],[_AlapShift]],WorkWeek,Holidays)))</f>
        <v/>
      </c>
      <c r="FH26" s="91" t="str">
        <f aca="false">IF(NOT(Tasks[[#This Row],[_IsLeaf]]=1),"",IF(Tasks[[#This Row],[_AlapShift]]=0,Tasks[[#This Row],[_LeafCalcFinish]],WORKDAY.INTL(Tasks[[#This Row],[_LeafCalcFinish]],Tasks[[#This Row],[_AlapShift]],WorkWeek,Holidays)))</f>
        <v/>
      </c>
      <c r="FI26" s="91" t="str">
        <f aca="false">IF(NOT(Tasks[[#This Row],[_IsLeaf]]=1),"",IF(Tasks[[#This Row],[_AlapShift]]=0,Tasks[[#This Row],[_LeafFcstStart]],WORKDAY.INTL(Tasks[[#This Row],[_LeafFcstStart]],Tasks[[#This Row],[_AlapShift]],WorkWeek,Holidays)))</f>
        <v/>
      </c>
      <c r="FJ26" s="91" t="str">
        <f aca="false">IF(NOT(Tasks[[#This Row],[_IsLeaf]]=1),"",IF(Tasks[[#This Row],[_AlapShift]]=0,Tasks[[#This Row],[_LeafFcstFinish]],WORKDAY.INTL(Tasks[[#This Row],[_LeafFcstFinish]],Tasks[[#This Row],[_AlapShift]],WorkWeek,Holidays)))</f>
        <v/>
      </c>
      <c r="FK26" s="91" t="str">
        <f aca="false">IF(Tasks[[#This Row],[Task Name]]="","",IF(Tasks[[#This Row],[_IsSummary]],MIN(INDEX(Tasks[_ShownCalcStart],Tasks[[#This Row],[_Row]]+1):INDEX(Tasks[_ShownCalcStart],Tasks[[#This Row],[_Row]]+Tasks[[#This Row],[_Descendants]])),Tasks[[#This Row],[_ShownCalcStart]]))</f>
        <v/>
      </c>
      <c r="FL26" s="91" t="str">
        <f aca="false">IF(Tasks[[#This Row],[Task Name]]="","",IF(Tasks[[#This Row],[_IsSummary]],MAX(INDEX(Tasks[_ShownCalcFinish],Tasks[[#This Row],[_Row]]+1):INDEX(Tasks[_ShownCalcFinish],Tasks[[#This Row],[_Row]]+Tasks[[#This Row],[_Descendants]])),Tasks[[#This Row],[_ShownCalcFinish]]))</f>
        <v/>
      </c>
      <c r="FM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6" s="43" t="n">
        <f aca="false">IF(AND(Tasks[[#This Row],[_IsLeaf]]=1,Tasks[[#This Row],[_LeafTotalWork]]&gt;0),NETWORKDAYS.INTL(ProjectStart,Tasks[[#This Row],[_ShownFcstStart]],WorkWeek,Holidays),0)</f>
        <v>0</v>
      </c>
      <c r="FZ26" s="43" t="n">
        <f aca="false">IF(AND(Tasks[[#This Row],[_IsLeaf]]=1,Tasks[[#This Row],[_LeafTotalWork]]&gt;0),MAX(Tasks[[#This Row],[_StartWorkday]],NETWORKDAYS.INTL(ProjectStart,Tasks[[#This Row],[_ShownFcstFinish]],WorkWeek,Holidays)),0)</f>
        <v>0</v>
      </c>
      <c r="GA26" s="43" t="n">
        <f aca="false">IF(AND(Tasks[[#This Row],[_IsLeaf]]=1,Tasks[[#This Row],[_LeafTotalWork]]&gt;0),Tasks[[#This Row],[_LeafWork]]/(Tasks[[#This Row],[_FinishWorkday]]-Tasks[[#This Row],[_StartWorkday]]+1),0)</f>
        <v>0</v>
      </c>
      <c r="GB26" s="43" t="n">
        <f aca="false">Tasks[[#This Row],[_WorkPerWorkday]]*(Tasks[[#This Row],[_StartWorkday]]-1)</f>
        <v>-0</v>
      </c>
      <c r="GC26" s="43" t="n">
        <f aca="false">IF(Tasks[[#This Row],[_IsLeaf]]=1,MAX(N(Tasks[[#This Row],[_Days]]),0.1),0)</f>
        <v>0</v>
      </c>
      <c r="GD26" s="43" t="n">
        <f aca="false">Tasks[[#This Row],[_WeightDur]]*Tasks[[#This Row],[_LeafProgress]]</f>
        <v>0</v>
      </c>
      <c r="GE26" s="43" t="n">
        <f aca="false">Tasks[[#This Row],[_WeightDur]]*Tasks[[#This Row],[_PlannedPct]]</f>
        <v>0</v>
      </c>
      <c r="GF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6" s="43" t="str">
        <f aca="false">IF(AND(Tasks[[#This Row],[_IsLeaf]]=1,N(Tasks[[#This Row],[_Days]])=0,Tasks[[#This Row],[_LeafProgress]]&lt;1),Tasks[[#This Row],[_ShownFcstFinish]]+Tasks[[#This Row],[_Row]]/100000,"")</f>
        <v/>
      </c>
      <c r="GH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6" s="43" t="str">
        <f aca="false">IF(Tasks[[#This Row],[Task Name]]="","",LEFT(Tasks[[#This Row],[WBS]],FIND(".",Tasks[[#This Row],[WBS]]&amp;".")-1))</f>
        <v/>
      </c>
      <c r="GJ26" s="43" t="str">
        <f aca="false">IF(AND(Tasks[[#This Row],[Task Name]]&lt;&gt;"",Tasks[[#This Row],[_Level]]=1),Tasks[[#This Row],[_Row]],"")</f>
        <v/>
      </c>
      <c r="GK26" s="43" t="str">
        <f aca="false">IF(AND(Tasks[[#This Row],[_IsLeaf]]=1,N(Tasks[[#This Row],[_Days]])=0),Tasks[[#This Row],[Planned Finish]]+Tasks[[#This Row],[_Row]]/100000,"")</f>
        <v/>
      </c>
      <c r="GL26" s="43" t="str">
        <f aca="false">IF(AND(Tasks[[#This Row],[_IsLeaf]]=1,Tasks[[#This Row],[_LeafProgress]]&lt;1,OR(N(Tasks[[#This Row],[Finish Var]])&gt;0,Tasks[[#This Row],[Status]]="Late Start")),MAX(0,Tasks[[#This Row],[Finish Var]])+1-Tasks[[#This Row],[_Row]]/1000000,"")</f>
        <v/>
      </c>
      <c r="GM26" s="43" t="str">
        <f aca="false">IF(AND(Tasks[[#This Row],[_IsLeaf]]=1,N(Tasks[[#This Row],[Actual Start]])=0,Tasks[[#This Row],[_ShownFcstStart]]&gt;=StatusDate,Tasks[[#This Row],[_ShownFcstStart]]&lt;=LookaheadEnd),Tasks[[#This Row],[_ShownFcstStart]]+Tasks[[#This Row],[_Row]]/100000,"")</f>
        <v/>
      </c>
      <c r="GN26" s="43" t="str">
        <f aca="false">IF(AND(Tasks[[#This Row],[_IsLeaf]]=1,Tasks[[#This Row],[_LeafProgress]]&lt;1,Tasks[[#This Row],[_ShownFcstFinish]]&gt;=StatusDate,Tasks[[#This Row],[_ShownFcstFinish]]&lt;=LookaheadEnd),Tasks[[#This Row],[_ShownFcstFinish]]+Tasks[[#This Row],[_Row]]/100000,"")</f>
        <v/>
      </c>
      <c r="GO26" s="43" t="str">
        <f aca="false">IF(Tasks[[#This Row],[_LeafCritical]],Tasks[[#This Row],[_ShownFcstStart]]+Tasks[[#This Row],[_Row]]/100000,"")</f>
        <v/>
      </c>
      <c r="GP26" s="43" t="n">
        <f aca="false">Tasks[[#This Row],[_LeafWork]]*Tasks[[#This Row],[_LeafProgress]]</f>
        <v>0</v>
      </c>
      <c r="GQ26" s="91" t="str">
        <f aca="false">IF(AND(Tasks[[#This Row],[_IsLeaf]]=1,Tasks[[#This Row],[_LeafProgress]]&gt;=1),IF(N(Tasks[[#This Row],[Actual Finish]])&gt;0,Tasks[[#This Row],[Actual Finish]],Tasks[[#This Row],[_ShownFcstFinish]]),"")</f>
        <v/>
      </c>
      <c r="GR26" s="43" t="n">
        <f aca="false">IF(Tasks[[#This Row],[_IsLeaf]]=1,N(Tasks[[#This Row],[Story Points]]),0)</f>
        <v>0</v>
      </c>
      <c r="GS26" s="43" t="str">
        <f aca="false">""</f>
        <v/>
      </c>
      <c r="GT26" s="90" t="b">
        <f aca="false">IF(Tasks[[#This Row],[Task Name]]="",FALSE(),AND(Tasks[[#This Row],[_IsLeaf]]=1,N(Tasks[[#This Row],[_Days]])=0))</f>
        <v>0</v>
      </c>
      <c r="GU26" s="91" t="n">
        <f aca="false">IF(Tasks[[#This Row],[Task Name]]="",0,IF(AND(Tasks[[#This Row],[_IsLeaf]]=1,NOT(Tasks[[#This Row],[_IsMilestone]]),N(Tasks[[#This Row],[Progress]])&gt;0),Tasks[[#This Row],[Start]],0))</f>
        <v>0</v>
      </c>
      <c r="GV26" s="91" t="n">
        <f aca="false">IF(Tasks[[#This Row],[_DoneFrom]]=0,0,IF(Tasks[[#This Row],[Progress]]&gt;=1,Tasks[[#This Row],[Finish]],MAX(Tasks[[#This Row],[_DoneFrom]],Tasks[[#This Row],[Start]]+ROUND((Tasks[[#This Row],[Finish]]-Tasks[[#This Row],[Start]]+1)*Tasks[[#This Row],[Progress]],0)-1)))</f>
        <v>0</v>
      </c>
      <c r="GW26" s="91" t="n">
        <f aca="false">IF(Tasks[[#This Row],[Task Name]]="",0,IF(OR(NOT(Tasks[[#This Row],[_IsLeaf]]=1),Tasks[[#This Row],[_IsMilestone]],N(Tasks[[#This Row],[Progress]])&gt;=1),0,IF(Tasks[[#This Row],[_DoneTo]]&gt;0,Tasks[[#This Row],[_DoneTo]]+1,Tasks[[#This Row],[Start]])))</f>
        <v>0</v>
      </c>
      <c r="GX26" s="91" t="n">
        <f aca="false">IF(Tasks[[#This Row],[_RemFrom]]=0,0,Tasks[[#This Row],[Finish]])</f>
        <v>0</v>
      </c>
      <c r="GY26" s="90" t="b">
        <f aca="false">IF(Tasks[[#This Row],[Task Name]]="",FALSE(),OR(NOT(BaselineSet),N(Tasks[[#This Row],[Baseline Start]])&gt;0))</f>
        <v>0</v>
      </c>
      <c r="GZ2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6" s="92" t="str">
        <f aca="false">IF(Tasks[[#This Row],[_IsLeaf]]=1,Tasks[[#This Row],[_Row]],"")</f>
        <v/>
      </c>
      <c r="HD26" s="92" t="str">
        <f aca="false">IFERROR(INDEX(Tasks[UID],SMALL(Tasks[_PickKey],Tasks[[#This Row],[_Row]]))&amp;" "&amp;INDEX(Tasks[Task Name],SMALL(Tasks[_PickKey],Tasks[[#This Row],[_Row]])),"")</f>
        <v/>
      </c>
      <c r="HE26" s="43" t="str">
        <f aca="false">IF(Tasks[[#This Row],[Task Name]]="","",IF(Tasks[[#This Row],[_IsSummary]],NETWORKDAYS.INTL(Tasks[[#This Row],[Start]],Tasks[[#This Row],[Finish]],WorkWeek,Holidays),N(Tasks[[#This Row],[_Days]])))</f>
        <v/>
      </c>
      <c r="HF26" s="43" t="n">
        <f aca="false">IF(Tasks[[#This Row],[Expected]]="",0,((Tasks[[#This Row],[Pessimistic]]-Tasks[[#This Row],[Optimistic]])/6)^2)</f>
        <v>0</v>
      </c>
      <c r="HG26" s="43" t="n">
        <f aca="false">IF(Tasks[[#This Row],[Expected]]="",0,Tasks[[#This Row],[Expected]]-N(Tasks[[#This Row],[_Days]]))</f>
        <v>0</v>
      </c>
    </row>
    <row r="27" customFormat="false" ht="15" hidden="false" customHeight="false" outlineLevel="0" collapsed="false">
      <c r="A27" s="21" t="str">
        <f aca="false">IF(Tasks[[#This Row],[Task Name]]="","",COUNTA(Tasks[[#Headers],[Task Name]]:Tasks[[#This Row],[Task Name]])-1)</f>
        <v/>
      </c>
      <c r="B27" s="22" t="n">
        <v>35</v>
      </c>
      <c r="C27" s="22"/>
      <c r="D27" s="23"/>
      <c r="E27" s="22"/>
      <c r="F27" s="23"/>
      <c r="G27" s="22"/>
      <c r="H27" s="22"/>
      <c r="I27" s="23"/>
      <c r="J27" s="22"/>
      <c r="K27" s="22"/>
      <c r="L27" s="23"/>
      <c r="M27" s="22"/>
      <c r="N27" s="22"/>
      <c r="O27" s="23"/>
      <c r="P27" s="22"/>
      <c r="Q27" s="22"/>
      <c r="R27" s="23"/>
      <c r="S27" s="23"/>
      <c r="T27" s="84"/>
      <c r="U27" s="23"/>
      <c r="V27" s="84"/>
      <c r="W27" s="23"/>
      <c r="X27" s="84"/>
      <c r="Y27" s="23"/>
      <c r="Z27" s="84"/>
      <c r="AA27" s="23"/>
      <c r="AB27" s="23"/>
      <c r="AC27" s="7"/>
      <c r="AD27" s="7"/>
      <c r="AE27" s="63" t="str">
        <f aca="false">IF(Tasks[[#This Row],[Task Name]]="","",IF(Tasks[[#This Row],[_IsSummary]],MIN(INDEX(Tasks[_ShownFcstStart],Tasks[[#This Row],[_Row]]+1):INDEX(Tasks[_ShownFcstStart],Tasks[[#This Row],[_Row]]+Tasks[[#This Row],[_Descendants]])),Tasks[[#This Row],[_ShownFcstStart]]))</f>
        <v/>
      </c>
      <c r="AF27" s="63" t="str">
        <f aca="false">IF(Tasks[[#This Row],[Task Name]]="","",IF(Tasks[[#This Row],[_IsSummary]],MAX(INDEX(Tasks[_ShownFcstFinish],Tasks[[#This Row],[_Row]]+1):INDEX(Tasks[_ShownFcstFinish],Tasks[[#This Row],[_Row]]+Tasks[[#This Row],[_Descendants]])),Tasks[[#This Row],[_ShownFcstFinish]]))</f>
        <v/>
      </c>
      <c r="AG27" s="21" t="str">
        <f aca="false">""</f>
        <v/>
      </c>
      <c r="AH27" s="23"/>
      <c r="AI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7" s="7"/>
      <c r="AK27" s="22"/>
      <c r="AL27" s="23"/>
      <c r="AM27" s="7"/>
      <c r="AN27" s="47" t="str">
        <f aca="false">IF(Tasks[[#This Row],[Task Name]]="","",IF(Tasks[[#This Row],[Finish]]&gt;=Tasks[[#This Row],[Planned Finish]],NETWORKDAYS.INTL(Tasks[[#This Row],[Planned Finish]],Tasks[[#This Row],[Finish]],WorkWeek,Holidays)-1,1-NETWORKDAYS.INTL(Tasks[[#This Row],[Finish]],Tasks[[#This Row],[Planned Finish]],WorkWeek,Holidays)))</f>
        <v/>
      </c>
      <c r="AO27" s="21" t="str">
        <f aca="false">IF(Tasks[[#This Row],[Task Name]]="","",IF(Tasks[[#This Row],[Progress]]&gt;=1,"Complete",IF(OR(N(Tasks[[#This Row],[Actual Start]])&gt;0,Tasks[[#This Row],[Progress]]&gt;0),IF(Tasks[[#This Row],[Finish Var]]&gt;0,"Behind","In Progress"),IF(Tasks[[#This Row],[Planned Start]]&lt;StatusDate,"Late Start","Not Started"))))</f>
        <v/>
      </c>
      <c r="AP27" s="21" t="str">
        <f aca="false">IF(Tasks[[#This Row],[Task Name]]="","",IF(IF(Tasks[[#This Row],[_IsSummary]],COUNTIF(INDEX(Tasks[_LeafCritical],Tasks[[#This Row],[_Row]]+1):INDEX(Tasks[_LeafCritical],Tasks[[#This Row],[_Row]]+Tasks[[#This Row],[_Descendants]]),TRUE())&gt;0,Tasks[[#This Row],[_LeafCritical]]),"Yes",""))</f>
        <v/>
      </c>
      <c r="AQ27" s="63" t="str">
        <f aca="false">IF(Tasks[[#This Row],[Task Name]]="","",IF(N(Tasks[[#This Row],[Baseline Start]])&gt;0,Tasks[[#This Row],[Baseline Start]],Tasks[[#This Row],[_CalcStart]]))</f>
        <v/>
      </c>
      <c r="AR27" s="63" t="str">
        <f aca="false">IF(Tasks[[#This Row],[Task Name]]="","",IF(N(Tasks[[#This Row],[Baseline Finish]])&gt;0,Tasks[[#This Row],[Baseline Finish]],Tasks[[#This Row],[_CalcFinish]]))</f>
        <v/>
      </c>
      <c r="AS27" s="47" t="str">
        <f aca="false">IF(Tasks[[#This Row],[Task Name]]="","",IF(Tasks[[#This Row],[Start]]&gt;=Tasks[[#This Row],[Planned Start]],NETWORKDAYS.INTL(Tasks[[#This Row],[Planned Start]],Tasks[[#This Row],[Start]],WorkWeek,Holidays)-1,1-NETWORKDAYS.INTL(Tasks[[#This Row],[Start]],Tasks[[#This Row],[Planned Start]],WorkWeek,Holidays)))</f>
        <v/>
      </c>
      <c r="AT27" s="63" t="str">
        <f aca="false">IF(Tasks[[#This Row],[Task Name]]="","",IF(Tasks[[#This Row],[_IsSummary]],MIN(INDEX(Tasks[_LeafLateStart],Tasks[[#This Row],[_Row]]+1):INDEX(Tasks[_LeafLateStart],Tasks[[#This Row],[_Row]]+Tasks[[#This Row],[_Descendants]])),Tasks[[#This Row],[_LeafLateStart]]))</f>
        <v/>
      </c>
      <c r="AU27" s="63" t="str">
        <f aca="false">IF(Tasks[[#This Row],[Task Name]]="","",IF(Tasks[[#This Row],[_IsSummary]],MAX(INDEX(Tasks[_LeafLateFinish],Tasks[[#This Row],[_Row]]+1):INDEX(Tasks[_LeafLateFinish],Tasks[[#This Row],[_Row]]+Tasks[[#This Row],[_Descendants]])),Tasks[[#This Row],[_LeafLateFinish]]))</f>
        <v/>
      </c>
      <c r="AV27" s="47" t="str">
        <f aca="false">IF(Tasks[[#This Row],[Task Name]]="","",IF(Tasks[[#This Row],[_IsSummary]],MIN(INDEX(Tasks[_LeafTotalSlack],Tasks[[#This Row],[_Row]]+1):INDEX(Tasks[_LeafTotalSlack],Tasks[[#This Row],[_Row]]+Tasks[[#This Row],[_Descendants]])),Tasks[[#This Row],[_LeafTotalSlack]]))</f>
        <v/>
      </c>
      <c r="AW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5"/>
      <c r="BA2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t="str">
        <f aca="false">IF(Tasks[[#This Row],[Task Name]]="","",IF(Tasks[[#This Row],[_Level]]&lt;=OutlineShowLevel,"Yes","No"))</f>
        <v/>
      </c>
      <c r="BE27" s="86" t="str">
        <f aca="false">IF(Tasks[[#This Row],[Task Name]]="","",IF(Tasks[[#This Row],[_IsSummary]],SUM(INDEX(Tasks[_LeafTotalWork],Tasks[[#This Row],[_Row]]+1):INDEX(Tasks[_LeafTotalWork],Tasks[[#This Row],[_Row]]+Tasks[[#This Row],[_Descendants]])),Tasks[[#This Row],[_LeafTotalWork]]))</f>
        <v/>
      </c>
      <c r="BF27" s="23"/>
      <c r="BG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t="str">
        <f aca="false">""</f>
        <v/>
      </c>
      <c r="BI27" s="87"/>
      <c r="BJ27" s="22"/>
      <c r="BK27" s="47" t="str">
        <f aca="false">IF(OR(Tasks[[#This Row],[Task Name]]="",Tasks[[#This Row],[Baseline Duration]]=""),"",Tasks[[#This Row],[_SpanDays]]-N(Tasks[[#This Row],[Baseline Duration]]))</f>
        <v/>
      </c>
      <c r="BL27" s="86" t="str">
        <f aca="false">IF(OR(Tasks[[#This Row],[Task Name]]="",Tasks[[#This Row],[Baseline Work]]=""),"",Tasks[[#This Row],[Work]]-N(Tasks[[#This Row],[Baseline Work]]))</f>
        <v/>
      </c>
      <c r="BM27" s="63" t="str">
        <f aca="false">IF(Tasks[[#This Row],[Task Name]]="","",IF(OR(TakeBaseline="Yes",N(Tasks[[#This Row],[Baseline Start]])=0),Tasks[[#This Row],[Start]],Tasks[[#This Row],[Baseline Start]]))</f>
        <v/>
      </c>
      <c r="BN27" s="63" t="str">
        <f aca="false">IF(Tasks[[#This Row],[Task Name]]="","",IF(OR(TakeBaseline="Yes",N(Tasks[[#This Row],[Baseline Finish]])=0),Tasks[[#This Row],[Finish]],Tasks[[#This Row],[Baseline Finish]]))</f>
        <v/>
      </c>
      <c r="BO27" s="21" t="str">
        <f aca="false">IF(Tasks[[#This Row],[Task Name]]="","",IF(OR(TakeBaseline="Yes",N(Tasks[[#This Row],[Baseline Duration]])=0),Tasks[[#This Row],[_SpanDays]],Tasks[[#This Row],[Baseline Duration]]))</f>
        <v/>
      </c>
      <c r="BP27" s="86" t="str">
        <f aca="false">IF(Tasks[[#This Row],[Task Name]]="","",IF(OR(TakeBaseline="Yes",N(Tasks[[#This Row],[Baseline Work]])=0),Tasks[[#This Row],[Work]],Tasks[[#This Row],[Baseline Work]]))</f>
        <v/>
      </c>
      <c r="BQ27" s="7"/>
      <c r="BR27" s="7"/>
      <c r="BS27" s="22"/>
      <c r="BT27" s="88"/>
      <c r="BU27" s="23"/>
      <c r="BV27" s="23"/>
      <c r="BW27" s="23"/>
      <c r="BX27" s="89" t="str">
        <f aca="false">IF(AND(Tasks[[#This Row],[_IsLeaf]]=1,ISNUMBER(Tasks[[#This Row],[Optimistic]]),ISNUMBER(Tasks[[#This Row],[Pessimistic]])),ROUND((Tasks[[#This Row],[Optimistic]]+4*N(Tasks[[#This Row],[_Days]])+Tasks[[#This Row],[Pessimistic]])/6,1),"")</f>
        <v/>
      </c>
      <c r="BY27" s="87"/>
      <c r="BZ27" s="87"/>
      <c r="CA27" s="22"/>
      <c r="CB27" s="43" t="str">
        <f aca="false">IF(Tasks[[#This Row],[Task Name]]="","",MAX(1,N(Tasks[[#This Row],[Level]])))</f>
        <v/>
      </c>
      <c r="CC27" s="43" t="n">
        <f aca="false">ROW()-ROW(Tasks[[#Headers],[ID]])</f>
        <v>22</v>
      </c>
      <c r="CD27" s="43" t="n">
        <f aca="false">IF(OR(Tasks[[#This Row],[Task Name]]="",Tasks[[#This Row],[_Level]]&lt;=1),0,IFERROR(LOOKUP(2,1/(Tasks[[#Headers],[_Level]]:Tasks[[#This Row],[_Level]]=Tasks[[#This Row],[_Level]]-1),ROW(Tasks[[#Headers],[_Level]]:Tasks[[#This Row],[_Level]])),0))</f>
        <v>0</v>
      </c>
      <c r="CE27" s="43" t="n">
        <f aca="false">IFERROR(N(INDEX(Tasks[_Level],Tasks[[#This Row],[_Row]]+1)),0)</f>
        <v>0</v>
      </c>
      <c r="CF27" s="90" t="b">
        <f aca="false">AND(Tasks[[#This Row],[Task Name]]&lt;&gt;"",Tasks[[#This Row],[_NextLevel]]&gt;Tasks[[#This Row],[_Level]])</f>
        <v>0</v>
      </c>
      <c r="CG27" s="43" t="n">
        <f aca="false">IF(Tasks[[#This Row],[_IsSummary]],COUNTIF(Tasks[WBS],Tasks[[#This Row],[WBS]]&amp;".*"),0)</f>
        <v>0</v>
      </c>
      <c r="CH27" s="43" t="n">
        <f aca="false">IF(AND(Tasks[[#This Row],[Task Name]]&lt;&gt;"",NOT(Tasks[[#This Row],[_IsSummary]])),1,0)</f>
        <v>0</v>
      </c>
      <c r="CI27" s="43" t="n">
        <f aca="false">IF(N(Tasks[[#This Row],[_Pred1UID]])=0,0,IFERROR(MATCH(Tasks[[#This Row],[_Pred1UID]],Tasks[UID],0),-1))</f>
        <v>0</v>
      </c>
      <c r="CJ27" s="43" t="n">
        <f aca="false">IF(N(Tasks[[#This Row],[_Pred2UID]])=0,0,IFERROR(MATCH(Tasks[[#This Row],[_Pred2UID]],Tasks[UID],0),-1))</f>
        <v>0</v>
      </c>
      <c r="CK27" s="43" t="n">
        <f aca="false">IF(N(Tasks[[#This Row],[_Pred3UID]])=0,0,IFERROR(MATCH(Tasks[[#This Row],[_Pred3UID]],Tasks[UID],0),-1))</f>
        <v>0</v>
      </c>
      <c r="CL27" s="43" t="n">
        <f aca="false">IF(N(Tasks[[#This Row],[_Pred4UID]])=0,0,IFERROR(MATCH(Tasks[[#This Row],[_Pred4UID]],Tasks[UID],0),-1))</f>
        <v>0</v>
      </c>
      <c r="CM2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7" s="91" t="n">
        <f aca="false">IF(OR(Tasks[[#This Row],[_ConstraintCode]]=2,Tasks[[#This Row],[_ConstraintCode]]=3,Tasks[[#This Row],[_ConstraintCode]]=4,Tasks[[#This Row],[_ConstraintCode]]=6),Tasks[[#This Row],[_ConstraintStart]],0)</f>
        <v>0</v>
      </c>
      <c r="CP27" s="91" t="n">
        <f aca="false">IF(OR(Tasks[[#This Row],[_ConstraintCode]]=2,Tasks[[#This Row],[_ConstraintCode]]=3,Tasks[[#This Row],[_ConstraintCode]]=5,Tasks[[#This Row],[_ConstraintCode]]=7),Tasks[[#This Row],[_ConstraintStart]],2958465)</f>
        <v>2958465</v>
      </c>
      <c r="CQ2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7" s="91" t="str">
        <f aca="false">IF(NOT(Tasks[[#This Row],[_IsLeaf]]=1),"",IF(N(Tasks[[#This Row],[_Days]])&lt;=0,Tasks[[#This Row],[_LeafCalcStart]],WORKDAY.INTL(Tasks[[#This Row],[_LeafCalcStart]],Tasks[[#This Row],[_Days]]-1,WorkWeek,Holidays)))</f>
        <v/>
      </c>
      <c r="CS2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7" s="43" t="str">
        <f aca="false">IF(Tasks[[#This Row],[_Predecessors]]="","",TRIM(MID(SUBSTITUTE(SUBSTITUTE(SUBSTITUTE(UPPER(Tasks[[#This Row],[_Predecessors]]),";",",")," ",""),",",REPT(" ",99)),1,99)))</f>
        <v/>
      </c>
      <c r="CV27" s="43" t="str">
        <f aca="false">IF(Tasks[[#This Row],[_Pred1Text]]="","",IFERROR(VALUE(LEFT(Tasks[[#This Row],[_Pred1Text]],MIN(FIND("F",Tasks[[#This Row],[_Pred1Text]]&amp;"F"),FIND("S",Tasks[[#This Row],[_Pred1Text]]&amp;"S"),FIND("+",Tasks[[#This Row],[_Pred1Text]]&amp;"+"),FIND("-",Tasks[[#This Row],[_Pred1Text]]&amp;"-"))-1)),""))</f>
        <v/>
      </c>
      <c r="CW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7" s="43" t="str">
        <f aca="false">IF(Tasks[[#This Row],[_Pred1Text]]="","",TRIM(MID(SUBSTITUTE(SUBSTITUTE(SUBSTITUTE(UPPER(Tasks[[#This Row],[_Predecessors]]),";",",")," ",""),",",REPT(" ",99)),100,99)))</f>
        <v/>
      </c>
      <c r="CZ27" s="43" t="str">
        <f aca="false">IF(Tasks[[#This Row],[_Pred2Text]]="","",IFERROR(VALUE(LEFT(Tasks[[#This Row],[_Pred2Text]],MIN(FIND("F",Tasks[[#This Row],[_Pred2Text]]&amp;"F"),FIND("S",Tasks[[#This Row],[_Pred2Text]]&amp;"S"),FIND("+",Tasks[[#This Row],[_Pred2Text]]&amp;"+"),FIND("-",Tasks[[#This Row],[_Pred2Text]]&amp;"-"))-1)),""))</f>
        <v/>
      </c>
      <c r="DA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7" s="43" t="str">
        <f aca="false">IF(Tasks[[#This Row],[_Pred2Text]]="","",TRIM(MID(SUBSTITUTE(SUBSTITUTE(SUBSTITUTE(UPPER(Tasks[[#This Row],[_Predecessors]]),";",",")," ",""),",",REPT(" ",99)),199,99)))</f>
        <v/>
      </c>
      <c r="DD27" s="43" t="str">
        <f aca="false">IF(Tasks[[#This Row],[_Pred3Text]]="","",IFERROR(VALUE(LEFT(Tasks[[#This Row],[_Pred3Text]],MIN(FIND("F",Tasks[[#This Row],[_Pred3Text]]&amp;"F"),FIND("S",Tasks[[#This Row],[_Pred3Text]]&amp;"S"),FIND("+",Tasks[[#This Row],[_Pred3Text]]&amp;"+"),FIND("-",Tasks[[#This Row],[_Pred3Text]]&amp;"-"))-1)),""))</f>
        <v/>
      </c>
      <c r="DE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7" s="43" t="str">
        <f aca="false">IF(Tasks[[#This Row],[_Pred3Text]]="","",TRIM(MID(SUBSTITUTE(SUBSTITUTE(SUBSTITUTE(UPPER(Tasks[[#This Row],[_Predecessors]]),";",",")," ",""),",",REPT(" ",99)),298,99)))</f>
        <v/>
      </c>
      <c r="DH27" s="43" t="str">
        <f aca="false">IF(Tasks[[#This Row],[_Pred4Text]]="","",IFERROR(VALUE(LEFT(Tasks[[#This Row],[_Pred4Text]],MIN(FIND("F",Tasks[[#This Row],[_Pred4Text]]&amp;"F"),FIND("S",Tasks[[#This Row],[_Pred4Text]]&amp;"S"),FIND("+",Tasks[[#This Row],[_Pred4Text]]&amp;"+"),FIND("-",Tasks[[#This Row],[_Pred4Text]]&amp;"-"))-1)),""))</f>
        <v/>
      </c>
      <c r="DI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7" s="43" t="str">
        <f aca="false">IF(OR(Tasks[[#This Row],[Task Name]]="",Tasks[[#This Row],[_Resources]]=""),"",TRIM(MID(SUBSTITUTE(Tasks[[#This Row],[_Resources]],",",REPT(" ",99)),1,99)))</f>
        <v/>
      </c>
      <c r="DL27" s="43" t="str">
        <f aca="false">IF(Tasks[[#This Row],[_Res1Text]]="","",TRIM(MID(SUBSTITUTE(Tasks[[#This Row],[_Resources]],",",REPT(" ",99)),100,99)))</f>
        <v/>
      </c>
      <c r="DM27" s="43" t="str">
        <f aca="false">IF(Tasks[[#This Row],[_Res2Text]]="","",TRIM(MID(SUBSTITUTE(Tasks[[#This Row],[_Resources]],",",REPT(" ",99)),199,99)))</f>
        <v/>
      </c>
      <c r="DN27" s="43" t="str">
        <f aca="false">IF(Tasks[[#This Row],[_Res3Text]]="","",TRIM(MID(SUBSTITUTE(Tasks[[#This Row],[_Resources]],",",REPT(" ",99)),298,99)))</f>
        <v/>
      </c>
      <c r="DO27" s="43" t="n">
        <f aca="false">IF(Tasks[[#This Row],[_Res1Text]]="",0,IFERROR(MATCH(TRIM(LEFT(Tasks[[#This Row],[_Res1Text]],FIND("[",Tasks[[#This Row],[_Res1Text]]&amp;"[")-1)),res_Name,0),IFERROR(MATCH(TRIM(LEFT(Tasks[[#This Row],[_Res1Text]],FIND("[",Tasks[[#This Row],[_Res1Text]]&amp;"[")-1)),res_Initials,0),0)))</f>
        <v>0</v>
      </c>
      <c r="DP27" s="43" t="n">
        <f aca="false">IF(Tasks[[#This Row],[_Res2Text]]="",0,IFERROR(MATCH(TRIM(LEFT(Tasks[[#This Row],[_Res2Text]],FIND("[",Tasks[[#This Row],[_Res2Text]]&amp;"[")-1)),res_Name,0),IFERROR(MATCH(TRIM(LEFT(Tasks[[#This Row],[_Res2Text]],FIND("[",Tasks[[#This Row],[_Res2Text]]&amp;"[")-1)),res_Initials,0),0)))</f>
        <v>0</v>
      </c>
      <c r="DQ27" s="43" t="n">
        <f aca="false">IF(Tasks[[#This Row],[_Res3Text]]="",0,IFERROR(MATCH(TRIM(LEFT(Tasks[[#This Row],[_Res3Text]],FIND("[",Tasks[[#This Row],[_Res3Text]]&amp;"[")-1)),res_Name,0),IFERROR(MATCH(TRIM(LEFT(Tasks[[#This Row],[_Res3Text]],FIND("[",Tasks[[#This Row],[_Res3Text]]&amp;"[")-1)),res_Initials,0),0)))</f>
        <v>0</v>
      </c>
      <c r="DR27" s="43" t="n">
        <f aca="false">IF(Tasks[[#This Row],[_Res4Text]]="",0,IFERROR(MATCH(TRIM(LEFT(Tasks[[#This Row],[_Res4Text]],FIND("[",Tasks[[#This Row],[_Res4Text]]&amp;"[")-1)),res_Name,0),IFERROR(MATCH(TRIM(LEFT(Tasks[[#This Row],[_Res4Text]],FIND("[",Tasks[[#This Row],[_Res4Text]]&amp;"[")-1)),res_Initials,0),0)))</f>
        <v>0</v>
      </c>
      <c r="DS27" s="43" t="str">
        <f aca="false">IF(Tasks[[#This Row],[_Res1Text]]="","",IF(Tasks[[#This Row],[_Res1Row]]&gt;0,INDEX(res_Name,Tasks[[#This Row],[_Res1Row]]),TRIM(LEFT(Tasks[[#This Row],[_Res1Text]],FIND("[",Tasks[[#This Row],[_Res1Text]]&amp;"[")-1))))</f>
        <v/>
      </c>
      <c r="DT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7" s="43" t="n">
        <f aca="false">IF(NOT(Tasks[[#This Row],[_IsLeaf]]=1),0,(Tasks[[#This Row],[_Resource1]]&lt;&gt;"")+(Tasks[[#This Row],[_Res2]]&lt;&gt;"")+(Tasks[[#This Row],[_Res3]]&lt;&gt;"")+(Tasks[[#This Row],[_Res4]]&lt;&gt;""))</f>
        <v>0</v>
      </c>
      <c r="DV27" s="43" t="str">
        <f aca="false">IF(Tasks[[#This Row],[_Res2Text]]="","",IF(Tasks[[#This Row],[_Res2Row]]&gt;0,INDEX(res_Name,Tasks[[#This Row],[_Res2Row]]),TRIM(LEFT(Tasks[[#This Row],[_Res2Text]],FIND("[",Tasks[[#This Row],[_Res2Text]]&amp;"[")-1))))</f>
        <v/>
      </c>
      <c r="DW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7" s="43" t="n">
        <f aca="false">IF(OR(NOT(Tasks[[#This Row],[_IsLeaf]]=1),Tasks[[#This Row],[_Res2Row]]=0),0,N(Tasks[[#This Row],[_Days]])*HoursPerDay*IF(Tasks[[#This Row],[_Res2Units]]="",DefaultUnits,Tasks[[#This Row],[_Res2Units]]))</f>
        <v>0</v>
      </c>
      <c r="DY27" s="43" t="n">
        <f aca="false">IF(AND(AND(Tasks[[#This Row],[_IsLeaf]]=1,Tasks[[#This Row],[_LeafTotalWork]]&gt;0),Tasks[[#This Row],[_Res2Work]]&gt;0),Tasks[[#This Row],[_Res2Work]]/(Tasks[[#This Row],[_FinishWorkday]]-Tasks[[#This Row],[_StartWorkday]]+1),0)</f>
        <v>0</v>
      </c>
      <c r="DZ27" s="43" t="n">
        <f aca="false">Tasks[[#This Row],[_Res2WorkPerWD]]*MAX(0,Tasks[[#This Row],[_StartWorkday]]-1)</f>
        <v>0</v>
      </c>
      <c r="EA27" s="43" t="n">
        <f aca="false">Tasks[[#This Row],[_Res2Work]]*Tasks[[#This Row],[_LeafProgress]]</f>
        <v>0</v>
      </c>
      <c r="EB27" s="43" t="str">
        <f aca="false">IF(Tasks[[#This Row],[_Res3Text]]="","",IF(Tasks[[#This Row],[_Res3Row]]&gt;0,INDEX(res_Name,Tasks[[#This Row],[_Res3Row]]),TRIM(LEFT(Tasks[[#This Row],[_Res3Text]],FIND("[",Tasks[[#This Row],[_Res3Text]]&amp;"[")-1))))</f>
        <v/>
      </c>
      <c r="EC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7" s="43" t="n">
        <f aca="false">IF(OR(NOT(Tasks[[#This Row],[_IsLeaf]]=1),Tasks[[#This Row],[_Res3Row]]=0),0,N(Tasks[[#This Row],[_Days]])*HoursPerDay*IF(Tasks[[#This Row],[_Res3Units]]="",DefaultUnits,Tasks[[#This Row],[_Res3Units]]))</f>
        <v>0</v>
      </c>
      <c r="EE27" s="43" t="n">
        <f aca="false">IF(AND(AND(Tasks[[#This Row],[_IsLeaf]]=1,Tasks[[#This Row],[_LeafTotalWork]]&gt;0),Tasks[[#This Row],[_Res3Work]]&gt;0),Tasks[[#This Row],[_Res3Work]]/(Tasks[[#This Row],[_FinishWorkday]]-Tasks[[#This Row],[_StartWorkday]]+1),0)</f>
        <v>0</v>
      </c>
      <c r="EF27" s="43" t="n">
        <f aca="false">Tasks[[#This Row],[_Res3WorkPerWD]]*MAX(0,Tasks[[#This Row],[_StartWorkday]]-1)</f>
        <v>0</v>
      </c>
      <c r="EG27" s="43" t="n">
        <f aca="false">Tasks[[#This Row],[_Res3Work]]*Tasks[[#This Row],[_LeafProgress]]</f>
        <v>0</v>
      </c>
      <c r="EH27" s="43" t="str">
        <f aca="false">IF(Tasks[[#This Row],[_Res4Text]]="","",IF(Tasks[[#This Row],[_Res4Row]]&gt;0,INDEX(res_Name,Tasks[[#This Row],[_Res4Row]]),TRIM(LEFT(Tasks[[#This Row],[_Res4Text]],FIND("[",Tasks[[#This Row],[_Res4Text]]&amp;"[")-1))))</f>
        <v/>
      </c>
      <c r="EI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7" s="43" t="n">
        <f aca="false">IF(OR(NOT(Tasks[[#This Row],[_IsLeaf]]=1),Tasks[[#This Row],[_Res4Row]]=0),0,N(Tasks[[#This Row],[_Days]])*HoursPerDay*IF(Tasks[[#This Row],[_Res4Units]]="",DefaultUnits,Tasks[[#This Row],[_Res4Units]]))</f>
        <v>0</v>
      </c>
      <c r="EK27" s="43" t="n">
        <f aca="false">IF(AND(AND(Tasks[[#This Row],[_IsLeaf]]=1,Tasks[[#This Row],[_LeafTotalWork]]&gt;0),Tasks[[#This Row],[_Res4Work]]&gt;0),Tasks[[#This Row],[_Res4Work]]/(Tasks[[#This Row],[_FinishWorkday]]-Tasks[[#This Row],[_StartWorkday]]+1),0)</f>
        <v>0</v>
      </c>
      <c r="EL27" s="43" t="n">
        <f aca="false">Tasks[[#This Row],[_Res4WorkPerWD]]*MAX(0,Tasks[[#This Row],[_StartWorkday]]-1)</f>
        <v>0</v>
      </c>
      <c r="EM27" s="43" t="n">
        <f aca="false">Tasks[[#This Row],[_Res4Work]]*Tasks[[#This Row],[_LeafProgress]]</f>
        <v>0</v>
      </c>
      <c r="EN27" s="43" t="n">
        <f aca="false">IF(ISNUMBER(Tasks[[#This Row],[% Complete]]),Tasks[[#This Row],[% Complete]],IF(Tasks[[#This Row],[Stage]]="",0,IFERROR(INDEX(stg_Pct,MATCH(Tasks[[#This Row],[Stage]],stg_Name,0)),0)))</f>
        <v>0</v>
      </c>
      <c r="EO27" s="43" t="n">
        <f aca="false">IF(NOT(Tasks[[#This Row],[_IsLeaf]]=1),0,IF(N(Tasks[[#This Row],[Actual Finish]])&gt;0,1,MIN(1,Tasks[[#This Row],[_Pct]])))</f>
        <v>0</v>
      </c>
      <c r="EP27" s="43" t="n">
        <f aca="false">IF(OR(NOT(Tasks[[#This Row],[_IsLeaf]]=1),Tasks[[#This Row],[_Res1Row]]=0),0,N(Tasks[[#This Row],[_Days]])*HoursPerDay*IF(Tasks[[#This Row],[_Units1]]="",DefaultUnits,Tasks[[#This Row],[_Units1]]))</f>
        <v>0</v>
      </c>
      <c r="EQ27" s="43" t="n">
        <f aca="false">Tasks[[#This Row],[_LeafWork]]+Tasks[[#This Row],[_Res2Work]]+Tasks[[#This Row],[_Res3Work]]+Tasks[[#This Row],[_Res4Work]]</f>
        <v>0</v>
      </c>
      <c r="ER2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7" s="43" t="n">
        <f aca="false">IF(NOT(Tasks[[#This Row],[_IsLeaf]]=1),0,MAX(_xlfn.MAXIFS(Tasks[_Row],Tasks[_Pred1UID],Tasks[[#This Row],[UID]]),_xlfn.MAXIFS(Tasks[_Row],Tasks[_Pred2UID],Tasks[[#This Row],[UID]]),_xlfn.MAXIFS(Tasks[_Row],Tasks[_Pred3UID],Tasks[[#This Row],[UID]]),_xlfn.MAXIFS(Tasks[_Row],Tasks[_Pred4UID],Tasks[[#This Row],[UID]])))</f>
        <v>0</v>
      </c>
      <c r="FA2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7" s="91" t="str">
        <f aca="false">IF(NOT(Tasks[[#This Row],[_IsLeaf]]=1),"",IF(N(Tasks[[#This Row],[_Days]])&lt;=0,Tasks[[#This Row],[_LeafLateFinish]],WORKDAY.INTL(Tasks[[#This Row],[_LeafLateFinish]],-(Tasks[[#This Row],[_Days]]-1),WorkWeek,Holidays)))</f>
        <v/>
      </c>
      <c r="FD2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7" s="90" t="b">
        <f aca="false">AND(Tasks[[#This Row],[_IsLeaf]]=1,Tasks[[#This Row],[_LeafProgress]]&lt;1,N(Tasks[[#This Row],[_LeafTotalSlack]])&lt;=CriticalSlackDays)</f>
        <v>0</v>
      </c>
      <c r="FF27" s="43" t="n">
        <f aca="false">IF(AND(Tasks[[#This Row],[_IsLeaf]]=1,Tasks[[#This Row],[_ConstraintCode]]=1,Tasks[[#This Row],[Mode]]&lt;&gt;"Manual",N(Tasks[[#This Row],[Actual Start]])=0),MAX(0,N(Tasks[[#This Row],[Free Slack]])),0)</f>
        <v>0</v>
      </c>
      <c r="FG27" s="91" t="str">
        <f aca="false">IF(NOT(Tasks[[#This Row],[_IsLeaf]]=1),"",IF(Tasks[[#This Row],[_AlapShift]]=0,Tasks[[#This Row],[_LeafCalcStart]],WORKDAY.INTL(Tasks[[#This Row],[_LeafCalcStart]],Tasks[[#This Row],[_AlapShift]],WorkWeek,Holidays)))</f>
        <v/>
      </c>
      <c r="FH27" s="91" t="str">
        <f aca="false">IF(NOT(Tasks[[#This Row],[_IsLeaf]]=1),"",IF(Tasks[[#This Row],[_AlapShift]]=0,Tasks[[#This Row],[_LeafCalcFinish]],WORKDAY.INTL(Tasks[[#This Row],[_LeafCalcFinish]],Tasks[[#This Row],[_AlapShift]],WorkWeek,Holidays)))</f>
        <v/>
      </c>
      <c r="FI27" s="91" t="str">
        <f aca="false">IF(NOT(Tasks[[#This Row],[_IsLeaf]]=1),"",IF(Tasks[[#This Row],[_AlapShift]]=0,Tasks[[#This Row],[_LeafFcstStart]],WORKDAY.INTL(Tasks[[#This Row],[_LeafFcstStart]],Tasks[[#This Row],[_AlapShift]],WorkWeek,Holidays)))</f>
        <v/>
      </c>
      <c r="FJ27" s="91" t="str">
        <f aca="false">IF(NOT(Tasks[[#This Row],[_IsLeaf]]=1),"",IF(Tasks[[#This Row],[_AlapShift]]=0,Tasks[[#This Row],[_LeafFcstFinish]],WORKDAY.INTL(Tasks[[#This Row],[_LeafFcstFinish]],Tasks[[#This Row],[_AlapShift]],WorkWeek,Holidays)))</f>
        <v/>
      </c>
      <c r="FK27" s="91" t="str">
        <f aca="false">IF(Tasks[[#This Row],[Task Name]]="","",IF(Tasks[[#This Row],[_IsSummary]],MIN(INDEX(Tasks[_ShownCalcStart],Tasks[[#This Row],[_Row]]+1):INDEX(Tasks[_ShownCalcStart],Tasks[[#This Row],[_Row]]+Tasks[[#This Row],[_Descendants]])),Tasks[[#This Row],[_ShownCalcStart]]))</f>
        <v/>
      </c>
      <c r="FL27" s="91" t="str">
        <f aca="false">IF(Tasks[[#This Row],[Task Name]]="","",IF(Tasks[[#This Row],[_IsSummary]],MAX(INDEX(Tasks[_ShownCalcFinish],Tasks[[#This Row],[_Row]]+1):INDEX(Tasks[_ShownCalcFinish],Tasks[[#This Row],[_Row]]+Tasks[[#This Row],[_Descendants]])),Tasks[[#This Row],[_ShownCalcFinish]]))</f>
        <v/>
      </c>
      <c r="FM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7" s="43" t="n">
        <f aca="false">IF(AND(Tasks[[#This Row],[_IsLeaf]]=1,Tasks[[#This Row],[_LeafTotalWork]]&gt;0),NETWORKDAYS.INTL(ProjectStart,Tasks[[#This Row],[_ShownFcstStart]],WorkWeek,Holidays),0)</f>
        <v>0</v>
      </c>
      <c r="FZ27" s="43" t="n">
        <f aca="false">IF(AND(Tasks[[#This Row],[_IsLeaf]]=1,Tasks[[#This Row],[_LeafTotalWork]]&gt;0),MAX(Tasks[[#This Row],[_StartWorkday]],NETWORKDAYS.INTL(ProjectStart,Tasks[[#This Row],[_ShownFcstFinish]],WorkWeek,Holidays)),0)</f>
        <v>0</v>
      </c>
      <c r="GA27" s="43" t="n">
        <f aca="false">IF(AND(Tasks[[#This Row],[_IsLeaf]]=1,Tasks[[#This Row],[_LeafTotalWork]]&gt;0),Tasks[[#This Row],[_LeafWork]]/(Tasks[[#This Row],[_FinishWorkday]]-Tasks[[#This Row],[_StartWorkday]]+1),0)</f>
        <v>0</v>
      </c>
      <c r="GB27" s="43" t="n">
        <f aca="false">Tasks[[#This Row],[_WorkPerWorkday]]*(Tasks[[#This Row],[_StartWorkday]]-1)</f>
        <v>-0</v>
      </c>
      <c r="GC27" s="43" t="n">
        <f aca="false">IF(Tasks[[#This Row],[_IsLeaf]]=1,MAX(N(Tasks[[#This Row],[_Days]]),0.1),0)</f>
        <v>0</v>
      </c>
      <c r="GD27" s="43" t="n">
        <f aca="false">Tasks[[#This Row],[_WeightDur]]*Tasks[[#This Row],[_LeafProgress]]</f>
        <v>0</v>
      </c>
      <c r="GE27" s="43" t="n">
        <f aca="false">Tasks[[#This Row],[_WeightDur]]*Tasks[[#This Row],[_PlannedPct]]</f>
        <v>0</v>
      </c>
      <c r="GF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7" s="43" t="str">
        <f aca="false">IF(AND(Tasks[[#This Row],[_IsLeaf]]=1,N(Tasks[[#This Row],[_Days]])=0,Tasks[[#This Row],[_LeafProgress]]&lt;1),Tasks[[#This Row],[_ShownFcstFinish]]+Tasks[[#This Row],[_Row]]/100000,"")</f>
        <v/>
      </c>
      <c r="GH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7" s="43" t="str">
        <f aca="false">IF(Tasks[[#This Row],[Task Name]]="","",LEFT(Tasks[[#This Row],[WBS]],FIND(".",Tasks[[#This Row],[WBS]]&amp;".")-1))</f>
        <v/>
      </c>
      <c r="GJ27" s="43" t="str">
        <f aca="false">IF(AND(Tasks[[#This Row],[Task Name]]&lt;&gt;"",Tasks[[#This Row],[_Level]]=1),Tasks[[#This Row],[_Row]],"")</f>
        <v/>
      </c>
      <c r="GK27" s="43" t="str">
        <f aca="false">IF(AND(Tasks[[#This Row],[_IsLeaf]]=1,N(Tasks[[#This Row],[_Days]])=0),Tasks[[#This Row],[Planned Finish]]+Tasks[[#This Row],[_Row]]/100000,"")</f>
        <v/>
      </c>
      <c r="GL27" s="43" t="str">
        <f aca="false">IF(AND(Tasks[[#This Row],[_IsLeaf]]=1,Tasks[[#This Row],[_LeafProgress]]&lt;1,OR(N(Tasks[[#This Row],[Finish Var]])&gt;0,Tasks[[#This Row],[Status]]="Late Start")),MAX(0,Tasks[[#This Row],[Finish Var]])+1-Tasks[[#This Row],[_Row]]/1000000,"")</f>
        <v/>
      </c>
      <c r="GM27" s="43" t="str">
        <f aca="false">IF(AND(Tasks[[#This Row],[_IsLeaf]]=1,N(Tasks[[#This Row],[Actual Start]])=0,Tasks[[#This Row],[_ShownFcstStart]]&gt;=StatusDate,Tasks[[#This Row],[_ShownFcstStart]]&lt;=LookaheadEnd),Tasks[[#This Row],[_ShownFcstStart]]+Tasks[[#This Row],[_Row]]/100000,"")</f>
        <v/>
      </c>
      <c r="GN27" s="43" t="str">
        <f aca="false">IF(AND(Tasks[[#This Row],[_IsLeaf]]=1,Tasks[[#This Row],[_LeafProgress]]&lt;1,Tasks[[#This Row],[_ShownFcstFinish]]&gt;=StatusDate,Tasks[[#This Row],[_ShownFcstFinish]]&lt;=LookaheadEnd),Tasks[[#This Row],[_ShownFcstFinish]]+Tasks[[#This Row],[_Row]]/100000,"")</f>
        <v/>
      </c>
      <c r="GO27" s="43" t="str">
        <f aca="false">IF(Tasks[[#This Row],[_LeafCritical]],Tasks[[#This Row],[_ShownFcstStart]]+Tasks[[#This Row],[_Row]]/100000,"")</f>
        <v/>
      </c>
      <c r="GP27" s="43" t="n">
        <f aca="false">Tasks[[#This Row],[_LeafWork]]*Tasks[[#This Row],[_LeafProgress]]</f>
        <v>0</v>
      </c>
      <c r="GQ27" s="91" t="str">
        <f aca="false">IF(AND(Tasks[[#This Row],[_IsLeaf]]=1,Tasks[[#This Row],[_LeafProgress]]&gt;=1),IF(N(Tasks[[#This Row],[Actual Finish]])&gt;0,Tasks[[#This Row],[Actual Finish]],Tasks[[#This Row],[_ShownFcstFinish]]),"")</f>
        <v/>
      </c>
      <c r="GR27" s="43" t="n">
        <f aca="false">IF(Tasks[[#This Row],[_IsLeaf]]=1,N(Tasks[[#This Row],[Story Points]]),0)</f>
        <v>0</v>
      </c>
      <c r="GS27" s="43" t="str">
        <f aca="false">""</f>
        <v/>
      </c>
      <c r="GT27" s="90" t="b">
        <f aca="false">IF(Tasks[[#This Row],[Task Name]]="",FALSE(),AND(Tasks[[#This Row],[_IsLeaf]]=1,N(Tasks[[#This Row],[_Days]])=0))</f>
        <v>0</v>
      </c>
      <c r="GU27" s="91" t="n">
        <f aca="false">IF(Tasks[[#This Row],[Task Name]]="",0,IF(AND(Tasks[[#This Row],[_IsLeaf]]=1,NOT(Tasks[[#This Row],[_IsMilestone]]),N(Tasks[[#This Row],[Progress]])&gt;0),Tasks[[#This Row],[Start]],0))</f>
        <v>0</v>
      </c>
      <c r="GV27" s="91" t="n">
        <f aca="false">IF(Tasks[[#This Row],[_DoneFrom]]=0,0,IF(Tasks[[#This Row],[Progress]]&gt;=1,Tasks[[#This Row],[Finish]],MAX(Tasks[[#This Row],[_DoneFrom]],Tasks[[#This Row],[Start]]+ROUND((Tasks[[#This Row],[Finish]]-Tasks[[#This Row],[Start]]+1)*Tasks[[#This Row],[Progress]],0)-1)))</f>
        <v>0</v>
      </c>
      <c r="GW27" s="91" t="n">
        <f aca="false">IF(Tasks[[#This Row],[Task Name]]="",0,IF(OR(NOT(Tasks[[#This Row],[_IsLeaf]]=1),Tasks[[#This Row],[_IsMilestone]],N(Tasks[[#This Row],[Progress]])&gt;=1),0,IF(Tasks[[#This Row],[_DoneTo]]&gt;0,Tasks[[#This Row],[_DoneTo]]+1,Tasks[[#This Row],[Start]])))</f>
        <v>0</v>
      </c>
      <c r="GX27" s="91" t="n">
        <f aca="false">IF(Tasks[[#This Row],[_RemFrom]]=0,0,Tasks[[#This Row],[Finish]])</f>
        <v>0</v>
      </c>
      <c r="GY27" s="90" t="b">
        <f aca="false">IF(Tasks[[#This Row],[Task Name]]="",FALSE(),OR(NOT(BaselineSet),N(Tasks[[#This Row],[Baseline Start]])&gt;0))</f>
        <v>0</v>
      </c>
      <c r="GZ2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7" s="92" t="str">
        <f aca="false">IF(Tasks[[#This Row],[_IsLeaf]]=1,Tasks[[#This Row],[_Row]],"")</f>
        <v/>
      </c>
      <c r="HD27" s="92" t="str">
        <f aca="false">IFERROR(INDEX(Tasks[UID],SMALL(Tasks[_PickKey],Tasks[[#This Row],[_Row]]))&amp;" "&amp;INDEX(Tasks[Task Name],SMALL(Tasks[_PickKey],Tasks[[#This Row],[_Row]])),"")</f>
        <v/>
      </c>
      <c r="HE27" s="43" t="str">
        <f aca="false">IF(Tasks[[#This Row],[Task Name]]="","",IF(Tasks[[#This Row],[_IsSummary]],NETWORKDAYS.INTL(Tasks[[#This Row],[Start]],Tasks[[#This Row],[Finish]],WorkWeek,Holidays),N(Tasks[[#This Row],[_Days]])))</f>
        <v/>
      </c>
      <c r="HF27" s="43" t="n">
        <f aca="false">IF(Tasks[[#This Row],[Expected]]="",0,((Tasks[[#This Row],[Pessimistic]]-Tasks[[#This Row],[Optimistic]])/6)^2)</f>
        <v>0</v>
      </c>
      <c r="HG27" s="43" t="n">
        <f aca="false">IF(Tasks[[#This Row],[Expected]]="",0,Tasks[[#This Row],[Expected]]-N(Tasks[[#This Row],[_Days]]))</f>
        <v>0</v>
      </c>
    </row>
    <row r="28" customFormat="false" ht="15" hidden="false" customHeight="false" outlineLevel="0" collapsed="false">
      <c r="A28" s="21" t="str">
        <f aca="false">IF(Tasks[[#This Row],[Task Name]]="","",COUNTA(Tasks[[#Headers],[Task Name]]:Tasks[[#This Row],[Task Name]])-1)</f>
        <v/>
      </c>
      <c r="B28" s="22" t="n">
        <v>36</v>
      </c>
      <c r="C28" s="22"/>
      <c r="D28" s="23"/>
      <c r="E28" s="22"/>
      <c r="F28" s="23"/>
      <c r="G28" s="22"/>
      <c r="H28" s="22"/>
      <c r="I28" s="23"/>
      <c r="J28" s="22"/>
      <c r="K28" s="22"/>
      <c r="L28" s="23"/>
      <c r="M28" s="22"/>
      <c r="N28" s="22"/>
      <c r="O28" s="23"/>
      <c r="P28" s="22"/>
      <c r="Q28" s="22"/>
      <c r="R28" s="23"/>
      <c r="S28" s="23"/>
      <c r="T28" s="84"/>
      <c r="U28" s="23"/>
      <c r="V28" s="84"/>
      <c r="W28" s="23"/>
      <c r="X28" s="84"/>
      <c r="Y28" s="23"/>
      <c r="Z28" s="84"/>
      <c r="AA28" s="23"/>
      <c r="AB28" s="23"/>
      <c r="AC28" s="7"/>
      <c r="AD28" s="7"/>
      <c r="AE28" s="63" t="str">
        <f aca="false">IF(Tasks[[#This Row],[Task Name]]="","",IF(Tasks[[#This Row],[_IsSummary]],MIN(INDEX(Tasks[_ShownFcstStart],Tasks[[#This Row],[_Row]]+1):INDEX(Tasks[_ShownFcstStart],Tasks[[#This Row],[_Row]]+Tasks[[#This Row],[_Descendants]])),Tasks[[#This Row],[_ShownFcstStart]]))</f>
        <v/>
      </c>
      <c r="AF28" s="63" t="str">
        <f aca="false">IF(Tasks[[#This Row],[Task Name]]="","",IF(Tasks[[#This Row],[_IsSummary]],MAX(INDEX(Tasks[_ShownFcstFinish],Tasks[[#This Row],[_Row]]+1):INDEX(Tasks[_ShownFcstFinish],Tasks[[#This Row],[_Row]]+Tasks[[#This Row],[_Descendants]])),Tasks[[#This Row],[_ShownFcstFinish]]))</f>
        <v/>
      </c>
      <c r="AG28" s="21" t="str">
        <f aca="false">""</f>
        <v/>
      </c>
      <c r="AH28" s="23"/>
      <c r="AI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8" s="7"/>
      <c r="AK28" s="22"/>
      <c r="AL28" s="23"/>
      <c r="AM28" s="7"/>
      <c r="AN28" s="47" t="str">
        <f aca="false">IF(Tasks[[#This Row],[Task Name]]="","",IF(Tasks[[#This Row],[Finish]]&gt;=Tasks[[#This Row],[Planned Finish]],NETWORKDAYS.INTL(Tasks[[#This Row],[Planned Finish]],Tasks[[#This Row],[Finish]],WorkWeek,Holidays)-1,1-NETWORKDAYS.INTL(Tasks[[#This Row],[Finish]],Tasks[[#This Row],[Planned Finish]],WorkWeek,Holidays)))</f>
        <v/>
      </c>
      <c r="AO28" s="21" t="str">
        <f aca="false">IF(Tasks[[#This Row],[Task Name]]="","",IF(Tasks[[#This Row],[Progress]]&gt;=1,"Complete",IF(OR(N(Tasks[[#This Row],[Actual Start]])&gt;0,Tasks[[#This Row],[Progress]]&gt;0),IF(Tasks[[#This Row],[Finish Var]]&gt;0,"Behind","In Progress"),IF(Tasks[[#This Row],[Planned Start]]&lt;StatusDate,"Late Start","Not Started"))))</f>
        <v/>
      </c>
      <c r="AP28" s="21" t="str">
        <f aca="false">IF(Tasks[[#This Row],[Task Name]]="","",IF(IF(Tasks[[#This Row],[_IsSummary]],COUNTIF(INDEX(Tasks[_LeafCritical],Tasks[[#This Row],[_Row]]+1):INDEX(Tasks[_LeafCritical],Tasks[[#This Row],[_Row]]+Tasks[[#This Row],[_Descendants]]),TRUE())&gt;0,Tasks[[#This Row],[_LeafCritical]]),"Yes",""))</f>
        <v/>
      </c>
      <c r="AQ28" s="63" t="str">
        <f aca="false">IF(Tasks[[#This Row],[Task Name]]="","",IF(N(Tasks[[#This Row],[Baseline Start]])&gt;0,Tasks[[#This Row],[Baseline Start]],Tasks[[#This Row],[_CalcStart]]))</f>
        <v/>
      </c>
      <c r="AR28" s="63" t="str">
        <f aca="false">IF(Tasks[[#This Row],[Task Name]]="","",IF(N(Tasks[[#This Row],[Baseline Finish]])&gt;0,Tasks[[#This Row],[Baseline Finish]],Tasks[[#This Row],[_CalcFinish]]))</f>
        <v/>
      </c>
      <c r="AS28" s="47" t="str">
        <f aca="false">IF(Tasks[[#This Row],[Task Name]]="","",IF(Tasks[[#This Row],[Start]]&gt;=Tasks[[#This Row],[Planned Start]],NETWORKDAYS.INTL(Tasks[[#This Row],[Planned Start]],Tasks[[#This Row],[Start]],WorkWeek,Holidays)-1,1-NETWORKDAYS.INTL(Tasks[[#This Row],[Start]],Tasks[[#This Row],[Planned Start]],WorkWeek,Holidays)))</f>
        <v/>
      </c>
      <c r="AT28" s="63" t="str">
        <f aca="false">IF(Tasks[[#This Row],[Task Name]]="","",IF(Tasks[[#This Row],[_IsSummary]],MIN(INDEX(Tasks[_LeafLateStart],Tasks[[#This Row],[_Row]]+1):INDEX(Tasks[_LeafLateStart],Tasks[[#This Row],[_Row]]+Tasks[[#This Row],[_Descendants]])),Tasks[[#This Row],[_LeafLateStart]]))</f>
        <v/>
      </c>
      <c r="AU28" s="63" t="str">
        <f aca="false">IF(Tasks[[#This Row],[Task Name]]="","",IF(Tasks[[#This Row],[_IsSummary]],MAX(INDEX(Tasks[_LeafLateFinish],Tasks[[#This Row],[_Row]]+1):INDEX(Tasks[_LeafLateFinish],Tasks[[#This Row],[_Row]]+Tasks[[#This Row],[_Descendants]])),Tasks[[#This Row],[_LeafLateFinish]]))</f>
        <v/>
      </c>
      <c r="AV28" s="47" t="str">
        <f aca="false">IF(Tasks[[#This Row],[Task Name]]="","",IF(Tasks[[#This Row],[_IsSummary]],MIN(INDEX(Tasks[_LeafTotalSlack],Tasks[[#This Row],[_Row]]+1):INDEX(Tasks[_LeafTotalSlack],Tasks[[#This Row],[_Row]]+Tasks[[#This Row],[_Descendants]])),Tasks[[#This Row],[_LeafTotalSlack]]))</f>
        <v/>
      </c>
      <c r="AW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5"/>
      <c r="BA2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t="str">
        <f aca="false">IF(Tasks[[#This Row],[Task Name]]="","",IF(Tasks[[#This Row],[_Level]]&lt;=OutlineShowLevel,"Yes","No"))</f>
        <v/>
      </c>
      <c r="BE28" s="86" t="str">
        <f aca="false">IF(Tasks[[#This Row],[Task Name]]="","",IF(Tasks[[#This Row],[_IsSummary]],SUM(INDEX(Tasks[_LeafTotalWork],Tasks[[#This Row],[_Row]]+1):INDEX(Tasks[_LeafTotalWork],Tasks[[#This Row],[_Row]]+Tasks[[#This Row],[_Descendants]])),Tasks[[#This Row],[_LeafTotalWork]]))</f>
        <v/>
      </c>
      <c r="BF28" s="23"/>
      <c r="BG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t="str">
        <f aca="false">""</f>
        <v/>
      </c>
      <c r="BI28" s="87"/>
      <c r="BJ28" s="22"/>
      <c r="BK28" s="47" t="str">
        <f aca="false">IF(OR(Tasks[[#This Row],[Task Name]]="",Tasks[[#This Row],[Baseline Duration]]=""),"",Tasks[[#This Row],[_SpanDays]]-N(Tasks[[#This Row],[Baseline Duration]]))</f>
        <v/>
      </c>
      <c r="BL28" s="86" t="str">
        <f aca="false">IF(OR(Tasks[[#This Row],[Task Name]]="",Tasks[[#This Row],[Baseline Work]]=""),"",Tasks[[#This Row],[Work]]-N(Tasks[[#This Row],[Baseline Work]]))</f>
        <v/>
      </c>
      <c r="BM28" s="63" t="str">
        <f aca="false">IF(Tasks[[#This Row],[Task Name]]="","",IF(OR(TakeBaseline="Yes",N(Tasks[[#This Row],[Baseline Start]])=0),Tasks[[#This Row],[Start]],Tasks[[#This Row],[Baseline Start]]))</f>
        <v/>
      </c>
      <c r="BN28" s="63" t="str">
        <f aca="false">IF(Tasks[[#This Row],[Task Name]]="","",IF(OR(TakeBaseline="Yes",N(Tasks[[#This Row],[Baseline Finish]])=0),Tasks[[#This Row],[Finish]],Tasks[[#This Row],[Baseline Finish]]))</f>
        <v/>
      </c>
      <c r="BO28" s="21" t="str">
        <f aca="false">IF(Tasks[[#This Row],[Task Name]]="","",IF(OR(TakeBaseline="Yes",N(Tasks[[#This Row],[Baseline Duration]])=0),Tasks[[#This Row],[_SpanDays]],Tasks[[#This Row],[Baseline Duration]]))</f>
        <v/>
      </c>
      <c r="BP28" s="86" t="str">
        <f aca="false">IF(Tasks[[#This Row],[Task Name]]="","",IF(OR(TakeBaseline="Yes",N(Tasks[[#This Row],[Baseline Work]])=0),Tasks[[#This Row],[Work]],Tasks[[#This Row],[Baseline Work]]))</f>
        <v/>
      </c>
      <c r="BQ28" s="7"/>
      <c r="BR28" s="7"/>
      <c r="BS28" s="22"/>
      <c r="BT28" s="88"/>
      <c r="BU28" s="23"/>
      <c r="BV28" s="23"/>
      <c r="BW28" s="23"/>
      <c r="BX28" s="89" t="str">
        <f aca="false">IF(AND(Tasks[[#This Row],[_IsLeaf]]=1,ISNUMBER(Tasks[[#This Row],[Optimistic]]),ISNUMBER(Tasks[[#This Row],[Pessimistic]])),ROUND((Tasks[[#This Row],[Optimistic]]+4*N(Tasks[[#This Row],[_Days]])+Tasks[[#This Row],[Pessimistic]])/6,1),"")</f>
        <v/>
      </c>
      <c r="BY28" s="87"/>
      <c r="BZ28" s="87"/>
      <c r="CA28" s="22"/>
      <c r="CB28" s="43" t="str">
        <f aca="false">IF(Tasks[[#This Row],[Task Name]]="","",MAX(1,N(Tasks[[#This Row],[Level]])))</f>
        <v/>
      </c>
      <c r="CC28" s="43" t="n">
        <f aca="false">ROW()-ROW(Tasks[[#Headers],[ID]])</f>
        <v>23</v>
      </c>
      <c r="CD28" s="43" t="n">
        <f aca="false">IF(OR(Tasks[[#This Row],[Task Name]]="",Tasks[[#This Row],[_Level]]&lt;=1),0,IFERROR(LOOKUP(2,1/(Tasks[[#Headers],[_Level]]:Tasks[[#This Row],[_Level]]=Tasks[[#This Row],[_Level]]-1),ROW(Tasks[[#Headers],[_Level]]:Tasks[[#This Row],[_Level]])),0))</f>
        <v>0</v>
      </c>
      <c r="CE28" s="43" t="n">
        <f aca="false">IFERROR(N(INDEX(Tasks[_Level],Tasks[[#This Row],[_Row]]+1)),0)</f>
        <v>0</v>
      </c>
      <c r="CF28" s="90" t="b">
        <f aca="false">AND(Tasks[[#This Row],[Task Name]]&lt;&gt;"",Tasks[[#This Row],[_NextLevel]]&gt;Tasks[[#This Row],[_Level]])</f>
        <v>0</v>
      </c>
      <c r="CG28" s="43" t="n">
        <f aca="false">IF(Tasks[[#This Row],[_IsSummary]],COUNTIF(Tasks[WBS],Tasks[[#This Row],[WBS]]&amp;".*"),0)</f>
        <v>0</v>
      </c>
      <c r="CH28" s="43" t="n">
        <f aca="false">IF(AND(Tasks[[#This Row],[Task Name]]&lt;&gt;"",NOT(Tasks[[#This Row],[_IsSummary]])),1,0)</f>
        <v>0</v>
      </c>
      <c r="CI28" s="43" t="n">
        <f aca="false">IF(N(Tasks[[#This Row],[_Pred1UID]])=0,0,IFERROR(MATCH(Tasks[[#This Row],[_Pred1UID]],Tasks[UID],0),-1))</f>
        <v>0</v>
      </c>
      <c r="CJ28" s="43" t="n">
        <f aca="false">IF(N(Tasks[[#This Row],[_Pred2UID]])=0,0,IFERROR(MATCH(Tasks[[#This Row],[_Pred2UID]],Tasks[UID],0),-1))</f>
        <v>0</v>
      </c>
      <c r="CK28" s="43" t="n">
        <f aca="false">IF(N(Tasks[[#This Row],[_Pred3UID]])=0,0,IFERROR(MATCH(Tasks[[#This Row],[_Pred3UID]],Tasks[UID],0),-1))</f>
        <v>0</v>
      </c>
      <c r="CL28" s="43" t="n">
        <f aca="false">IF(N(Tasks[[#This Row],[_Pred4UID]])=0,0,IFERROR(MATCH(Tasks[[#This Row],[_Pred4UID]],Tasks[UID],0),-1))</f>
        <v>0</v>
      </c>
      <c r="CM2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8" s="91" t="n">
        <f aca="false">IF(OR(Tasks[[#This Row],[_ConstraintCode]]=2,Tasks[[#This Row],[_ConstraintCode]]=3,Tasks[[#This Row],[_ConstraintCode]]=4,Tasks[[#This Row],[_ConstraintCode]]=6),Tasks[[#This Row],[_ConstraintStart]],0)</f>
        <v>0</v>
      </c>
      <c r="CP28" s="91" t="n">
        <f aca="false">IF(OR(Tasks[[#This Row],[_ConstraintCode]]=2,Tasks[[#This Row],[_ConstraintCode]]=3,Tasks[[#This Row],[_ConstraintCode]]=5,Tasks[[#This Row],[_ConstraintCode]]=7),Tasks[[#This Row],[_ConstraintStart]],2958465)</f>
        <v>2958465</v>
      </c>
      <c r="CQ2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8" s="91" t="str">
        <f aca="false">IF(NOT(Tasks[[#This Row],[_IsLeaf]]=1),"",IF(N(Tasks[[#This Row],[_Days]])&lt;=0,Tasks[[#This Row],[_LeafCalcStart]],WORKDAY.INTL(Tasks[[#This Row],[_LeafCalcStart]],Tasks[[#This Row],[_Days]]-1,WorkWeek,Holidays)))</f>
        <v/>
      </c>
      <c r="CS2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8" s="43" t="str">
        <f aca="false">IF(Tasks[[#This Row],[_Predecessors]]="","",TRIM(MID(SUBSTITUTE(SUBSTITUTE(SUBSTITUTE(UPPER(Tasks[[#This Row],[_Predecessors]]),";",",")," ",""),",",REPT(" ",99)),1,99)))</f>
        <v/>
      </c>
      <c r="CV28" s="43" t="str">
        <f aca="false">IF(Tasks[[#This Row],[_Pred1Text]]="","",IFERROR(VALUE(LEFT(Tasks[[#This Row],[_Pred1Text]],MIN(FIND("F",Tasks[[#This Row],[_Pred1Text]]&amp;"F"),FIND("S",Tasks[[#This Row],[_Pred1Text]]&amp;"S"),FIND("+",Tasks[[#This Row],[_Pred1Text]]&amp;"+"),FIND("-",Tasks[[#This Row],[_Pred1Text]]&amp;"-"))-1)),""))</f>
        <v/>
      </c>
      <c r="CW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8" s="43" t="str">
        <f aca="false">IF(Tasks[[#This Row],[_Pred1Text]]="","",TRIM(MID(SUBSTITUTE(SUBSTITUTE(SUBSTITUTE(UPPER(Tasks[[#This Row],[_Predecessors]]),";",",")," ",""),",",REPT(" ",99)),100,99)))</f>
        <v/>
      </c>
      <c r="CZ28" s="43" t="str">
        <f aca="false">IF(Tasks[[#This Row],[_Pred2Text]]="","",IFERROR(VALUE(LEFT(Tasks[[#This Row],[_Pred2Text]],MIN(FIND("F",Tasks[[#This Row],[_Pred2Text]]&amp;"F"),FIND("S",Tasks[[#This Row],[_Pred2Text]]&amp;"S"),FIND("+",Tasks[[#This Row],[_Pred2Text]]&amp;"+"),FIND("-",Tasks[[#This Row],[_Pred2Text]]&amp;"-"))-1)),""))</f>
        <v/>
      </c>
      <c r="DA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8" s="43" t="str">
        <f aca="false">IF(Tasks[[#This Row],[_Pred2Text]]="","",TRIM(MID(SUBSTITUTE(SUBSTITUTE(SUBSTITUTE(UPPER(Tasks[[#This Row],[_Predecessors]]),";",",")," ",""),",",REPT(" ",99)),199,99)))</f>
        <v/>
      </c>
      <c r="DD28" s="43" t="str">
        <f aca="false">IF(Tasks[[#This Row],[_Pred3Text]]="","",IFERROR(VALUE(LEFT(Tasks[[#This Row],[_Pred3Text]],MIN(FIND("F",Tasks[[#This Row],[_Pred3Text]]&amp;"F"),FIND("S",Tasks[[#This Row],[_Pred3Text]]&amp;"S"),FIND("+",Tasks[[#This Row],[_Pred3Text]]&amp;"+"),FIND("-",Tasks[[#This Row],[_Pred3Text]]&amp;"-"))-1)),""))</f>
        <v/>
      </c>
      <c r="DE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8" s="43" t="str">
        <f aca="false">IF(Tasks[[#This Row],[_Pred3Text]]="","",TRIM(MID(SUBSTITUTE(SUBSTITUTE(SUBSTITUTE(UPPER(Tasks[[#This Row],[_Predecessors]]),";",",")," ",""),",",REPT(" ",99)),298,99)))</f>
        <v/>
      </c>
      <c r="DH28" s="43" t="str">
        <f aca="false">IF(Tasks[[#This Row],[_Pred4Text]]="","",IFERROR(VALUE(LEFT(Tasks[[#This Row],[_Pred4Text]],MIN(FIND("F",Tasks[[#This Row],[_Pred4Text]]&amp;"F"),FIND("S",Tasks[[#This Row],[_Pred4Text]]&amp;"S"),FIND("+",Tasks[[#This Row],[_Pred4Text]]&amp;"+"),FIND("-",Tasks[[#This Row],[_Pred4Text]]&amp;"-"))-1)),""))</f>
        <v/>
      </c>
      <c r="DI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8" s="43" t="str">
        <f aca="false">IF(OR(Tasks[[#This Row],[Task Name]]="",Tasks[[#This Row],[_Resources]]=""),"",TRIM(MID(SUBSTITUTE(Tasks[[#This Row],[_Resources]],",",REPT(" ",99)),1,99)))</f>
        <v/>
      </c>
      <c r="DL28" s="43" t="str">
        <f aca="false">IF(Tasks[[#This Row],[_Res1Text]]="","",TRIM(MID(SUBSTITUTE(Tasks[[#This Row],[_Resources]],",",REPT(" ",99)),100,99)))</f>
        <v/>
      </c>
      <c r="DM28" s="43" t="str">
        <f aca="false">IF(Tasks[[#This Row],[_Res2Text]]="","",TRIM(MID(SUBSTITUTE(Tasks[[#This Row],[_Resources]],",",REPT(" ",99)),199,99)))</f>
        <v/>
      </c>
      <c r="DN28" s="43" t="str">
        <f aca="false">IF(Tasks[[#This Row],[_Res3Text]]="","",TRIM(MID(SUBSTITUTE(Tasks[[#This Row],[_Resources]],",",REPT(" ",99)),298,99)))</f>
        <v/>
      </c>
      <c r="DO28" s="43" t="n">
        <f aca="false">IF(Tasks[[#This Row],[_Res1Text]]="",0,IFERROR(MATCH(TRIM(LEFT(Tasks[[#This Row],[_Res1Text]],FIND("[",Tasks[[#This Row],[_Res1Text]]&amp;"[")-1)),res_Name,0),IFERROR(MATCH(TRIM(LEFT(Tasks[[#This Row],[_Res1Text]],FIND("[",Tasks[[#This Row],[_Res1Text]]&amp;"[")-1)),res_Initials,0),0)))</f>
        <v>0</v>
      </c>
      <c r="DP28" s="43" t="n">
        <f aca="false">IF(Tasks[[#This Row],[_Res2Text]]="",0,IFERROR(MATCH(TRIM(LEFT(Tasks[[#This Row],[_Res2Text]],FIND("[",Tasks[[#This Row],[_Res2Text]]&amp;"[")-1)),res_Name,0),IFERROR(MATCH(TRIM(LEFT(Tasks[[#This Row],[_Res2Text]],FIND("[",Tasks[[#This Row],[_Res2Text]]&amp;"[")-1)),res_Initials,0),0)))</f>
        <v>0</v>
      </c>
      <c r="DQ28" s="43" t="n">
        <f aca="false">IF(Tasks[[#This Row],[_Res3Text]]="",0,IFERROR(MATCH(TRIM(LEFT(Tasks[[#This Row],[_Res3Text]],FIND("[",Tasks[[#This Row],[_Res3Text]]&amp;"[")-1)),res_Name,0),IFERROR(MATCH(TRIM(LEFT(Tasks[[#This Row],[_Res3Text]],FIND("[",Tasks[[#This Row],[_Res3Text]]&amp;"[")-1)),res_Initials,0),0)))</f>
        <v>0</v>
      </c>
      <c r="DR28" s="43" t="n">
        <f aca="false">IF(Tasks[[#This Row],[_Res4Text]]="",0,IFERROR(MATCH(TRIM(LEFT(Tasks[[#This Row],[_Res4Text]],FIND("[",Tasks[[#This Row],[_Res4Text]]&amp;"[")-1)),res_Name,0),IFERROR(MATCH(TRIM(LEFT(Tasks[[#This Row],[_Res4Text]],FIND("[",Tasks[[#This Row],[_Res4Text]]&amp;"[")-1)),res_Initials,0),0)))</f>
        <v>0</v>
      </c>
      <c r="DS28" s="43" t="str">
        <f aca="false">IF(Tasks[[#This Row],[_Res1Text]]="","",IF(Tasks[[#This Row],[_Res1Row]]&gt;0,INDEX(res_Name,Tasks[[#This Row],[_Res1Row]]),TRIM(LEFT(Tasks[[#This Row],[_Res1Text]],FIND("[",Tasks[[#This Row],[_Res1Text]]&amp;"[")-1))))</f>
        <v/>
      </c>
      <c r="DT2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8" s="43" t="n">
        <f aca="false">IF(NOT(Tasks[[#This Row],[_IsLeaf]]=1),0,(Tasks[[#This Row],[_Resource1]]&lt;&gt;"")+(Tasks[[#This Row],[_Res2]]&lt;&gt;"")+(Tasks[[#This Row],[_Res3]]&lt;&gt;"")+(Tasks[[#This Row],[_Res4]]&lt;&gt;""))</f>
        <v>0</v>
      </c>
      <c r="DV28" s="43" t="str">
        <f aca="false">IF(Tasks[[#This Row],[_Res2Text]]="","",IF(Tasks[[#This Row],[_Res2Row]]&gt;0,INDEX(res_Name,Tasks[[#This Row],[_Res2Row]]),TRIM(LEFT(Tasks[[#This Row],[_Res2Text]],FIND("[",Tasks[[#This Row],[_Res2Text]]&amp;"[")-1))))</f>
        <v/>
      </c>
      <c r="DW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8" s="43" t="n">
        <f aca="false">IF(OR(NOT(Tasks[[#This Row],[_IsLeaf]]=1),Tasks[[#This Row],[_Res2Row]]=0),0,N(Tasks[[#This Row],[_Days]])*HoursPerDay*IF(Tasks[[#This Row],[_Res2Units]]="",DefaultUnits,Tasks[[#This Row],[_Res2Units]]))</f>
        <v>0</v>
      </c>
      <c r="DY28" s="43" t="n">
        <f aca="false">IF(AND(AND(Tasks[[#This Row],[_IsLeaf]]=1,Tasks[[#This Row],[_LeafTotalWork]]&gt;0),Tasks[[#This Row],[_Res2Work]]&gt;0),Tasks[[#This Row],[_Res2Work]]/(Tasks[[#This Row],[_FinishWorkday]]-Tasks[[#This Row],[_StartWorkday]]+1),0)</f>
        <v>0</v>
      </c>
      <c r="DZ28" s="43" t="n">
        <f aca="false">Tasks[[#This Row],[_Res2WorkPerWD]]*MAX(0,Tasks[[#This Row],[_StartWorkday]]-1)</f>
        <v>0</v>
      </c>
      <c r="EA28" s="43" t="n">
        <f aca="false">Tasks[[#This Row],[_Res2Work]]*Tasks[[#This Row],[_LeafProgress]]</f>
        <v>0</v>
      </c>
      <c r="EB28" s="43" t="str">
        <f aca="false">IF(Tasks[[#This Row],[_Res3Text]]="","",IF(Tasks[[#This Row],[_Res3Row]]&gt;0,INDEX(res_Name,Tasks[[#This Row],[_Res3Row]]),TRIM(LEFT(Tasks[[#This Row],[_Res3Text]],FIND("[",Tasks[[#This Row],[_Res3Text]]&amp;"[")-1))))</f>
        <v/>
      </c>
      <c r="EC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8" s="43" t="n">
        <f aca="false">IF(OR(NOT(Tasks[[#This Row],[_IsLeaf]]=1),Tasks[[#This Row],[_Res3Row]]=0),0,N(Tasks[[#This Row],[_Days]])*HoursPerDay*IF(Tasks[[#This Row],[_Res3Units]]="",DefaultUnits,Tasks[[#This Row],[_Res3Units]]))</f>
        <v>0</v>
      </c>
      <c r="EE28" s="43" t="n">
        <f aca="false">IF(AND(AND(Tasks[[#This Row],[_IsLeaf]]=1,Tasks[[#This Row],[_LeafTotalWork]]&gt;0),Tasks[[#This Row],[_Res3Work]]&gt;0),Tasks[[#This Row],[_Res3Work]]/(Tasks[[#This Row],[_FinishWorkday]]-Tasks[[#This Row],[_StartWorkday]]+1),0)</f>
        <v>0</v>
      </c>
      <c r="EF28" s="43" t="n">
        <f aca="false">Tasks[[#This Row],[_Res3WorkPerWD]]*MAX(0,Tasks[[#This Row],[_StartWorkday]]-1)</f>
        <v>0</v>
      </c>
      <c r="EG28" s="43" t="n">
        <f aca="false">Tasks[[#This Row],[_Res3Work]]*Tasks[[#This Row],[_LeafProgress]]</f>
        <v>0</v>
      </c>
      <c r="EH28" s="43" t="str">
        <f aca="false">IF(Tasks[[#This Row],[_Res4Text]]="","",IF(Tasks[[#This Row],[_Res4Row]]&gt;0,INDEX(res_Name,Tasks[[#This Row],[_Res4Row]]),TRIM(LEFT(Tasks[[#This Row],[_Res4Text]],FIND("[",Tasks[[#This Row],[_Res4Text]]&amp;"[")-1))))</f>
        <v/>
      </c>
      <c r="EI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8" s="43" t="n">
        <f aca="false">IF(OR(NOT(Tasks[[#This Row],[_IsLeaf]]=1),Tasks[[#This Row],[_Res4Row]]=0),0,N(Tasks[[#This Row],[_Days]])*HoursPerDay*IF(Tasks[[#This Row],[_Res4Units]]="",DefaultUnits,Tasks[[#This Row],[_Res4Units]]))</f>
        <v>0</v>
      </c>
      <c r="EK28" s="43" t="n">
        <f aca="false">IF(AND(AND(Tasks[[#This Row],[_IsLeaf]]=1,Tasks[[#This Row],[_LeafTotalWork]]&gt;0),Tasks[[#This Row],[_Res4Work]]&gt;0),Tasks[[#This Row],[_Res4Work]]/(Tasks[[#This Row],[_FinishWorkday]]-Tasks[[#This Row],[_StartWorkday]]+1),0)</f>
        <v>0</v>
      </c>
      <c r="EL28" s="43" t="n">
        <f aca="false">Tasks[[#This Row],[_Res4WorkPerWD]]*MAX(0,Tasks[[#This Row],[_StartWorkday]]-1)</f>
        <v>0</v>
      </c>
      <c r="EM28" s="43" t="n">
        <f aca="false">Tasks[[#This Row],[_Res4Work]]*Tasks[[#This Row],[_LeafProgress]]</f>
        <v>0</v>
      </c>
      <c r="EN28" s="43" t="n">
        <f aca="false">IF(ISNUMBER(Tasks[[#This Row],[% Complete]]),Tasks[[#This Row],[% Complete]],IF(Tasks[[#This Row],[Stage]]="",0,IFERROR(INDEX(stg_Pct,MATCH(Tasks[[#This Row],[Stage]],stg_Name,0)),0)))</f>
        <v>0</v>
      </c>
      <c r="EO28" s="43" t="n">
        <f aca="false">IF(NOT(Tasks[[#This Row],[_IsLeaf]]=1),0,IF(N(Tasks[[#This Row],[Actual Finish]])&gt;0,1,MIN(1,Tasks[[#This Row],[_Pct]])))</f>
        <v>0</v>
      </c>
      <c r="EP28" s="43" t="n">
        <f aca="false">IF(OR(NOT(Tasks[[#This Row],[_IsLeaf]]=1),Tasks[[#This Row],[_Res1Row]]=0),0,N(Tasks[[#This Row],[_Days]])*HoursPerDay*IF(Tasks[[#This Row],[_Units1]]="",DefaultUnits,Tasks[[#This Row],[_Units1]]))</f>
        <v>0</v>
      </c>
      <c r="EQ28" s="43" t="n">
        <f aca="false">Tasks[[#This Row],[_LeafWork]]+Tasks[[#This Row],[_Res2Work]]+Tasks[[#This Row],[_Res3Work]]+Tasks[[#This Row],[_Res4Work]]</f>
        <v>0</v>
      </c>
      <c r="ER2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8" s="43" t="n">
        <f aca="false">IF(NOT(Tasks[[#This Row],[_IsLeaf]]=1),0,MAX(_xlfn.MAXIFS(Tasks[_Row],Tasks[_Pred1UID],Tasks[[#This Row],[UID]]),_xlfn.MAXIFS(Tasks[_Row],Tasks[_Pred2UID],Tasks[[#This Row],[UID]]),_xlfn.MAXIFS(Tasks[_Row],Tasks[_Pred3UID],Tasks[[#This Row],[UID]]),_xlfn.MAXIFS(Tasks[_Row],Tasks[_Pred4UID],Tasks[[#This Row],[UID]])))</f>
        <v>0</v>
      </c>
      <c r="FA2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8" s="91" t="str">
        <f aca="false">IF(NOT(Tasks[[#This Row],[_IsLeaf]]=1),"",IF(N(Tasks[[#This Row],[_Days]])&lt;=0,Tasks[[#This Row],[_LeafLateFinish]],WORKDAY.INTL(Tasks[[#This Row],[_LeafLateFinish]],-(Tasks[[#This Row],[_Days]]-1),WorkWeek,Holidays)))</f>
        <v/>
      </c>
      <c r="FD2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8" s="90" t="b">
        <f aca="false">AND(Tasks[[#This Row],[_IsLeaf]]=1,Tasks[[#This Row],[_LeafProgress]]&lt;1,N(Tasks[[#This Row],[_LeafTotalSlack]])&lt;=CriticalSlackDays)</f>
        <v>0</v>
      </c>
      <c r="FF28" s="43" t="n">
        <f aca="false">IF(AND(Tasks[[#This Row],[_IsLeaf]]=1,Tasks[[#This Row],[_ConstraintCode]]=1,Tasks[[#This Row],[Mode]]&lt;&gt;"Manual",N(Tasks[[#This Row],[Actual Start]])=0),MAX(0,N(Tasks[[#This Row],[Free Slack]])),0)</f>
        <v>0</v>
      </c>
      <c r="FG28" s="91" t="str">
        <f aca="false">IF(NOT(Tasks[[#This Row],[_IsLeaf]]=1),"",IF(Tasks[[#This Row],[_AlapShift]]=0,Tasks[[#This Row],[_LeafCalcStart]],WORKDAY.INTL(Tasks[[#This Row],[_LeafCalcStart]],Tasks[[#This Row],[_AlapShift]],WorkWeek,Holidays)))</f>
        <v/>
      </c>
      <c r="FH28" s="91" t="str">
        <f aca="false">IF(NOT(Tasks[[#This Row],[_IsLeaf]]=1),"",IF(Tasks[[#This Row],[_AlapShift]]=0,Tasks[[#This Row],[_LeafCalcFinish]],WORKDAY.INTL(Tasks[[#This Row],[_LeafCalcFinish]],Tasks[[#This Row],[_AlapShift]],WorkWeek,Holidays)))</f>
        <v/>
      </c>
      <c r="FI28" s="91" t="str">
        <f aca="false">IF(NOT(Tasks[[#This Row],[_IsLeaf]]=1),"",IF(Tasks[[#This Row],[_AlapShift]]=0,Tasks[[#This Row],[_LeafFcstStart]],WORKDAY.INTL(Tasks[[#This Row],[_LeafFcstStart]],Tasks[[#This Row],[_AlapShift]],WorkWeek,Holidays)))</f>
        <v/>
      </c>
      <c r="FJ28" s="91" t="str">
        <f aca="false">IF(NOT(Tasks[[#This Row],[_IsLeaf]]=1),"",IF(Tasks[[#This Row],[_AlapShift]]=0,Tasks[[#This Row],[_LeafFcstFinish]],WORKDAY.INTL(Tasks[[#This Row],[_LeafFcstFinish]],Tasks[[#This Row],[_AlapShift]],WorkWeek,Holidays)))</f>
        <v/>
      </c>
      <c r="FK28" s="91" t="str">
        <f aca="false">IF(Tasks[[#This Row],[Task Name]]="","",IF(Tasks[[#This Row],[_IsSummary]],MIN(INDEX(Tasks[_ShownCalcStart],Tasks[[#This Row],[_Row]]+1):INDEX(Tasks[_ShownCalcStart],Tasks[[#This Row],[_Row]]+Tasks[[#This Row],[_Descendants]])),Tasks[[#This Row],[_ShownCalcStart]]))</f>
        <v/>
      </c>
      <c r="FL28" s="91" t="str">
        <f aca="false">IF(Tasks[[#This Row],[Task Name]]="","",IF(Tasks[[#This Row],[_IsSummary]],MAX(INDEX(Tasks[_ShownCalcFinish],Tasks[[#This Row],[_Row]]+1):INDEX(Tasks[_ShownCalcFinish],Tasks[[#This Row],[_Row]]+Tasks[[#This Row],[_Descendants]])),Tasks[[#This Row],[_ShownCalcFinish]]))</f>
        <v/>
      </c>
      <c r="FM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8" s="43" t="n">
        <f aca="false">IF(AND(Tasks[[#This Row],[_IsLeaf]]=1,Tasks[[#This Row],[_LeafTotalWork]]&gt;0),NETWORKDAYS.INTL(ProjectStart,Tasks[[#This Row],[_ShownFcstStart]],WorkWeek,Holidays),0)</f>
        <v>0</v>
      </c>
      <c r="FZ28" s="43" t="n">
        <f aca="false">IF(AND(Tasks[[#This Row],[_IsLeaf]]=1,Tasks[[#This Row],[_LeafTotalWork]]&gt;0),MAX(Tasks[[#This Row],[_StartWorkday]],NETWORKDAYS.INTL(ProjectStart,Tasks[[#This Row],[_ShownFcstFinish]],WorkWeek,Holidays)),0)</f>
        <v>0</v>
      </c>
      <c r="GA28" s="43" t="n">
        <f aca="false">IF(AND(Tasks[[#This Row],[_IsLeaf]]=1,Tasks[[#This Row],[_LeafTotalWork]]&gt;0),Tasks[[#This Row],[_LeafWork]]/(Tasks[[#This Row],[_FinishWorkday]]-Tasks[[#This Row],[_StartWorkday]]+1),0)</f>
        <v>0</v>
      </c>
      <c r="GB28" s="43" t="n">
        <f aca="false">Tasks[[#This Row],[_WorkPerWorkday]]*(Tasks[[#This Row],[_StartWorkday]]-1)</f>
        <v>-0</v>
      </c>
      <c r="GC28" s="43" t="n">
        <f aca="false">IF(Tasks[[#This Row],[_IsLeaf]]=1,MAX(N(Tasks[[#This Row],[_Days]]),0.1),0)</f>
        <v>0</v>
      </c>
      <c r="GD28" s="43" t="n">
        <f aca="false">Tasks[[#This Row],[_WeightDur]]*Tasks[[#This Row],[_LeafProgress]]</f>
        <v>0</v>
      </c>
      <c r="GE28" s="43" t="n">
        <f aca="false">Tasks[[#This Row],[_WeightDur]]*Tasks[[#This Row],[_PlannedPct]]</f>
        <v>0</v>
      </c>
      <c r="GF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8" s="43" t="str">
        <f aca="false">IF(AND(Tasks[[#This Row],[_IsLeaf]]=1,N(Tasks[[#This Row],[_Days]])=0,Tasks[[#This Row],[_LeafProgress]]&lt;1),Tasks[[#This Row],[_ShownFcstFinish]]+Tasks[[#This Row],[_Row]]/100000,"")</f>
        <v/>
      </c>
      <c r="GH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8" s="43" t="str">
        <f aca="false">IF(Tasks[[#This Row],[Task Name]]="","",LEFT(Tasks[[#This Row],[WBS]],FIND(".",Tasks[[#This Row],[WBS]]&amp;".")-1))</f>
        <v/>
      </c>
      <c r="GJ28" s="43" t="str">
        <f aca="false">IF(AND(Tasks[[#This Row],[Task Name]]&lt;&gt;"",Tasks[[#This Row],[_Level]]=1),Tasks[[#This Row],[_Row]],"")</f>
        <v/>
      </c>
      <c r="GK28" s="43" t="str">
        <f aca="false">IF(AND(Tasks[[#This Row],[_IsLeaf]]=1,N(Tasks[[#This Row],[_Days]])=0),Tasks[[#This Row],[Planned Finish]]+Tasks[[#This Row],[_Row]]/100000,"")</f>
        <v/>
      </c>
      <c r="GL28" s="43" t="str">
        <f aca="false">IF(AND(Tasks[[#This Row],[_IsLeaf]]=1,Tasks[[#This Row],[_LeafProgress]]&lt;1,OR(N(Tasks[[#This Row],[Finish Var]])&gt;0,Tasks[[#This Row],[Status]]="Late Start")),MAX(0,Tasks[[#This Row],[Finish Var]])+1-Tasks[[#This Row],[_Row]]/1000000,"")</f>
        <v/>
      </c>
      <c r="GM28" s="43" t="str">
        <f aca="false">IF(AND(Tasks[[#This Row],[_IsLeaf]]=1,N(Tasks[[#This Row],[Actual Start]])=0,Tasks[[#This Row],[_ShownFcstStart]]&gt;=StatusDate,Tasks[[#This Row],[_ShownFcstStart]]&lt;=LookaheadEnd),Tasks[[#This Row],[_ShownFcstStart]]+Tasks[[#This Row],[_Row]]/100000,"")</f>
        <v/>
      </c>
      <c r="GN28" s="43" t="str">
        <f aca="false">IF(AND(Tasks[[#This Row],[_IsLeaf]]=1,Tasks[[#This Row],[_LeafProgress]]&lt;1,Tasks[[#This Row],[_ShownFcstFinish]]&gt;=StatusDate,Tasks[[#This Row],[_ShownFcstFinish]]&lt;=LookaheadEnd),Tasks[[#This Row],[_ShownFcstFinish]]+Tasks[[#This Row],[_Row]]/100000,"")</f>
        <v/>
      </c>
      <c r="GO28" s="43" t="str">
        <f aca="false">IF(Tasks[[#This Row],[_LeafCritical]],Tasks[[#This Row],[_ShownFcstStart]]+Tasks[[#This Row],[_Row]]/100000,"")</f>
        <v/>
      </c>
      <c r="GP28" s="43" t="n">
        <f aca="false">Tasks[[#This Row],[_LeafWork]]*Tasks[[#This Row],[_LeafProgress]]</f>
        <v>0</v>
      </c>
      <c r="GQ28" s="91" t="str">
        <f aca="false">IF(AND(Tasks[[#This Row],[_IsLeaf]]=1,Tasks[[#This Row],[_LeafProgress]]&gt;=1),IF(N(Tasks[[#This Row],[Actual Finish]])&gt;0,Tasks[[#This Row],[Actual Finish]],Tasks[[#This Row],[_ShownFcstFinish]]),"")</f>
        <v/>
      </c>
      <c r="GR28" s="43" t="n">
        <f aca="false">IF(Tasks[[#This Row],[_IsLeaf]]=1,N(Tasks[[#This Row],[Story Points]]),0)</f>
        <v>0</v>
      </c>
      <c r="GS28" s="43" t="str">
        <f aca="false">""</f>
        <v/>
      </c>
      <c r="GT28" s="90" t="b">
        <f aca="false">IF(Tasks[[#This Row],[Task Name]]="",FALSE(),AND(Tasks[[#This Row],[_IsLeaf]]=1,N(Tasks[[#This Row],[_Days]])=0))</f>
        <v>0</v>
      </c>
      <c r="GU28" s="91" t="n">
        <f aca="false">IF(Tasks[[#This Row],[Task Name]]="",0,IF(AND(Tasks[[#This Row],[_IsLeaf]]=1,NOT(Tasks[[#This Row],[_IsMilestone]]),N(Tasks[[#This Row],[Progress]])&gt;0),Tasks[[#This Row],[Start]],0))</f>
        <v>0</v>
      </c>
      <c r="GV28" s="91" t="n">
        <f aca="false">IF(Tasks[[#This Row],[_DoneFrom]]=0,0,IF(Tasks[[#This Row],[Progress]]&gt;=1,Tasks[[#This Row],[Finish]],MAX(Tasks[[#This Row],[_DoneFrom]],Tasks[[#This Row],[Start]]+ROUND((Tasks[[#This Row],[Finish]]-Tasks[[#This Row],[Start]]+1)*Tasks[[#This Row],[Progress]],0)-1)))</f>
        <v>0</v>
      </c>
      <c r="GW28" s="91" t="n">
        <f aca="false">IF(Tasks[[#This Row],[Task Name]]="",0,IF(OR(NOT(Tasks[[#This Row],[_IsLeaf]]=1),Tasks[[#This Row],[_IsMilestone]],N(Tasks[[#This Row],[Progress]])&gt;=1),0,IF(Tasks[[#This Row],[_DoneTo]]&gt;0,Tasks[[#This Row],[_DoneTo]]+1,Tasks[[#This Row],[Start]])))</f>
        <v>0</v>
      </c>
      <c r="GX28" s="91" t="n">
        <f aca="false">IF(Tasks[[#This Row],[_RemFrom]]=0,0,Tasks[[#This Row],[Finish]])</f>
        <v>0</v>
      </c>
      <c r="GY28" s="90" t="b">
        <f aca="false">IF(Tasks[[#This Row],[Task Name]]="",FALSE(),OR(NOT(BaselineSet),N(Tasks[[#This Row],[Baseline Start]])&gt;0))</f>
        <v>0</v>
      </c>
      <c r="GZ2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8" s="92" t="str">
        <f aca="false">IF(Tasks[[#This Row],[_IsLeaf]]=1,Tasks[[#This Row],[_Row]],"")</f>
        <v/>
      </c>
      <c r="HD28" s="92" t="str">
        <f aca="false">IFERROR(INDEX(Tasks[UID],SMALL(Tasks[_PickKey],Tasks[[#This Row],[_Row]]))&amp;" "&amp;INDEX(Tasks[Task Name],SMALL(Tasks[_PickKey],Tasks[[#This Row],[_Row]])),"")</f>
        <v/>
      </c>
      <c r="HE28" s="43" t="str">
        <f aca="false">IF(Tasks[[#This Row],[Task Name]]="","",IF(Tasks[[#This Row],[_IsSummary]],NETWORKDAYS.INTL(Tasks[[#This Row],[Start]],Tasks[[#This Row],[Finish]],WorkWeek,Holidays),N(Tasks[[#This Row],[_Days]])))</f>
        <v/>
      </c>
      <c r="HF28" s="43" t="n">
        <f aca="false">IF(Tasks[[#This Row],[Expected]]="",0,((Tasks[[#This Row],[Pessimistic]]-Tasks[[#This Row],[Optimistic]])/6)^2)</f>
        <v>0</v>
      </c>
      <c r="HG28" s="43" t="n">
        <f aca="false">IF(Tasks[[#This Row],[Expected]]="",0,Tasks[[#This Row],[Expected]]-N(Tasks[[#This Row],[_Days]]))</f>
        <v>0</v>
      </c>
    </row>
    <row r="29" customFormat="false" ht="15" hidden="false" customHeight="false" outlineLevel="0" collapsed="false">
      <c r="A29" s="21" t="str">
        <f aca="false">IF(Tasks[[#This Row],[Task Name]]="","",COUNTA(Tasks[[#Headers],[Task Name]]:Tasks[[#This Row],[Task Name]])-1)</f>
        <v/>
      </c>
      <c r="B29" s="22" t="n">
        <v>37</v>
      </c>
      <c r="C29" s="22"/>
      <c r="D29" s="23"/>
      <c r="E29" s="22"/>
      <c r="F29" s="23"/>
      <c r="G29" s="22"/>
      <c r="H29" s="22"/>
      <c r="I29" s="23"/>
      <c r="J29" s="22"/>
      <c r="K29" s="22"/>
      <c r="L29" s="23"/>
      <c r="M29" s="22"/>
      <c r="N29" s="22"/>
      <c r="O29" s="23"/>
      <c r="P29" s="22"/>
      <c r="Q29" s="22"/>
      <c r="R29" s="23"/>
      <c r="S29" s="23"/>
      <c r="T29" s="84"/>
      <c r="U29" s="23"/>
      <c r="V29" s="84"/>
      <c r="W29" s="23"/>
      <c r="X29" s="84"/>
      <c r="Y29" s="23"/>
      <c r="Z29" s="84"/>
      <c r="AA29" s="23"/>
      <c r="AB29" s="23"/>
      <c r="AC29" s="7"/>
      <c r="AD29" s="7"/>
      <c r="AE29" s="63" t="str">
        <f aca="false">IF(Tasks[[#This Row],[Task Name]]="","",IF(Tasks[[#This Row],[_IsSummary]],MIN(INDEX(Tasks[_ShownFcstStart],Tasks[[#This Row],[_Row]]+1):INDEX(Tasks[_ShownFcstStart],Tasks[[#This Row],[_Row]]+Tasks[[#This Row],[_Descendants]])),Tasks[[#This Row],[_ShownFcstStart]]))</f>
        <v/>
      </c>
      <c r="AF29" s="63" t="str">
        <f aca="false">IF(Tasks[[#This Row],[Task Name]]="","",IF(Tasks[[#This Row],[_IsSummary]],MAX(INDEX(Tasks[_ShownFcstFinish],Tasks[[#This Row],[_Row]]+1):INDEX(Tasks[_ShownFcstFinish],Tasks[[#This Row],[_Row]]+Tasks[[#This Row],[_Descendants]])),Tasks[[#This Row],[_ShownFcstFinish]]))</f>
        <v/>
      </c>
      <c r="AG29" s="21" t="str">
        <f aca="false">""</f>
        <v/>
      </c>
      <c r="AH29" s="23"/>
      <c r="AI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9" s="7"/>
      <c r="AK29" s="22"/>
      <c r="AL29" s="23"/>
      <c r="AM29" s="7"/>
      <c r="AN29" s="47" t="str">
        <f aca="false">IF(Tasks[[#This Row],[Task Name]]="","",IF(Tasks[[#This Row],[Finish]]&gt;=Tasks[[#This Row],[Planned Finish]],NETWORKDAYS.INTL(Tasks[[#This Row],[Planned Finish]],Tasks[[#This Row],[Finish]],WorkWeek,Holidays)-1,1-NETWORKDAYS.INTL(Tasks[[#This Row],[Finish]],Tasks[[#This Row],[Planned Finish]],WorkWeek,Holidays)))</f>
        <v/>
      </c>
      <c r="AO29" s="21" t="str">
        <f aca="false">IF(Tasks[[#This Row],[Task Name]]="","",IF(Tasks[[#This Row],[Progress]]&gt;=1,"Complete",IF(OR(N(Tasks[[#This Row],[Actual Start]])&gt;0,Tasks[[#This Row],[Progress]]&gt;0),IF(Tasks[[#This Row],[Finish Var]]&gt;0,"Behind","In Progress"),IF(Tasks[[#This Row],[Planned Start]]&lt;StatusDate,"Late Start","Not Started"))))</f>
        <v/>
      </c>
      <c r="AP29" s="21" t="str">
        <f aca="false">IF(Tasks[[#This Row],[Task Name]]="","",IF(IF(Tasks[[#This Row],[_IsSummary]],COUNTIF(INDEX(Tasks[_LeafCritical],Tasks[[#This Row],[_Row]]+1):INDEX(Tasks[_LeafCritical],Tasks[[#This Row],[_Row]]+Tasks[[#This Row],[_Descendants]]),TRUE())&gt;0,Tasks[[#This Row],[_LeafCritical]]),"Yes",""))</f>
        <v/>
      </c>
      <c r="AQ29" s="63" t="str">
        <f aca="false">IF(Tasks[[#This Row],[Task Name]]="","",IF(N(Tasks[[#This Row],[Baseline Start]])&gt;0,Tasks[[#This Row],[Baseline Start]],Tasks[[#This Row],[_CalcStart]]))</f>
        <v/>
      </c>
      <c r="AR29" s="63" t="str">
        <f aca="false">IF(Tasks[[#This Row],[Task Name]]="","",IF(N(Tasks[[#This Row],[Baseline Finish]])&gt;0,Tasks[[#This Row],[Baseline Finish]],Tasks[[#This Row],[_CalcFinish]]))</f>
        <v/>
      </c>
      <c r="AS29" s="47" t="str">
        <f aca="false">IF(Tasks[[#This Row],[Task Name]]="","",IF(Tasks[[#This Row],[Start]]&gt;=Tasks[[#This Row],[Planned Start]],NETWORKDAYS.INTL(Tasks[[#This Row],[Planned Start]],Tasks[[#This Row],[Start]],WorkWeek,Holidays)-1,1-NETWORKDAYS.INTL(Tasks[[#This Row],[Start]],Tasks[[#This Row],[Planned Start]],WorkWeek,Holidays)))</f>
        <v/>
      </c>
      <c r="AT29" s="63" t="str">
        <f aca="false">IF(Tasks[[#This Row],[Task Name]]="","",IF(Tasks[[#This Row],[_IsSummary]],MIN(INDEX(Tasks[_LeafLateStart],Tasks[[#This Row],[_Row]]+1):INDEX(Tasks[_LeafLateStart],Tasks[[#This Row],[_Row]]+Tasks[[#This Row],[_Descendants]])),Tasks[[#This Row],[_LeafLateStart]]))</f>
        <v/>
      </c>
      <c r="AU29" s="63" t="str">
        <f aca="false">IF(Tasks[[#This Row],[Task Name]]="","",IF(Tasks[[#This Row],[_IsSummary]],MAX(INDEX(Tasks[_LeafLateFinish],Tasks[[#This Row],[_Row]]+1):INDEX(Tasks[_LeafLateFinish],Tasks[[#This Row],[_Row]]+Tasks[[#This Row],[_Descendants]])),Tasks[[#This Row],[_LeafLateFinish]]))</f>
        <v/>
      </c>
      <c r="AV29" s="47" t="str">
        <f aca="false">IF(Tasks[[#This Row],[Task Name]]="","",IF(Tasks[[#This Row],[_IsSummary]],MIN(INDEX(Tasks[_LeafTotalSlack],Tasks[[#This Row],[_Row]]+1):INDEX(Tasks[_LeafTotalSlack],Tasks[[#This Row],[_Row]]+Tasks[[#This Row],[_Descendants]])),Tasks[[#This Row],[_LeafTotalSlack]]))</f>
        <v/>
      </c>
      <c r="AW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5"/>
      <c r="BA2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t="str">
        <f aca="false">IF(Tasks[[#This Row],[Task Name]]="","",IF(Tasks[[#This Row],[_Level]]&lt;=OutlineShowLevel,"Yes","No"))</f>
        <v/>
      </c>
      <c r="BE29" s="86" t="str">
        <f aca="false">IF(Tasks[[#This Row],[Task Name]]="","",IF(Tasks[[#This Row],[_IsSummary]],SUM(INDEX(Tasks[_LeafTotalWork],Tasks[[#This Row],[_Row]]+1):INDEX(Tasks[_LeafTotalWork],Tasks[[#This Row],[_Row]]+Tasks[[#This Row],[_Descendants]])),Tasks[[#This Row],[_LeafTotalWork]]))</f>
        <v/>
      </c>
      <c r="BF29" s="23"/>
      <c r="BG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t="str">
        <f aca="false">""</f>
        <v/>
      </c>
      <c r="BI29" s="87"/>
      <c r="BJ29" s="22"/>
      <c r="BK29" s="47" t="str">
        <f aca="false">IF(OR(Tasks[[#This Row],[Task Name]]="",Tasks[[#This Row],[Baseline Duration]]=""),"",Tasks[[#This Row],[_SpanDays]]-N(Tasks[[#This Row],[Baseline Duration]]))</f>
        <v/>
      </c>
      <c r="BL29" s="86" t="str">
        <f aca="false">IF(OR(Tasks[[#This Row],[Task Name]]="",Tasks[[#This Row],[Baseline Work]]=""),"",Tasks[[#This Row],[Work]]-N(Tasks[[#This Row],[Baseline Work]]))</f>
        <v/>
      </c>
      <c r="BM29" s="63" t="str">
        <f aca="false">IF(Tasks[[#This Row],[Task Name]]="","",IF(OR(TakeBaseline="Yes",N(Tasks[[#This Row],[Baseline Start]])=0),Tasks[[#This Row],[Start]],Tasks[[#This Row],[Baseline Start]]))</f>
        <v/>
      </c>
      <c r="BN29" s="63" t="str">
        <f aca="false">IF(Tasks[[#This Row],[Task Name]]="","",IF(OR(TakeBaseline="Yes",N(Tasks[[#This Row],[Baseline Finish]])=0),Tasks[[#This Row],[Finish]],Tasks[[#This Row],[Baseline Finish]]))</f>
        <v/>
      </c>
      <c r="BO29" s="21" t="str">
        <f aca="false">IF(Tasks[[#This Row],[Task Name]]="","",IF(OR(TakeBaseline="Yes",N(Tasks[[#This Row],[Baseline Duration]])=0),Tasks[[#This Row],[_SpanDays]],Tasks[[#This Row],[Baseline Duration]]))</f>
        <v/>
      </c>
      <c r="BP29" s="86" t="str">
        <f aca="false">IF(Tasks[[#This Row],[Task Name]]="","",IF(OR(TakeBaseline="Yes",N(Tasks[[#This Row],[Baseline Work]])=0),Tasks[[#This Row],[Work]],Tasks[[#This Row],[Baseline Work]]))</f>
        <v/>
      </c>
      <c r="BQ29" s="7"/>
      <c r="BR29" s="7"/>
      <c r="BS29" s="22"/>
      <c r="BT29" s="88"/>
      <c r="BU29" s="23"/>
      <c r="BV29" s="23"/>
      <c r="BW29" s="23"/>
      <c r="BX29" s="89" t="str">
        <f aca="false">IF(AND(Tasks[[#This Row],[_IsLeaf]]=1,ISNUMBER(Tasks[[#This Row],[Optimistic]]),ISNUMBER(Tasks[[#This Row],[Pessimistic]])),ROUND((Tasks[[#This Row],[Optimistic]]+4*N(Tasks[[#This Row],[_Days]])+Tasks[[#This Row],[Pessimistic]])/6,1),"")</f>
        <v/>
      </c>
      <c r="BY29" s="87"/>
      <c r="BZ29" s="87"/>
      <c r="CA29" s="22"/>
      <c r="CB29" s="43" t="str">
        <f aca="false">IF(Tasks[[#This Row],[Task Name]]="","",MAX(1,N(Tasks[[#This Row],[Level]])))</f>
        <v/>
      </c>
      <c r="CC29" s="43" t="n">
        <f aca="false">ROW()-ROW(Tasks[[#Headers],[ID]])</f>
        <v>24</v>
      </c>
      <c r="CD29" s="43" t="n">
        <f aca="false">IF(OR(Tasks[[#This Row],[Task Name]]="",Tasks[[#This Row],[_Level]]&lt;=1),0,IFERROR(LOOKUP(2,1/(Tasks[[#Headers],[_Level]]:Tasks[[#This Row],[_Level]]=Tasks[[#This Row],[_Level]]-1),ROW(Tasks[[#Headers],[_Level]]:Tasks[[#This Row],[_Level]])),0))</f>
        <v>0</v>
      </c>
      <c r="CE29" s="43" t="n">
        <f aca="false">IFERROR(N(INDEX(Tasks[_Level],Tasks[[#This Row],[_Row]]+1)),0)</f>
        <v>0</v>
      </c>
      <c r="CF29" s="90" t="b">
        <f aca="false">AND(Tasks[[#This Row],[Task Name]]&lt;&gt;"",Tasks[[#This Row],[_NextLevel]]&gt;Tasks[[#This Row],[_Level]])</f>
        <v>0</v>
      </c>
      <c r="CG29" s="43" t="n">
        <f aca="false">IF(Tasks[[#This Row],[_IsSummary]],COUNTIF(Tasks[WBS],Tasks[[#This Row],[WBS]]&amp;".*"),0)</f>
        <v>0</v>
      </c>
      <c r="CH29" s="43" t="n">
        <f aca="false">IF(AND(Tasks[[#This Row],[Task Name]]&lt;&gt;"",NOT(Tasks[[#This Row],[_IsSummary]])),1,0)</f>
        <v>0</v>
      </c>
      <c r="CI29" s="43" t="n">
        <f aca="false">IF(N(Tasks[[#This Row],[_Pred1UID]])=0,0,IFERROR(MATCH(Tasks[[#This Row],[_Pred1UID]],Tasks[UID],0),-1))</f>
        <v>0</v>
      </c>
      <c r="CJ29" s="43" t="n">
        <f aca="false">IF(N(Tasks[[#This Row],[_Pred2UID]])=0,0,IFERROR(MATCH(Tasks[[#This Row],[_Pred2UID]],Tasks[UID],0),-1))</f>
        <v>0</v>
      </c>
      <c r="CK29" s="43" t="n">
        <f aca="false">IF(N(Tasks[[#This Row],[_Pred3UID]])=0,0,IFERROR(MATCH(Tasks[[#This Row],[_Pred3UID]],Tasks[UID],0),-1))</f>
        <v>0</v>
      </c>
      <c r="CL29" s="43" t="n">
        <f aca="false">IF(N(Tasks[[#This Row],[_Pred4UID]])=0,0,IFERROR(MATCH(Tasks[[#This Row],[_Pred4UID]],Tasks[UID],0),-1))</f>
        <v>0</v>
      </c>
      <c r="CM2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9" s="91" t="n">
        <f aca="false">IF(OR(Tasks[[#This Row],[_ConstraintCode]]=2,Tasks[[#This Row],[_ConstraintCode]]=3,Tasks[[#This Row],[_ConstraintCode]]=4,Tasks[[#This Row],[_ConstraintCode]]=6),Tasks[[#This Row],[_ConstraintStart]],0)</f>
        <v>0</v>
      </c>
      <c r="CP29" s="91" t="n">
        <f aca="false">IF(OR(Tasks[[#This Row],[_ConstraintCode]]=2,Tasks[[#This Row],[_ConstraintCode]]=3,Tasks[[#This Row],[_ConstraintCode]]=5,Tasks[[#This Row],[_ConstraintCode]]=7),Tasks[[#This Row],[_ConstraintStart]],2958465)</f>
        <v>2958465</v>
      </c>
      <c r="CQ2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9" s="91" t="str">
        <f aca="false">IF(NOT(Tasks[[#This Row],[_IsLeaf]]=1),"",IF(N(Tasks[[#This Row],[_Days]])&lt;=0,Tasks[[#This Row],[_LeafCalcStart]],WORKDAY.INTL(Tasks[[#This Row],[_LeafCalcStart]],Tasks[[#This Row],[_Days]]-1,WorkWeek,Holidays)))</f>
        <v/>
      </c>
      <c r="CS2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9" s="43" t="str">
        <f aca="false">IF(Tasks[[#This Row],[_Predecessors]]="","",TRIM(MID(SUBSTITUTE(SUBSTITUTE(SUBSTITUTE(UPPER(Tasks[[#This Row],[_Predecessors]]),";",",")," ",""),",",REPT(" ",99)),1,99)))</f>
        <v/>
      </c>
      <c r="CV29" s="43" t="str">
        <f aca="false">IF(Tasks[[#This Row],[_Pred1Text]]="","",IFERROR(VALUE(LEFT(Tasks[[#This Row],[_Pred1Text]],MIN(FIND("F",Tasks[[#This Row],[_Pred1Text]]&amp;"F"),FIND("S",Tasks[[#This Row],[_Pred1Text]]&amp;"S"),FIND("+",Tasks[[#This Row],[_Pred1Text]]&amp;"+"),FIND("-",Tasks[[#This Row],[_Pred1Text]]&amp;"-"))-1)),""))</f>
        <v/>
      </c>
      <c r="CW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9" s="43" t="str">
        <f aca="false">IF(Tasks[[#This Row],[_Pred1Text]]="","",TRIM(MID(SUBSTITUTE(SUBSTITUTE(SUBSTITUTE(UPPER(Tasks[[#This Row],[_Predecessors]]),";",",")," ",""),",",REPT(" ",99)),100,99)))</f>
        <v/>
      </c>
      <c r="CZ29" s="43" t="str">
        <f aca="false">IF(Tasks[[#This Row],[_Pred2Text]]="","",IFERROR(VALUE(LEFT(Tasks[[#This Row],[_Pred2Text]],MIN(FIND("F",Tasks[[#This Row],[_Pred2Text]]&amp;"F"),FIND("S",Tasks[[#This Row],[_Pred2Text]]&amp;"S"),FIND("+",Tasks[[#This Row],[_Pred2Text]]&amp;"+"),FIND("-",Tasks[[#This Row],[_Pred2Text]]&amp;"-"))-1)),""))</f>
        <v/>
      </c>
      <c r="DA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9" s="43" t="str">
        <f aca="false">IF(Tasks[[#This Row],[_Pred2Text]]="","",TRIM(MID(SUBSTITUTE(SUBSTITUTE(SUBSTITUTE(UPPER(Tasks[[#This Row],[_Predecessors]]),";",",")," ",""),",",REPT(" ",99)),199,99)))</f>
        <v/>
      </c>
      <c r="DD29" s="43" t="str">
        <f aca="false">IF(Tasks[[#This Row],[_Pred3Text]]="","",IFERROR(VALUE(LEFT(Tasks[[#This Row],[_Pred3Text]],MIN(FIND("F",Tasks[[#This Row],[_Pred3Text]]&amp;"F"),FIND("S",Tasks[[#This Row],[_Pred3Text]]&amp;"S"),FIND("+",Tasks[[#This Row],[_Pred3Text]]&amp;"+"),FIND("-",Tasks[[#This Row],[_Pred3Text]]&amp;"-"))-1)),""))</f>
        <v/>
      </c>
      <c r="DE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9" s="43" t="str">
        <f aca="false">IF(Tasks[[#This Row],[_Pred3Text]]="","",TRIM(MID(SUBSTITUTE(SUBSTITUTE(SUBSTITUTE(UPPER(Tasks[[#This Row],[_Predecessors]]),";",",")," ",""),",",REPT(" ",99)),298,99)))</f>
        <v/>
      </c>
      <c r="DH29" s="43" t="str">
        <f aca="false">IF(Tasks[[#This Row],[_Pred4Text]]="","",IFERROR(VALUE(LEFT(Tasks[[#This Row],[_Pred4Text]],MIN(FIND("F",Tasks[[#This Row],[_Pred4Text]]&amp;"F"),FIND("S",Tasks[[#This Row],[_Pred4Text]]&amp;"S"),FIND("+",Tasks[[#This Row],[_Pred4Text]]&amp;"+"),FIND("-",Tasks[[#This Row],[_Pred4Text]]&amp;"-"))-1)),""))</f>
        <v/>
      </c>
      <c r="DI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9" s="43" t="str">
        <f aca="false">IF(OR(Tasks[[#This Row],[Task Name]]="",Tasks[[#This Row],[_Resources]]=""),"",TRIM(MID(SUBSTITUTE(Tasks[[#This Row],[_Resources]],",",REPT(" ",99)),1,99)))</f>
        <v/>
      </c>
      <c r="DL29" s="43" t="str">
        <f aca="false">IF(Tasks[[#This Row],[_Res1Text]]="","",TRIM(MID(SUBSTITUTE(Tasks[[#This Row],[_Resources]],",",REPT(" ",99)),100,99)))</f>
        <v/>
      </c>
      <c r="DM29" s="43" t="str">
        <f aca="false">IF(Tasks[[#This Row],[_Res2Text]]="","",TRIM(MID(SUBSTITUTE(Tasks[[#This Row],[_Resources]],",",REPT(" ",99)),199,99)))</f>
        <v/>
      </c>
      <c r="DN29" s="43" t="str">
        <f aca="false">IF(Tasks[[#This Row],[_Res3Text]]="","",TRIM(MID(SUBSTITUTE(Tasks[[#This Row],[_Resources]],",",REPT(" ",99)),298,99)))</f>
        <v/>
      </c>
      <c r="DO29" s="43" t="n">
        <f aca="false">IF(Tasks[[#This Row],[_Res1Text]]="",0,IFERROR(MATCH(TRIM(LEFT(Tasks[[#This Row],[_Res1Text]],FIND("[",Tasks[[#This Row],[_Res1Text]]&amp;"[")-1)),res_Name,0),IFERROR(MATCH(TRIM(LEFT(Tasks[[#This Row],[_Res1Text]],FIND("[",Tasks[[#This Row],[_Res1Text]]&amp;"[")-1)),res_Initials,0),0)))</f>
        <v>0</v>
      </c>
      <c r="DP29" s="43" t="n">
        <f aca="false">IF(Tasks[[#This Row],[_Res2Text]]="",0,IFERROR(MATCH(TRIM(LEFT(Tasks[[#This Row],[_Res2Text]],FIND("[",Tasks[[#This Row],[_Res2Text]]&amp;"[")-1)),res_Name,0),IFERROR(MATCH(TRIM(LEFT(Tasks[[#This Row],[_Res2Text]],FIND("[",Tasks[[#This Row],[_Res2Text]]&amp;"[")-1)),res_Initials,0),0)))</f>
        <v>0</v>
      </c>
      <c r="DQ29" s="43" t="n">
        <f aca="false">IF(Tasks[[#This Row],[_Res3Text]]="",0,IFERROR(MATCH(TRIM(LEFT(Tasks[[#This Row],[_Res3Text]],FIND("[",Tasks[[#This Row],[_Res3Text]]&amp;"[")-1)),res_Name,0),IFERROR(MATCH(TRIM(LEFT(Tasks[[#This Row],[_Res3Text]],FIND("[",Tasks[[#This Row],[_Res3Text]]&amp;"[")-1)),res_Initials,0),0)))</f>
        <v>0</v>
      </c>
      <c r="DR29" s="43" t="n">
        <f aca="false">IF(Tasks[[#This Row],[_Res4Text]]="",0,IFERROR(MATCH(TRIM(LEFT(Tasks[[#This Row],[_Res4Text]],FIND("[",Tasks[[#This Row],[_Res4Text]]&amp;"[")-1)),res_Name,0),IFERROR(MATCH(TRIM(LEFT(Tasks[[#This Row],[_Res4Text]],FIND("[",Tasks[[#This Row],[_Res4Text]]&amp;"[")-1)),res_Initials,0),0)))</f>
        <v>0</v>
      </c>
      <c r="DS29" s="43" t="str">
        <f aca="false">IF(Tasks[[#This Row],[_Res1Text]]="","",IF(Tasks[[#This Row],[_Res1Row]]&gt;0,INDEX(res_Name,Tasks[[#This Row],[_Res1Row]]),TRIM(LEFT(Tasks[[#This Row],[_Res1Text]],FIND("[",Tasks[[#This Row],[_Res1Text]]&amp;"[")-1))))</f>
        <v/>
      </c>
      <c r="DT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9" s="43" t="n">
        <f aca="false">IF(NOT(Tasks[[#This Row],[_IsLeaf]]=1),0,(Tasks[[#This Row],[_Resource1]]&lt;&gt;"")+(Tasks[[#This Row],[_Res2]]&lt;&gt;"")+(Tasks[[#This Row],[_Res3]]&lt;&gt;"")+(Tasks[[#This Row],[_Res4]]&lt;&gt;""))</f>
        <v>0</v>
      </c>
      <c r="DV29" s="43" t="str">
        <f aca="false">IF(Tasks[[#This Row],[_Res2Text]]="","",IF(Tasks[[#This Row],[_Res2Row]]&gt;0,INDEX(res_Name,Tasks[[#This Row],[_Res2Row]]),TRIM(LEFT(Tasks[[#This Row],[_Res2Text]],FIND("[",Tasks[[#This Row],[_Res2Text]]&amp;"[")-1))))</f>
        <v/>
      </c>
      <c r="DW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9" s="43" t="n">
        <f aca="false">IF(OR(NOT(Tasks[[#This Row],[_IsLeaf]]=1),Tasks[[#This Row],[_Res2Row]]=0),0,N(Tasks[[#This Row],[_Days]])*HoursPerDay*IF(Tasks[[#This Row],[_Res2Units]]="",DefaultUnits,Tasks[[#This Row],[_Res2Units]]))</f>
        <v>0</v>
      </c>
      <c r="DY29" s="43" t="n">
        <f aca="false">IF(AND(AND(Tasks[[#This Row],[_IsLeaf]]=1,Tasks[[#This Row],[_LeafTotalWork]]&gt;0),Tasks[[#This Row],[_Res2Work]]&gt;0),Tasks[[#This Row],[_Res2Work]]/(Tasks[[#This Row],[_FinishWorkday]]-Tasks[[#This Row],[_StartWorkday]]+1),0)</f>
        <v>0</v>
      </c>
      <c r="DZ29" s="43" t="n">
        <f aca="false">Tasks[[#This Row],[_Res2WorkPerWD]]*MAX(0,Tasks[[#This Row],[_StartWorkday]]-1)</f>
        <v>0</v>
      </c>
      <c r="EA29" s="43" t="n">
        <f aca="false">Tasks[[#This Row],[_Res2Work]]*Tasks[[#This Row],[_LeafProgress]]</f>
        <v>0</v>
      </c>
      <c r="EB29" s="43" t="str">
        <f aca="false">IF(Tasks[[#This Row],[_Res3Text]]="","",IF(Tasks[[#This Row],[_Res3Row]]&gt;0,INDEX(res_Name,Tasks[[#This Row],[_Res3Row]]),TRIM(LEFT(Tasks[[#This Row],[_Res3Text]],FIND("[",Tasks[[#This Row],[_Res3Text]]&amp;"[")-1))))</f>
        <v/>
      </c>
      <c r="EC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9" s="43" t="n">
        <f aca="false">IF(OR(NOT(Tasks[[#This Row],[_IsLeaf]]=1),Tasks[[#This Row],[_Res3Row]]=0),0,N(Tasks[[#This Row],[_Days]])*HoursPerDay*IF(Tasks[[#This Row],[_Res3Units]]="",DefaultUnits,Tasks[[#This Row],[_Res3Units]]))</f>
        <v>0</v>
      </c>
      <c r="EE29" s="43" t="n">
        <f aca="false">IF(AND(AND(Tasks[[#This Row],[_IsLeaf]]=1,Tasks[[#This Row],[_LeafTotalWork]]&gt;0),Tasks[[#This Row],[_Res3Work]]&gt;0),Tasks[[#This Row],[_Res3Work]]/(Tasks[[#This Row],[_FinishWorkday]]-Tasks[[#This Row],[_StartWorkday]]+1),0)</f>
        <v>0</v>
      </c>
      <c r="EF29" s="43" t="n">
        <f aca="false">Tasks[[#This Row],[_Res3WorkPerWD]]*MAX(0,Tasks[[#This Row],[_StartWorkday]]-1)</f>
        <v>0</v>
      </c>
      <c r="EG29" s="43" t="n">
        <f aca="false">Tasks[[#This Row],[_Res3Work]]*Tasks[[#This Row],[_LeafProgress]]</f>
        <v>0</v>
      </c>
      <c r="EH29" s="43" t="str">
        <f aca="false">IF(Tasks[[#This Row],[_Res4Text]]="","",IF(Tasks[[#This Row],[_Res4Row]]&gt;0,INDEX(res_Name,Tasks[[#This Row],[_Res4Row]]),TRIM(LEFT(Tasks[[#This Row],[_Res4Text]],FIND("[",Tasks[[#This Row],[_Res4Text]]&amp;"[")-1))))</f>
        <v/>
      </c>
      <c r="EI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9" s="43" t="n">
        <f aca="false">IF(OR(NOT(Tasks[[#This Row],[_IsLeaf]]=1),Tasks[[#This Row],[_Res4Row]]=0),0,N(Tasks[[#This Row],[_Days]])*HoursPerDay*IF(Tasks[[#This Row],[_Res4Units]]="",DefaultUnits,Tasks[[#This Row],[_Res4Units]]))</f>
        <v>0</v>
      </c>
      <c r="EK29" s="43" t="n">
        <f aca="false">IF(AND(AND(Tasks[[#This Row],[_IsLeaf]]=1,Tasks[[#This Row],[_LeafTotalWork]]&gt;0),Tasks[[#This Row],[_Res4Work]]&gt;0),Tasks[[#This Row],[_Res4Work]]/(Tasks[[#This Row],[_FinishWorkday]]-Tasks[[#This Row],[_StartWorkday]]+1),0)</f>
        <v>0</v>
      </c>
      <c r="EL29" s="43" t="n">
        <f aca="false">Tasks[[#This Row],[_Res4WorkPerWD]]*MAX(0,Tasks[[#This Row],[_StartWorkday]]-1)</f>
        <v>0</v>
      </c>
      <c r="EM29" s="43" t="n">
        <f aca="false">Tasks[[#This Row],[_Res4Work]]*Tasks[[#This Row],[_LeafProgress]]</f>
        <v>0</v>
      </c>
      <c r="EN29" s="43" t="n">
        <f aca="false">IF(ISNUMBER(Tasks[[#This Row],[% Complete]]),Tasks[[#This Row],[% Complete]],IF(Tasks[[#This Row],[Stage]]="",0,IFERROR(INDEX(stg_Pct,MATCH(Tasks[[#This Row],[Stage]],stg_Name,0)),0)))</f>
        <v>0</v>
      </c>
      <c r="EO29" s="43" t="n">
        <f aca="false">IF(NOT(Tasks[[#This Row],[_IsLeaf]]=1),0,IF(N(Tasks[[#This Row],[Actual Finish]])&gt;0,1,MIN(1,Tasks[[#This Row],[_Pct]])))</f>
        <v>0</v>
      </c>
      <c r="EP29" s="43" t="n">
        <f aca="false">IF(OR(NOT(Tasks[[#This Row],[_IsLeaf]]=1),Tasks[[#This Row],[_Res1Row]]=0),0,N(Tasks[[#This Row],[_Days]])*HoursPerDay*IF(Tasks[[#This Row],[_Units1]]="",DefaultUnits,Tasks[[#This Row],[_Units1]]))</f>
        <v>0</v>
      </c>
      <c r="EQ29" s="43" t="n">
        <f aca="false">Tasks[[#This Row],[_LeafWork]]+Tasks[[#This Row],[_Res2Work]]+Tasks[[#This Row],[_Res3Work]]+Tasks[[#This Row],[_Res4Work]]</f>
        <v>0</v>
      </c>
      <c r="ER2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9" s="43" t="n">
        <f aca="false">IF(NOT(Tasks[[#This Row],[_IsLeaf]]=1),0,MAX(_xlfn.MAXIFS(Tasks[_Row],Tasks[_Pred1UID],Tasks[[#This Row],[UID]]),_xlfn.MAXIFS(Tasks[_Row],Tasks[_Pred2UID],Tasks[[#This Row],[UID]]),_xlfn.MAXIFS(Tasks[_Row],Tasks[_Pred3UID],Tasks[[#This Row],[UID]]),_xlfn.MAXIFS(Tasks[_Row],Tasks[_Pred4UID],Tasks[[#This Row],[UID]])))</f>
        <v>0</v>
      </c>
      <c r="FA2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9" s="91" t="str">
        <f aca="false">IF(NOT(Tasks[[#This Row],[_IsLeaf]]=1),"",IF(N(Tasks[[#This Row],[_Days]])&lt;=0,Tasks[[#This Row],[_LeafLateFinish]],WORKDAY.INTL(Tasks[[#This Row],[_LeafLateFinish]],-(Tasks[[#This Row],[_Days]]-1),WorkWeek,Holidays)))</f>
        <v/>
      </c>
      <c r="FD2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9" s="90" t="b">
        <f aca="false">AND(Tasks[[#This Row],[_IsLeaf]]=1,Tasks[[#This Row],[_LeafProgress]]&lt;1,N(Tasks[[#This Row],[_LeafTotalSlack]])&lt;=CriticalSlackDays)</f>
        <v>0</v>
      </c>
      <c r="FF29" s="43" t="n">
        <f aca="false">IF(AND(Tasks[[#This Row],[_IsLeaf]]=1,Tasks[[#This Row],[_ConstraintCode]]=1,Tasks[[#This Row],[Mode]]&lt;&gt;"Manual",N(Tasks[[#This Row],[Actual Start]])=0),MAX(0,N(Tasks[[#This Row],[Free Slack]])),0)</f>
        <v>0</v>
      </c>
      <c r="FG29" s="91" t="str">
        <f aca="false">IF(NOT(Tasks[[#This Row],[_IsLeaf]]=1),"",IF(Tasks[[#This Row],[_AlapShift]]=0,Tasks[[#This Row],[_LeafCalcStart]],WORKDAY.INTL(Tasks[[#This Row],[_LeafCalcStart]],Tasks[[#This Row],[_AlapShift]],WorkWeek,Holidays)))</f>
        <v/>
      </c>
      <c r="FH29" s="91" t="str">
        <f aca="false">IF(NOT(Tasks[[#This Row],[_IsLeaf]]=1),"",IF(Tasks[[#This Row],[_AlapShift]]=0,Tasks[[#This Row],[_LeafCalcFinish]],WORKDAY.INTL(Tasks[[#This Row],[_LeafCalcFinish]],Tasks[[#This Row],[_AlapShift]],WorkWeek,Holidays)))</f>
        <v/>
      </c>
      <c r="FI29" s="91" t="str">
        <f aca="false">IF(NOT(Tasks[[#This Row],[_IsLeaf]]=1),"",IF(Tasks[[#This Row],[_AlapShift]]=0,Tasks[[#This Row],[_LeafFcstStart]],WORKDAY.INTL(Tasks[[#This Row],[_LeafFcstStart]],Tasks[[#This Row],[_AlapShift]],WorkWeek,Holidays)))</f>
        <v/>
      </c>
      <c r="FJ29" s="91" t="str">
        <f aca="false">IF(NOT(Tasks[[#This Row],[_IsLeaf]]=1),"",IF(Tasks[[#This Row],[_AlapShift]]=0,Tasks[[#This Row],[_LeafFcstFinish]],WORKDAY.INTL(Tasks[[#This Row],[_LeafFcstFinish]],Tasks[[#This Row],[_AlapShift]],WorkWeek,Holidays)))</f>
        <v/>
      </c>
      <c r="FK29" s="91" t="str">
        <f aca="false">IF(Tasks[[#This Row],[Task Name]]="","",IF(Tasks[[#This Row],[_IsSummary]],MIN(INDEX(Tasks[_ShownCalcStart],Tasks[[#This Row],[_Row]]+1):INDEX(Tasks[_ShownCalcStart],Tasks[[#This Row],[_Row]]+Tasks[[#This Row],[_Descendants]])),Tasks[[#This Row],[_ShownCalcStart]]))</f>
        <v/>
      </c>
      <c r="FL29" s="91" t="str">
        <f aca="false">IF(Tasks[[#This Row],[Task Name]]="","",IF(Tasks[[#This Row],[_IsSummary]],MAX(INDEX(Tasks[_ShownCalcFinish],Tasks[[#This Row],[_Row]]+1):INDEX(Tasks[_ShownCalcFinish],Tasks[[#This Row],[_Row]]+Tasks[[#This Row],[_Descendants]])),Tasks[[#This Row],[_ShownCalcFinish]]))</f>
        <v/>
      </c>
      <c r="FM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9" s="43" t="n">
        <f aca="false">IF(AND(Tasks[[#This Row],[_IsLeaf]]=1,Tasks[[#This Row],[_LeafTotalWork]]&gt;0),NETWORKDAYS.INTL(ProjectStart,Tasks[[#This Row],[_ShownFcstStart]],WorkWeek,Holidays),0)</f>
        <v>0</v>
      </c>
      <c r="FZ29" s="43" t="n">
        <f aca="false">IF(AND(Tasks[[#This Row],[_IsLeaf]]=1,Tasks[[#This Row],[_LeafTotalWork]]&gt;0),MAX(Tasks[[#This Row],[_StartWorkday]],NETWORKDAYS.INTL(ProjectStart,Tasks[[#This Row],[_ShownFcstFinish]],WorkWeek,Holidays)),0)</f>
        <v>0</v>
      </c>
      <c r="GA29" s="43" t="n">
        <f aca="false">IF(AND(Tasks[[#This Row],[_IsLeaf]]=1,Tasks[[#This Row],[_LeafTotalWork]]&gt;0),Tasks[[#This Row],[_LeafWork]]/(Tasks[[#This Row],[_FinishWorkday]]-Tasks[[#This Row],[_StartWorkday]]+1),0)</f>
        <v>0</v>
      </c>
      <c r="GB29" s="43" t="n">
        <f aca="false">Tasks[[#This Row],[_WorkPerWorkday]]*(Tasks[[#This Row],[_StartWorkday]]-1)</f>
        <v>-0</v>
      </c>
      <c r="GC29" s="43" t="n">
        <f aca="false">IF(Tasks[[#This Row],[_IsLeaf]]=1,MAX(N(Tasks[[#This Row],[_Days]]),0.1),0)</f>
        <v>0</v>
      </c>
      <c r="GD29" s="43" t="n">
        <f aca="false">Tasks[[#This Row],[_WeightDur]]*Tasks[[#This Row],[_LeafProgress]]</f>
        <v>0</v>
      </c>
      <c r="GE29" s="43" t="n">
        <f aca="false">Tasks[[#This Row],[_WeightDur]]*Tasks[[#This Row],[_PlannedPct]]</f>
        <v>0</v>
      </c>
      <c r="GF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9" s="43" t="str">
        <f aca="false">IF(AND(Tasks[[#This Row],[_IsLeaf]]=1,N(Tasks[[#This Row],[_Days]])=0,Tasks[[#This Row],[_LeafProgress]]&lt;1),Tasks[[#This Row],[_ShownFcstFinish]]+Tasks[[#This Row],[_Row]]/100000,"")</f>
        <v/>
      </c>
      <c r="GH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9" s="43" t="str">
        <f aca="false">IF(Tasks[[#This Row],[Task Name]]="","",LEFT(Tasks[[#This Row],[WBS]],FIND(".",Tasks[[#This Row],[WBS]]&amp;".")-1))</f>
        <v/>
      </c>
      <c r="GJ29" s="43" t="str">
        <f aca="false">IF(AND(Tasks[[#This Row],[Task Name]]&lt;&gt;"",Tasks[[#This Row],[_Level]]=1),Tasks[[#This Row],[_Row]],"")</f>
        <v/>
      </c>
      <c r="GK29" s="43" t="str">
        <f aca="false">IF(AND(Tasks[[#This Row],[_IsLeaf]]=1,N(Tasks[[#This Row],[_Days]])=0),Tasks[[#This Row],[Planned Finish]]+Tasks[[#This Row],[_Row]]/100000,"")</f>
        <v/>
      </c>
      <c r="GL29" s="43" t="str">
        <f aca="false">IF(AND(Tasks[[#This Row],[_IsLeaf]]=1,Tasks[[#This Row],[_LeafProgress]]&lt;1,OR(N(Tasks[[#This Row],[Finish Var]])&gt;0,Tasks[[#This Row],[Status]]="Late Start")),MAX(0,Tasks[[#This Row],[Finish Var]])+1-Tasks[[#This Row],[_Row]]/1000000,"")</f>
        <v/>
      </c>
      <c r="GM29" s="43" t="str">
        <f aca="false">IF(AND(Tasks[[#This Row],[_IsLeaf]]=1,N(Tasks[[#This Row],[Actual Start]])=0,Tasks[[#This Row],[_ShownFcstStart]]&gt;=StatusDate,Tasks[[#This Row],[_ShownFcstStart]]&lt;=LookaheadEnd),Tasks[[#This Row],[_ShownFcstStart]]+Tasks[[#This Row],[_Row]]/100000,"")</f>
        <v/>
      </c>
      <c r="GN29" s="43" t="str">
        <f aca="false">IF(AND(Tasks[[#This Row],[_IsLeaf]]=1,Tasks[[#This Row],[_LeafProgress]]&lt;1,Tasks[[#This Row],[_ShownFcstFinish]]&gt;=StatusDate,Tasks[[#This Row],[_ShownFcstFinish]]&lt;=LookaheadEnd),Tasks[[#This Row],[_ShownFcstFinish]]+Tasks[[#This Row],[_Row]]/100000,"")</f>
        <v/>
      </c>
      <c r="GO29" s="43" t="str">
        <f aca="false">IF(Tasks[[#This Row],[_LeafCritical]],Tasks[[#This Row],[_ShownFcstStart]]+Tasks[[#This Row],[_Row]]/100000,"")</f>
        <v/>
      </c>
      <c r="GP29" s="43" t="n">
        <f aca="false">Tasks[[#This Row],[_LeafWork]]*Tasks[[#This Row],[_LeafProgress]]</f>
        <v>0</v>
      </c>
      <c r="GQ29" s="91" t="str">
        <f aca="false">IF(AND(Tasks[[#This Row],[_IsLeaf]]=1,Tasks[[#This Row],[_LeafProgress]]&gt;=1),IF(N(Tasks[[#This Row],[Actual Finish]])&gt;0,Tasks[[#This Row],[Actual Finish]],Tasks[[#This Row],[_ShownFcstFinish]]),"")</f>
        <v/>
      </c>
      <c r="GR29" s="43" t="n">
        <f aca="false">IF(Tasks[[#This Row],[_IsLeaf]]=1,N(Tasks[[#This Row],[Story Points]]),0)</f>
        <v>0</v>
      </c>
      <c r="GS29" s="43" t="str">
        <f aca="false">""</f>
        <v/>
      </c>
      <c r="GT29" s="90" t="b">
        <f aca="false">IF(Tasks[[#This Row],[Task Name]]="",FALSE(),AND(Tasks[[#This Row],[_IsLeaf]]=1,N(Tasks[[#This Row],[_Days]])=0))</f>
        <v>0</v>
      </c>
      <c r="GU29" s="91" t="n">
        <f aca="false">IF(Tasks[[#This Row],[Task Name]]="",0,IF(AND(Tasks[[#This Row],[_IsLeaf]]=1,NOT(Tasks[[#This Row],[_IsMilestone]]),N(Tasks[[#This Row],[Progress]])&gt;0),Tasks[[#This Row],[Start]],0))</f>
        <v>0</v>
      </c>
      <c r="GV29" s="91" t="n">
        <f aca="false">IF(Tasks[[#This Row],[_DoneFrom]]=0,0,IF(Tasks[[#This Row],[Progress]]&gt;=1,Tasks[[#This Row],[Finish]],MAX(Tasks[[#This Row],[_DoneFrom]],Tasks[[#This Row],[Start]]+ROUND((Tasks[[#This Row],[Finish]]-Tasks[[#This Row],[Start]]+1)*Tasks[[#This Row],[Progress]],0)-1)))</f>
        <v>0</v>
      </c>
      <c r="GW29" s="91" t="n">
        <f aca="false">IF(Tasks[[#This Row],[Task Name]]="",0,IF(OR(NOT(Tasks[[#This Row],[_IsLeaf]]=1),Tasks[[#This Row],[_IsMilestone]],N(Tasks[[#This Row],[Progress]])&gt;=1),0,IF(Tasks[[#This Row],[_DoneTo]]&gt;0,Tasks[[#This Row],[_DoneTo]]+1,Tasks[[#This Row],[Start]])))</f>
        <v>0</v>
      </c>
      <c r="GX29" s="91" t="n">
        <f aca="false">IF(Tasks[[#This Row],[_RemFrom]]=0,0,Tasks[[#This Row],[Finish]])</f>
        <v>0</v>
      </c>
      <c r="GY29" s="90" t="b">
        <f aca="false">IF(Tasks[[#This Row],[Task Name]]="",FALSE(),OR(NOT(BaselineSet),N(Tasks[[#This Row],[Baseline Start]])&gt;0))</f>
        <v>0</v>
      </c>
      <c r="GZ2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9" s="92" t="str">
        <f aca="false">IF(Tasks[[#This Row],[_IsLeaf]]=1,Tasks[[#This Row],[_Row]],"")</f>
        <v/>
      </c>
      <c r="HD29" s="92" t="str">
        <f aca="false">IFERROR(INDEX(Tasks[UID],SMALL(Tasks[_PickKey],Tasks[[#This Row],[_Row]]))&amp;" "&amp;INDEX(Tasks[Task Name],SMALL(Tasks[_PickKey],Tasks[[#This Row],[_Row]])),"")</f>
        <v/>
      </c>
      <c r="HE29" s="43" t="str">
        <f aca="false">IF(Tasks[[#This Row],[Task Name]]="","",IF(Tasks[[#This Row],[_IsSummary]],NETWORKDAYS.INTL(Tasks[[#This Row],[Start]],Tasks[[#This Row],[Finish]],WorkWeek,Holidays),N(Tasks[[#This Row],[_Days]])))</f>
        <v/>
      </c>
      <c r="HF29" s="43" t="n">
        <f aca="false">IF(Tasks[[#This Row],[Expected]]="",0,((Tasks[[#This Row],[Pessimistic]]-Tasks[[#This Row],[Optimistic]])/6)^2)</f>
        <v>0</v>
      </c>
      <c r="HG29" s="43" t="n">
        <f aca="false">IF(Tasks[[#This Row],[Expected]]="",0,Tasks[[#This Row],[Expected]]-N(Tasks[[#This Row],[_Days]]))</f>
        <v>0</v>
      </c>
    </row>
    <row r="30" customFormat="false" ht="15" hidden="false" customHeight="false" outlineLevel="0" collapsed="false">
      <c r="A30" s="21" t="str">
        <f aca="false">IF(Tasks[[#This Row],[Task Name]]="","",COUNTA(Tasks[[#Headers],[Task Name]]:Tasks[[#This Row],[Task Name]])-1)</f>
        <v/>
      </c>
      <c r="B30" s="22" t="n">
        <v>38</v>
      </c>
      <c r="C30" s="22"/>
      <c r="D30" s="23"/>
      <c r="E30" s="22"/>
      <c r="F30" s="23"/>
      <c r="G30" s="22"/>
      <c r="H30" s="22"/>
      <c r="I30" s="23"/>
      <c r="J30" s="22"/>
      <c r="K30" s="22"/>
      <c r="L30" s="23"/>
      <c r="M30" s="22"/>
      <c r="N30" s="22"/>
      <c r="O30" s="23"/>
      <c r="P30" s="22"/>
      <c r="Q30" s="22"/>
      <c r="R30" s="23"/>
      <c r="S30" s="23"/>
      <c r="T30" s="84"/>
      <c r="U30" s="23"/>
      <c r="V30" s="84"/>
      <c r="W30" s="23"/>
      <c r="X30" s="84"/>
      <c r="Y30" s="23"/>
      <c r="Z30" s="84"/>
      <c r="AA30" s="23"/>
      <c r="AB30" s="23"/>
      <c r="AC30" s="7"/>
      <c r="AD30" s="7"/>
      <c r="AE30" s="63" t="str">
        <f aca="false">IF(Tasks[[#This Row],[Task Name]]="","",IF(Tasks[[#This Row],[_IsSummary]],MIN(INDEX(Tasks[_ShownFcstStart],Tasks[[#This Row],[_Row]]+1):INDEX(Tasks[_ShownFcstStart],Tasks[[#This Row],[_Row]]+Tasks[[#This Row],[_Descendants]])),Tasks[[#This Row],[_ShownFcstStart]]))</f>
        <v/>
      </c>
      <c r="AF30" s="63" t="str">
        <f aca="false">IF(Tasks[[#This Row],[Task Name]]="","",IF(Tasks[[#This Row],[_IsSummary]],MAX(INDEX(Tasks[_ShownFcstFinish],Tasks[[#This Row],[_Row]]+1):INDEX(Tasks[_ShownFcstFinish],Tasks[[#This Row],[_Row]]+Tasks[[#This Row],[_Descendants]])),Tasks[[#This Row],[_ShownFcstFinish]]))</f>
        <v/>
      </c>
      <c r="AG30" s="21" t="str">
        <f aca="false">""</f>
        <v/>
      </c>
      <c r="AH30" s="23"/>
      <c r="AI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0" s="7"/>
      <c r="AK30" s="22"/>
      <c r="AL30" s="23"/>
      <c r="AM30" s="7"/>
      <c r="AN30" s="47" t="str">
        <f aca="false">IF(Tasks[[#This Row],[Task Name]]="","",IF(Tasks[[#This Row],[Finish]]&gt;=Tasks[[#This Row],[Planned Finish]],NETWORKDAYS.INTL(Tasks[[#This Row],[Planned Finish]],Tasks[[#This Row],[Finish]],WorkWeek,Holidays)-1,1-NETWORKDAYS.INTL(Tasks[[#This Row],[Finish]],Tasks[[#This Row],[Planned Finish]],WorkWeek,Holidays)))</f>
        <v/>
      </c>
      <c r="AO30" s="21" t="str">
        <f aca="false">IF(Tasks[[#This Row],[Task Name]]="","",IF(Tasks[[#This Row],[Progress]]&gt;=1,"Complete",IF(OR(N(Tasks[[#This Row],[Actual Start]])&gt;0,Tasks[[#This Row],[Progress]]&gt;0),IF(Tasks[[#This Row],[Finish Var]]&gt;0,"Behind","In Progress"),IF(Tasks[[#This Row],[Planned Start]]&lt;StatusDate,"Late Start","Not Started"))))</f>
        <v/>
      </c>
      <c r="AP30" s="21" t="str">
        <f aca="false">IF(Tasks[[#This Row],[Task Name]]="","",IF(IF(Tasks[[#This Row],[_IsSummary]],COUNTIF(INDEX(Tasks[_LeafCritical],Tasks[[#This Row],[_Row]]+1):INDEX(Tasks[_LeafCritical],Tasks[[#This Row],[_Row]]+Tasks[[#This Row],[_Descendants]]),TRUE())&gt;0,Tasks[[#This Row],[_LeafCritical]]),"Yes",""))</f>
        <v/>
      </c>
      <c r="AQ30" s="63" t="str">
        <f aca="false">IF(Tasks[[#This Row],[Task Name]]="","",IF(N(Tasks[[#This Row],[Baseline Start]])&gt;0,Tasks[[#This Row],[Baseline Start]],Tasks[[#This Row],[_CalcStart]]))</f>
        <v/>
      </c>
      <c r="AR30" s="63" t="str">
        <f aca="false">IF(Tasks[[#This Row],[Task Name]]="","",IF(N(Tasks[[#This Row],[Baseline Finish]])&gt;0,Tasks[[#This Row],[Baseline Finish]],Tasks[[#This Row],[_CalcFinish]]))</f>
        <v/>
      </c>
      <c r="AS30" s="47" t="str">
        <f aca="false">IF(Tasks[[#This Row],[Task Name]]="","",IF(Tasks[[#This Row],[Start]]&gt;=Tasks[[#This Row],[Planned Start]],NETWORKDAYS.INTL(Tasks[[#This Row],[Planned Start]],Tasks[[#This Row],[Start]],WorkWeek,Holidays)-1,1-NETWORKDAYS.INTL(Tasks[[#This Row],[Start]],Tasks[[#This Row],[Planned Start]],WorkWeek,Holidays)))</f>
        <v/>
      </c>
      <c r="AT30" s="63" t="str">
        <f aca="false">IF(Tasks[[#This Row],[Task Name]]="","",IF(Tasks[[#This Row],[_IsSummary]],MIN(INDEX(Tasks[_LeafLateStart],Tasks[[#This Row],[_Row]]+1):INDEX(Tasks[_LeafLateStart],Tasks[[#This Row],[_Row]]+Tasks[[#This Row],[_Descendants]])),Tasks[[#This Row],[_LeafLateStart]]))</f>
        <v/>
      </c>
      <c r="AU30" s="63" t="str">
        <f aca="false">IF(Tasks[[#This Row],[Task Name]]="","",IF(Tasks[[#This Row],[_IsSummary]],MAX(INDEX(Tasks[_LeafLateFinish],Tasks[[#This Row],[_Row]]+1):INDEX(Tasks[_LeafLateFinish],Tasks[[#This Row],[_Row]]+Tasks[[#This Row],[_Descendants]])),Tasks[[#This Row],[_LeafLateFinish]]))</f>
        <v/>
      </c>
      <c r="AV30" s="47" t="str">
        <f aca="false">IF(Tasks[[#This Row],[Task Name]]="","",IF(Tasks[[#This Row],[_IsSummary]],MIN(INDEX(Tasks[_LeafTotalSlack],Tasks[[#This Row],[_Row]]+1):INDEX(Tasks[_LeafTotalSlack],Tasks[[#This Row],[_Row]]+Tasks[[#This Row],[_Descendants]])),Tasks[[#This Row],[_LeafTotalSlack]]))</f>
        <v/>
      </c>
      <c r="AW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5"/>
      <c r="BA3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t="str">
        <f aca="false">IF(Tasks[[#This Row],[Task Name]]="","",IF(Tasks[[#This Row],[_Level]]&lt;=OutlineShowLevel,"Yes","No"))</f>
        <v/>
      </c>
      <c r="BE30" s="86" t="str">
        <f aca="false">IF(Tasks[[#This Row],[Task Name]]="","",IF(Tasks[[#This Row],[_IsSummary]],SUM(INDEX(Tasks[_LeafTotalWork],Tasks[[#This Row],[_Row]]+1):INDEX(Tasks[_LeafTotalWork],Tasks[[#This Row],[_Row]]+Tasks[[#This Row],[_Descendants]])),Tasks[[#This Row],[_LeafTotalWork]]))</f>
        <v/>
      </c>
      <c r="BF30" s="23"/>
      <c r="BG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t="str">
        <f aca="false">""</f>
        <v/>
      </c>
      <c r="BI30" s="87"/>
      <c r="BJ30" s="22"/>
      <c r="BK30" s="47" t="str">
        <f aca="false">IF(OR(Tasks[[#This Row],[Task Name]]="",Tasks[[#This Row],[Baseline Duration]]=""),"",Tasks[[#This Row],[_SpanDays]]-N(Tasks[[#This Row],[Baseline Duration]]))</f>
        <v/>
      </c>
      <c r="BL30" s="86" t="str">
        <f aca="false">IF(OR(Tasks[[#This Row],[Task Name]]="",Tasks[[#This Row],[Baseline Work]]=""),"",Tasks[[#This Row],[Work]]-N(Tasks[[#This Row],[Baseline Work]]))</f>
        <v/>
      </c>
      <c r="BM30" s="63" t="str">
        <f aca="false">IF(Tasks[[#This Row],[Task Name]]="","",IF(OR(TakeBaseline="Yes",N(Tasks[[#This Row],[Baseline Start]])=0),Tasks[[#This Row],[Start]],Tasks[[#This Row],[Baseline Start]]))</f>
        <v/>
      </c>
      <c r="BN30" s="63" t="str">
        <f aca="false">IF(Tasks[[#This Row],[Task Name]]="","",IF(OR(TakeBaseline="Yes",N(Tasks[[#This Row],[Baseline Finish]])=0),Tasks[[#This Row],[Finish]],Tasks[[#This Row],[Baseline Finish]]))</f>
        <v/>
      </c>
      <c r="BO30" s="21" t="str">
        <f aca="false">IF(Tasks[[#This Row],[Task Name]]="","",IF(OR(TakeBaseline="Yes",N(Tasks[[#This Row],[Baseline Duration]])=0),Tasks[[#This Row],[_SpanDays]],Tasks[[#This Row],[Baseline Duration]]))</f>
        <v/>
      </c>
      <c r="BP30" s="86" t="str">
        <f aca="false">IF(Tasks[[#This Row],[Task Name]]="","",IF(OR(TakeBaseline="Yes",N(Tasks[[#This Row],[Baseline Work]])=0),Tasks[[#This Row],[Work]],Tasks[[#This Row],[Baseline Work]]))</f>
        <v/>
      </c>
      <c r="BQ30" s="7"/>
      <c r="BR30" s="7"/>
      <c r="BS30" s="22"/>
      <c r="BT30" s="88"/>
      <c r="BU30" s="23"/>
      <c r="BV30" s="23"/>
      <c r="BW30" s="23"/>
      <c r="BX30" s="89" t="str">
        <f aca="false">IF(AND(Tasks[[#This Row],[_IsLeaf]]=1,ISNUMBER(Tasks[[#This Row],[Optimistic]]),ISNUMBER(Tasks[[#This Row],[Pessimistic]])),ROUND((Tasks[[#This Row],[Optimistic]]+4*N(Tasks[[#This Row],[_Days]])+Tasks[[#This Row],[Pessimistic]])/6,1),"")</f>
        <v/>
      </c>
      <c r="BY30" s="87"/>
      <c r="BZ30" s="87"/>
      <c r="CA30" s="22"/>
      <c r="CB30" s="43" t="str">
        <f aca="false">IF(Tasks[[#This Row],[Task Name]]="","",MAX(1,N(Tasks[[#This Row],[Level]])))</f>
        <v/>
      </c>
      <c r="CC30" s="43" t="n">
        <f aca="false">ROW()-ROW(Tasks[[#Headers],[ID]])</f>
        <v>25</v>
      </c>
      <c r="CD30" s="43" t="n">
        <f aca="false">IF(OR(Tasks[[#This Row],[Task Name]]="",Tasks[[#This Row],[_Level]]&lt;=1),0,IFERROR(LOOKUP(2,1/(Tasks[[#Headers],[_Level]]:Tasks[[#This Row],[_Level]]=Tasks[[#This Row],[_Level]]-1),ROW(Tasks[[#Headers],[_Level]]:Tasks[[#This Row],[_Level]])),0))</f>
        <v>0</v>
      </c>
      <c r="CE30" s="43" t="n">
        <f aca="false">IFERROR(N(INDEX(Tasks[_Level],Tasks[[#This Row],[_Row]]+1)),0)</f>
        <v>0</v>
      </c>
      <c r="CF30" s="90" t="b">
        <f aca="false">AND(Tasks[[#This Row],[Task Name]]&lt;&gt;"",Tasks[[#This Row],[_NextLevel]]&gt;Tasks[[#This Row],[_Level]])</f>
        <v>0</v>
      </c>
      <c r="CG30" s="43" t="n">
        <f aca="false">IF(Tasks[[#This Row],[_IsSummary]],COUNTIF(Tasks[WBS],Tasks[[#This Row],[WBS]]&amp;".*"),0)</f>
        <v>0</v>
      </c>
      <c r="CH30" s="43" t="n">
        <f aca="false">IF(AND(Tasks[[#This Row],[Task Name]]&lt;&gt;"",NOT(Tasks[[#This Row],[_IsSummary]])),1,0)</f>
        <v>0</v>
      </c>
      <c r="CI30" s="43" t="n">
        <f aca="false">IF(N(Tasks[[#This Row],[_Pred1UID]])=0,0,IFERROR(MATCH(Tasks[[#This Row],[_Pred1UID]],Tasks[UID],0),-1))</f>
        <v>0</v>
      </c>
      <c r="CJ30" s="43" t="n">
        <f aca="false">IF(N(Tasks[[#This Row],[_Pred2UID]])=0,0,IFERROR(MATCH(Tasks[[#This Row],[_Pred2UID]],Tasks[UID],0),-1))</f>
        <v>0</v>
      </c>
      <c r="CK30" s="43" t="n">
        <f aca="false">IF(N(Tasks[[#This Row],[_Pred3UID]])=0,0,IFERROR(MATCH(Tasks[[#This Row],[_Pred3UID]],Tasks[UID],0),-1))</f>
        <v>0</v>
      </c>
      <c r="CL30" s="43" t="n">
        <f aca="false">IF(N(Tasks[[#This Row],[_Pred4UID]])=0,0,IFERROR(MATCH(Tasks[[#This Row],[_Pred4UID]],Tasks[UID],0),-1))</f>
        <v>0</v>
      </c>
      <c r="CM3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0" s="91" t="n">
        <f aca="false">IF(OR(Tasks[[#This Row],[_ConstraintCode]]=2,Tasks[[#This Row],[_ConstraintCode]]=3,Tasks[[#This Row],[_ConstraintCode]]=4,Tasks[[#This Row],[_ConstraintCode]]=6),Tasks[[#This Row],[_ConstraintStart]],0)</f>
        <v>0</v>
      </c>
      <c r="CP30" s="91" t="n">
        <f aca="false">IF(OR(Tasks[[#This Row],[_ConstraintCode]]=2,Tasks[[#This Row],[_ConstraintCode]]=3,Tasks[[#This Row],[_ConstraintCode]]=5,Tasks[[#This Row],[_ConstraintCode]]=7),Tasks[[#This Row],[_ConstraintStart]],2958465)</f>
        <v>2958465</v>
      </c>
      <c r="CQ3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0" s="91" t="str">
        <f aca="false">IF(NOT(Tasks[[#This Row],[_IsLeaf]]=1),"",IF(N(Tasks[[#This Row],[_Days]])&lt;=0,Tasks[[#This Row],[_LeafCalcStart]],WORKDAY.INTL(Tasks[[#This Row],[_LeafCalcStart]],Tasks[[#This Row],[_Days]]-1,WorkWeek,Holidays)))</f>
        <v/>
      </c>
      <c r="CS3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0" s="43" t="str">
        <f aca="false">IF(Tasks[[#This Row],[_Predecessors]]="","",TRIM(MID(SUBSTITUTE(SUBSTITUTE(SUBSTITUTE(UPPER(Tasks[[#This Row],[_Predecessors]]),";",",")," ",""),",",REPT(" ",99)),1,99)))</f>
        <v/>
      </c>
      <c r="CV30" s="43" t="str">
        <f aca="false">IF(Tasks[[#This Row],[_Pred1Text]]="","",IFERROR(VALUE(LEFT(Tasks[[#This Row],[_Pred1Text]],MIN(FIND("F",Tasks[[#This Row],[_Pred1Text]]&amp;"F"),FIND("S",Tasks[[#This Row],[_Pred1Text]]&amp;"S"),FIND("+",Tasks[[#This Row],[_Pred1Text]]&amp;"+"),FIND("-",Tasks[[#This Row],[_Pred1Text]]&amp;"-"))-1)),""))</f>
        <v/>
      </c>
      <c r="CW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0" s="43" t="str">
        <f aca="false">IF(Tasks[[#This Row],[_Pred1Text]]="","",TRIM(MID(SUBSTITUTE(SUBSTITUTE(SUBSTITUTE(UPPER(Tasks[[#This Row],[_Predecessors]]),";",",")," ",""),",",REPT(" ",99)),100,99)))</f>
        <v/>
      </c>
      <c r="CZ30" s="43" t="str">
        <f aca="false">IF(Tasks[[#This Row],[_Pred2Text]]="","",IFERROR(VALUE(LEFT(Tasks[[#This Row],[_Pred2Text]],MIN(FIND("F",Tasks[[#This Row],[_Pred2Text]]&amp;"F"),FIND("S",Tasks[[#This Row],[_Pred2Text]]&amp;"S"),FIND("+",Tasks[[#This Row],[_Pred2Text]]&amp;"+"),FIND("-",Tasks[[#This Row],[_Pred2Text]]&amp;"-"))-1)),""))</f>
        <v/>
      </c>
      <c r="DA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0" s="43" t="str">
        <f aca="false">IF(Tasks[[#This Row],[_Pred2Text]]="","",TRIM(MID(SUBSTITUTE(SUBSTITUTE(SUBSTITUTE(UPPER(Tasks[[#This Row],[_Predecessors]]),";",",")," ",""),",",REPT(" ",99)),199,99)))</f>
        <v/>
      </c>
      <c r="DD30" s="43" t="str">
        <f aca="false">IF(Tasks[[#This Row],[_Pred3Text]]="","",IFERROR(VALUE(LEFT(Tasks[[#This Row],[_Pred3Text]],MIN(FIND("F",Tasks[[#This Row],[_Pred3Text]]&amp;"F"),FIND("S",Tasks[[#This Row],[_Pred3Text]]&amp;"S"),FIND("+",Tasks[[#This Row],[_Pred3Text]]&amp;"+"),FIND("-",Tasks[[#This Row],[_Pred3Text]]&amp;"-"))-1)),""))</f>
        <v/>
      </c>
      <c r="DE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0" s="43" t="str">
        <f aca="false">IF(Tasks[[#This Row],[_Pred3Text]]="","",TRIM(MID(SUBSTITUTE(SUBSTITUTE(SUBSTITUTE(UPPER(Tasks[[#This Row],[_Predecessors]]),";",",")," ",""),",",REPT(" ",99)),298,99)))</f>
        <v/>
      </c>
      <c r="DH30" s="43" t="str">
        <f aca="false">IF(Tasks[[#This Row],[_Pred4Text]]="","",IFERROR(VALUE(LEFT(Tasks[[#This Row],[_Pred4Text]],MIN(FIND("F",Tasks[[#This Row],[_Pred4Text]]&amp;"F"),FIND("S",Tasks[[#This Row],[_Pred4Text]]&amp;"S"),FIND("+",Tasks[[#This Row],[_Pred4Text]]&amp;"+"),FIND("-",Tasks[[#This Row],[_Pred4Text]]&amp;"-"))-1)),""))</f>
        <v/>
      </c>
      <c r="DI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0" s="43" t="str">
        <f aca="false">IF(OR(Tasks[[#This Row],[Task Name]]="",Tasks[[#This Row],[_Resources]]=""),"",TRIM(MID(SUBSTITUTE(Tasks[[#This Row],[_Resources]],",",REPT(" ",99)),1,99)))</f>
        <v/>
      </c>
      <c r="DL30" s="43" t="str">
        <f aca="false">IF(Tasks[[#This Row],[_Res1Text]]="","",TRIM(MID(SUBSTITUTE(Tasks[[#This Row],[_Resources]],",",REPT(" ",99)),100,99)))</f>
        <v/>
      </c>
      <c r="DM30" s="43" t="str">
        <f aca="false">IF(Tasks[[#This Row],[_Res2Text]]="","",TRIM(MID(SUBSTITUTE(Tasks[[#This Row],[_Resources]],",",REPT(" ",99)),199,99)))</f>
        <v/>
      </c>
      <c r="DN30" s="43" t="str">
        <f aca="false">IF(Tasks[[#This Row],[_Res3Text]]="","",TRIM(MID(SUBSTITUTE(Tasks[[#This Row],[_Resources]],",",REPT(" ",99)),298,99)))</f>
        <v/>
      </c>
      <c r="DO30" s="43" t="n">
        <f aca="false">IF(Tasks[[#This Row],[_Res1Text]]="",0,IFERROR(MATCH(TRIM(LEFT(Tasks[[#This Row],[_Res1Text]],FIND("[",Tasks[[#This Row],[_Res1Text]]&amp;"[")-1)),res_Name,0),IFERROR(MATCH(TRIM(LEFT(Tasks[[#This Row],[_Res1Text]],FIND("[",Tasks[[#This Row],[_Res1Text]]&amp;"[")-1)),res_Initials,0),0)))</f>
        <v>0</v>
      </c>
      <c r="DP30" s="43" t="n">
        <f aca="false">IF(Tasks[[#This Row],[_Res2Text]]="",0,IFERROR(MATCH(TRIM(LEFT(Tasks[[#This Row],[_Res2Text]],FIND("[",Tasks[[#This Row],[_Res2Text]]&amp;"[")-1)),res_Name,0),IFERROR(MATCH(TRIM(LEFT(Tasks[[#This Row],[_Res2Text]],FIND("[",Tasks[[#This Row],[_Res2Text]]&amp;"[")-1)),res_Initials,0),0)))</f>
        <v>0</v>
      </c>
      <c r="DQ30" s="43" t="n">
        <f aca="false">IF(Tasks[[#This Row],[_Res3Text]]="",0,IFERROR(MATCH(TRIM(LEFT(Tasks[[#This Row],[_Res3Text]],FIND("[",Tasks[[#This Row],[_Res3Text]]&amp;"[")-1)),res_Name,0),IFERROR(MATCH(TRIM(LEFT(Tasks[[#This Row],[_Res3Text]],FIND("[",Tasks[[#This Row],[_Res3Text]]&amp;"[")-1)),res_Initials,0),0)))</f>
        <v>0</v>
      </c>
      <c r="DR30" s="43" t="n">
        <f aca="false">IF(Tasks[[#This Row],[_Res4Text]]="",0,IFERROR(MATCH(TRIM(LEFT(Tasks[[#This Row],[_Res4Text]],FIND("[",Tasks[[#This Row],[_Res4Text]]&amp;"[")-1)),res_Name,0),IFERROR(MATCH(TRIM(LEFT(Tasks[[#This Row],[_Res4Text]],FIND("[",Tasks[[#This Row],[_Res4Text]]&amp;"[")-1)),res_Initials,0),0)))</f>
        <v>0</v>
      </c>
      <c r="DS30" s="43" t="str">
        <f aca="false">IF(Tasks[[#This Row],[_Res1Text]]="","",IF(Tasks[[#This Row],[_Res1Row]]&gt;0,INDEX(res_Name,Tasks[[#This Row],[_Res1Row]]),TRIM(LEFT(Tasks[[#This Row],[_Res1Text]],FIND("[",Tasks[[#This Row],[_Res1Text]]&amp;"[")-1))))</f>
        <v/>
      </c>
      <c r="DT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0" s="43" t="n">
        <f aca="false">IF(NOT(Tasks[[#This Row],[_IsLeaf]]=1),0,(Tasks[[#This Row],[_Resource1]]&lt;&gt;"")+(Tasks[[#This Row],[_Res2]]&lt;&gt;"")+(Tasks[[#This Row],[_Res3]]&lt;&gt;"")+(Tasks[[#This Row],[_Res4]]&lt;&gt;""))</f>
        <v>0</v>
      </c>
      <c r="DV30" s="43" t="str">
        <f aca="false">IF(Tasks[[#This Row],[_Res2Text]]="","",IF(Tasks[[#This Row],[_Res2Row]]&gt;0,INDEX(res_Name,Tasks[[#This Row],[_Res2Row]]),TRIM(LEFT(Tasks[[#This Row],[_Res2Text]],FIND("[",Tasks[[#This Row],[_Res2Text]]&amp;"[")-1))))</f>
        <v/>
      </c>
      <c r="DW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0" s="43" t="n">
        <f aca="false">IF(OR(NOT(Tasks[[#This Row],[_IsLeaf]]=1),Tasks[[#This Row],[_Res2Row]]=0),0,N(Tasks[[#This Row],[_Days]])*HoursPerDay*IF(Tasks[[#This Row],[_Res2Units]]="",DefaultUnits,Tasks[[#This Row],[_Res2Units]]))</f>
        <v>0</v>
      </c>
      <c r="DY30" s="43" t="n">
        <f aca="false">IF(AND(AND(Tasks[[#This Row],[_IsLeaf]]=1,Tasks[[#This Row],[_LeafTotalWork]]&gt;0),Tasks[[#This Row],[_Res2Work]]&gt;0),Tasks[[#This Row],[_Res2Work]]/(Tasks[[#This Row],[_FinishWorkday]]-Tasks[[#This Row],[_StartWorkday]]+1),0)</f>
        <v>0</v>
      </c>
      <c r="DZ30" s="43" t="n">
        <f aca="false">Tasks[[#This Row],[_Res2WorkPerWD]]*MAX(0,Tasks[[#This Row],[_StartWorkday]]-1)</f>
        <v>0</v>
      </c>
      <c r="EA30" s="43" t="n">
        <f aca="false">Tasks[[#This Row],[_Res2Work]]*Tasks[[#This Row],[_LeafProgress]]</f>
        <v>0</v>
      </c>
      <c r="EB30" s="43" t="str">
        <f aca="false">IF(Tasks[[#This Row],[_Res3Text]]="","",IF(Tasks[[#This Row],[_Res3Row]]&gt;0,INDEX(res_Name,Tasks[[#This Row],[_Res3Row]]),TRIM(LEFT(Tasks[[#This Row],[_Res3Text]],FIND("[",Tasks[[#This Row],[_Res3Text]]&amp;"[")-1))))</f>
        <v/>
      </c>
      <c r="EC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0" s="43" t="n">
        <f aca="false">IF(OR(NOT(Tasks[[#This Row],[_IsLeaf]]=1),Tasks[[#This Row],[_Res3Row]]=0),0,N(Tasks[[#This Row],[_Days]])*HoursPerDay*IF(Tasks[[#This Row],[_Res3Units]]="",DefaultUnits,Tasks[[#This Row],[_Res3Units]]))</f>
        <v>0</v>
      </c>
      <c r="EE30" s="43" t="n">
        <f aca="false">IF(AND(AND(Tasks[[#This Row],[_IsLeaf]]=1,Tasks[[#This Row],[_LeafTotalWork]]&gt;0),Tasks[[#This Row],[_Res3Work]]&gt;0),Tasks[[#This Row],[_Res3Work]]/(Tasks[[#This Row],[_FinishWorkday]]-Tasks[[#This Row],[_StartWorkday]]+1),0)</f>
        <v>0</v>
      </c>
      <c r="EF30" s="43" t="n">
        <f aca="false">Tasks[[#This Row],[_Res3WorkPerWD]]*MAX(0,Tasks[[#This Row],[_StartWorkday]]-1)</f>
        <v>0</v>
      </c>
      <c r="EG30" s="43" t="n">
        <f aca="false">Tasks[[#This Row],[_Res3Work]]*Tasks[[#This Row],[_LeafProgress]]</f>
        <v>0</v>
      </c>
      <c r="EH30" s="43" t="str">
        <f aca="false">IF(Tasks[[#This Row],[_Res4Text]]="","",IF(Tasks[[#This Row],[_Res4Row]]&gt;0,INDEX(res_Name,Tasks[[#This Row],[_Res4Row]]),TRIM(LEFT(Tasks[[#This Row],[_Res4Text]],FIND("[",Tasks[[#This Row],[_Res4Text]]&amp;"[")-1))))</f>
        <v/>
      </c>
      <c r="EI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0" s="43" t="n">
        <f aca="false">IF(OR(NOT(Tasks[[#This Row],[_IsLeaf]]=1),Tasks[[#This Row],[_Res4Row]]=0),0,N(Tasks[[#This Row],[_Days]])*HoursPerDay*IF(Tasks[[#This Row],[_Res4Units]]="",DefaultUnits,Tasks[[#This Row],[_Res4Units]]))</f>
        <v>0</v>
      </c>
      <c r="EK30" s="43" t="n">
        <f aca="false">IF(AND(AND(Tasks[[#This Row],[_IsLeaf]]=1,Tasks[[#This Row],[_LeafTotalWork]]&gt;0),Tasks[[#This Row],[_Res4Work]]&gt;0),Tasks[[#This Row],[_Res4Work]]/(Tasks[[#This Row],[_FinishWorkday]]-Tasks[[#This Row],[_StartWorkday]]+1),0)</f>
        <v>0</v>
      </c>
      <c r="EL30" s="43" t="n">
        <f aca="false">Tasks[[#This Row],[_Res4WorkPerWD]]*MAX(0,Tasks[[#This Row],[_StartWorkday]]-1)</f>
        <v>0</v>
      </c>
      <c r="EM30" s="43" t="n">
        <f aca="false">Tasks[[#This Row],[_Res4Work]]*Tasks[[#This Row],[_LeafProgress]]</f>
        <v>0</v>
      </c>
      <c r="EN30" s="43" t="n">
        <f aca="false">IF(ISNUMBER(Tasks[[#This Row],[% Complete]]),Tasks[[#This Row],[% Complete]],IF(Tasks[[#This Row],[Stage]]="",0,IFERROR(INDEX(stg_Pct,MATCH(Tasks[[#This Row],[Stage]],stg_Name,0)),0)))</f>
        <v>0</v>
      </c>
      <c r="EO30" s="43" t="n">
        <f aca="false">IF(NOT(Tasks[[#This Row],[_IsLeaf]]=1),0,IF(N(Tasks[[#This Row],[Actual Finish]])&gt;0,1,MIN(1,Tasks[[#This Row],[_Pct]])))</f>
        <v>0</v>
      </c>
      <c r="EP30" s="43" t="n">
        <f aca="false">IF(OR(NOT(Tasks[[#This Row],[_IsLeaf]]=1),Tasks[[#This Row],[_Res1Row]]=0),0,N(Tasks[[#This Row],[_Days]])*HoursPerDay*IF(Tasks[[#This Row],[_Units1]]="",DefaultUnits,Tasks[[#This Row],[_Units1]]))</f>
        <v>0</v>
      </c>
      <c r="EQ30" s="43" t="n">
        <f aca="false">Tasks[[#This Row],[_LeafWork]]+Tasks[[#This Row],[_Res2Work]]+Tasks[[#This Row],[_Res3Work]]+Tasks[[#This Row],[_Res4Work]]</f>
        <v>0</v>
      </c>
      <c r="ER3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0" s="43" t="n">
        <f aca="false">IF(NOT(Tasks[[#This Row],[_IsLeaf]]=1),0,MAX(_xlfn.MAXIFS(Tasks[_Row],Tasks[_Pred1UID],Tasks[[#This Row],[UID]]),_xlfn.MAXIFS(Tasks[_Row],Tasks[_Pred2UID],Tasks[[#This Row],[UID]]),_xlfn.MAXIFS(Tasks[_Row],Tasks[_Pred3UID],Tasks[[#This Row],[UID]]),_xlfn.MAXIFS(Tasks[_Row],Tasks[_Pred4UID],Tasks[[#This Row],[UID]])))</f>
        <v>0</v>
      </c>
      <c r="FA3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0" s="91" t="str">
        <f aca="false">IF(NOT(Tasks[[#This Row],[_IsLeaf]]=1),"",IF(N(Tasks[[#This Row],[_Days]])&lt;=0,Tasks[[#This Row],[_LeafLateFinish]],WORKDAY.INTL(Tasks[[#This Row],[_LeafLateFinish]],-(Tasks[[#This Row],[_Days]]-1),WorkWeek,Holidays)))</f>
        <v/>
      </c>
      <c r="FD3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0" s="90" t="b">
        <f aca="false">AND(Tasks[[#This Row],[_IsLeaf]]=1,Tasks[[#This Row],[_LeafProgress]]&lt;1,N(Tasks[[#This Row],[_LeafTotalSlack]])&lt;=CriticalSlackDays)</f>
        <v>0</v>
      </c>
      <c r="FF30" s="43" t="n">
        <f aca="false">IF(AND(Tasks[[#This Row],[_IsLeaf]]=1,Tasks[[#This Row],[_ConstraintCode]]=1,Tasks[[#This Row],[Mode]]&lt;&gt;"Manual",N(Tasks[[#This Row],[Actual Start]])=0),MAX(0,N(Tasks[[#This Row],[Free Slack]])),0)</f>
        <v>0</v>
      </c>
      <c r="FG30" s="91" t="str">
        <f aca="false">IF(NOT(Tasks[[#This Row],[_IsLeaf]]=1),"",IF(Tasks[[#This Row],[_AlapShift]]=0,Tasks[[#This Row],[_LeafCalcStart]],WORKDAY.INTL(Tasks[[#This Row],[_LeafCalcStart]],Tasks[[#This Row],[_AlapShift]],WorkWeek,Holidays)))</f>
        <v/>
      </c>
      <c r="FH30" s="91" t="str">
        <f aca="false">IF(NOT(Tasks[[#This Row],[_IsLeaf]]=1),"",IF(Tasks[[#This Row],[_AlapShift]]=0,Tasks[[#This Row],[_LeafCalcFinish]],WORKDAY.INTL(Tasks[[#This Row],[_LeafCalcFinish]],Tasks[[#This Row],[_AlapShift]],WorkWeek,Holidays)))</f>
        <v/>
      </c>
      <c r="FI30" s="91" t="str">
        <f aca="false">IF(NOT(Tasks[[#This Row],[_IsLeaf]]=1),"",IF(Tasks[[#This Row],[_AlapShift]]=0,Tasks[[#This Row],[_LeafFcstStart]],WORKDAY.INTL(Tasks[[#This Row],[_LeafFcstStart]],Tasks[[#This Row],[_AlapShift]],WorkWeek,Holidays)))</f>
        <v/>
      </c>
      <c r="FJ30" s="91" t="str">
        <f aca="false">IF(NOT(Tasks[[#This Row],[_IsLeaf]]=1),"",IF(Tasks[[#This Row],[_AlapShift]]=0,Tasks[[#This Row],[_LeafFcstFinish]],WORKDAY.INTL(Tasks[[#This Row],[_LeafFcstFinish]],Tasks[[#This Row],[_AlapShift]],WorkWeek,Holidays)))</f>
        <v/>
      </c>
      <c r="FK30" s="91" t="str">
        <f aca="false">IF(Tasks[[#This Row],[Task Name]]="","",IF(Tasks[[#This Row],[_IsSummary]],MIN(INDEX(Tasks[_ShownCalcStart],Tasks[[#This Row],[_Row]]+1):INDEX(Tasks[_ShownCalcStart],Tasks[[#This Row],[_Row]]+Tasks[[#This Row],[_Descendants]])),Tasks[[#This Row],[_ShownCalcStart]]))</f>
        <v/>
      </c>
      <c r="FL30" s="91" t="str">
        <f aca="false">IF(Tasks[[#This Row],[Task Name]]="","",IF(Tasks[[#This Row],[_IsSummary]],MAX(INDEX(Tasks[_ShownCalcFinish],Tasks[[#This Row],[_Row]]+1):INDEX(Tasks[_ShownCalcFinish],Tasks[[#This Row],[_Row]]+Tasks[[#This Row],[_Descendants]])),Tasks[[#This Row],[_ShownCalcFinish]]))</f>
        <v/>
      </c>
      <c r="FM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0" s="43" t="n">
        <f aca="false">IF(AND(Tasks[[#This Row],[_IsLeaf]]=1,Tasks[[#This Row],[_LeafTotalWork]]&gt;0),NETWORKDAYS.INTL(ProjectStart,Tasks[[#This Row],[_ShownFcstStart]],WorkWeek,Holidays),0)</f>
        <v>0</v>
      </c>
      <c r="FZ30" s="43" t="n">
        <f aca="false">IF(AND(Tasks[[#This Row],[_IsLeaf]]=1,Tasks[[#This Row],[_LeafTotalWork]]&gt;0),MAX(Tasks[[#This Row],[_StartWorkday]],NETWORKDAYS.INTL(ProjectStart,Tasks[[#This Row],[_ShownFcstFinish]],WorkWeek,Holidays)),0)</f>
        <v>0</v>
      </c>
      <c r="GA30" s="43" t="n">
        <f aca="false">IF(AND(Tasks[[#This Row],[_IsLeaf]]=1,Tasks[[#This Row],[_LeafTotalWork]]&gt;0),Tasks[[#This Row],[_LeafWork]]/(Tasks[[#This Row],[_FinishWorkday]]-Tasks[[#This Row],[_StartWorkday]]+1),0)</f>
        <v>0</v>
      </c>
      <c r="GB30" s="43" t="n">
        <f aca="false">Tasks[[#This Row],[_WorkPerWorkday]]*(Tasks[[#This Row],[_StartWorkday]]-1)</f>
        <v>-0</v>
      </c>
      <c r="GC30" s="43" t="n">
        <f aca="false">IF(Tasks[[#This Row],[_IsLeaf]]=1,MAX(N(Tasks[[#This Row],[_Days]]),0.1),0)</f>
        <v>0</v>
      </c>
      <c r="GD30" s="43" t="n">
        <f aca="false">Tasks[[#This Row],[_WeightDur]]*Tasks[[#This Row],[_LeafProgress]]</f>
        <v>0</v>
      </c>
      <c r="GE30" s="43" t="n">
        <f aca="false">Tasks[[#This Row],[_WeightDur]]*Tasks[[#This Row],[_PlannedPct]]</f>
        <v>0</v>
      </c>
      <c r="GF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0" s="43" t="str">
        <f aca="false">IF(AND(Tasks[[#This Row],[_IsLeaf]]=1,N(Tasks[[#This Row],[_Days]])=0,Tasks[[#This Row],[_LeafProgress]]&lt;1),Tasks[[#This Row],[_ShownFcstFinish]]+Tasks[[#This Row],[_Row]]/100000,"")</f>
        <v/>
      </c>
      <c r="GH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0" s="43" t="str">
        <f aca="false">IF(Tasks[[#This Row],[Task Name]]="","",LEFT(Tasks[[#This Row],[WBS]],FIND(".",Tasks[[#This Row],[WBS]]&amp;".")-1))</f>
        <v/>
      </c>
      <c r="GJ30" s="43" t="str">
        <f aca="false">IF(AND(Tasks[[#This Row],[Task Name]]&lt;&gt;"",Tasks[[#This Row],[_Level]]=1),Tasks[[#This Row],[_Row]],"")</f>
        <v/>
      </c>
      <c r="GK30" s="43" t="str">
        <f aca="false">IF(AND(Tasks[[#This Row],[_IsLeaf]]=1,N(Tasks[[#This Row],[_Days]])=0),Tasks[[#This Row],[Planned Finish]]+Tasks[[#This Row],[_Row]]/100000,"")</f>
        <v/>
      </c>
      <c r="GL30" s="43" t="str">
        <f aca="false">IF(AND(Tasks[[#This Row],[_IsLeaf]]=1,Tasks[[#This Row],[_LeafProgress]]&lt;1,OR(N(Tasks[[#This Row],[Finish Var]])&gt;0,Tasks[[#This Row],[Status]]="Late Start")),MAX(0,Tasks[[#This Row],[Finish Var]])+1-Tasks[[#This Row],[_Row]]/1000000,"")</f>
        <v/>
      </c>
      <c r="GM30" s="43" t="str">
        <f aca="false">IF(AND(Tasks[[#This Row],[_IsLeaf]]=1,N(Tasks[[#This Row],[Actual Start]])=0,Tasks[[#This Row],[_ShownFcstStart]]&gt;=StatusDate,Tasks[[#This Row],[_ShownFcstStart]]&lt;=LookaheadEnd),Tasks[[#This Row],[_ShownFcstStart]]+Tasks[[#This Row],[_Row]]/100000,"")</f>
        <v/>
      </c>
      <c r="GN30" s="43" t="str">
        <f aca="false">IF(AND(Tasks[[#This Row],[_IsLeaf]]=1,Tasks[[#This Row],[_LeafProgress]]&lt;1,Tasks[[#This Row],[_ShownFcstFinish]]&gt;=StatusDate,Tasks[[#This Row],[_ShownFcstFinish]]&lt;=LookaheadEnd),Tasks[[#This Row],[_ShownFcstFinish]]+Tasks[[#This Row],[_Row]]/100000,"")</f>
        <v/>
      </c>
      <c r="GO30" s="43" t="str">
        <f aca="false">IF(Tasks[[#This Row],[_LeafCritical]],Tasks[[#This Row],[_ShownFcstStart]]+Tasks[[#This Row],[_Row]]/100000,"")</f>
        <v/>
      </c>
      <c r="GP30" s="43" t="n">
        <f aca="false">Tasks[[#This Row],[_LeafWork]]*Tasks[[#This Row],[_LeafProgress]]</f>
        <v>0</v>
      </c>
      <c r="GQ30" s="91" t="str">
        <f aca="false">IF(AND(Tasks[[#This Row],[_IsLeaf]]=1,Tasks[[#This Row],[_LeafProgress]]&gt;=1),IF(N(Tasks[[#This Row],[Actual Finish]])&gt;0,Tasks[[#This Row],[Actual Finish]],Tasks[[#This Row],[_ShownFcstFinish]]),"")</f>
        <v/>
      </c>
      <c r="GR30" s="43" t="n">
        <f aca="false">IF(Tasks[[#This Row],[_IsLeaf]]=1,N(Tasks[[#This Row],[Story Points]]),0)</f>
        <v>0</v>
      </c>
      <c r="GS30" s="43" t="str">
        <f aca="false">""</f>
        <v/>
      </c>
      <c r="GT30" s="90" t="b">
        <f aca="false">IF(Tasks[[#This Row],[Task Name]]="",FALSE(),AND(Tasks[[#This Row],[_IsLeaf]]=1,N(Tasks[[#This Row],[_Days]])=0))</f>
        <v>0</v>
      </c>
      <c r="GU30" s="91" t="n">
        <f aca="false">IF(Tasks[[#This Row],[Task Name]]="",0,IF(AND(Tasks[[#This Row],[_IsLeaf]]=1,NOT(Tasks[[#This Row],[_IsMilestone]]),N(Tasks[[#This Row],[Progress]])&gt;0),Tasks[[#This Row],[Start]],0))</f>
        <v>0</v>
      </c>
      <c r="GV30" s="91" t="n">
        <f aca="false">IF(Tasks[[#This Row],[_DoneFrom]]=0,0,IF(Tasks[[#This Row],[Progress]]&gt;=1,Tasks[[#This Row],[Finish]],MAX(Tasks[[#This Row],[_DoneFrom]],Tasks[[#This Row],[Start]]+ROUND((Tasks[[#This Row],[Finish]]-Tasks[[#This Row],[Start]]+1)*Tasks[[#This Row],[Progress]],0)-1)))</f>
        <v>0</v>
      </c>
      <c r="GW30" s="91" t="n">
        <f aca="false">IF(Tasks[[#This Row],[Task Name]]="",0,IF(OR(NOT(Tasks[[#This Row],[_IsLeaf]]=1),Tasks[[#This Row],[_IsMilestone]],N(Tasks[[#This Row],[Progress]])&gt;=1),0,IF(Tasks[[#This Row],[_DoneTo]]&gt;0,Tasks[[#This Row],[_DoneTo]]+1,Tasks[[#This Row],[Start]])))</f>
        <v>0</v>
      </c>
      <c r="GX30" s="91" t="n">
        <f aca="false">IF(Tasks[[#This Row],[_RemFrom]]=0,0,Tasks[[#This Row],[Finish]])</f>
        <v>0</v>
      </c>
      <c r="GY30" s="90" t="b">
        <f aca="false">IF(Tasks[[#This Row],[Task Name]]="",FALSE(),OR(NOT(BaselineSet),N(Tasks[[#This Row],[Baseline Start]])&gt;0))</f>
        <v>0</v>
      </c>
      <c r="GZ3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0" s="92" t="str">
        <f aca="false">IF(Tasks[[#This Row],[_IsLeaf]]=1,Tasks[[#This Row],[_Row]],"")</f>
        <v/>
      </c>
      <c r="HD30" s="92" t="str">
        <f aca="false">IFERROR(INDEX(Tasks[UID],SMALL(Tasks[_PickKey],Tasks[[#This Row],[_Row]]))&amp;" "&amp;INDEX(Tasks[Task Name],SMALL(Tasks[_PickKey],Tasks[[#This Row],[_Row]])),"")</f>
        <v/>
      </c>
      <c r="HE30" s="43" t="str">
        <f aca="false">IF(Tasks[[#This Row],[Task Name]]="","",IF(Tasks[[#This Row],[_IsSummary]],NETWORKDAYS.INTL(Tasks[[#This Row],[Start]],Tasks[[#This Row],[Finish]],WorkWeek,Holidays),N(Tasks[[#This Row],[_Days]])))</f>
        <v/>
      </c>
      <c r="HF30" s="43" t="n">
        <f aca="false">IF(Tasks[[#This Row],[Expected]]="",0,((Tasks[[#This Row],[Pessimistic]]-Tasks[[#This Row],[Optimistic]])/6)^2)</f>
        <v>0</v>
      </c>
      <c r="HG30" s="43" t="n">
        <f aca="false">IF(Tasks[[#This Row],[Expected]]="",0,Tasks[[#This Row],[Expected]]-N(Tasks[[#This Row],[_Days]]))</f>
        <v>0</v>
      </c>
    </row>
    <row r="31" customFormat="false" ht="15" hidden="false" customHeight="false" outlineLevel="0" collapsed="false">
      <c r="A31" s="21" t="str">
        <f aca="false">IF(Tasks[[#This Row],[Task Name]]="","",COUNTA(Tasks[[#Headers],[Task Name]]:Tasks[[#This Row],[Task Name]])-1)</f>
        <v/>
      </c>
      <c r="B31" s="22" t="n">
        <v>39</v>
      </c>
      <c r="C31" s="22"/>
      <c r="D31" s="23"/>
      <c r="E31" s="22"/>
      <c r="F31" s="23"/>
      <c r="G31" s="22"/>
      <c r="H31" s="22"/>
      <c r="I31" s="23"/>
      <c r="J31" s="22"/>
      <c r="K31" s="22"/>
      <c r="L31" s="23"/>
      <c r="M31" s="22"/>
      <c r="N31" s="22"/>
      <c r="O31" s="23"/>
      <c r="P31" s="22"/>
      <c r="Q31" s="22"/>
      <c r="R31" s="23"/>
      <c r="S31" s="23"/>
      <c r="T31" s="84"/>
      <c r="U31" s="23"/>
      <c r="V31" s="84"/>
      <c r="W31" s="23"/>
      <c r="X31" s="84"/>
      <c r="Y31" s="23"/>
      <c r="Z31" s="84"/>
      <c r="AA31" s="23"/>
      <c r="AB31" s="23"/>
      <c r="AC31" s="7"/>
      <c r="AD31" s="7"/>
      <c r="AE31" s="63" t="str">
        <f aca="false">IF(Tasks[[#This Row],[Task Name]]="","",IF(Tasks[[#This Row],[_IsSummary]],MIN(INDEX(Tasks[_ShownFcstStart],Tasks[[#This Row],[_Row]]+1):INDEX(Tasks[_ShownFcstStart],Tasks[[#This Row],[_Row]]+Tasks[[#This Row],[_Descendants]])),Tasks[[#This Row],[_ShownFcstStart]]))</f>
        <v/>
      </c>
      <c r="AF31" s="63" t="str">
        <f aca="false">IF(Tasks[[#This Row],[Task Name]]="","",IF(Tasks[[#This Row],[_IsSummary]],MAX(INDEX(Tasks[_ShownFcstFinish],Tasks[[#This Row],[_Row]]+1):INDEX(Tasks[_ShownFcstFinish],Tasks[[#This Row],[_Row]]+Tasks[[#This Row],[_Descendants]])),Tasks[[#This Row],[_ShownFcstFinish]]))</f>
        <v/>
      </c>
      <c r="AG31" s="21" t="str">
        <f aca="false">""</f>
        <v/>
      </c>
      <c r="AH31" s="23"/>
      <c r="AI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1" s="7"/>
      <c r="AK31" s="22"/>
      <c r="AL31" s="23"/>
      <c r="AM31" s="7"/>
      <c r="AN31" s="47" t="str">
        <f aca="false">IF(Tasks[[#This Row],[Task Name]]="","",IF(Tasks[[#This Row],[Finish]]&gt;=Tasks[[#This Row],[Planned Finish]],NETWORKDAYS.INTL(Tasks[[#This Row],[Planned Finish]],Tasks[[#This Row],[Finish]],WorkWeek,Holidays)-1,1-NETWORKDAYS.INTL(Tasks[[#This Row],[Finish]],Tasks[[#This Row],[Planned Finish]],WorkWeek,Holidays)))</f>
        <v/>
      </c>
      <c r="AO31" s="21" t="str">
        <f aca="false">IF(Tasks[[#This Row],[Task Name]]="","",IF(Tasks[[#This Row],[Progress]]&gt;=1,"Complete",IF(OR(N(Tasks[[#This Row],[Actual Start]])&gt;0,Tasks[[#This Row],[Progress]]&gt;0),IF(Tasks[[#This Row],[Finish Var]]&gt;0,"Behind","In Progress"),IF(Tasks[[#This Row],[Planned Start]]&lt;StatusDate,"Late Start","Not Started"))))</f>
        <v/>
      </c>
      <c r="AP31" s="21" t="str">
        <f aca="false">IF(Tasks[[#This Row],[Task Name]]="","",IF(IF(Tasks[[#This Row],[_IsSummary]],COUNTIF(INDEX(Tasks[_LeafCritical],Tasks[[#This Row],[_Row]]+1):INDEX(Tasks[_LeafCritical],Tasks[[#This Row],[_Row]]+Tasks[[#This Row],[_Descendants]]),TRUE())&gt;0,Tasks[[#This Row],[_LeafCritical]]),"Yes",""))</f>
        <v/>
      </c>
      <c r="AQ31" s="63" t="str">
        <f aca="false">IF(Tasks[[#This Row],[Task Name]]="","",IF(N(Tasks[[#This Row],[Baseline Start]])&gt;0,Tasks[[#This Row],[Baseline Start]],Tasks[[#This Row],[_CalcStart]]))</f>
        <v/>
      </c>
      <c r="AR31" s="63" t="str">
        <f aca="false">IF(Tasks[[#This Row],[Task Name]]="","",IF(N(Tasks[[#This Row],[Baseline Finish]])&gt;0,Tasks[[#This Row],[Baseline Finish]],Tasks[[#This Row],[_CalcFinish]]))</f>
        <v/>
      </c>
      <c r="AS31" s="47" t="str">
        <f aca="false">IF(Tasks[[#This Row],[Task Name]]="","",IF(Tasks[[#This Row],[Start]]&gt;=Tasks[[#This Row],[Planned Start]],NETWORKDAYS.INTL(Tasks[[#This Row],[Planned Start]],Tasks[[#This Row],[Start]],WorkWeek,Holidays)-1,1-NETWORKDAYS.INTL(Tasks[[#This Row],[Start]],Tasks[[#This Row],[Planned Start]],WorkWeek,Holidays)))</f>
        <v/>
      </c>
      <c r="AT31" s="63" t="str">
        <f aca="false">IF(Tasks[[#This Row],[Task Name]]="","",IF(Tasks[[#This Row],[_IsSummary]],MIN(INDEX(Tasks[_LeafLateStart],Tasks[[#This Row],[_Row]]+1):INDEX(Tasks[_LeafLateStart],Tasks[[#This Row],[_Row]]+Tasks[[#This Row],[_Descendants]])),Tasks[[#This Row],[_LeafLateStart]]))</f>
        <v/>
      </c>
      <c r="AU31" s="63" t="str">
        <f aca="false">IF(Tasks[[#This Row],[Task Name]]="","",IF(Tasks[[#This Row],[_IsSummary]],MAX(INDEX(Tasks[_LeafLateFinish],Tasks[[#This Row],[_Row]]+1):INDEX(Tasks[_LeafLateFinish],Tasks[[#This Row],[_Row]]+Tasks[[#This Row],[_Descendants]])),Tasks[[#This Row],[_LeafLateFinish]]))</f>
        <v/>
      </c>
      <c r="AV31" s="47" t="str">
        <f aca="false">IF(Tasks[[#This Row],[Task Name]]="","",IF(Tasks[[#This Row],[_IsSummary]],MIN(INDEX(Tasks[_LeafTotalSlack],Tasks[[#This Row],[_Row]]+1):INDEX(Tasks[_LeafTotalSlack],Tasks[[#This Row],[_Row]]+Tasks[[#This Row],[_Descendants]])),Tasks[[#This Row],[_LeafTotalSlack]]))</f>
        <v/>
      </c>
      <c r="AW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5"/>
      <c r="BA3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t="str">
        <f aca="false">IF(Tasks[[#This Row],[Task Name]]="","",IF(Tasks[[#This Row],[_Level]]&lt;=OutlineShowLevel,"Yes","No"))</f>
        <v/>
      </c>
      <c r="BE31" s="86" t="str">
        <f aca="false">IF(Tasks[[#This Row],[Task Name]]="","",IF(Tasks[[#This Row],[_IsSummary]],SUM(INDEX(Tasks[_LeafTotalWork],Tasks[[#This Row],[_Row]]+1):INDEX(Tasks[_LeafTotalWork],Tasks[[#This Row],[_Row]]+Tasks[[#This Row],[_Descendants]])),Tasks[[#This Row],[_LeafTotalWork]]))</f>
        <v/>
      </c>
      <c r="BF31" s="23"/>
      <c r="BG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t="str">
        <f aca="false">""</f>
        <v/>
      </c>
      <c r="BI31" s="87"/>
      <c r="BJ31" s="22"/>
      <c r="BK31" s="47" t="str">
        <f aca="false">IF(OR(Tasks[[#This Row],[Task Name]]="",Tasks[[#This Row],[Baseline Duration]]=""),"",Tasks[[#This Row],[_SpanDays]]-N(Tasks[[#This Row],[Baseline Duration]]))</f>
        <v/>
      </c>
      <c r="BL31" s="86" t="str">
        <f aca="false">IF(OR(Tasks[[#This Row],[Task Name]]="",Tasks[[#This Row],[Baseline Work]]=""),"",Tasks[[#This Row],[Work]]-N(Tasks[[#This Row],[Baseline Work]]))</f>
        <v/>
      </c>
      <c r="BM31" s="63" t="str">
        <f aca="false">IF(Tasks[[#This Row],[Task Name]]="","",IF(OR(TakeBaseline="Yes",N(Tasks[[#This Row],[Baseline Start]])=0),Tasks[[#This Row],[Start]],Tasks[[#This Row],[Baseline Start]]))</f>
        <v/>
      </c>
      <c r="BN31" s="63" t="str">
        <f aca="false">IF(Tasks[[#This Row],[Task Name]]="","",IF(OR(TakeBaseline="Yes",N(Tasks[[#This Row],[Baseline Finish]])=0),Tasks[[#This Row],[Finish]],Tasks[[#This Row],[Baseline Finish]]))</f>
        <v/>
      </c>
      <c r="BO31" s="21" t="str">
        <f aca="false">IF(Tasks[[#This Row],[Task Name]]="","",IF(OR(TakeBaseline="Yes",N(Tasks[[#This Row],[Baseline Duration]])=0),Tasks[[#This Row],[_SpanDays]],Tasks[[#This Row],[Baseline Duration]]))</f>
        <v/>
      </c>
      <c r="BP31" s="86" t="str">
        <f aca="false">IF(Tasks[[#This Row],[Task Name]]="","",IF(OR(TakeBaseline="Yes",N(Tasks[[#This Row],[Baseline Work]])=0),Tasks[[#This Row],[Work]],Tasks[[#This Row],[Baseline Work]]))</f>
        <v/>
      </c>
      <c r="BQ31" s="7"/>
      <c r="BR31" s="7"/>
      <c r="BS31" s="22"/>
      <c r="BT31" s="88"/>
      <c r="BU31" s="23"/>
      <c r="BV31" s="23"/>
      <c r="BW31" s="23"/>
      <c r="BX31" s="89" t="str">
        <f aca="false">IF(AND(Tasks[[#This Row],[_IsLeaf]]=1,ISNUMBER(Tasks[[#This Row],[Optimistic]]),ISNUMBER(Tasks[[#This Row],[Pessimistic]])),ROUND((Tasks[[#This Row],[Optimistic]]+4*N(Tasks[[#This Row],[_Days]])+Tasks[[#This Row],[Pessimistic]])/6,1),"")</f>
        <v/>
      </c>
      <c r="BY31" s="87"/>
      <c r="BZ31" s="87"/>
      <c r="CA31" s="22"/>
      <c r="CB31" s="43" t="str">
        <f aca="false">IF(Tasks[[#This Row],[Task Name]]="","",MAX(1,N(Tasks[[#This Row],[Level]])))</f>
        <v/>
      </c>
      <c r="CC31" s="43" t="n">
        <f aca="false">ROW()-ROW(Tasks[[#Headers],[ID]])</f>
        <v>26</v>
      </c>
      <c r="CD31" s="43" t="n">
        <f aca="false">IF(OR(Tasks[[#This Row],[Task Name]]="",Tasks[[#This Row],[_Level]]&lt;=1),0,IFERROR(LOOKUP(2,1/(Tasks[[#Headers],[_Level]]:Tasks[[#This Row],[_Level]]=Tasks[[#This Row],[_Level]]-1),ROW(Tasks[[#Headers],[_Level]]:Tasks[[#This Row],[_Level]])),0))</f>
        <v>0</v>
      </c>
      <c r="CE31" s="43" t="n">
        <f aca="false">IFERROR(N(INDEX(Tasks[_Level],Tasks[[#This Row],[_Row]]+1)),0)</f>
        <v>0</v>
      </c>
      <c r="CF31" s="90" t="b">
        <f aca="false">AND(Tasks[[#This Row],[Task Name]]&lt;&gt;"",Tasks[[#This Row],[_NextLevel]]&gt;Tasks[[#This Row],[_Level]])</f>
        <v>0</v>
      </c>
      <c r="CG31" s="43" t="n">
        <f aca="false">IF(Tasks[[#This Row],[_IsSummary]],COUNTIF(Tasks[WBS],Tasks[[#This Row],[WBS]]&amp;".*"),0)</f>
        <v>0</v>
      </c>
      <c r="CH31" s="43" t="n">
        <f aca="false">IF(AND(Tasks[[#This Row],[Task Name]]&lt;&gt;"",NOT(Tasks[[#This Row],[_IsSummary]])),1,0)</f>
        <v>0</v>
      </c>
      <c r="CI31" s="43" t="n">
        <f aca="false">IF(N(Tasks[[#This Row],[_Pred1UID]])=0,0,IFERROR(MATCH(Tasks[[#This Row],[_Pred1UID]],Tasks[UID],0),-1))</f>
        <v>0</v>
      </c>
      <c r="CJ31" s="43" t="n">
        <f aca="false">IF(N(Tasks[[#This Row],[_Pred2UID]])=0,0,IFERROR(MATCH(Tasks[[#This Row],[_Pred2UID]],Tasks[UID],0),-1))</f>
        <v>0</v>
      </c>
      <c r="CK31" s="43" t="n">
        <f aca="false">IF(N(Tasks[[#This Row],[_Pred3UID]])=0,0,IFERROR(MATCH(Tasks[[#This Row],[_Pred3UID]],Tasks[UID],0),-1))</f>
        <v>0</v>
      </c>
      <c r="CL31" s="43" t="n">
        <f aca="false">IF(N(Tasks[[#This Row],[_Pred4UID]])=0,0,IFERROR(MATCH(Tasks[[#This Row],[_Pred4UID]],Tasks[UID],0),-1))</f>
        <v>0</v>
      </c>
      <c r="CM3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1" s="91" t="n">
        <f aca="false">IF(OR(Tasks[[#This Row],[_ConstraintCode]]=2,Tasks[[#This Row],[_ConstraintCode]]=3,Tasks[[#This Row],[_ConstraintCode]]=4,Tasks[[#This Row],[_ConstraintCode]]=6),Tasks[[#This Row],[_ConstraintStart]],0)</f>
        <v>0</v>
      </c>
      <c r="CP31" s="91" t="n">
        <f aca="false">IF(OR(Tasks[[#This Row],[_ConstraintCode]]=2,Tasks[[#This Row],[_ConstraintCode]]=3,Tasks[[#This Row],[_ConstraintCode]]=5,Tasks[[#This Row],[_ConstraintCode]]=7),Tasks[[#This Row],[_ConstraintStart]],2958465)</f>
        <v>2958465</v>
      </c>
      <c r="CQ3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1" s="91" t="str">
        <f aca="false">IF(NOT(Tasks[[#This Row],[_IsLeaf]]=1),"",IF(N(Tasks[[#This Row],[_Days]])&lt;=0,Tasks[[#This Row],[_LeafCalcStart]],WORKDAY.INTL(Tasks[[#This Row],[_LeafCalcStart]],Tasks[[#This Row],[_Days]]-1,WorkWeek,Holidays)))</f>
        <v/>
      </c>
      <c r="CS3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1" s="43" t="str">
        <f aca="false">IF(Tasks[[#This Row],[_Predecessors]]="","",TRIM(MID(SUBSTITUTE(SUBSTITUTE(SUBSTITUTE(UPPER(Tasks[[#This Row],[_Predecessors]]),";",",")," ",""),",",REPT(" ",99)),1,99)))</f>
        <v/>
      </c>
      <c r="CV31" s="43" t="str">
        <f aca="false">IF(Tasks[[#This Row],[_Pred1Text]]="","",IFERROR(VALUE(LEFT(Tasks[[#This Row],[_Pred1Text]],MIN(FIND("F",Tasks[[#This Row],[_Pred1Text]]&amp;"F"),FIND("S",Tasks[[#This Row],[_Pred1Text]]&amp;"S"),FIND("+",Tasks[[#This Row],[_Pred1Text]]&amp;"+"),FIND("-",Tasks[[#This Row],[_Pred1Text]]&amp;"-"))-1)),""))</f>
        <v/>
      </c>
      <c r="CW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1" s="43" t="str">
        <f aca="false">IF(Tasks[[#This Row],[_Pred1Text]]="","",TRIM(MID(SUBSTITUTE(SUBSTITUTE(SUBSTITUTE(UPPER(Tasks[[#This Row],[_Predecessors]]),";",",")," ",""),",",REPT(" ",99)),100,99)))</f>
        <v/>
      </c>
      <c r="CZ31" s="43" t="str">
        <f aca="false">IF(Tasks[[#This Row],[_Pred2Text]]="","",IFERROR(VALUE(LEFT(Tasks[[#This Row],[_Pred2Text]],MIN(FIND("F",Tasks[[#This Row],[_Pred2Text]]&amp;"F"),FIND("S",Tasks[[#This Row],[_Pred2Text]]&amp;"S"),FIND("+",Tasks[[#This Row],[_Pred2Text]]&amp;"+"),FIND("-",Tasks[[#This Row],[_Pred2Text]]&amp;"-"))-1)),""))</f>
        <v/>
      </c>
      <c r="DA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1" s="43" t="str">
        <f aca="false">IF(Tasks[[#This Row],[_Pred2Text]]="","",TRIM(MID(SUBSTITUTE(SUBSTITUTE(SUBSTITUTE(UPPER(Tasks[[#This Row],[_Predecessors]]),";",",")," ",""),",",REPT(" ",99)),199,99)))</f>
        <v/>
      </c>
      <c r="DD31" s="43" t="str">
        <f aca="false">IF(Tasks[[#This Row],[_Pred3Text]]="","",IFERROR(VALUE(LEFT(Tasks[[#This Row],[_Pred3Text]],MIN(FIND("F",Tasks[[#This Row],[_Pred3Text]]&amp;"F"),FIND("S",Tasks[[#This Row],[_Pred3Text]]&amp;"S"),FIND("+",Tasks[[#This Row],[_Pred3Text]]&amp;"+"),FIND("-",Tasks[[#This Row],[_Pred3Text]]&amp;"-"))-1)),""))</f>
        <v/>
      </c>
      <c r="DE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1" s="43" t="str">
        <f aca="false">IF(Tasks[[#This Row],[_Pred3Text]]="","",TRIM(MID(SUBSTITUTE(SUBSTITUTE(SUBSTITUTE(UPPER(Tasks[[#This Row],[_Predecessors]]),";",",")," ",""),",",REPT(" ",99)),298,99)))</f>
        <v/>
      </c>
      <c r="DH31" s="43" t="str">
        <f aca="false">IF(Tasks[[#This Row],[_Pred4Text]]="","",IFERROR(VALUE(LEFT(Tasks[[#This Row],[_Pred4Text]],MIN(FIND("F",Tasks[[#This Row],[_Pred4Text]]&amp;"F"),FIND("S",Tasks[[#This Row],[_Pred4Text]]&amp;"S"),FIND("+",Tasks[[#This Row],[_Pred4Text]]&amp;"+"),FIND("-",Tasks[[#This Row],[_Pred4Text]]&amp;"-"))-1)),""))</f>
        <v/>
      </c>
      <c r="DI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1" s="43" t="str">
        <f aca="false">IF(OR(Tasks[[#This Row],[Task Name]]="",Tasks[[#This Row],[_Resources]]=""),"",TRIM(MID(SUBSTITUTE(Tasks[[#This Row],[_Resources]],",",REPT(" ",99)),1,99)))</f>
        <v/>
      </c>
      <c r="DL31" s="43" t="str">
        <f aca="false">IF(Tasks[[#This Row],[_Res1Text]]="","",TRIM(MID(SUBSTITUTE(Tasks[[#This Row],[_Resources]],",",REPT(" ",99)),100,99)))</f>
        <v/>
      </c>
      <c r="DM31" s="43" t="str">
        <f aca="false">IF(Tasks[[#This Row],[_Res2Text]]="","",TRIM(MID(SUBSTITUTE(Tasks[[#This Row],[_Resources]],",",REPT(" ",99)),199,99)))</f>
        <v/>
      </c>
      <c r="DN31" s="43" t="str">
        <f aca="false">IF(Tasks[[#This Row],[_Res3Text]]="","",TRIM(MID(SUBSTITUTE(Tasks[[#This Row],[_Resources]],",",REPT(" ",99)),298,99)))</f>
        <v/>
      </c>
      <c r="DO31" s="43" t="n">
        <f aca="false">IF(Tasks[[#This Row],[_Res1Text]]="",0,IFERROR(MATCH(TRIM(LEFT(Tasks[[#This Row],[_Res1Text]],FIND("[",Tasks[[#This Row],[_Res1Text]]&amp;"[")-1)),res_Name,0),IFERROR(MATCH(TRIM(LEFT(Tasks[[#This Row],[_Res1Text]],FIND("[",Tasks[[#This Row],[_Res1Text]]&amp;"[")-1)),res_Initials,0),0)))</f>
        <v>0</v>
      </c>
      <c r="DP31" s="43" t="n">
        <f aca="false">IF(Tasks[[#This Row],[_Res2Text]]="",0,IFERROR(MATCH(TRIM(LEFT(Tasks[[#This Row],[_Res2Text]],FIND("[",Tasks[[#This Row],[_Res2Text]]&amp;"[")-1)),res_Name,0),IFERROR(MATCH(TRIM(LEFT(Tasks[[#This Row],[_Res2Text]],FIND("[",Tasks[[#This Row],[_Res2Text]]&amp;"[")-1)),res_Initials,0),0)))</f>
        <v>0</v>
      </c>
      <c r="DQ31" s="43" t="n">
        <f aca="false">IF(Tasks[[#This Row],[_Res3Text]]="",0,IFERROR(MATCH(TRIM(LEFT(Tasks[[#This Row],[_Res3Text]],FIND("[",Tasks[[#This Row],[_Res3Text]]&amp;"[")-1)),res_Name,0),IFERROR(MATCH(TRIM(LEFT(Tasks[[#This Row],[_Res3Text]],FIND("[",Tasks[[#This Row],[_Res3Text]]&amp;"[")-1)),res_Initials,0),0)))</f>
        <v>0</v>
      </c>
      <c r="DR31" s="43" t="n">
        <f aca="false">IF(Tasks[[#This Row],[_Res4Text]]="",0,IFERROR(MATCH(TRIM(LEFT(Tasks[[#This Row],[_Res4Text]],FIND("[",Tasks[[#This Row],[_Res4Text]]&amp;"[")-1)),res_Name,0),IFERROR(MATCH(TRIM(LEFT(Tasks[[#This Row],[_Res4Text]],FIND("[",Tasks[[#This Row],[_Res4Text]]&amp;"[")-1)),res_Initials,0),0)))</f>
        <v>0</v>
      </c>
      <c r="DS31" s="43" t="str">
        <f aca="false">IF(Tasks[[#This Row],[_Res1Text]]="","",IF(Tasks[[#This Row],[_Res1Row]]&gt;0,INDEX(res_Name,Tasks[[#This Row],[_Res1Row]]),TRIM(LEFT(Tasks[[#This Row],[_Res1Text]],FIND("[",Tasks[[#This Row],[_Res1Text]]&amp;"[")-1))))</f>
        <v/>
      </c>
      <c r="DT3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1" s="43" t="n">
        <f aca="false">IF(NOT(Tasks[[#This Row],[_IsLeaf]]=1),0,(Tasks[[#This Row],[_Resource1]]&lt;&gt;"")+(Tasks[[#This Row],[_Res2]]&lt;&gt;"")+(Tasks[[#This Row],[_Res3]]&lt;&gt;"")+(Tasks[[#This Row],[_Res4]]&lt;&gt;""))</f>
        <v>0</v>
      </c>
      <c r="DV31" s="43" t="str">
        <f aca="false">IF(Tasks[[#This Row],[_Res2Text]]="","",IF(Tasks[[#This Row],[_Res2Row]]&gt;0,INDEX(res_Name,Tasks[[#This Row],[_Res2Row]]),TRIM(LEFT(Tasks[[#This Row],[_Res2Text]],FIND("[",Tasks[[#This Row],[_Res2Text]]&amp;"[")-1))))</f>
        <v/>
      </c>
      <c r="DW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1" s="43" t="n">
        <f aca="false">IF(OR(NOT(Tasks[[#This Row],[_IsLeaf]]=1),Tasks[[#This Row],[_Res2Row]]=0),0,N(Tasks[[#This Row],[_Days]])*HoursPerDay*IF(Tasks[[#This Row],[_Res2Units]]="",DefaultUnits,Tasks[[#This Row],[_Res2Units]]))</f>
        <v>0</v>
      </c>
      <c r="DY31" s="43" t="n">
        <f aca="false">IF(AND(AND(Tasks[[#This Row],[_IsLeaf]]=1,Tasks[[#This Row],[_LeafTotalWork]]&gt;0),Tasks[[#This Row],[_Res2Work]]&gt;0),Tasks[[#This Row],[_Res2Work]]/(Tasks[[#This Row],[_FinishWorkday]]-Tasks[[#This Row],[_StartWorkday]]+1),0)</f>
        <v>0</v>
      </c>
      <c r="DZ31" s="43" t="n">
        <f aca="false">Tasks[[#This Row],[_Res2WorkPerWD]]*MAX(0,Tasks[[#This Row],[_StartWorkday]]-1)</f>
        <v>0</v>
      </c>
      <c r="EA31" s="43" t="n">
        <f aca="false">Tasks[[#This Row],[_Res2Work]]*Tasks[[#This Row],[_LeafProgress]]</f>
        <v>0</v>
      </c>
      <c r="EB31" s="43" t="str">
        <f aca="false">IF(Tasks[[#This Row],[_Res3Text]]="","",IF(Tasks[[#This Row],[_Res3Row]]&gt;0,INDEX(res_Name,Tasks[[#This Row],[_Res3Row]]),TRIM(LEFT(Tasks[[#This Row],[_Res3Text]],FIND("[",Tasks[[#This Row],[_Res3Text]]&amp;"[")-1))))</f>
        <v/>
      </c>
      <c r="EC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1" s="43" t="n">
        <f aca="false">IF(OR(NOT(Tasks[[#This Row],[_IsLeaf]]=1),Tasks[[#This Row],[_Res3Row]]=0),0,N(Tasks[[#This Row],[_Days]])*HoursPerDay*IF(Tasks[[#This Row],[_Res3Units]]="",DefaultUnits,Tasks[[#This Row],[_Res3Units]]))</f>
        <v>0</v>
      </c>
      <c r="EE31" s="43" t="n">
        <f aca="false">IF(AND(AND(Tasks[[#This Row],[_IsLeaf]]=1,Tasks[[#This Row],[_LeafTotalWork]]&gt;0),Tasks[[#This Row],[_Res3Work]]&gt;0),Tasks[[#This Row],[_Res3Work]]/(Tasks[[#This Row],[_FinishWorkday]]-Tasks[[#This Row],[_StartWorkday]]+1),0)</f>
        <v>0</v>
      </c>
      <c r="EF31" s="43" t="n">
        <f aca="false">Tasks[[#This Row],[_Res3WorkPerWD]]*MAX(0,Tasks[[#This Row],[_StartWorkday]]-1)</f>
        <v>0</v>
      </c>
      <c r="EG31" s="43" t="n">
        <f aca="false">Tasks[[#This Row],[_Res3Work]]*Tasks[[#This Row],[_LeafProgress]]</f>
        <v>0</v>
      </c>
      <c r="EH31" s="43" t="str">
        <f aca="false">IF(Tasks[[#This Row],[_Res4Text]]="","",IF(Tasks[[#This Row],[_Res4Row]]&gt;0,INDEX(res_Name,Tasks[[#This Row],[_Res4Row]]),TRIM(LEFT(Tasks[[#This Row],[_Res4Text]],FIND("[",Tasks[[#This Row],[_Res4Text]]&amp;"[")-1))))</f>
        <v/>
      </c>
      <c r="EI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1" s="43" t="n">
        <f aca="false">IF(OR(NOT(Tasks[[#This Row],[_IsLeaf]]=1),Tasks[[#This Row],[_Res4Row]]=0),0,N(Tasks[[#This Row],[_Days]])*HoursPerDay*IF(Tasks[[#This Row],[_Res4Units]]="",DefaultUnits,Tasks[[#This Row],[_Res4Units]]))</f>
        <v>0</v>
      </c>
      <c r="EK31" s="43" t="n">
        <f aca="false">IF(AND(AND(Tasks[[#This Row],[_IsLeaf]]=1,Tasks[[#This Row],[_LeafTotalWork]]&gt;0),Tasks[[#This Row],[_Res4Work]]&gt;0),Tasks[[#This Row],[_Res4Work]]/(Tasks[[#This Row],[_FinishWorkday]]-Tasks[[#This Row],[_StartWorkday]]+1),0)</f>
        <v>0</v>
      </c>
      <c r="EL31" s="43" t="n">
        <f aca="false">Tasks[[#This Row],[_Res4WorkPerWD]]*MAX(0,Tasks[[#This Row],[_StartWorkday]]-1)</f>
        <v>0</v>
      </c>
      <c r="EM31" s="43" t="n">
        <f aca="false">Tasks[[#This Row],[_Res4Work]]*Tasks[[#This Row],[_LeafProgress]]</f>
        <v>0</v>
      </c>
      <c r="EN31" s="43" t="n">
        <f aca="false">IF(ISNUMBER(Tasks[[#This Row],[% Complete]]),Tasks[[#This Row],[% Complete]],IF(Tasks[[#This Row],[Stage]]="",0,IFERROR(INDEX(stg_Pct,MATCH(Tasks[[#This Row],[Stage]],stg_Name,0)),0)))</f>
        <v>0</v>
      </c>
      <c r="EO31" s="43" t="n">
        <f aca="false">IF(NOT(Tasks[[#This Row],[_IsLeaf]]=1),0,IF(N(Tasks[[#This Row],[Actual Finish]])&gt;0,1,MIN(1,Tasks[[#This Row],[_Pct]])))</f>
        <v>0</v>
      </c>
      <c r="EP31" s="43" t="n">
        <f aca="false">IF(OR(NOT(Tasks[[#This Row],[_IsLeaf]]=1),Tasks[[#This Row],[_Res1Row]]=0),0,N(Tasks[[#This Row],[_Days]])*HoursPerDay*IF(Tasks[[#This Row],[_Units1]]="",DefaultUnits,Tasks[[#This Row],[_Units1]]))</f>
        <v>0</v>
      </c>
      <c r="EQ31" s="43" t="n">
        <f aca="false">Tasks[[#This Row],[_LeafWork]]+Tasks[[#This Row],[_Res2Work]]+Tasks[[#This Row],[_Res3Work]]+Tasks[[#This Row],[_Res4Work]]</f>
        <v>0</v>
      </c>
      <c r="ER3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1" s="43" t="n">
        <f aca="false">IF(NOT(Tasks[[#This Row],[_IsLeaf]]=1),0,MAX(_xlfn.MAXIFS(Tasks[_Row],Tasks[_Pred1UID],Tasks[[#This Row],[UID]]),_xlfn.MAXIFS(Tasks[_Row],Tasks[_Pred2UID],Tasks[[#This Row],[UID]]),_xlfn.MAXIFS(Tasks[_Row],Tasks[_Pred3UID],Tasks[[#This Row],[UID]]),_xlfn.MAXIFS(Tasks[_Row],Tasks[_Pred4UID],Tasks[[#This Row],[UID]])))</f>
        <v>0</v>
      </c>
      <c r="FA3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1" s="91" t="str">
        <f aca="false">IF(NOT(Tasks[[#This Row],[_IsLeaf]]=1),"",IF(N(Tasks[[#This Row],[_Days]])&lt;=0,Tasks[[#This Row],[_LeafLateFinish]],WORKDAY.INTL(Tasks[[#This Row],[_LeafLateFinish]],-(Tasks[[#This Row],[_Days]]-1),WorkWeek,Holidays)))</f>
        <v/>
      </c>
      <c r="FD3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1" s="90" t="b">
        <f aca="false">AND(Tasks[[#This Row],[_IsLeaf]]=1,Tasks[[#This Row],[_LeafProgress]]&lt;1,N(Tasks[[#This Row],[_LeafTotalSlack]])&lt;=CriticalSlackDays)</f>
        <v>0</v>
      </c>
      <c r="FF31" s="43" t="n">
        <f aca="false">IF(AND(Tasks[[#This Row],[_IsLeaf]]=1,Tasks[[#This Row],[_ConstraintCode]]=1,Tasks[[#This Row],[Mode]]&lt;&gt;"Manual",N(Tasks[[#This Row],[Actual Start]])=0),MAX(0,N(Tasks[[#This Row],[Free Slack]])),0)</f>
        <v>0</v>
      </c>
      <c r="FG31" s="91" t="str">
        <f aca="false">IF(NOT(Tasks[[#This Row],[_IsLeaf]]=1),"",IF(Tasks[[#This Row],[_AlapShift]]=0,Tasks[[#This Row],[_LeafCalcStart]],WORKDAY.INTL(Tasks[[#This Row],[_LeafCalcStart]],Tasks[[#This Row],[_AlapShift]],WorkWeek,Holidays)))</f>
        <v/>
      </c>
      <c r="FH31" s="91" t="str">
        <f aca="false">IF(NOT(Tasks[[#This Row],[_IsLeaf]]=1),"",IF(Tasks[[#This Row],[_AlapShift]]=0,Tasks[[#This Row],[_LeafCalcFinish]],WORKDAY.INTL(Tasks[[#This Row],[_LeafCalcFinish]],Tasks[[#This Row],[_AlapShift]],WorkWeek,Holidays)))</f>
        <v/>
      </c>
      <c r="FI31" s="91" t="str">
        <f aca="false">IF(NOT(Tasks[[#This Row],[_IsLeaf]]=1),"",IF(Tasks[[#This Row],[_AlapShift]]=0,Tasks[[#This Row],[_LeafFcstStart]],WORKDAY.INTL(Tasks[[#This Row],[_LeafFcstStart]],Tasks[[#This Row],[_AlapShift]],WorkWeek,Holidays)))</f>
        <v/>
      </c>
      <c r="FJ31" s="91" t="str">
        <f aca="false">IF(NOT(Tasks[[#This Row],[_IsLeaf]]=1),"",IF(Tasks[[#This Row],[_AlapShift]]=0,Tasks[[#This Row],[_LeafFcstFinish]],WORKDAY.INTL(Tasks[[#This Row],[_LeafFcstFinish]],Tasks[[#This Row],[_AlapShift]],WorkWeek,Holidays)))</f>
        <v/>
      </c>
      <c r="FK31" s="91" t="str">
        <f aca="false">IF(Tasks[[#This Row],[Task Name]]="","",IF(Tasks[[#This Row],[_IsSummary]],MIN(INDEX(Tasks[_ShownCalcStart],Tasks[[#This Row],[_Row]]+1):INDEX(Tasks[_ShownCalcStart],Tasks[[#This Row],[_Row]]+Tasks[[#This Row],[_Descendants]])),Tasks[[#This Row],[_ShownCalcStart]]))</f>
        <v/>
      </c>
      <c r="FL31" s="91" t="str">
        <f aca="false">IF(Tasks[[#This Row],[Task Name]]="","",IF(Tasks[[#This Row],[_IsSummary]],MAX(INDEX(Tasks[_ShownCalcFinish],Tasks[[#This Row],[_Row]]+1):INDEX(Tasks[_ShownCalcFinish],Tasks[[#This Row],[_Row]]+Tasks[[#This Row],[_Descendants]])),Tasks[[#This Row],[_ShownCalcFinish]]))</f>
        <v/>
      </c>
      <c r="FM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1" s="43" t="n">
        <f aca="false">IF(AND(Tasks[[#This Row],[_IsLeaf]]=1,Tasks[[#This Row],[_LeafTotalWork]]&gt;0),NETWORKDAYS.INTL(ProjectStart,Tasks[[#This Row],[_ShownFcstStart]],WorkWeek,Holidays),0)</f>
        <v>0</v>
      </c>
      <c r="FZ31" s="43" t="n">
        <f aca="false">IF(AND(Tasks[[#This Row],[_IsLeaf]]=1,Tasks[[#This Row],[_LeafTotalWork]]&gt;0),MAX(Tasks[[#This Row],[_StartWorkday]],NETWORKDAYS.INTL(ProjectStart,Tasks[[#This Row],[_ShownFcstFinish]],WorkWeek,Holidays)),0)</f>
        <v>0</v>
      </c>
      <c r="GA31" s="43" t="n">
        <f aca="false">IF(AND(Tasks[[#This Row],[_IsLeaf]]=1,Tasks[[#This Row],[_LeafTotalWork]]&gt;0),Tasks[[#This Row],[_LeafWork]]/(Tasks[[#This Row],[_FinishWorkday]]-Tasks[[#This Row],[_StartWorkday]]+1),0)</f>
        <v>0</v>
      </c>
      <c r="GB31" s="43" t="n">
        <f aca="false">Tasks[[#This Row],[_WorkPerWorkday]]*(Tasks[[#This Row],[_StartWorkday]]-1)</f>
        <v>-0</v>
      </c>
      <c r="GC31" s="43" t="n">
        <f aca="false">IF(Tasks[[#This Row],[_IsLeaf]]=1,MAX(N(Tasks[[#This Row],[_Days]]),0.1),0)</f>
        <v>0</v>
      </c>
      <c r="GD31" s="43" t="n">
        <f aca="false">Tasks[[#This Row],[_WeightDur]]*Tasks[[#This Row],[_LeafProgress]]</f>
        <v>0</v>
      </c>
      <c r="GE31" s="43" t="n">
        <f aca="false">Tasks[[#This Row],[_WeightDur]]*Tasks[[#This Row],[_PlannedPct]]</f>
        <v>0</v>
      </c>
      <c r="GF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1" s="43" t="str">
        <f aca="false">IF(AND(Tasks[[#This Row],[_IsLeaf]]=1,N(Tasks[[#This Row],[_Days]])=0,Tasks[[#This Row],[_LeafProgress]]&lt;1),Tasks[[#This Row],[_ShownFcstFinish]]+Tasks[[#This Row],[_Row]]/100000,"")</f>
        <v/>
      </c>
      <c r="GH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1" s="43" t="str">
        <f aca="false">IF(Tasks[[#This Row],[Task Name]]="","",LEFT(Tasks[[#This Row],[WBS]],FIND(".",Tasks[[#This Row],[WBS]]&amp;".")-1))</f>
        <v/>
      </c>
      <c r="GJ31" s="43" t="str">
        <f aca="false">IF(AND(Tasks[[#This Row],[Task Name]]&lt;&gt;"",Tasks[[#This Row],[_Level]]=1),Tasks[[#This Row],[_Row]],"")</f>
        <v/>
      </c>
      <c r="GK31" s="43" t="str">
        <f aca="false">IF(AND(Tasks[[#This Row],[_IsLeaf]]=1,N(Tasks[[#This Row],[_Days]])=0),Tasks[[#This Row],[Planned Finish]]+Tasks[[#This Row],[_Row]]/100000,"")</f>
        <v/>
      </c>
      <c r="GL31" s="43" t="str">
        <f aca="false">IF(AND(Tasks[[#This Row],[_IsLeaf]]=1,Tasks[[#This Row],[_LeafProgress]]&lt;1,OR(N(Tasks[[#This Row],[Finish Var]])&gt;0,Tasks[[#This Row],[Status]]="Late Start")),MAX(0,Tasks[[#This Row],[Finish Var]])+1-Tasks[[#This Row],[_Row]]/1000000,"")</f>
        <v/>
      </c>
      <c r="GM31" s="43" t="str">
        <f aca="false">IF(AND(Tasks[[#This Row],[_IsLeaf]]=1,N(Tasks[[#This Row],[Actual Start]])=0,Tasks[[#This Row],[_ShownFcstStart]]&gt;=StatusDate,Tasks[[#This Row],[_ShownFcstStart]]&lt;=LookaheadEnd),Tasks[[#This Row],[_ShownFcstStart]]+Tasks[[#This Row],[_Row]]/100000,"")</f>
        <v/>
      </c>
      <c r="GN31" s="43" t="str">
        <f aca="false">IF(AND(Tasks[[#This Row],[_IsLeaf]]=1,Tasks[[#This Row],[_LeafProgress]]&lt;1,Tasks[[#This Row],[_ShownFcstFinish]]&gt;=StatusDate,Tasks[[#This Row],[_ShownFcstFinish]]&lt;=LookaheadEnd),Tasks[[#This Row],[_ShownFcstFinish]]+Tasks[[#This Row],[_Row]]/100000,"")</f>
        <v/>
      </c>
      <c r="GO31" s="43" t="str">
        <f aca="false">IF(Tasks[[#This Row],[_LeafCritical]],Tasks[[#This Row],[_ShownFcstStart]]+Tasks[[#This Row],[_Row]]/100000,"")</f>
        <v/>
      </c>
      <c r="GP31" s="43" t="n">
        <f aca="false">Tasks[[#This Row],[_LeafWork]]*Tasks[[#This Row],[_LeafProgress]]</f>
        <v>0</v>
      </c>
      <c r="GQ31" s="91" t="str">
        <f aca="false">IF(AND(Tasks[[#This Row],[_IsLeaf]]=1,Tasks[[#This Row],[_LeafProgress]]&gt;=1),IF(N(Tasks[[#This Row],[Actual Finish]])&gt;0,Tasks[[#This Row],[Actual Finish]],Tasks[[#This Row],[_ShownFcstFinish]]),"")</f>
        <v/>
      </c>
      <c r="GR31" s="43" t="n">
        <f aca="false">IF(Tasks[[#This Row],[_IsLeaf]]=1,N(Tasks[[#This Row],[Story Points]]),0)</f>
        <v>0</v>
      </c>
      <c r="GS31" s="43" t="str">
        <f aca="false">""</f>
        <v/>
      </c>
      <c r="GT31" s="90" t="b">
        <f aca="false">IF(Tasks[[#This Row],[Task Name]]="",FALSE(),AND(Tasks[[#This Row],[_IsLeaf]]=1,N(Tasks[[#This Row],[_Days]])=0))</f>
        <v>0</v>
      </c>
      <c r="GU31" s="91" t="n">
        <f aca="false">IF(Tasks[[#This Row],[Task Name]]="",0,IF(AND(Tasks[[#This Row],[_IsLeaf]]=1,NOT(Tasks[[#This Row],[_IsMilestone]]),N(Tasks[[#This Row],[Progress]])&gt;0),Tasks[[#This Row],[Start]],0))</f>
        <v>0</v>
      </c>
      <c r="GV31" s="91" t="n">
        <f aca="false">IF(Tasks[[#This Row],[_DoneFrom]]=0,0,IF(Tasks[[#This Row],[Progress]]&gt;=1,Tasks[[#This Row],[Finish]],MAX(Tasks[[#This Row],[_DoneFrom]],Tasks[[#This Row],[Start]]+ROUND((Tasks[[#This Row],[Finish]]-Tasks[[#This Row],[Start]]+1)*Tasks[[#This Row],[Progress]],0)-1)))</f>
        <v>0</v>
      </c>
      <c r="GW31" s="91" t="n">
        <f aca="false">IF(Tasks[[#This Row],[Task Name]]="",0,IF(OR(NOT(Tasks[[#This Row],[_IsLeaf]]=1),Tasks[[#This Row],[_IsMilestone]],N(Tasks[[#This Row],[Progress]])&gt;=1),0,IF(Tasks[[#This Row],[_DoneTo]]&gt;0,Tasks[[#This Row],[_DoneTo]]+1,Tasks[[#This Row],[Start]])))</f>
        <v>0</v>
      </c>
      <c r="GX31" s="91" t="n">
        <f aca="false">IF(Tasks[[#This Row],[_RemFrom]]=0,0,Tasks[[#This Row],[Finish]])</f>
        <v>0</v>
      </c>
      <c r="GY31" s="90" t="b">
        <f aca="false">IF(Tasks[[#This Row],[Task Name]]="",FALSE(),OR(NOT(BaselineSet),N(Tasks[[#This Row],[Baseline Start]])&gt;0))</f>
        <v>0</v>
      </c>
      <c r="GZ3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1" s="92" t="str">
        <f aca="false">IF(Tasks[[#This Row],[_IsLeaf]]=1,Tasks[[#This Row],[_Row]],"")</f>
        <v/>
      </c>
      <c r="HD31" s="92" t="str">
        <f aca="false">IFERROR(INDEX(Tasks[UID],SMALL(Tasks[_PickKey],Tasks[[#This Row],[_Row]]))&amp;" "&amp;INDEX(Tasks[Task Name],SMALL(Tasks[_PickKey],Tasks[[#This Row],[_Row]])),"")</f>
        <v/>
      </c>
      <c r="HE31" s="43" t="str">
        <f aca="false">IF(Tasks[[#This Row],[Task Name]]="","",IF(Tasks[[#This Row],[_IsSummary]],NETWORKDAYS.INTL(Tasks[[#This Row],[Start]],Tasks[[#This Row],[Finish]],WorkWeek,Holidays),N(Tasks[[#This Row],[_Days]])))</f>
        <v/>
      </c>
      <c r="HF31" s="43" t="n">
        <f aca="false">IF(Tasks[[#This Row],[Expected]]="",0,((Tasks[[#This Row],[Pessimistic]]-Tasks[[#This Row],[Optimistic]])/6)^2)</f>
        <v>0</v>
      </c>
      <c r="HG31" s="43" t="n">
        <f aca="false">IF(Tasks[[#This Row],[Expected]]="",0,Tasks[[#This Row],[Expected]]-N(Tasks[[#This Row],[_Days]]))</f>
        <v>0</v>
      </c>
    </row>
    <row r="32" customFormat="false" ht="15" hidden="false" customHeight="false" outlineLevel="0" collapsed="false">
      <c r="A32" s="21" t="str">
        <f aca="false">IF(Tasks[[#This Row],[Task Name]]="","",COUNTA(Tasks[[#Headers],[Task Name]]:Tasks[[#This Row],[Task Name]])-1)</f>
        <v/>
      </c>
      <c r="B32" s="22" t="n">
        <v>40</v>
      </c>
      <c r="C32" s="22"/>
      <c r="D32" s="23"/>
      <c r="E32" s="22"/>
      <c r="F32" s="23"/>
      <c r="G32" s="22"/>
      <c r="H32" s="22"/>
      <c r="I32" s="23"/>
      <c r="J32" s="22"/>
      <c r="K32" s="22"/>
      <c r="L32" s="23"/>
      <c r="M32" s="22"/>
      <c r="N32" s="22"/>
      <c r="O32" s="23"/>
      <c r="P32" s="22"/>
      <c r="Q32" s="22"/>
      <c r="R32" s="23"/>
      <c r="S32" s="23"/>
      <c r="T32" s="84"/>
      <c r="U32" s="23"/>
      <c r="V32" s="84"/>
      <c r="W32" s="23"/>
      <c r="X32" s="84"/>
      <c r="Y32" s="23"/>
      <c r="Z32" s="84"/>
      <c r="AA32" s="23"/>
      <c r="AB32" s="23"/>
      <c r="AC32" s="7"/>
      <c r="AD32" s="7"/>
      <c r="AE32" s="63" t="str">
        <f aca="false">IF(Tasks[[#This Row],[Task Name]]="","",IF(Tasks[[#This Row],[_IsSummary]],MIN(INDEX(Tasks[_ShownFcstStart],Tasks[[#This Row],[_Row]]+1):INDEX(Tasks[_ShownFcstStart],Tasks[[#This Row],[_Row]]+Tasks[[#This Row],[_Descendants]])),Tasks[[#This Row],[_ShownFcstStart]]))</f>
        <v/>
      </c>
      <c r="AF32" s="63" t="str">
        <f aca="false">IF(Tasks[[#This Row],[Task Name]]="","",IF(Tasks[[#This Row],[_IsSummary]],MAX(INDEX(Tasks[_ShownFcstFinish],Tasks[[#This Row],[_Row]]+1):INDEX(Tasks[_ShownFcstFinish],Tasks[[#This Row],[_Row]]+Tasks[[#This Row],[_Descendants]])),Tasks[[#This Row],[_ShownFcstFinish]]))</f>
        <v/>
      </c>
      <c r="AG32" s="21" t="str">
        <f aca="false">""</f>
        <v/>
      </c>
      <c r="AH32" s="23"/>
      <c r="AI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2" s="7"/>
      <c r="AK32" s="22"/>
      <c r="AL32" s="23"/>
      <c r="AM32" s="7"/>
      <c r="AN32" s="47" t="str">
        <f aca="false">IF(Tasks[[#This Row],[Task Name]]="","",IF(Tasks[[#This Row],[Finish]]&gt;=Tasks[[#This Row],[Planned Finish]],NETWORKDAYS.INTL(Tasks[[#This Row],[Planned Finish]],Tasks[[#This Row],[Finish]],WorkWeek,Holidays)-1,1-NETWORKDAYS.INTL(Tasks[[#This Row],[Finish]],Tasks[[#This Row],[Planned Finish]],WorkWeek,Holidays)))</f>
        <v/>
      </c>
      <c r="AO32" s="21" t="str">
        <f aca="false">IF(Tasks[[#This Row],[Task Name]]="","",IF(Tasks[[#This Row],[Progress]]&gt;=1,"Complete",IF(OR(N(Tasks[[#This Row],[Actual Start]])&gt;0,Tasks[[#This Row],[Progress]]&gt;0),IF(Tasks[[#This Row],[Finish Var]]&gt;0,"Behind","In Progress"),IF(Tasks[[#This Row],[Planned Start]]&lt;StatusDate,"Late Start","Not Started"))))</f>
        <v/>
      </c>
      <c r="AP32" s="21" t="str">
        <f aca="false">IF(Tasks[[#This Row],[Task Name]]="","",IF(IF(Tasks[[#This Row],[_IsSummary]],COUNTIF(INDEX(Tasks[_LeafCritical],Tasks[[#This Row],[_Row]]+1):INDEX(Tasks[_LeafCritical],Tasks[[#This Row],[_Row]]+Tasks[[#This Row],[_Descendants]]),TRUE())&gt;0,Tasks[[#This Row],[_LeafCritical]]),"Yes",""))</f>
        <v/>
      </c>
      <c r="AQ32" s="63" t="str">
        <f aca="false">IF(Tasks[[#This Row],[Task Name]]="","",IF(N(Tasks[[#This Row],[Baseline Start]])&gt;0,Tasks[[#This Row],[Baseline Start]],Tasks[[#This Row],[_CalcStart]]))</f>
        <v/>
      </c>
      <c r="AR32" s="63" t="str">
        <f aca="false">IF(Tasks[[#This Row],[Task Name]]="","",IF(N(Tasks[[#This Row],[Baseline Finish]])&gt;0,Tasks[[#This Row],[Baseline Finish]],Tasks[[#This Row],[_CalcFinish]]))</f>
        <v/>
      </c>
      <c r="AS32" s="47" t="str">
        <f aca="false">IF(Tasks[[#This Row],[Task Name]]="","",IF(Tasks[[#This Row],[Start]]&gt;=Tasks[[#This Row],[Planned Start]],NETWORKDAYS.INTL(Tasks[[#This Row],[Planned Start]],Tasks[[#This Row],[Start]],WorkWeek,Holidays)-1,1-NETWORKDAYS.INTL(Tasks[[#This Row],[Start]],Tasks[[#This Row],[Planned Start]],WorkWeek,Holidays)))</f>
        <v/>
      </c>
      <c r="AT32" s="63" t="str">
        <f aca="false">IF(Tasks[[#This Row],[Task Name]]="","",IF(Tasks[[#This Row],[_IsSummary]],MIN(INDEX(Tasks[_LeafLateStart],Tasks[[#This Row],[_Row]]+1):INDEX(Tasks[_LeafLateStart],Tasks[[#This Row],[_Row]]+Tasks[[#This Row],[_Descendants]])),Tasks[[#This Row],[_LeafLateStart]]))</f>
        <v/>
      </c>
      <c r="AU32" s="63" t="str">
        <f aca="false">IF(Tasks[[#This Row],[Task Name]]="","",IF(Tasks[[#This Row],[_IsSummary]],MAX(INDEX(Tasks[_LeafLateFinish],Tasks[[#This Row],[_Row]]+1):INDEX(Tasks[_LeafLateFinish],Tasks[[#This Row],[_Row]]+Tasks[[#This Row],[_Descendants]])),Tasks[[#This Row],[_LeafLateFinish]]))</f>
        <v/>
      </c>
      <c r="AV32" s="47" t="str">
        <f aca="false">IF(Tasks[[#This Row],[Task Name]]="","",IF(Tasks[[#This Row],[_IsSummary]],MIN(INDEX(Tasks[_LeafTotalSlack],Tasks[[#This Row],[_Row]]+1):INDEX(Tasks[_LeafTotalSlack],Tasks[[#This Row],[_Row]]+Tasks[[#This Row],[_Descendants]])),Tasks[[#This Row],[_LeafTotalSlack]]))</f>
        <v/>
      </c>
      <c r="AW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5"/>
      <c r="BA3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t="str">
        <f aca="false">IF(Tasks[[#This Row],[Task Name]]="","",IF(Tasks[[#This Row],[_Level]]&lt;=OutlineShowLevel,"Yes","No"))</f>
        <v/>
      </c>
      <c r="BE32" s="86" t="str">
        <f aca="false">IF(Tasks[[#This Row],[Task Name]]="","",IF(Tasks[[#This Row],[_IsSummary]],SUM(INDEX(Tasks[_LeafTotalWork],Tasks[[#This Row],[_Row]]+1):INDEX(Tasks[_LeafTotalWork],Tasks[[#This Row],[_Row]]+Tasks[[#This Row],[_Descendants]])),Tasks[[#This Row],[_LeafTotalWork]]))</f>
        <v/>
      </c>
      <c r="BF32" s="23"/>
      <c r="BG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t="str">
        <f aca="false">""</f>
        <v/>
      </c>
      <c r="BI32" s="87"/>
      <c r="BJ32" s="22"/>
      <c r="BK32" s="47" t="str">
        <f aca="false">IF(OR(Tasks[[#This Row],[Task Name]]="",Tasks[[#This Row],[Baseline Duration]]=""),"",Tasks[[#This Row],[_SpanDays]]-N(Tasks[[#This Row],[Baseline Duration]]))</f>
        <v/>
      </c>
      <c r="BL32" s="86" t="str">
        <f aca="false">IF(OR(Tasks[[#This Row],[Task Name]]="",Tasks[[#This Row],[Baseline Work]]=""),"",Tasks[[#This Row],[Work]]-N(Tasks[[#This Row],[Baseline Work]]))</f>
        <v/>
      </c>
      <c r="BM32" s="63" t="str">
        <f aca="false">IF(Tasks[[#This Row],[Task Name]]="","",IF(OR(TakeBaseline="Yes",N(Tasks[[#This Row],[Baseline Start]])=0),Tasks[[#This Row],[Start]],Tasks[[#This Row],[Baseline Start]]))</f>
        <v/>
      </c>
      <c r="BN32" s="63" t="str">
        <f aca="false">IF(Tasks[[#This Row],[Task Name]]="","",IF(OR(TakeBaseline="Yes",N(Tasks[[#This Row],[Baseline Finish]])=0),Tasks[[#This Row],[Finish]],Tasks[[#This Row],[Baseline Finish]]))</f>
        <v/>
      </c>
      <c r="BO32" s="21" t="str">
        <f aca="false">IF(Tasks[[#This Row],[Task Name]]="","",IF(OR(TakeBaseline="Yes",N(Tasks[[#This Row],[Baseline Duration]])=0),Tasks[[#This Row],[_SpanDays]],Tasks[[#This Row],[Baseline Duration]]))</f>
        <v/>
      </c>
      <c r="BP32" s="86" t="str">
        <f aca="false">IF(Tasks[[#This Row],[Task Name]]="","",IF(OR(TakeBaseline="Yes",N(Tasks[[#This Row],[Baseline Work]])=0),Tasks[[#This Row],[Work]],Tasks[[#This Row],[Baseline Work]]))</f>
        <v/>
      </c>
      <c r="BQ32" s="7"/>
      <c r="BR32" s="7"/>
      <c r="BS32" s="22"/>
      <c r="BT32" s="88"/>
      <c r="BU32" s="23"/>
      <c r="BV32" s="23"/>
      <c r="BW32" s="23"/>
      <c r="BX32" s="89" t="str">
        <f aca="false">IF(AND(Tasks[[#This Row],[_IsLeaf]]=1,ISNUMBER(Tasks[[#This Row],[Optimistic]]),ISNUMBER(Tasks[[#This Row],[Pessimistic]])),ROUND((Tasks[[#This Row],[Optimistic]]+4*N(Tasks[[#This Row],[_Days]])+Tasks[[#This Row],[Pessimistic]])/6,1),"")</f>
        <v/>
      </c>
      <c r="BY32" s="87"/>
      <c r="BZ32" s="87"/>
      <c r="CA32" s="22"/>
      <c r="CB32" s="43" t="str">
        <f aca="false">IF(Tasks[[#This Row],[Task Name]]="","",MAX(1,N(Tasks[[#This Row],[Level]])))</f>
        <v/>
      </c>
      <c r="CC32" s="43" t="n">
        <f aca="false">ROW()-ROW(Tasks[[#Headers],[ID]])</f>
        <v>27</v>
      </c>
      <c r="CD32" s="43" t="n">
        <f aca="false">IF(OR(Tasks[[#This Row],[Task Name]]="",Tasks[[#This Row],[_Level]]&lt;=1),0,IFERROR(LOOKUP(2,1/(Tasks[[#Headers],[_Level]]:Tasks[[#This Row],[_Level]]=Tasks[[#This Row],[_Level]]-1),ROW(Tasks[[#Headers],[_Level]]:Tasks[[#This Row],[_Level]])),0))</f>
        <v>0</v>
      </c>
      <c r="CE32" s="43" t="n">
        <f aca="false">IFERROR(N(INDEX(Tasks[_Level],Tasks[[#This Row],[_Row]]+1)),0)</f>
        <v>0</v>
      </c>
      <c r="CF32" s="90" t="b">
        <f aca="false">AND(Tasks[[#This Row],[Task Name]]&lt;&gt;"",Tasks[[#This Row],[_NextLevel]]&gt;Tasks[[#This Row],[_Level]])</f>
        <v>0</v>
      </c>
      <c r="CG32" s="43" t="n">
        <f aca="false">IF(Tasks[[#This Row],[_IsSummary]],COUNTIF(Tasks[WBS],Tasks[[#This Row],[WBS]]&amp;".*"),0)</f>
        <v>0</v>
      </c>
      <c r="CH32" s="43" t="n">
        <f aca="false">IF(AND(Tasks[[#This Row],[Task Name]]&lt;&gt;"",NOT(Tasks[[#This Row],[_IsSummary]])),1,0)</f>
        <v>0</v>
      </c>
      <c r="CI32" s="43" t="n">
        <f aca="false">IF(N(Tasks[[#This Row],[_Pred1UID]])=0,0,IFERROR(MATCH(Tasks[[#This Row],[_Pred1UID]],Tasks[UID],0),-1))</f>
        <v>0</v>
      </c>
      <c r="CJ32" s="43" t="n">
        <f aca="false">IF(N(Tasks[[#This Row],[_Pred2UID]])=0,0,IFERROR(MATCH(Tasks[[#This Row],[_Pred2UID]],Tasks[UID],0),-1))</f>
        <v>0</v>
      </c>
      <c r="CK32" s="43" t="n">
        <f aca="false">IF(N(Tasks[[#This Row],[_Pred3UID]])=0,0,IFERROR(MATCH(Tasks[[#This Row],[_Pred3UID]],Tasks[UID],0),-1))</f>
        <v>0</v>
      </c>
      <c r="CL32" s="43" t="n">
        <f aca="false">IF(N(Tasks[[#This Row],[_Pred4UID]])=0,0,IFERROR(MATCH(Tasks[[#This Row],[_Pred4UID]],Tasks[UID],0),-1))</f>
        <v>0</v>
      </c>
      <c r="CM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2" s="91" t="n">
        <f aca="false">IF(OR(Tasks[[#This Row],[_ConstraintCode]]=2,Tasks[[#This Row],[_ConstraintCode]]=3,Tasks[[#This Row],[_ConstraintCode]]=4,Tasks[[#This Row],[_ConstraintCode]]=6),Tasks[[#This Row],[_ConstraintStart]],0)</f>
        <v>0</v>
      </c>
      <c r="CP32" s="91" t="n">
        <f aca="false">IF(OR(Tasks[[#This Row],[_ConstraintCode]]=2,Tasks[[#This Row],[_ConstraintCode]]=3,Tasks[[#This Row],[_ConstraintCode]]=5,Tasks[[#This Row],[_ConstraintCode]]=7),Tasks[[#This Row],[_ConstraintStart]],2958465)</f>
        <v>2958465</v>
      </c>
      <c r="CQ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2" s="91" t="str">
        <f aca="false">IF(NOT(Tasks[[#This Row],[_IsLeaf]]=1),"",IF(N(Tasks[[#This Row],[_Days]])&lt;=0,Tasks[[#This Row],[_LeafCalcStart]],WORKDAY.INTL(Tasks[[#This Row],[_LeafCalcStart]],Tasks[[#This Row],[_Days]]-1,WorkWeek,Holidays)))</f>
        <v/>
      </c>
      <c r="CS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2" s="43" t="str">
        <f aca="false">IF(Tasks[[#This Row],[_Predecessors]]="","",TRIM(MID(SUBSTITUTE(SUBSTITUTE(SUBSTITUTE(UPPER(Tasks[[#This Row],[_Predecessors]]),";",",")," ",""),",",REPT(" ",99)),1,99)))</f>
        <v/>
      </c>
      <c r="CV32" s="43" t="str">
        <f aca="false">IF(Tasks[[#This Row],[_Pred1Text]]="","",IFERROR(VALUE(LEFT(Tasks[[#This Row],[_Pred1Text]],MIN(FIND("F",Tasks[[#This Row],[_Pred1Text]]&amp;"F"),FIND("S",Tasks[[#This Row],[_Pred1Text]]&amp;"S"),FIND("+",Tasks[[#This Row],[_Pred1Text]]&amp;"+"),FIND("-",Tasks[[#This Row],[_Pred1Text]]&amp;"-"))-1)),""))</f>
        <v/>
      </c>
      <c r="CW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2" s="43" t="str">
        <f aca="false">IF(Tasks[[#This Row],[_Pred1Text]]="","",TRIM(MID(SUBSTITUTE(SUBSTITUTE(SUBSTITUTE(UPPER(Tasks[[#This Row],[_Predecessors]]),";",",")," ",""),",",REPT(" ",99)),100,99)))</f>
        <v/>
      </c>
      <c r="CZ32" s="43" t="str">
        <f aca="false">IF(Tasks[[#This Row],[_Pred2Text]]="","",IFERROR(VALUE(LEFT(Tasks[[#This Row],[_Pred2Text]],MIN(FIND("F",Tasks[[#This Row],[_Pred2Text]]&amp;"F"),FIND("S",Tasks[[#This Row],[_Pred2Text]]&amp;"S"),FIND("+",Tasks[[#This Row],[_Pred2Text]]&amp;"+"),FIND("-",Tasks[[#This Row],[_Pred2Text]]&amp;"-"))-1)),""))</f>
        <v/>
      </c>
      <c r="DA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2" s="43" t="str">
        <f aca="false">IF(Tasks[[#This Row],[_Pred2Text]]="","",TRIM(MID(SUBSTITUTE(SUBSTITUTE(SUBSTITUTE(UPPER(Tasks[[#This Row],[_Predecessors]]),";",",")," ",""),",",REPT(" ",99)),199,99)))</f>
        <v/>
      </c>
      <c r="DD32" s="43" t="str">
        <f aca="false">IF(Tasks[[#This Row],[_Pred3Text]]="","",IFERROR(VALUE(LEFT(Tasks[[#This Row],[_Pred3Text]],MIN(FIND("F",Tasks[[#This Row],[_Pred3Text]]&amp;"F"),FIND("S",Tasks[[#This Row],[_Pred3Text]]&amp;"S"),FIND("+",Tasks[[#This Row],[_Pred3Text]]&amp;"+"),FIND("-",Tasks[[#This Row],[_Pred3Text]]&amp;"-"))-1)),""))</f>
        <v/>
      </c>
      <c r="DE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2" s="43" t="str">
        <f aca="false">IF(Tasks[[#This Row],[_Pred3Text]]="","",TRIM(MID(SUBSTITUTE(SUBSTITUTE(SUBSTITUTE(UPPER(Tasks[[#This Row],[_Predecessors]]),";",",")," ",""),",",REPT(" ",99)),298,99)))</f>
        <v/>
      </c>
      <c r="DH32" s="43" t="str">
        <f aca="false">IF(Tasks[[#This Row],[_Pred4Text]]="","",IFERROR(VALUE(LEFT(Tasks[[#This Row],[_Pred4Text]],MIN(FIND("F",Tasks[[#This Row],[_Pred4Text]]&amp;"F"),FIND("S",Tasks[[#This Row],[_Pred4Text]]&amp;"S"),FIND("+",Tasks[[#This Row],[_Pred4Text]]&amp;"+"),FIND("-",Tasks[[#This Row],[_Pred4Text]]&amp;"-"))-1)),""))</f>
        <v/>
      </c>
      <c r="DI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2" s="43" t="str">
        <f aca="false">IF(OR(Tasks[[#This Row],[Task Name]]="",Tasks[[#This Row],[_Resources]]=""),"",TRIM(MID(SUBSTITUTE(Tasks[[#This Row],[_Resources]],",",REPT(" ",99)),1,99)))</f>
        <v/>
      </c>
      <c r="DL32" s="43" t="str">
        <f aca="false">IF(Tasks[[#This Row],[_Res1Text]]="","",TRIM(MID(SUBSTITUTE(Tasks[[#This Row],[_Resources]],",",REPT(" ",99)),100,99)))</f>
        <v/>
      </c>
      <c r="DM32" s="43" t="str">
        <f aca="false">IF(Tasks[[#This Row],[_Res2Text]]="","",TRIM(MID(SUBSTITUTE(Tasks[[#This Row],[_Resources]],",",REPT(" ",99)),199,99)))</f>
        <v/>
      </c>
      <c r="DN32" s="43" t="str">
        <f aca="false">IF(Tasks[[#This Row],[_Res3Text]]="","",TRIM(MID(SUBSTITUTE(Tasks[[#This Row],[_Resources]],",",REPT(" ",99)),298,99)))</f>
        <v/>
      </c>
      <c r="DO32" s="43" t="n">
        <f aca="false">IF(Tasks[[#This Row],[_Res1Text]]="",0,IFERROR(MATCH(TRIM(LEFT(Tasks[[#This Row],[_Res1Text]],FIND("[",Tasks[[#This Row],[_Res1Text]]&amp;"[")-1)),res_Name,0),IFERROR(MATCH(TRIM(LEFT(Tasks[[#This Row],[_Res1Text]],FIND("[",Tasks[[#This Row],[_Res1Text]]&amp;"[")-1)),res_Initials,0),0)))</f>
        <v>0</v>
      </c>
      <c r="DP32" s="43" t="n">
        <f aca="false">IF(Tasks[[#This Row],[_Res2Text]]="",0,IFERROR(MATCH(TRIM(LEFT(Tasks[[#This Row],[_Res2Text]],FIND("[",Tasks[[#This Row],[_Res2Text]]&amp;"[")-1)),res_Name,0),IFERROR(MATCH(TRIM(LEFT(Tasks[[#This Row],[_Res2Text]],FIND("[",Tasks[[#This Row],[_Res2Text]]&amp;"[")-1)),res_Initials,0),0)))</f>
        <v>0</v>
      </c>
      <c r="DQ32" s="43" t="n">
        <f aca="false">IF(Tasks[[#This Row],[_Res3Text]]="",0,IFERROR(MATCH(TRIM(LEFT(Tasks[[#This Row],[_Res3Text]],FIND("[",Tasks[[#This Row],[_Res3Text]]&amp;"[")-1)),res_Name,0),IFERROR(MATCH(TRIM(LEFT(Tasks[[#This Row],[_Res3Text]],FIND("[",Tasks[[#This Row],[_Res3Text]]&amp;"[")-1)),res_Initials,0),0)))</f>
        <v>0</v>
      </c>
      <c r="DR32" s="43" t="n">
        <f aca="false">IF(Tasks[[#This Row],[_Res4Text]]="",0,IFERROR(MATCH(TRIM(LEFT(Tasks[[#This Row],[_Res4Text]],FIND("[",Tasks[[#This Row],[_Res4Text]]&amp;"[")-1)),res_Name,0),IFERROR(MATCH(TRIM(LEFT(Tasks[[#This Row],[_Res4Text]],FIND("[",Tasks[[#This Row],[_Res4Text]]&amp;"[")-1)),res_Initials,0),0)))</f>
        <v>0</v>
      </c>
      <c r="DS32" s="43" t="str">
        <f aca="false">IF(Tasks[[#This Row],[_Res1Text]]="","",IF(Tasks[[#This Row],[_Res1Row]]&gt;0,INDEX(res_Name,Tasks[[#This Row],[_Res1Row]]),TRIM(LEFT(Tasks[[#This Row],[_Res1Text]],FIND("[",Tasks[[#This Row],[_Res1Text]]&amp;"[")-1))))</f>
        <v/>
      </c>
      <c r="DT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2" s="43" t="n">
        <f aca="false">IF(NOT(Tasks[[#This Row],[_IsLeaf]]=1),0,(Tasks[[#This Row],[_Resource1]]&lt;&gt;"")+(Tasks[[#This Row],[_Res2]]&lt;&gt;"")+(Tasks[[#This Row],[_Res3]]&lt;&gt;"")+(Tasks[[#This Row],[_Res4]]&lt;&gt;""))</f>
        <v>0</v>
      </c>
      <c r="DV32" s="43" t="str">
        <f aca="false">IF(Tasks[[#This Row],[_Res2Text]]="","",IF(Tasks[[#This Row],[_Res2Row]]&gt;0,INDEX(res_Name,Tasks[[#This Row],[_Res2Row]]),TRIM(LEFT(Tasks[[#This Row],[_Res2Text]],FIND("[",Tasks[[#This Row],[_Res2Text]]&amp;"[")-1))))</f>
        <v/>
      </c>
      <c r="DW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2" s="43" t="n">
        <f aca="false">IF(OR(NOT(Tasks[[#This Row],[_IsLeaf]]=1),Tasks[[#This Row],[_Res2Row]]=0),0,N(Tasks[[#This Row],[_Days]])*HoursPerDay*IF(Tasks[[#This Row],[_Res2Units]]="",DefaultUnits,Tasks[[#This Row],[_Res2Units]]))</f>
        <v>0</v>
      </c>
      <c r="DY32" s="43" t="n">
        <f aca="false">IF(AND(AND(Tasks[[#This Row],[_IsLeaf]]=1,Tasks[[#This Row],[_LeafTotalWork]]&gt;0),Tasks[[#This Row],[_Res2Work]]&gt;0),Tasks[[#This Row],[_Res2Work]]/(Tasks[[#This Row],[_FinishWorkday]]-Tasks[[#This Row],[_StartWorkday]]+1),0)</f>
        <v>0</v>
      </c>
      <c r="DZ32" s="43" t="n">
        <f aca="false">Tasks[[#This Row],[_Res2WorkPerWD]]*MAX(0,Tasks[[#This Row],[_StartWorkday]]-1)</f>
        <v>0</v>
      </c>
      <c r="EA32" s="43" t="n">
        <f aca="false">Tasks[[#This Row],[_Res2Work]]*Tasks[[#This Row],[_LeafProgress]]</f>
        <v>0</v>
      </c>
      <c r="EB32" s="43" t="str">
        <f aca="false">IF(Tasks[[#This Row],[_Res3Text]]="","",IF(Tasks[[#This Row],[_Res3Row]]&gt;0,INDEX(res_Name,Tasks[[#This Row],[_Res3Row]]),TRIM(LEFT(Tasks[[#This Row],[_Res3Text]],FIND("[",Tasks[[#This Row],[_Res3Text]]&amp;"[")-1))))</f>
        <v/>
      </c>
      <c r="EC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2" s="43" t="n">
        <f aca="false">IF(OR(NOT(Tasks[[#This Row],[_IsLeaf]]=1),Tasks[[#This Row],[_Res3Row]]=0),0,N(Tasks[[#This Row],[_Days]])*HoursPerDay*IF(Tasks[[#This Row],[_Res3Units]]="",DefaultUnits,Tasks[[#This Row],[_Res3Units]]))</f>
        <v>0</v>
      </c>
      <c r="EE32" s="43" t="n">
        <f aca="false">IF(AND(AND(Tasks[[#This Row],[_IsLeaf]]=1,Tasks[[#This Row],[_LeafTotalWork]]&gt;0),Tasks[[#This Row],[_Res3Work]]&gt;0),Tasks[[#This Row],[_Res3Work]]/(Tasks[[#This Row],[_FinishWorkday]]-Tasks[[#This Row],[_StartWorkday]]+1),0)</f>
        <v>0</v>
      </c>
      <c r="EF32" s="43" t="n">
        <f aca="false">Tasks[[#This Row],[_Res3WorkPerWD]]*MAX(0,Tasks[[#This Row],[_StartWorkday]]-1)</f>
        <v>0</v>
      </c>
      <c r="EG32" s="43" t="n">
        <f aca="false">Tasks[[#This Row],[_Res3Work]]*Tasks[[#This Row],[_LeafProgress]]</f>
        <v>0</v>
      </c>
      <c r="EH32" s="43" t="str">
        <f aca="false">IF(Tasks[[#This Row],[_Res4Text]]="","",IF(Tasks[[#This Row],[_Res4Row]]&gt;0,INDEX(res_Name,Tasks[[#This Row],[_Res4Row]]),TRIM(LEFT(Tasks[[#This Row],[_Res4Text]],FIND("[",Tasks[[#This Row],[_Res4Text]]&amp;"[")-1))))</f>
        <v/>
      </c>
      <c r="EI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2" s="43" t="n">
        <f aca="false">IF(OR(NOT(Tasks[[#This Row],[_IsLeaf]]=1),Tasks[[#This Row],[_Res4Row]]=0),0,N(Tasks[[#This Row],[_Days]])*HoursPerDay*IF(Tasks[[#This Row],[_Res4Units]]="",DefaultUnits,Tasks[[#This Row],[_Res4Units]]))</f>
        <v>0</v>
      </c>
      <c r="EK32" s="43" t="n">
        <f aca="false">IF(AND(AND(Tasks[[#This Row],[_IsLeaf]]=1,Tasks[[#This Row],[_LeafTotalWork]]&gt;0),Tasks[[#This Row],[_Res4Work]]&gt;0),Tasks[[#This Row],[_Res4Work]]/(Tasks[[#This Row],[_FinishWorkday]]-Tasks[[#This Row],[_StartWorkday]]+1),0)</f>
        <v>0</v>
      </c>
      <c r="EL32" s="43" t="n">
        <f aca="false">Tasks[[#This Row],[_Res4WorkPerWD]]*MAX(0,Tasks[[#This Row],[_StartWorkday]]-1)</f>
        <v>0</v>
      </c>
      <c r="EM32" s="43" t="n">
        <f aca="false">Tasks[[#This Row],[_Res4Work]]*Tasks[[#This Row],[_LeafProgress]]</f>
        <v>0</v>
      </c>
      <c r="EN32" s="43" t="n">
        <f aca="false">IF(ISNUMBER(Tasks[[#This Row],[% Complete]]),Tasks[[#This Row],[% Complete]],IF(Tasks[[#This Row],[Stage]]="",0,IFERROR(INDEX(stg_Pct,MATCH(Tasks[[#This Row],[Stage]],stg_Name,0)),0)))</f>
        <v>0</v>
      </c>
      <c r="EO32" s="43" t="n">
        <f aca="false">IF(NOT(Tasks[[#This Row],[_IsLeaf]]=1),0,IF(N(Tasks[[#This Row],[Actual Finish]])&gt;0,1,MIN(1,Tasks[[#This Row],[_Pct]])))</f>
        <v>0</v>
      </c>
      <c r="EP32" s="43" t="n">
        <f aca="false">IF(OR(NOT(Tasks[[#This Row],[_IsLeaf]]=1),Tasks[[#This Row],[_Res1Row]]=0),0,N(Tasks[[#This Row],[_Days]])*HoursPerDay*IF(Tasks[[#This Row],[_Units1]]="",DefaultUnits,Tasks[[#This Row],[_Units1]]))</f>
        <v>0</v>
      </c>
      <c r="EQ32" s="43" t="n">
        <f aca="false">Tasks[[#This Row],[_LeafWork]]+Tasks[[#This Row],[_Res2Work]]+Tasks[[#This Row],[_Res3Work]]+Tasks[[#This Row],[_Res4Work]]</f>
        <v>0</v>
      </c>
      <c r="ER3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2" s="43" t="n">
        <f aca="false">IF(NOT(Tasks[[#This Row],[_IsLeaf]]=1),0,MAX(_xlfn.MAXIFS(Tasks[_Row],Tasks[_Pred1UID],Tasks[[#This Row],[UID]]),_xlfn.MAXIFS(Tasks[_Row],Tasks[_Pred2UID],Tasks[[#This Row],[UID]]),_xlfn.MAXIFS(Tasks[_Row],Tasks[_Pred3UID],Tasks[[#This Row],[UID]]),_xlfn.MAXIFS(Tasks[_Row],Tasks[_Pred4UID],Tasks[[#This Row],[UID]])))</f>
        <v>0</v>
      </c>
      <c r="FA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2" s="91" t="str">
        <f aca="false">IF(NOT(Tasks[[#This Row],[_IsLeaf]]=1),"",IF(N(Tasks[[#This Row],[_Days]])&lt;=0,Tasks[[#This Row],[_LeafLateFinish]],WORKDAY.INTL(Tasks[[#This Row],[_LeafLateFinish]],-(Tasks[[#This Row],[_Days]]-1),WorkWeek,Holidays)))</f>
        <v/>
      </c>
      <c r="FD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2" s="90" t="b">
        <f aca="false">AND(Tasks[[#This Row],[_IsLeaf]]=1,Tasks[[#This Row],[_LeafProgress]]&lt;1,N(Tasks[[#This Row],[_LeafTotalSlack]])&lt;=CriticalSlackDays)</f>
        <v>0</v>
      </c>
      <c r="FF32" s="43" t="n">
        <f aca="false">IF(AND(Tasks[[#This Row],[_IsLeaf]]=1,Tasks[[#This Row],[_ConstraintCode]]=1,Tasks[[#This Row],[Mode]]&lt;&gt;"Manual",N(Tasks[[#This Row],[Actual Start]])=0),MAX(0,N(Tasks[[#This Row],[Free Slack]])),0)</f>
        <v>0</v>
      </c>
      <c r="FG32" s="91" t="str">
        <f aca="false">IF(NOT(Tasks[[#This Row],[_IsLeaf]]=1),"",IF(Tasks[[#This Row],[_AlapShift]]=0,Tasks[[#This Row],[_LeafCalcStart]],WORKDAY.INTL(Tasks[[#This Row],[_LeafCalcStart]],Tasks[[#This Row],[_AlapShift]],WorkWeek,Holidays)))</f>
        <v/>
      </c>
      <c r="FH32" s="91" t="str">
        <f aca="false">IF(NOT(Tasks[[#This Row],[_IsLeaf]]=1),"",IF(Tasks[[#This Row],[_AlapShift]]=0,Tasks[[#This Row],[_LeafCalcFinish]],WORKDAY.INTL(Tasks[[#This Row],[_LeafCalcFinish]],Tasks[[#This Row],[_AlapShift]],WorkWeek,Holidays)))</f>
        <v/>
      </c>
      <c r="FI32" s="91" t="str">
        <f aca="false">IF(NOT(Tasks[[#This Row],[_IsLeaf]]=1),"",IF(Tasks[[#This Row],[_AlapShift]]=0,Tasks[[#This Row],[_LeafFcstStart]],WORKDAY.INTL(Tasks[[#This Row],[_LeafFcstStart]],Tasks[[#This Row],[_AlapShift]],WorkWeek,Holidays)))</f>
        <v/>
      </c>
      <c r="FJ32" s="91" t="str">
        <f aca="false">IF(NOT(Tasks[[#This Row],[_IsLeaf]]=1),"",IF(Tasks[[#This Row],[_AlapShift]]=0,Tasks[[#This Row],[_LeafFcstFinish]],WORKDAY.INTL(Tasks[[#This Row],[_LeafFcstFinish]],Tasks[[#This Row],[_AlapShift]],WorkWeek,Holidays)))</f>
        <v/>
      </c>
      <c r="FK32" s="91" t="str">
        <f aca="false">IF(Tasks[[#This Row],[Task Name]]="","",IF(Tasks[[#This Row],[_IsSummary]],MIN(INDEX(Tasks[_ShownCalcStart],Tasks[[#This Row],[_Row]]+1):INDEX(Tasks[_ShownCalcStart],Tasks[[#This Row],[_Row]]+Tasks[[#This Row],[_Descendants]])),Tasks[[#This Row],[_ShownCalcStart]]))</f>
        <v/>
      </c>
      <c r="FL32" s="91" t="str">
        <f aca="false">IF(Tasks[[#This Row],[Task Name]]="","",IF(Tasks[[#This Row],[_IsSummary]],MAX(INDEX(Tasks[_ShownCalcFinish],Tasks[[#This Row],[_Row]]+1):INDEX(Tasks[_ShownCalcFinish],Tasks[[#This Row],[_Row]]+Tasks[[#This Row],[_Descendants]])),Tasks[[#This Row],[_ShownCalcFinish]]))</f>
        <v/>
      </c>
      <c r="FM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2" s="43" t="n">
        <f aca="false">IF(AND(Tasks[[#This Row],[_IsLeaf]]=1,Tasks[[#This Row],[_LeafTotalWork]]&gt;0),NETWORKDAYS.INTL(ProjectStart,Tasks[[#This Row],[_ShownFcstStart]],WorkWeek,Holidays),0)</f>
        <v>0</v>
      </c>
      <c r="FZ32" s="43" t="n">
        <f aca="false">IF(AND(Tasks[[#This Row],[_IsLeaf]]=1,Tasks[[#This Row],[_LeafTotalWork]]&gt;0),MAX(Tasks[[#This Row],[_StartWorkday]],NETWORKDAYS.INTL(ProjectStart,Tasks[[#This Row],[_ShownFcstFinish]],WorkWeek,Holidays)),0)</f>
        <v>0</v>
      </c>
      <c r="GA32" s="43" t="n">
        <f aca="false">IF(AND(Tasks[[#This Row],[_IsLeaf]]=1,Tasks[[#This Row],[_LeafTotalWork]]&gt;0),Tasks[[#This Row],[_LeafWork]]/(Tasks[[#This Row],[_FinishWorkday]]-Tasks[[#This Row],[_StartWorkday]]+1),0)</f>
        <v>0</v>
      </c>
      <c r="GB32" s="43" t="n">
        <f aca="false">Tasks[[#This Row],[_WorkPerWorkday]]*(Tasks[[#This Row],[_StartWorkday]]-1)</f>
        <v>-0</v>
      </c>
      <c r="GC32" s="43" t="n">
        <f aca="false">IF(Tasks[[#This Row],[_IsLeaf]]=1,MAX(N(Tasks[[#This Row],[_Days]]),0.1),0)</f>
        <v>0</v>
      </c>
      <c r="GD32" s="43" t="n">
        <f aca="false">Tasks[[#This Row],[_WeightDur]]*Tasks[[#This Row],[_LeafProgress]]</f>
        <v>0</v>
      </c>
      <c r="GE32" s="43" t="n">
        <f aca="false">Tasks[[#This Row],[_WeightDur]]*Tasks[[#This Row],[_PlannedPct]]</f>
        <v>0</v>
      </c>
      <c r="GF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2" s="43" t="str">
        <f aca="false">IF(AND(Tasks[[#This Row],[_IsLeaf]]=1,N(Tasks[[#This Row],[_Days]])=0,Tasks[[#This Row],[_LeafProgress]]&lt;1),Tasks[[#This Row],[_ShownFcstFinish]]+Tasks[[#This Row],[_Row]]/100000,"")</f>
        <v/>
      </c>
      <c r="GH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2" s="43" t="str">
        <f aca="false">IF(Tasks[[#This Row],[Task Name]]="","",LEFT(Tasks[[#This Row],[WBS]],FIND(".",Tasks[[#This Row],[WBS]]&amp;".")-1))</f>
        <v/>
      </c>
      <c r="GJ32" s="43" t="str">
        <f aca="false">IF(AND(Tasks[[#This Row],[Task Name]]&lt;&gt;"",Tasks[[#This Row],[_Level]]=1),Tasks[[#This Row],[_Row]],"")</f>
        <v/>
      </c>
      <c r="GK32" s="43" t="str">
        <f aca="false">IF(AND(Tasks[[#This Row],[_IsLeaf]]=1,N(Tasks[[#This Row],[_Days]])=0),Tasks[[#This Row],[Planned Finish]]+Tasks[[#This Row],[_Row]]/100000,"")</f>
        <v/>
      </c>
      <c r="GL32" s="43" t="str">
        <f aca="false">IF(AND(Tasks[[#This Row],[_IsLeaf]]=1,Tasks[[#This Row],[_LeafProgress]]&lt;1,OR(N(Tasks[[#This Row],[Finish Var]])&gt;0,Tasks[[#This Row],[Status]]="Late Start")),MAX(0,Tasks[[#This Row],[Finish Var]])+1-Tasks[[#This Row],[_Row]]/1000000,"")</f>
        <v/>
      </c>
      <c r="GM32" s="43" t="str">
        <f aca="false">IF(AND(Tasks[[#This Row],[_IsLeaf]]=1,N(Tasks[[#This Row],[Actual Start]])=0,Tasks[[#This Row],[_ShownFcstStart]]&gt;=StatusDate,Tasks[[#This Row],[_ShownFcstStart]]&lt;=LookaheadEnd),Tasks[[#This Row],[_ShownFcstStart]]+Tasks[[#This Row],[_Row]]/100000,"")</f>
        <v/>
      </c>
      <c r="GN32" s="43" t="str">
        <f aca="false">IF(AND(Tasks[[#This Row],[_IsLeaf]]=1,Tasks[[#This Row],[_LeafProgress]]&lt;1,Tasks[[#This Row],[_ShownFcstFinish]]&gt;=StatusDate,Tasks[[#This Row],[_ShownFcstFinish]]&lt;=LookaheadEnd),Tasks[[#This Row],[_ShownFcstFinish]]+Tasks[[#This Row],[_Row]]/100000,"")</f>
        <v/>
      </c>
      <c r="GO32" s="43" t="str">
        <f aca="false">IF(Tasks[[#This Row],[_LeafCritical]],Tasks[[#This Row],[_ShownFcstStart]]+Tasks[[#This Row],[_Row]]/100000,"")</f>
        <v/>
      </c>
      <c r="GP32" s="43" t="n">
        <f aca="false">Tasks[[#This Row],[_LeafWork]]*Tasks[[#This Row],[_LeafProgress]]</f>
        <v>0</v>
      </c>
      <c r="GQ32" s="91" t="str">
        <f aca="false">IF(AND(Tasks[[#This Row],[_IsLeaf]]=1,Tasks[[#This Row],[_LeafProgress]]&gt;=1),IF(N(Tasks[[#This Row],[Actual Finish]])&gt;0,Tasks[[#This Row],[Actual Finish]],Tasks[[#This Row],[_ShownFcstFinish]]),"")</f>
        <v/>
      </c>
      <c r="GR32" s="43" t="n">
        <f aca="false">IF(Tasks[[#This Row],[_IsLeaf]]=1,N(Tasks[[#This Row],[Story Points]]),0)</f>
        <v>0</v>
      </c>
      <c r="GS32" s="43" t="str">
        <f aca="false">""</f>
        <v/>
      </c>
      <c r="GT32" s="90" t="b">
        <f aca="false">IF(Tasks[[#This Row],[Task Name]]="",FALSE(),AND(Tasks[[#This Row],[_IsLeaf]]=1,N(Tasks[[#This Row],[_Days]])=0))</f>
        <v>0</v>
      </c>
      <c r="GU32" s="91" t="n">
        <f aca="false">IF(Tasks[[#This Row],[Task Name]]="",0,IF(AND(Tasks[[#This Row],[_IsLeaf]]=1,NOT(Tasks[[#This Row],[_IsMilestone]]),N(Tasks[[#This Row],[Progress]])&gt;0),Tasks[[#This Row],[Start]],0))</f>
        <v>0</v>
      </c>
      <c r="GV32" s="91" t="n">
        <f aca="false">IF(Tasks[[#This Row],[_DoneFrom]]=0,0,IF(Tasks[[#This Row],[Progress]]&gt;=1,Tasks[[#This Row],[Finish]],MAX(Tasks[[#This Row],[_DoneFrom]],Tasks[[#This Row],[Start]]+ROUND((Tasks[[#This Row],[Finish]]-Tasks[[#This Row],[Start]]+1)*Tasks[[#This Row],[Progress]],0)-1)))</f>
        <v>0</v>
      </c>
      <c r="GW32" s="91" t="n">
        <f aca="false">IF(Tasks[[#This Row],[Task Name]]="",0,IF(OR(NOT(Tasks[[#This Row],[_IsLeaf]]=1),Tasks[[#This Row],[_IsMilestone]],N(Tasks[[#This Row],[Progress]])&gt;=1),0,IF(Tasks[[#This Row],[_DoneTo]]&gt;0,Tasks[[#This Row],[_DoneTo]]+1,Tasks[[#This Row],[Start]])))</f>
        <v>0</v>
      </c>
      <c r="GX32" s="91" t="n">
        <f aca="false">IF(Tasks[[#This Row],[_RemFrom]]=0,0,Tasks[[#This Row],[Finish]])</f>
        <v>0</v>
      </c>
      <c r="GY32" s="90" t="b">
        <f aca="false">IF(Tasks[[#This Row],[Task Name]]="",FALSE(),OR(NOT(BaselineSet),N(Tasks[[#This Row],[Baseline Start]])&gt;0))</f>
        <v>0</v>
      </c>
      <c r="GZ3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2" s="92" t="str">
        <f aca="false">IF(Tasks[[#This Row],[_IsLeaf]]=1,Tasks[[#This Row],[_Row]],"")</f>
        <v/>
      </c>
      <c r="HD32" s="92" t="str">
        <f aca="false">IFERROR(INDEX(Tasks[UID],SMALL(Tasks[_PickKey],Tasks[[#This Row],[_Row]]))&amp;" "&amp;INDEX(Tasks[Task Name],SMALL(Tasks[_PickKey],Tasks[[#This Row],[_Row]])),"")</f>
        <v/>
      </c>
      <c r="HE32" s="43" t="str">
        <f aca="false">IF(Tasks[[#This Row],[Task Name]]="","",IF(Tasks[[#This Row],[_IsSummary]],NETWORKDAYS.INTL(Tasks[[#This Row],[Start]],Tasks[[#This Row],[Finish]],WorkWeek,Holidays),N(Tasks[[#This Row],[_Days]])))</f>
        <v/>
      </c>
      <c r="HF32" s="43" t="n">
        <f aca="false">IF(Tasks[[#This Row],[Expected]]="",0,((Tasks[[#This Row],[Pessimistic]]-Tasks[[#This Row],[Optimistic]])/6)^2)</f>
        <v>0</v>
      </c>
      <c r="HG32" s="43" t="n">
        <f aca="false">IF(Tasks[[#This Row],[Expected]]="",0,Tasks[[#This Row],[Expected]]-N(Tasks[[#This Row],[_Days]]))</f>
        <v>0</v>
      </c>
    </row>
    <row r="33" customFormat="false" ht="15" hidden="false" customHeight="false" outlineLevel="0" collapsed="false">
      <c r="A33" s="21" t="str">
        <f aca="false">IF(Tasks[[#This Row],[Task Name]]="","",COUNTA(Tasks[[#Headers],[Task Name]]:Tasks[[#This Row],[Task Name]])-1)</f>
        <v/>
      </c>
      <c r="B33" s="22" t="n">
        <v>41</v>
      </c>
      <c r="C33" s="22"/>
      <c r="D33" s="23"/>
      <c r="E33" s="22"/>
      <c r="F33" s="23"/>
      <c r="G33" s="22"/>
      <c r="H33" s="22"/>
      <c r="I33" s="23"/>
      <c r="J33" s="22"/>
      <c r="K33" s="22"/>
      <c r="L33" s="23"/>
      <c r="M33" s="22"/>
      <c r="N33" s="22"/>
      <c r="O33" s="23"/>
      <c r="P33" s="22"/>
      <c r="Q33" s="22"/>
      <c r="R33" s="23"/>
      <c r="S33" s="23"/>
      <c r="T33" s="84"/>
      <c r="U33" s="23"/>
      <c r="V33" s="84"/>
      <c r="W33" s="23"/>
      <c r="X33" s="84"/>
      <c r="Y33" s="23"/>
      <c r="Z33" s="84"/>
      <c r="AA33" s="23"/>
      <c r="AB33" s="23"/>
      <c r="AC33" s="7"/>
      <c r="AD33" s="7"/>
      <c r="AE33" s="63" t="str">
        <f aca="false">IF(Tasks[[#This Row],[Task Name]]="","",IF(Tasks[[#This Row],[_IsSummary]],MIN(INDEX(Tasks[_ShownFcstStart],Tasks[[#This Row],[_Row]]+1):INDEX(Tasks[_ShownFcstStart],Tasks[[#This Row],[_Row]]+Tasks[[#This Row],[_Descendants]])),Tasks[[#This Row],[_ShownFcstStart]]))</f>
        <v/>
      </c>
      <c r="AF33" s="63" t="str">
        <f aca="false">IF(Tasks[[#This Row],[Task Name]]="","",IF(Tasks[[#This Row],[_IsSummary]],MAX(INDEX(Tasks[_ShownFcstFinish],Tasks[[#This Row],[_Row]]+1):INDEX(Tasks[_ShownFcstFinish],Tasks[[#This Row],[_Row]]+Tasks[[#This Row],[_Descendants]])),Tasks[[#This Row],[_ShownFcstFinish]]))</f>
        <v/>
      </c>
      <c r="AG33" s="21" t="str">
        <f aca="false">""</f>
        <v/>
      </c>
      <c r="AH33" s="23"/>
      <c r="AI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3" s="7"/>
      <c r="AK33" s="22"/>
      <c r="AL33" s="23"/>
      <c r="AM33" s="7"/>
      <c r="AN33" s="47" t="str">
        <f aca="false">IF(Tasks[[#This Row],[Task Name]]="","",IF(Tasks[[#This Row],[Finish]]&gt;=Tasks[[#This Row],[Planned Finish]],NETWORKDAYS.INTL(Tasks[[#This Row],[Planned Finish]],Tasks[[#This Row],[Finish]],WorkWeek,Holidays)-1,1-NETWORKDAYS.INTL(Tasks[[#This Row],[Finish]],Tasks[[#This Row],[Planned Finish]],WorkWeek,Holidays)))</f>
        <v/>
      </c>
      <c r="AO33" s="21" t="str">
        <f aca="false">IF(Tasks[[#This Row],[Task Name]]="","",IF(Tasks[[#This Row],[Progress]]&gt;=1,"Complete",IF(OR(N(Tasks[[#This Row],[Actual Start]])&gt;0,Tasks[[#This Row],[Progress]]&gt;0),IF(Tasks[[#This Row],[Finish Var]]&gt;0,"Behind","In Progress"),IF(Tasks[[#This Row],[Planned Start]]&lt;StatusDate,"Late Start","Not Started"))))</f>
        <v/>
      </c>
      <c r="AP33" s="21" t="str">
        <f aca="false">IF(Tasks[[#This Row],[Task Name]]="","",IF(IF(Tasks[[#This Row],[_IsSummary]],COUNTIF(INDEX(Tasks[_LeafCritical],Tasks[[#This Row],[_Row]]+1):INDEX(Tasks[_LeafCritical],Tasks[[#This Row],[_Row]]+Tasks[[#This Row],[_Descendants]]),TRUE())&gt;0,Tasks[[#This Row],[_LeafCritical]]),"Yes",""))</f>
        <v/>
      </c>
      <c r="AQ33" s="63" t="str">
        <f aca="false">IF(Tasks[[#This Row],[Task Name]]="","",IF(N(Tasks[[#This Row],[Baseline Start]])&gt;0,Tasks[[#This Row],[Baseline Start]],Tasks[[#This Row],[_CalcStart]]))</f>
        <v/>
      </c>
      <c r="AR33" s="63" t="str">
        <f aca="false">IF(Tasks[[#This Row],[Task Name]]="","",IF(N(Tasks[[#This Row],[Baseline Finish]])&gt;0,Tasks[[#This Row],[Baseline Finish]],Tasks[[#This Row],[_CalcFinish]]))</f>
        <v/>
      </c>
      <c r="AS33" s="47" t="str">
        <f aca="false">IF(Tasks[[#This Row],[Task Name]]="","",IF(Tasks[[#This Row],[Start]]&gt;=Tasks[[#This Row],[Planned Start]],NETWORKDAYS.INTL(Tasks[[#This Row],[Planned Start]],Tasks[[#This Row],[Start]],WorkWeek,Holidays)-1,1-NETWORKDAYS.INTL(Tasks[[#This Row],[Start]],Tasks[[#This Row],[Planned Start]],WorkWeek,Holidays)))</f>
        <v/>
      </c>
      <c r="AT33" s="63" t="str">
        <f aca="false">IF(Tasks[[#This Row],[Task Name]]="","",IF(Tasks[[#This Row],[_IsSummary]],MIN(INDEX(Tasks[_LeafLateStart],Tasks[[#This Row],[_Row]]+1):INDEX(Tasks[_LeafLateStart],Tasks[[#This Row],[_Row]]+Tasks[[#This Row],[_Descendants]])),Tasks[[#This Row],[_LeafLateStart]]))</f>
        <v/>
      </c>
      <c r="AU33" s="63" t="str">
        <f aca="false">IF(Tasks[[#This Row],[Task Name]]="","",IF(Tasks[[#This Row],[_IsSummary]],MAX(INDEX(Tasks[_LeafLateFinish],Tasks[[#This Row],[_Row]]+1):INDEX(Tasks[_LeafLateFinish],Tasks[[#This Row],[_Row]]+Tasks[[#This Row],[_Descendants]])),Tasks[[#This Row],[_LeafLateFinish]]))</f>
        <v/>
      </c>
      <c r="AV33" s="47" t="str">
        <f aca="false">IF(Tasks[[#This Row],[Task Name]]="","",IF(Tasks[[#This Row],[_IsSummary]],MIN(INDEX(Tasks[_LeafTotalSlack],Tasks[[#This Row],[_Row]]+1):INDEX(Tasks[_LeafTotalSlack],Tasks[[#This Row],[_Row]]+Tasks[[#This Row],[_Descendants]])),Tasks[[#This Row],[_LeafTotalSlack]]))</f>
        <v/>
      </c>
      <c r="AW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5"/>
      <c r="BA3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t="str">
        <f aca="false">IF(Tasks[[#This Row],[Task Name]]="","",IF(Tasks[[#This Row],[_Level]]&lt;=OutlineShowLevel,"Yes","No"))</f>
        <v/>
      </c>
      <c r="BE33" s="86" t="str">
        <f aca="false">IF(Tasks[[#This Row],[Task Name]]="","",IF(Tasks[[#This Row],[_IsSummary]],SUM(INDEX(Tasks[_LeafTotalWork],Tasks[[#This Row],[_Row]]+1):INDEX(Tasks[_LeafTotalWork],Tasks[[#This Row],[_Row]]+Tasks[[#This Row],[_Descendants]])),Tasks[[#This Row],[_LeafTotalWork]]))</f>
        <v/>
      </c>
      <c r="BF33" s="23"/>
      <c r="BG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t="str">
        <f aca="false">""</f>
        <v/>
      </c>
      <c r="BI33" s="87"/>
      <c r="BJ33" s="22"/>
      <c r="BK33" s="47" t="str">
        <f aca="false">IF(OR(Tasks[[#This Row],[Task Name]]="",Tasks[[#This Row],[Baseline Duration]]=""),"",Tasks[[#This Row],[_SpanDays]]-N(Tasks[[#This Row],[Baseline Duration]]))</f>
        <v/>
      </c>
      <c r="BL33" s="86" t="str">
        <f aca="false">IF(OR(Tasks[[#This Row],[Task Name]]="",Tasks[[#This Row],[Baseline Work]]=""),"",Tasks[[#This Row],[Work]]-N(Tasks[[#This Row],[Baseline Work]]))</f>
        <v/>
      </c>
      <c r="BM33" s="63" t="str">
        <f aca="false">IF(Tasks[[#This Row],[Task Name]]="","",IF(OR(TakeBaseline="Yes",N(Tasks[[#This Row],[Baseline Start]])=0),Tasks[[#This Row],[Start]],Tasks[[#This Row],[Baseline Start]]))</f>
        <v/>
      </c>
      <c r="BN33" s="63" t="str">
        <f aca="false">IF(Tasks[[#This Row],[Task Name]]="","",IF(OR(TakeBaseline="Yes",N(Tasks[[#This Row],[Baseline Finish]])=0),Tasks[[#This Row],[Finish]],Tasks[[#This Row],[Baseline Finish]]))</f>
        <v/>
      </c>
      <c r="BO33" s="21" t="str">
        <f aca="false">IF(Tasks[[#This Row],[Task Name]]="","",IF(OR(TakeBaseline="Yes",N(Tasks[[#This Row],[Baseline Duration]])=0),Tasks[[#This Row],[_SpanDays]],Tasks[[#This Row],[Baseline Duration]]))</f>
        <v/>
      </c>
      <c r="BP33" s="86" t="str">
        <f aca="false">IF(Tasks[[#This Row],[Task Name]]="","",IF(OR(TakeBaseline="Yes",N(Tasks[[#This Row],[Baseline Work]])=0),Tasks[[#This Row],[Work]],Tasks[[#This Row],[Baseline Work]]))</f>
        <v/>
      </c>
      <c r="BQ33" s="7"/>
      <c r="BR33" s="7"/>
      <c r="BS33" s="22"/>
      <c r="BT33" s="88"/>
      <c r="BU33" s="23"/>
      <c r="BV33" s="23"/>
      <c r="BW33" s="23"/>
      <c r="BX33" s="89" t="str">
        <f aca="false">IF(AND(Tasks[[#This Row],[_IsLeaf]]=1,ISNUMBER(Tasks[[#This Row],[Optimistic]]),ISNUMBER(Tasks[[#This Row],[Pessimistic]])),ROUND((Tasks[[#This Row],[Optimistic]]+4*N(Tasks[[#This Row],[_Days]])+Tasks[[#This Row],[Pessimistic]])/6,1),"")</f>
        <v/>
      </c>
      <c r="BY33" s="87"/>
      <c r="BZ33" s="87"/>
      <c r="CA33" s="22"/>
      <c r="CB33" s="43" t="str">
        <f aca="false">IF(Tasks[[#This Row],[Task Name]]="","",MAX(1,N(Tasks[[#This Row],[Level]])))</f>
        <v/>
      </c>
      <c r="CC33" s="43" t="n">
        <f aca="false">ROW()-ROW(Tasks[[#Headers],[ID]])</f>
        <v>28</v>
      </c>
      <c r="CD33" s="43" t="n">
        <f aca="false">IF(OR(Tasks[[#This Row],[Task Name]]="",Tasks[[#This Row],[_Level]]&lt;=1),0,IFERROR(LOOKUP(2,1/(Tasks[[#Headers],[_Level]]:Tasks[[#This Row],[_Level]]=Tasks[[#This Row],[_Level]]-1),ROW(Tasks[[#Headers],[_Level]]:Tasks[[#This Row],[_Level]])),0))</f>
        <v>0</v>
      </c>
      <c r="CE33" s="43" t="n">
        <f aca="false">IFERROR(N(INDEX(Tasks[_Level],Tasks[[#This Row],[_Row]]+1)),0)</f>
        <v>0</v>
      </c>
      <c r="CF33" s="90" t="b">
        <f aca="false">AND(Tasks[[#This Row],[Task Name]]&lt;&gt;"",Tasks[[#This Row],[_NextLevel]]&gt;Tasks[[#This Row],[_Level]])</f>
        <v>0</v>
      </c>
      <c r="CG33" s="43" t="n">
        <f aca="false">IF(Tasks[[#This Row],[_IsSummary]],COUNTIF(Tasks[WBS],Tasks[[#This Row],[WBS]]&amp;".*"),0)</f>
        <v>0</v>
      </c>
      <c r="CH33" s="43" t="n">
        <f aca="false">IF(AND(Tasks[[#This Row],[Task Name]]&lt;&gt;"",NOT(Tasks[[#This Row],[_IsSummary]])),1,0)</f>
        <v>0</v>
      </c>
      <c r="CI33" s="43" t="n">
        <f aca="false">IF(N(Tasks[[#This Row],[_Pred1UID]])=0,0,IFERROR(MATCH(Tasks[[#This Row],[_Pred1UID]],Tasks[UID],0),-1))</f>
        <v>0</v>
      </c>
      <c r="CJ33" s="43" t="n">
        <f aca="false">IF(N(Tasks[[#This Row],[_Pred2UID]])=0,0,IFERROR(MATCH(Tasks[[#This Row],[_Pred2UID]],Tasks[UID],0),-1))</f>
        <v>0</v>
      </c>
      <c r="CK33" s="43" t="n">
        <f aca="false">IF(N(Tasks[[#This Row],[_Pred3UID]])=0,0,IFERROR(MATCH(Tasks[[#This Row],[_Pred3UID]],Tasks[UID],0),-1))</f>
        <v>0</v>
      </c>
      <c r="CL33" s="43" t="n">
        <f aca="false">IF(N(Tasks[[#This Row],[_Pred4UID]])=0,0,IFERROR(MATCH(Tasks[[#This Row],[_Pred4UID]],Tasks[UID],0),-1))</f>
        <v>0</v>
      </c>
      <c r="CM3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3" s="91" t="n">
        <f aca="false">IF(OR(Tasks[[#This Row],[_ConstraintCode]]=2,Tasks[[#This Row],[_ConstraintCode]]=3,Tasks[[#This Row],[_ConstraintCode]]=4,Tasks[[#This Row],[_ConstraintCode]]=6),Tasks[[#This Row],[_ConstraintStart]],0)</f>
        <v>0</v>
      </c>
      <c r="CP33" s="91" t="n">
        <f aca="false">IF(OR(Tasks[[#This Row],[_ConstraintCode]]=2,Tasks[[#This Row],[_ConstraintCode]]=3,Tasks[[#This Row],[_ConstraintCode]]=5,Tasks[[#This Row],[_ConstraintCode]]=7),Tasks[[#This Row],[_ConstraintStart]],2958465)</f>
        <v>2958465</v>
      </c>
      <c r="CQ3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3" s="91" t="str">
        <f aca="false">IF(NOT(Tasks[[#This Row],[_IsLeaf]]=1),"",IF(N(Tasks[[#This Row],[_Days]])&lt;=0,Tasks[[#This Row],[_LeafCalcStart]],WORKDAY.INTL(Tasks[[#This Row],[_LeafCalcStart]],Tasks[[#This Row],[_Days]]-1,WorkWeek,Holidays)))</f>
        <v/>
      </c>
      <c r="CS3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3" s="43" t="str">
        <f aca="false">IF(Tasks[[#This Row],[_Predecessors]]="","",TRIM(MID(SUBSTITUTE(SUBSTITUTE(SUBSTITUTE(UPPER(Tasks[[#This Row],[_Predecessors]]),";",",")," ",""),",",REPT(" ",99)),1,99)))</f>
        <v/>
      </c>
      <c r="CV33" s="43" t="str">
        <f aca="false">IF(Tasks[[#This Row],[_Pred1Text]]="","",IFERROR(VALUE(LEFT(Tasks[[#This Row],[_Pred1Text]],MIN(FIND("F",Tasks[[#This Row],[_Pred1Text]]&amp;"F"),FIND("S",Tasks[[#This Row],[_Pred1Text]]&amp;"S"),FIND("+",Tasks[[#This Row],[_Pred1Text]]&amp;"+"),FIND("-",Tasks[[#This Row],[_Pred1Text]]&amp;"-"))-1)),""))</f>
        <v/>
      </c>
      <c r="CW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3" s="43" t="str">
        <f aca="false">IF(Tasks[[#This Row],[_Pred1Text]]="","",TRIM(MID(SUBSTITUTE(SUBSTITUTE(SUBSTITUTE(UPPER(Tasks[[#This Row],[_Predecessors]]),";",",")," ",""),",",REPT(" ",99)),100,99)))</f>
        <v/>
      </c>
      <c r="CZ33" s="43" t="str">
        <f aca="false">IF(Tasks[[#This Row],[_Pred2Text]]="","",IFERROR(VALUE(LEFT(Tasks[[#This Row],[_Pred2Text]],MIN(FIND("F",Tasks[[#This Row],[_Pred2Text]]&amp;"F"),FIND("S",Tasks[[#This Row],[_Pred2Text]]&amp;"S"),FIND("+",Tasks[[#This Row],[_Pred2Text]]&amp;"+"),FIND("-",Tasks[[#This Row],[_Pred2Text]]&amp;"-"))-1)),""))</f>
        <v/>
      </c>
      <c r="DA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3" s="43" t="str">
        <f aca="false">IF(Tasks[[#This Row],[_Pred2Text]]="","",TRIM(MID(SUBSTITUTE(SUBSTITUTE(SUBSTITUTE(UPPER(Tasks[[#This Row],[_Predecessors]]),";",",")," ",""),",",REPT(" ",99)),199,99)))</f>
        <v/>
      </c>
      <c r="DD33" s="43" t="str">
        <f aca="false">IF(Tasks[[#This Row],[_Pred3Text]]="","",IFERROR(VALUE(LEFT(Tasks[[#This Row],[_Pred3Text]],MIN(FIND("F",Tasks[[#This Row],[_Pred3Text]]&amp;"F"),FIND("S",Tasks[[#This Row],[_Pred3Text]]&amp;"S"),FIND("+",Tasks[[#This Row],[_Pred3Text]]&amp;"+"),FIND("-",Tasks[[#This Row],[_Pred3Text]]&amp;"-"))-1)),""))</f>
        <v/>
      </c>
      <c r="DE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3" s="43" t="str">
        <f aca="false">IF(Tasks[[#This Row],[_Pred3Text]]="","",TRIM(MID(SUBSTITUTE(SUBSTITUTE(SUBSTITUTE(UPPER(Tasks[[#This Row],[_Predecessors]]),";",",")," ",""),",",REPT(" ",99)),298,99)))</f>
        <v/>
      </c>
      <c r="DH33" s="43" t="str">
        <f aca="false">IF(Tasks[[#This Row],[_Pred4Text]]="","",IFERROR(VALUE(LEFT(Tasks[[#This Row],[_Pred4Text]],MIN(FIND("F",Tasks[[#This Row],[_Pred4Text]]&amp;"F"),FIND("S",Tasks[[#This Row],[_Pred4Text]]&amp;"S"),FIND("+",Tasks[[#This Row],[_Pred4Text]]&amp;"+"),FIND("-",Tasks[[#This Row],[_Pred4Text]]&amp;"-"))-1)),""))</f>
        <v/>
      </c>
      <c r="DI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3" s="43" t="str">
        <f aca="false">IF(OR(Tasks[[#This Row],[Task Name]]="",Tasks[[#This Row],[_Resources]]=""),"",TRIM(MID(SUBSTITUTE(Tasks[[#This Row],[_Resources]],",",REPT(" ",99)),1,99)))</f>
        <v/>
      </c>
      <c r="DL33" s="43" t="str">
        <f aca="false">IF(Tasks[[#This Row],[_Res1Text]]="","",TRIM(MID(SUBSTITUTE(Tasks[[#This Row],[_Resources]],",",REPT(" ",99)),100,99)))</f>
        <v/>
      </c>
      <c r="DM33" s="43" t="str">
        <f aca="false">IF(Tasks[[#This Row],[_Res2Text]]="","",TRIM(MID(SUBSTITUTE(Tasks[[#This Row],[_Resources]],",",REPT(" ",99)),199,99)))</f>
        <v/>
      </c>
      <c r="DN33" s="43" t="str">
        <f aca="false">IF(Tasks[[#This Row],[_Res3Text]]="","",TRIM(MID(SUBSTITUTE(Tasks[[#This Row],[_Resources]],",",REPT(" ",99)),298,99)))</f>
        <v/>
      </c>
      <c r="DO33" s="43" t="n">
        <f aca="false">IF(Tasks[[#This Row],[_Res1Text]]="",0,IFERROR(MATCH(TRIM(LEFT(Tasks[[#This Row],[_Res1Text]],FIND("[",Tasks[[#This Row],[_Res1Text]]&amp;"[")-1)),res_Name,0),IFERROR(MATCH(TRIM(LEFT(Tasks[[#This Row],[_Res1Text]],FIND("[",Tasks[[#This Row],[_Res1Text]]&amp;"[")-1)),res_Initials,0),0)))</f>
        <v>0</v>
      </c>
      <c r="DP33" s="43" t="n">
        <f aca="false">IF(Tasks[[#This Row],[_Res2Text]]="",0,IFERROR(MATCH(TRIM(LEFT(Tasks[[#This Row],[_Res2Text]],FIND("[",Tasks[[#This Row],[_Res2Text]]&amp;"[")-1)),res_Name,0),IFERROR(MATCH(TRIM(LEFT(Tasks[[#This Row],[_Res2Text]],FIND("[",Tasks[[#This Row],[_Res2Text]]&amp;"[")-1)),res_Initials,0),0)))</f>
        <v>0</v>
      </c>
      <c r="DQ33" s="43" t="n">
        <f aca="false">IF(Tasks[[#This Row],[_Res3Text]]="",0,IFERROR(MATCH(TRIM(LEFT(Tasks[[#This Row],[_Res3Text]],FIND("[",Tasks[[#This Row],[_Res3Text]]&amp;"[")-1)),res_Name,0),IFERROR(MATCH(TRIM(LEFT(Tasks[[#This Row],[_Res3Text]],FIND("[",Tasks[[#This Row],[_Res3Text]]&amp;"[")-1)),res_Initials,0),0)))</f>
        <v>0</v>
      </c>
      <c r="DR33" s="43" t="n">
        <f aca="false">IF(Tasks[[#This Row],[_Res4Text]]="",0,IFERROR(MATCH(TRIM(LEFT(Tasks[[#This Row],[_Res4Text]],FIND("[",Tasks[[#This Row],[_Res4Text]]&amp;"[")-1)),res_Name,0),IFERROR(MATCH(TRIM(LEFT(Tasks[[#This Row],[_Res4Text]],FIND("[",Tasks[[#This Row],[_Res4Text]]&amp;"[")-1)),res_Initials,0),0)))</f>
        <v>0</v>
      </c>
      <c r="DS33" s="43" t="str">
        <f aca="false">IF(Tasks[[#This Row],[_Res1Text]]="","",IF(Tasks[[#This Row],[_Res1Row]]&gt;0,INDEX(res_Name,Tasks[[#This Row],[_Res1Row]]),TRIM(LEFT(Tasks[[#This Row],[_Res1Text]],FIND("[",Tasks[[#This Row],[_Res1Text]]&amp;"[")-1))))</f>
        <v/>
      </c>
      <c r="DT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3" s="43" t="n">
        <f aca="false">IF(NOT(Tasks[[#This Row],[_IsLeaf]]=1),0,(Tasks[[#This Row],[_Resource1]]&lt;&gt;"")+(Tasks[[#This Row],[_Res2]]&lt;&gt;"")+(Tasks[[#This Row],[_Res3]]&lt;&gt;"")+(Tasks[[#This Row],[_Res4]]&lt;&gt;""))</f>
        <v>0</v>
      </c>
      <c r="DV33" s="43" t="str">
        <f aca="false">IF(Tasks[[#This Row],[_Res2Text]]="","",IF(Tasks[[#This Row],[_Res2Row]]&gt;0,INDEX(res_Name,Tasks[[#This Row],[_Res2Row]]),TRIM(LEFT(Tasks[[#This Row],[_Res2Text]],FIND("[",Tasks[[#This Row],[_Res2Text]]&amp;"[")-1))))</f>
        <v/>
      </c>
      <c r="DW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3" s="43" t="n">
        <f aca="false">IF(OR(NOT(Tasks[[#This Row],[_IsLeaf]]=1),Tasks[[#This Row],[_Res2Row]]=0),0,N(Tasks[[#This Row],[_Days]])*HoursPerDay*IF(Tasks[[#This Row],[_Res2Units]]="",DefaultUnits,Tasks[[#This Row],[_Res2Units]]))</f>
        <v>0</v>
      </c>
      <c r="DY33" s="43" t="n">
        <f aca="false">IF(AND(AND(Tasks[[#This Row],[_IsLeaf]]=1,Tasks[[#This Row],[_LeafTotalWork]]&gt;0),Tasks[[#This Row],[_Res2Work]]&gt;0),Tasks[[#This Row],[_Res2Work]]/(Tasks[[#This Row],[_FinishWorkday]]-Tasks[[#This Row],[_StartWorkday]]+1),0)</f>
        <v>0</v>
      </c>
      <c r="DZ33" s="43" t="n">
        <f aca="false">Tasks[[#This Row],[_Res2WorkPerWD]]*MAX(0,Tasks[[#This Row],[_StartWorkday]]-1)</f>
        <v>0</v>
      </c>
      <c r="EA33" s="43" t="n">
        <f aca="false">Tasks[[#This Row],[_Res2Work]]*Tasks[[#This Row],[_LeafProgress]]</f>
        <v>0</v>
      </c>
      <c r="EB33" s="43" t="str">
        <f aca="false">IF(Tasks[[#This Row],[_Res3Text]]="","",IF(Tasks[[#This Row],[_Res3Row]]&gt;0,INDEX(res_Name,Tasks[[#This Row],[_Res3Row]]),TRIM(LEFT(Tasks[[#This Row],[_Res3Text]],FIND("[",Tasks[[#This Row],[_Res3Text]]&amp;"[")-1))))</f>
        <v/>
      </c>
      <c r="EC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3" s="43" t="n">
        <f aca="false">IF(OR(NOT(Tasks[[#This Row],[_IsLeaf]]=1),Tasks[[#This Row],[_Res3Row]]=0),0,N(Tasks[[#This Row],[_Days]])*HoursPerDay*IF(Tasks[[#This Row],[_Res3Units]]="",DefaultUnits,Tasks[[#This Row],[_Res3Units]]))</f>
        <v>0</v>
      </c>
      <c r="EE33" s="43" t="n">
        <f aca="false">IF(AND(AND(Tasks[[#This Row],[_IsLeaf]]=1,Tasks[[#This Row],[_LeafTotalWork]]&gt;0),Tasks[[#This Row],[_Res3Work]]&gt;0),Tasks[[#This Row],[_Res3Work]]/(Tasks[[#This Row],[_FinishWorkday]]-Tasks[[#This Row],[_StartWorkday]]+1),0)</f>
        <v>0</v>
      </c>
      <c r="EF33" s="43" t="n">
        <f aca="false">Tasks[[#This Row],[_Res3WorkPerWD]]*MAX(0,Tasks[[#This Row],[_StartWorkday]]-1)</f>
        <v>0</v>
      </c>
      <c r="EG33" s="43" t="n">
        <f aca="false">Tasks[[#This Row],[_Res3Work]]*Tasks[[#This Row],[_LeafProgress]]</f>
        <v>0</v>
      </c>
      <c r="EH33" s="43" t="str">
        <f aca="false">IF(Tasks[[#This Row],[_Res4Text]]="","",IF(Tasks[[#This Row],[_Res4Row]]&gt;0,INDEX(res_Name,Tasks[[#This Row],[_Res4Row]]),TRIM(LEFT(Tasks[[#This Row],[_Res4Text]],FIND("[",Tasks[[#This Row],[_Res4Text]]&amp;"[")-1))))</f>
        <v/>
      </c>
      <c r="EI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3" s="43" t="n">
        <f aca="false">IF(OR(NOT(Tasks[[#This Row],[_IsLeaf]]=1),Tasks[[#This Row],[_Res4Row]]=0),0,N(Tasks[[#This Row],[_Days]])*HoursPerDay*IF(Tasks[[#This Row],[_Res4Units]]="",DefaultUnits,Tasks[[#This Row],[_Res4Units]]))</f>
        <v>0</v>
      </c>
      <c r="EK33" s="43" t="n">
        <f aca="false">IF(AND(AND(Tasks[[#This Row],[_IsLeaf]]=1,Tasks[[#This Row],[_LeafTotalWork]]&gt;0),Tasks[[#This Row],[_Res4Work]]&gt;0),Tasks[[#This Row],[_Res4Work]]/(Tasks[[#This Row],[_FinishWorkday]]-Tasks[[#This Row],[_StartWorkday]]+1),0)</f>
        <v>0</v>
      </c>
      <c r="EL33" s="43" t="n">
        <f aca="false">Tasks[[#This Row],[_Res4WorkPerWD]]*MAX(0,Tasks[[#This Row],[_StartWorkday]]-1)</f>
        <v>0</v>
      </c>
      <c r="EM33" s="43" t="n">
        <f aca="false">Tasks[[#This Row],[_Res4Work]]*Tasks[[#This Row],[_LeafProgress]]</f>
        <v>0</v>
      </c>
      <c r="EN33" s="43" t="n">
        <f aca="false">IF(ISNUMBER(Tasks[[#This Row],[% Complete]]),Tasks[[#This Row],[% Complete]],IF(Tasks[[#This Row],[Stage]]="",0,IFERROR(INDEX(stg_Pct,MATCH(Tasks[[#This Row],[Stage]],stg_Name,0)),0)))</f>
        <v>0</v>
      </c>
      <c r="EO33" s="43" t="n">
        <f aca="false">IF(NOT(Tasks[[#This Row],[_IsLeaf]]=1),0,IF(N(Tasks[[#This Row],[Actual Finish]])&gt;0,1,MIN(1,Tasks[[#This Row],[_Pct]])))</f>
        <v>0</v>
      </c>
      <c r="EP33" s="43" t="n">
        <f aca="false">IF(OR(NOT(Tasks[[#This Row],[_IsLeaf]]=1),Tasks[[#This Row],[_Res1Row]]=0),0,N(Tasks[[#This Row],[_Days]])*HoursPerDay*IF(Tasks[[#This Row],[_Units1]]="",DefaultUnits,Tasks[[#This Row],[_Units1]]))</f>
        <v>0</v>
      </c>
      <c r="EQ33" s="43" t="n">
        <f aca="false">Tasks[[#This Row],[_LeafWork]]+Tasks[[#This Row],[_Res2Work]]+Tasks[[#This Row],[_Res3Work]]+Tasks[[#This Row],[_Res4Work]]</f>
        <v>0</v>
      </c>
      <c r="ER3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3" s="43" t="n">
        <f aca="false">IF(NOT(Tasks[[#This Row],[_IsLeaf]]=1),0,MAX(_xlfn.MAXIFS(Tasks[_Row],Tasks[_Pred1UID],Tasks[[#This Row],[UID]]),_xlfn.MAXIFS(Tasks[_Row],Tasks[_Pred2UID],Tasks[[#This Row],[UID]]),_xlfn.MAXIFS(Tasks[_Row],Tasks[_Pred3UID],Tasks[[#This Row],[UID]]),_xlfn.MAXIFS(Tasks[_Row],Tasks[_Pred4UID],Tasks[[#This Row],[UID]])))</f>
        <v>0</v>
      </c>
      <c r="FA3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3" s="91" t="str">
        <f aca="false">IF(NOT(Tasks[[#This Row],[_IsLeaf]]=1),"",IF(N(Tasks[[#This Row],[_Days]])&lt;=0,Tasks[[#This Row],[_LeafLateFinish]],WORKDAY.INTL(Tasks[[#This Row],[_LeafLateFinish]],-(Tasks[[#This Row],[_Days]]-1),WorkWeek,Holidays)))</f>
        <v/>
      </c>
      <c r="FD3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3" s="90" t="b">
        <f aca="false">AND(Tasks[[#This Row],[_IsLeaf]]=1,Tasks[[#This Row],[_LeafProgress]]&lt;1,N(Tasks[[#This Row],[_LeafTotalSlack]])&lt;=CriticalSlackDays)</f>
        <v>0</v>
      </c>
      <c r="FF33" s="43" t="n">
        <f aca="false">IF(AND(Tasks[[#This Row],[_IsLeaf]]=1,Tasks[[#This Row],[_ConstraintCode]]=1,Tasks[[#This Row],[Mode]]&lt;&gt;"Manual",N(Tasks[[#This Row],[Actual Start]])=0),MAX(0,N(Tasks[[#This Row],[Free Slack]])),0)</f>
        <v>0</v>
      </c>
      <c r="FG33" s="91" t="str">
        <f aca="false">IF(NOT(Tasks[[#This Row],[_IsLeaf]]=1),"",IF(Tasks[[#This Row],[_AlapShift]]=0,Tasks[[#This Row],[_LeafCalcStart]],WORKDAY.INTL(Tasks[[#This Row],[_LeafCalcStart]],Tasks[[#This Row],[_AlapShift]],WorkWeek,Holidays)))</f>
        <v/>
      </c>
      <c r="FH33" s="91" t="str">
        <f aca="false">IF(NOT(Tasks[[#This Row],[_IsLeaf]]=1),"",IF(Tasks[[#This Row],[_AlapShift]]=0,Tasks[[#This Row],[_LeafCalcFinish]],WORKDAY.INTL(Tasks[[#This Row],[_LeafCalcFinish]],Tasks[[#This Row],[_AlapShift]],WorkWeek,Holidays)))</f>
        <v/>
      </c>
      <c r="FI33" s="91" t="str">
        <f aca="false">IF(NOT(Tasks[[#This Row],[_IsLeaf]]=1),"",IF(Tasks[[#This Row],[_AlapShift]]=0,Tasks[[#This Row],[_LeafFcstStart]],WORKDAY.INTL(Tasks[[#This Row],[_LeafFcstStart]],Tasks[[#This Row],[_AlapShift]],WorkWeek,Holidays)))</f>
        <v/>
      </c>
      <c r="FJ33" s="91" t="str">
        <f aca="false">IF(NOT(Tasks[[#This Row],[_IsLeaf]]=1),"",IF(Tasks[[#This Row],[_AlapShift]]=0,Tasks[[#This Row],[_LeafFcstFinish]],WORKDAY.INTL(Tasks[[#This Row],[_LeafFcstFinish]],Tasks[[#This Row],[_AlapShift]],WorkWeek,Holidays)))</f>
        <v/>
      </c>
      <c r="FK33" s="91" t="str">
        <f aca="false">IF(Tasks[[#This Row],[Task Name]]="","",IF(Tasks[[#This Row],[_IsSummary]],MIN(INDEX(Tasks[_ShownCalcStart],Tasks[[#This Row],[_Row]]+1):INDEX(Tasks[_ShownCalcStart],Tasks[[#This Row],[_Row]]+Tasks[[#This Row],[_Descendants]])),Tasks[[#This Row],[_ShownCalcStart]]))</f>
        <v/>
      </c>
      <c r="FL33" s="91" t="str">
        <f aca="false">IF(Tasks[[#This Row],[Task Name]]="","",IF(Tasks[[#This Row],[_IsSummary]],MAX(INDEX(Tasks[_ShownCalcFinish],Tasks[[#This Row],[_Row]]+1):INDEX(Tasks[_ShownCalcFinish],Tasks[[#This Row],[_Row]]+Tasks[[#This Row],[_Descendants]])),Tasks[[#This Row],[_ShownCalcFinish]]))</f>
        <v/>
      </c>
      <c r="FM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3" s="43" t="n">
        <f aca="false">IF(AND(Tasks[[#This Row],[_IsLeaf]]=1,Tasks[[#This Row],[_LeafTotalWork]]&gt;0),NETWORKDAYS.INTL(ProjectStart,Tasks[[#This Row],[_ShownFcstStart]],WorkWeek,Holidays),0)</f>
        <v>0</v>
      </c>
      <c r="FZ33" s="43" t="n">
        <f aca="false">IF(AND(Tasks[[#This Row],[_IsLeaf]]=1,Tasks[[#This Row],[_LeafTotalWork]]&gt;0),MAX(Tasks[[#This Row],[_StartWorkday]],NETWORKDAYS.INTL(ProjectStart,Tasks[[#This Row],[_ShownFcstFinish]],WorkWeek,Holidays)),0)</f>
        <v>0</v>
      </c>
      <c r="GA33" s="43" t="n">
        <f aca="false">IF(AND(Tasks[[#This Row],[_IsLeaf]]=1,Tasks[[#This Row],[_LeafTotalWork]]&gt;0),Tasks[[#This Row],[_LeafWork]]/(Tasks[[#This Row],[_FinishWorkday]]-Tasks[[#This Row],[_StartWorkday]]+1),0)</f>
        <v>0</v>
      </c>
      <c r="GB33" s="43" t="n">
        <f aca="false">Tasks[[#This Row],[_WorkPerWorkday]]*(Tasks[[#This Row],[_StartWorkday]]-1)</f>
        <v>-0</v>
      </c>
      <c r="GC33" s="43" t="n">
        <f aca="false">IF(Tasks[[#This Row],[_IsLeaf]]=1,MAX(N(Tasks[[#This Row],[_Days]]),0.1),0)</f>
        <v>0</v>
      </c>
      <c r="GD33" s="43" t="n">
        <f aca="false">Tasks[[#This Row],[_WeightDur]]*Tasks[[#This Row],[_LeafProgress]]</f>
        <v>0</v>
      </c>
      <c r="GE33" s="43" t="n">
        <f aca="false">Tasks[[#This Row],[_WeightDur]]*Tasks[[#This Row],[_PlannedPct]]</f>
        <v>0</v>
      </c>
      <c r="GF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3" s="43" t="str">
        <f aca="false">IF(AND(Tasks[[#This Row],[_IsLeaf]]=1,N(Tasks[[#This Row],[_Days]])=0,Tasks[[#This Row],[_LeafProgress]]&lt;1),Tasks[[#This Row],[_ShownFcstFinish]]+Tasks[[#This Row],[_Row]]/100000,"")</f>
        <v/>
      </c>
      <c r="GH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3" s="43" t="str">
        <f aca="false">IF(Tasks[[#This Row],[Task Name]]="","",LEFT(Tasks[[#This Row],[WBS]],FIND(".",Tasks[[#This Row],[WBS]]&amp;".")-1))</f>
        <v/>
      </c>
      <c r="GJ33" s="43" t="str">
        <f aca="false">IF(AND(Tasks[[#This Row],[Task Name]]&lt;&gt;"",Tasks[[#This Row],[_Level]]=1),Tasks[[#This Row],[_Row]],"")</f>
        <v/>
      </c>
      <c r="GK33" s="43" t="str">
        <f aca="false">IF(AND(Tasks[[#This Row],[_IsLeaf]]=1,N(Tasks[[#This Row],[_Days]])=0),Tasks[[#This Row],[Planned Finish]]+Tasks[[#This Row],[_Row]]/100000,"")</f>
        <v/>
      </c>
      <c r="GL33" s="43" t="str">
        <f aca="false">IF(AND(Tasks[[#This Row],[_IsLeaf]]=1,Tasks[[#This Row],[_LeafProgress]]&lt;1,OR(N(Tasks[[#This Row],[Finish Var]])&gt;0,Tasks[[#This Row],[Status]]="Late Start")),MAX(0,Tasks[[#This Row],[Finish Var]])+1-Tasks[[#This Row],[_Row]]/1000000,"")</f>
        <v/>
      </c>
      <c r="GM33" s="43" t="str">
        <f aca="false">IF(AND(Tasks[[#This Row],[_IsLeaf]]=1,N(Tasks[[#This Row],[Actual Start]])=0,Tasks[[#This Row],[_ShownFcstStart]]&gt;=StatusDate,Tasks[[#This Row],[_ShownFcstStart]]&lt;=LookaheadEnd),Tasks[[#This Row],[_ShownFcstStart]]+Tasks[[#This Row],[_Row]]/100000,"")</f>
        <v/>
      </c>
      <c r="GN33" s="43" t="str">
        <f aca="false">IF(AND(Tasks[[#This Row],[_IsLeaf]]=1,Tasks[[#This Row],[_LeafProgress]]&lt;1,Tasks[[#This Row],[_ShownFcstFinish]]&gt;=StatusDate,Tasks[[#This Row],[_ShownFcstFinish]]&lt;=LookaheadEnd),Tasks[[#This Row],[_ShownFcstFinish]]+Tasks[[#This Row],[_Row]]/100000,"")</f>
        <v/>
      </c>
      <c r="GO33" s="43" t="str">
        <f aca="false">IF(Tasks[[#This Row],[_LeafCritical]],Tasks[[#This Row],[_ShownFcstStart]]+Tasks[[#This Row],[_Row]]/100000,"")</f>
        <v/>
      </c>
      <c r="GP33" s="43" t="n">
        <f aca="false">Tasks[[#This Row],[_LeafWork]]*Tasks[[#This Row],[_LeafProgress]]</f>
        <v>0</v>
      </c>
      <c r="GQ33" s="91" t="str">
        <f aca="false">IF(AND(Tasks[[#This Row],[_IsLeaf]]=1,Tasks[[#This Row],[_LeafProgress]]&gt;=1),IF(N(Tasks[[#This Row],[Actual Finish]])&gt;0,Tasks[[#This Row],[Actual Finish]],Tasks[[#This Row],[_ShownFcstFinish]]),"")</f>
        <v/>
      </c>
      <c r="GR33" s="43" t="n">
        <f aca="false">IF(Tasks[[#This Row],[_IsLeaf]]=1,N(Tasks[[#This Row],[Story Points]]),0)</f>
        <v>0</v>
      </c>
      <c r="GS33" s="43" t="str">
        <f aca="false">""</f>
        <v/>
      </c>
      <c r="GT33" s="90" t="b">
        <f aca="false">IF(Tasks[[#This Row],[Task Name]]="",FALSE(),AND(Tasks[[#This Row],[_IsLeaf]]=1,N(Tasks[[#This Row],[_Days]])=0))</f>
        <v>0</v>
      </c>
      <c r="GU33" s="91" t="n">
        <f aca="false">IF(Tasks[[#This Row],[Task Name]]="",0,IF(AND(Tasks[[#This Row],[_IsLeaf]]=1,NOT(Tasks[[#This Row],[_IsMilestone]]),N(Tasks[[#This Row],[Progress]])&gt;0),Tasks[[#This Row],[Start]],0))</f>
        <v>0</v>
      </c>
      <c r="GV33" s="91" t="n">
        <f aca="false">IF(Tasks[[#This Row],[_DoneFrom]]=0,0,IF(Tasks[[#This Row],[Progress]]&gt;=1,Tasks[[#This Row],[Finish]],MAX(Tasks[[#This Row],[_DoneFrom]],Tasks[[#This Row],[Start]]+ROUND((Tasks[[#This Row],[Finish]]-Tasks[[#This Row],[Start]]+1)*Tasks[[#This Row],[Progress]],0)-1)))</f>
        <v>0</v>
      </c>
      <c r="GW33" s="91" t="n">
        <f aca="false">IF(Tasks[[#This Row],[Task Name]]="",0,IF(OR(NOT(Tasks[[#This Row],[_IsLeaf]]=1),Tasks[[#This Row],[_IsMilestone]],N(Tasks[[#This Row],[Progress]])&gt;=1),0,IF(Tasks[[#This Row],[_DoneTo]]&gt;0,Tasks[[#This Row],[_DoneTo]]+1,Tasks[[#This Row],[Start]])))</f>
        <v>0</v>
      </c>
      <c r="GX33" s="91" t="n">
        <f aca="false">IF(Tasks[[#This Row],[_RemFrom]]=0,0,Tasks[[#This Row],[Finish]])</f>
        <v>0</v>
      </c>
      <c r="GY33" s="90" t="b">
        <f aca="false">IF(Tasks[[#This Row],[Task Name]]="",FALSE(),OR(NOT(BaselineSet),N(Tasks[[#This Row],[Baseline Start]])&gt;0))</f>
        <v>0</v>
      </c>
      <c r="GZ3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3" s="92" t="str">
        <f aca="false">IF(Tasks[[#This Row],[_IsLeaf]]=1,Tasks[[#This Row],[_Row]],"")</f>
        <v/>
      </c>
      <c r="HD33" s="92" t="str">
        <f aca="false">IFERROR(INDEX(Tasks[UID],SMALL(Tasks[_PickKey],Tasks[[#This Row],[_Row]]))&amp;" "&amp;INDEX(Tasks[Task Name],SMALL(Tasks[_PickKey],Tasks[[#This Row],[_Row]])),"")</f>
        <v/>
      </c>
      <c r="HE33" s="43" t="str">
        <f aca="false">IF(Tasks[[#This Row],[Task Name]]="","",IF(Tasks[[#This Row],[_IsSummary]],NETWORKDAYS.INTL(Tasks[[#This Row],[Start]],Tasks[[#This Row],[Finish]],WorkWeek,Holidays),N(Tasks[[#This Row],[_Days]])))</f>
        <v/>
      </c>
      <c r="HF33" s="43" t="n">
        <f aca="false">IF(Tasks[[#This Row],[Expected]]="",0,((Tasks[[#This Row],[Pessimistic]]-Tasks[[#This Row],[Optimistic]])/6)^2)</f>
        <v>0</v>
      </c>
      <c r="HG33" s="43" t="n">
        <f aca="false">IF(Tasks[[#This Row],[Expected]]="",0,Tasks[[#This Row],[Expected]]-N(Tasks[[#This Row],[_Days]]))</f>
        <v>0</v>
      </c>
    </row>
    <row r="34" customFormat="false" ht="15" hidden="false" customHeight="false" outlineLevel="0" collapsed="false">
      <c r="A34" s="21" t="str">
        <f aca="false">IF(Tasks[[#This Row],[Task Name]]="","",COUNTA(Tasks[[#Headers],[Task Name]]:Tasks[[#This Row],[Task Name]])-1)</f>
        <v/>
      </c>
      <c r="B34" s="22" t="n">
        <v>42</v>
      </c>
      <c r="C34" s="22"/>
      <c r="D34" s="23"/>
      <c r="E34" s="22"/>
      <c r="F34" s="23"/>
      <c r="G34" s="22"/>
      <c r="H34" s="22"/>
      <c r="I34" s="23"/>
      <c r="J34" s="22"/>
      <c r="K34" s="22"/>
      <c r="L34" s="23"/>
      <c r="M34" s="22"/>
      <c r="N34" s="22"/>
      <c r="O34" s="23"/>
      <c r="P34" s="22"/>
      <c r="Q34" s="22"/>
      <c r="R34" s="23"/>
      <c r="S34" s="23"/>
      <c r="T34" s="84"/>
      <c r="U34" s="23"/>
      <c r="V34" s="84"/>
      <c r="W34" s="23"/>
      <c r="X34" s="84"/>
      <c r="Y34" s="23"/>
      <c r="Z34" s="84"/>
      <c r="AA34" s="23"/>
      <c r="AB34" s="23"/>
      <c r="AC34" s="7"/>
      <c r="AD34" s="7"/>
      <c r="AE34" s="63" t="str">
        <f aca="false">IF(Tasks[[#This Row],[Task Name]]="","",IF(Tasks[[#This Row],[_IsSummary]],MIN(INDEX(Tasks[_ShownFcstStart],Tasks[[#This Row],[_Row]]+1):INDEX(Tasks[_ShownFcstStart],Tasks[[#This Row],[_Row]]+Tasks[[#This Row],[_Descendants]])),Tasks[[#This Row],[_ShownFcstStart]]))</f>
        <v/>
      </c>
      <c r="AF34" s="63" t="str">
        <f aca="false">IF(Tasks[[#This Row],[Task Name]]="","",IF(Tasks[[#This Row],[_IsSummary]],MAX(INDEX(Tasks[_ShownFcstFinish],Tasks[[#This Row],[_Row]]+1):INDEX(Tasks[_ShownFcstFinish],Tasks[[#This Row],[_Row]]+Tasks[[#This Row],[_Descendants]])),Tasks[[#This Row],[_ShownFcstFinish]]))</f>
        <v/>
      </c>
      <c r="AG34" s="21" t="str">
        <f aca="false">""</f>
        <v/>
      </c>
      <c r="AH34" s="23"/>
      <c r="AI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4" s="7"/>
      <c r="AK34" s="22"/>
      <c r="AL34" s="23"/>
      <c r="AM34" s="7"/>
      <c r="AN34" s="47" t="str">
        <f aca="false">IF(Tasks[[#This Row],[Task Name]]="","",IF(Tasks[[#This Row],[Finish]]&gt;=Tasks[[#This Row],[Planned Finish]],NETWORKDAYS.INTL(Tasks[[#This Row],[Planned Finish]],Tasks[[#This Row],[Finish]],WorkWeek,Holidays)-1,1-NETWORKDAYS.INTL(Tasks[[#This Row],[Finish]],Tasks[[#This Row],[Planned Finish]],WorkWeek,Holidays)))</f>
        <v/>
      </c>
      <c r="AO34" s="21" t="str">
        <f aca="false">IF(Tasks[[#This Row],[Task Name]]="","",IF(Tasks[[#This Row],[Progress]]&gt;=1,"Complete",IF(OR(N(Tasks[[#This Row],[Actual Start]])&gt;0,Tasks[[#This Row],[Progress]]&gt;0),IF(Tasks[[#This Row],[Finish Var]]&gt;0,"Behind","In Progress"),IF(Tasks[[#This Row],[Planned Start]]&lt;StatusDate,"Late Start","Not Started"))))</f>
        <v/>
      </c>
      <c r="AP34" s="21" t="str">
        <f aca="false">IF(Tasks[[#This Row],[Task Name]]="","",IF(IF(Tasks[[#This Row],[_IsSummary]],COUNTIF(INDEX(Tasks[_LeafCritical],Tasks[[#This Row],[_Row]]+1):INDEX(Tasks[_LeafCritical],Tasks[[#This Row],[_Row]]+Tasks[[#This Row],[_Descendants]]),TRUE())&gt;0,Tasks[[#This Row],[_LeafCritical]]),"Yes",""))</f>
        <v/>
      </c>
      <c r="AQ34" s="63" t="str">
        <f aca="false">IF(Tasks[[#This Row],[Task Name]]="","",IF(N(Tasks[[#This Row],[Baseline Start]])&gt;0,Tasks[[#This Row],[Baseline Start]],Tasks[[#This Row],[_CalcStart]]))</f>
        <v/>
      </c>
      <c r="AR34" s="63" t="str">
        <f aca="false">IF(Tasks[[#This Row],[Task Name]]="","",IF(N(Tasks[[#This Row],[Baseline Finish]])&gt;0,Tasks[[#This Row],[Baseline Finish]],Tasks[[#This Row],[_CalcFinish]]))</f>
        <v/>
      </c>
      <c r="AS34" s="47" t="str">
        <f aca="false">IF(Tasks[[#This Row],[Task Name]]="","",IF(Tasks[[#This Row],[Start]]&gt;=Tasks[[#This Row],[Planned Start]],NETWORKDAYS.INTL(Tasks[[#This Row],[Planned Start]],Tasks[[#This Row],[Start]],WorkWeek,Holidays)-1,1-NETWORKDAYS.INTL(Tasks[[#This Row],[Start]],Tasks[[#This Row],[Planned Start]],WorkWeek,Holidays)))</f>
        <v/>
      </c>
      <c r="AT34" s="63" t="str">
        <f aca="false">IF(Tasks[[#This Row],[Task Name]]="","",IF(Tasks[[#This Row],[_IsSummary]],MIN(INDEX(Tasks[_LeafLateStart],Tasks[[#This Row],[_Row]]+1):INDEX(Tasks[_LeafLateStart],Tasks[[#This Row],[_Row]]+Tasks[[#This Row],[_Descendants]])),Tasks[[#This Row],[_LeafLateStart]]))</f>
        <v/>
      </c>
      <c r="AU34" s="63" t="str">
        <f aca="false">IF(Tasks[[#This Row],[Task Name]]="","",IF(Tasks[[#This Row],[_IsSummary]],MAX(INDEX(Tasks[_LeafLateFinish],Tasks[[#This Row],[_Row]]+1):INDEX(Tasks[_LeafLateFinish],Tasks[[#This Row],[_Row]]+Tasks[[#This Row],[_Descendants]])),Tasks[[#This Row],[_LeafLateFinish]]))</f>
        <v/>
      </c>
      <c r="AV34" s="47" t="str">
        <f aca="false">IF(Tasks[[#This Row],[Task Name]]="","",IF(Tasks[[#This Row],[_IsSummary]],MIN(INDEX(Tasks[_LeafTotalSlack],Tasks[[#This Row],[_Row]]+1):INDEX(Tasks[_LeafTotalSlack],Tasks[[#This Row],[_Row]]+Tasks[[#This Row],[_Descendants]])),Tasks[[#This Row],[_LeafTotalSlack]]))</f>
        <v/>
      </c>
      <c r="AW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5"/>
      <c r="BA3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t="str">
        <f aca="false">IF(Tasks[[#This Row],[Task Name]]="","",IF(Tasks[[#This Row],[_Level]]&lt;=OutlineShowLevel,"Yes","No"))</f>
        <v/>
      </c>
      <c r="BE34" s="86" t="str">
        <f aca="false">IF(Tasks[[#This Row],[Task Name]]="","",IF(Tasks[[#This Row],[_IsSummary]],SUM(INDEX(Tasks[_LeafTotalWork],Tasks[[#This Row],[_Row]]+1):INDEX(Tasks[_LeafTotalWork],Tasks[[#This Row],[_Row]]+Tasks[[#This Row],[_Descendants]])),Tasks[[#This Row],[_LeafTotalWork]]))</f>
        <v/>
      </c>
      <c r="BF34" s="23"/>
      <c r="BG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t="str">
        <f aca="false">""</f>
        <v/>
      </c>
      <c r="BI34" s="87"/>
      <c r="BJ34" s="22"/>
      <c r="BK34" s="47" t="str">
        <f aca="false">IF(OR(Tasks[[#This Row],[Task Name]]="",Tasks[[#This Row],[Baseline Duration]]=""),"",Tasks[[#This Row],[_SpanDays]]-N(Tasks[[#This Row],[Baseline Duration]]))</f>
        <v/>
      </c>
      <c r="BL34" s="86" t="str">
        <f aca="false">IF(OR(Tasks[[#This Row],[Task Name]]="",Tasks[[#This Row],[Baseline Work]]=""),"",Tasks[[#This Row],[Work]]-N(Tasks[[#This Row],[Baseline Work]]))</f>
        <v/>
      </c>
      <c r="BM34" s="63" t="str">
        <f aca="false">IF(Tasks[[#This Row],[Task Name]]="","",IF(OR(TakeBaseline="Yes",N(Tasks[[#This Row],[Baseline Start]])=0),Tasks[[#This Row],[Start]],Tasks[[#This Row],[Baseline Start]]))</f>
        <v/>
      </c>
      <c r="BN34" s="63" t="str">
        <f aca="false">IF(Tasks[[#This Row],[Task Name]]="","",IF(OR(TakeBaseline="Yes",N(Tasks[[#This Row],[Baseline Finish]])=0),Tasks[[#This Row],[Finish]],Tasks[[#This Row],[Baseline Finish]]))</f>
        <v/>
      </c>
      <c r="BO34" s="21" t="str">
        <f aca="false">IF(Tasks[[#This Row],[Task Name]]="","",IF(OR(TakeBaseline="Yes",N(Tasks[[#This Row],[Baseline Duration]])=0),Tasks[[#This Row],[_SpanDays]],Tasks[[#This Row],[Baseline Duration]]))</f>
        <v/>
      </c>
      <c r="BP34" s="86" t="str">
        <f aca="false">IF(Tasks[[#This Row],[Task Name]]="","",IF(OR(TakeBaseline="Yes",N(Tasks[[#This Row],[Baseline Work]])=0),Tasks[[#This Row],[Work]],Tasks[[#This Row],[Baseline Work]]))</f>
        <v/>
      </c>
      <c r="BQ34" s="7"/>
      <c r="BR34" s="7"/>
      <c r="BS34" s="22"/>
      <c r="BT34" s="88"/>
      <c r="BU34" s="23"/>
      <c r="BV34" s="23"/>
      <c r="BW34" s="23"/>
      <c r="BX34" s="89" t="str">
        <f aca="false">IF(AND(Tasks[[#This Row],[_IsLeaf]]=1,ISNUMBER(Tasks[[#This Row],[Optimistic]]),ISNUMBER(Tasks[[#This Row],[Pessimistic]])),ROUND((Tasks[[#This Row],[Optimistic]]+4*N(Tasks[[#This Row],[_Days]])+Tasks[[#This Row],[Pessimistic]])/6,1),"")</f>
        <v/>
      </c>
      <c r="BY34" s="87"/>
      <c r="BZ34" s="87"/>
      <c r="CA34" s="22"/>
      <c r="CB34" s="43" t="str">
        <f aca="false">IF(Tasks[[#This Row],[Task Name]]="","",MAX(1,N(Tasks[[#This Row],[Level]])))</f>
        <v/>
      </c>
      <c r="CC34" s="43" t="n">
        <f aca="false">ROW()-ROW(Tasks[[#Headers],[ID]])</f>
        <v>29</v>
      </c>
      <c r="CD34" s="43" t="n">
        <f aca="false">IF(OR(Tasks[[#This Row],[Task Name]]="",Tasks[[#This Row],[_Level]]&lt;=1),0,IFERROR(LOOKUP(2,1/(Tasks[[#Headers],[_Level]]:Tasks[[#This Row],[_Level]]=Tasks[[#This Row],[_Level]]-1),ROW(Tasks[[#Headers],[_Level]]:Tasks[[#This Row],[_Level]])),0))</f>
        <v>0</v>
      </c>
      <c r="CE34" s="43" t="n">
        <f aca="false">IFERROR(N(INDEX(Tasks[_Level],Tasks[[#This Row],[_Row]]+1)),0)</f>
        <v>0</v>
      </c>
      <c r="CF34" s="90" t="b">
        <f aca="false">AND(Tasks[[#This Row],[Task Name]]&lt;&gt;"",Tasks[[#This Row],[_NextLevel]]&gt;Tasks[[#This Row],[_Level]])</f>
        <v>0</v>
      </c>
      <c r="CG34" s="43" t="n">
        <f aca="false">IF(Tasks[[#This Row],[_IsSummary]],COUNTIF(Tasks[WBS],Tasks[[#This Row],[WBS]]&amp;".*"),0)</f>
        <v>0</v>
      </c>
      <c r="CH34" s="43" t="n">
        <f aca="false">IF(AND(Tasks[[#This Row],[Task Name]]&lt;&gt;"",NOT(Tasks[[#This Row],[_IsSummary]])),1,0)</f>
        <v>0</v>
      </c>
      <c r="CI34" s="43" t="n">
        <f aca="false">IF(N(Tasks[[#This Row],[_Pred1UID]])=0,0,IFERROR(MATCH(Tasks[[#This Row],[_Pred1UID]],Tasks[UID],0),-1))</f>
        <v>0</v>
      </c>
      <c r="CJ34" s="43" t="n">
        <f aca="false">IF(N(Tasks[[#This Row],[_Pred2UID]])=0,0,IFERROR(MATCH(Tasks[[#This Row],[_Pred2UID]],Tasks[UID],0),-1))</f>
        <v>0</v>
      </c>
      <c r="CK34" s="43" t="n">
        <f aca="false">IF(N(Tasks[[#This Row],[_Pred3UID]])=0,0,IFERROR(MATCH(Tasks[[#This Row],[_Pred3UID]],Tasks[UID],0),-1))</f>
        <v>0</v>
      </c>
      <c r="CL34" s="43" t="n">
        <f aca="false">IF(N(Tasks[[#This Row],[_Pred4UID]])=0,0,IFERROR(MATCH(Tasks[[#This Row],[_Pred4UID]],Tasks[UID],0),-1))</f>
        <v>0</v>
      </c>
      <c r="CM3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4" s="91" t="n">
        <f aca="false">IF(OR(Tasks[[#This Row],[_ConstraintCode]]=2,Tasks[[#This Row],[_ConstraintCode]]=3,Tasks[[#This Row],[_ConstraintCode]]=4,Tasks[[#This Row],[_ConstraintCode]]=6),Tasks[[#This Row],[_ConstraintStart]],0)</f>
        <v>0</v>
      </c>
      <c r="CP34" s="91" t="n">
        <f aca="false">IF(OR(Tasks[[#This Row],[_ConstraintCode]]=2,Tasks[[#This Row],[_ConstraintCode]]=3,Tasks[[#This Row],[_ConstraintCode]]=5,Tasks[[#This Row],[_ConstraintCode]]=7),Tasks[[#This Row],[_ConstraintStart]],2958465)</f>
        <v>2958465</v>
      </c>
      <c r="CQ3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4" s="91" t="str">
        <f aca="false">IF(NOT(Tasks[[#This Row],[_IsLeaf]]=1),"",IF(N(Tasks[[#This Row],[_Days]])&lt;=0,Tasks[[#This Row],[_LeafCalcStart]],WORKDAY.INTL(Tasks[[#This Row],[_LeafCalcStart]],Tasks[[#This Row],[_Days]]-1,WorkWeek,Holidays)))</f>
        <v/>
      </c>
      <c r="CS3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4" s="43" t="str">
        <f aca="false">IF(Tasks[[#This Row],[_Predecessors]]="","",TRIM(MID(SUBSTITUTE(SUBSTITUTE(SUBSTITUTE(UPPER(Tasks[[#This Row],[_Predecessors]]),";",",")," ",""),",",REPT(" ",99)),1,99)))</f>
        <v/>
      </c>
      <c r="CV34" s="43" t="str">
        <f aca="false">IF(Tasks[[#This Row],[_Pred1Text]]="","",IFERROR(VALUE(LEFT(Tasks[[#This Row],[_Pred1Text]],MIN(FIND("F",Tasks[[#This Row],[_Pred1Text]]&amp;"F"),FIND("S",Tasks[[#This Row],[_Pred1Text]]&amp;"S"),FIND("+",Tasks[[#This Row],[_Pred1Text]]&amp;"+"),FIND("-",Tasks[[#This Row],[_Pred1Text]]&amp;"-"))-1)),""))</f>
        <v/>
      </c>
      <c r="CW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4" s="43" t="str">
        <f aca="false">IF(Tasks[[#This Row],[_Pred1Text]]="","",TRIM(MID(SUBSTITUTE(SUBSTITUTE(SUBSTITUTE(UPPER(Tasks[[#This Row],[_Predecessors]]),";",",")," ",""),",",REPT(" ",99)),100,99)))</f>
        <v/>
      </c>
      <c r="CZ34" s="43" t="str">
        <f aca="false">IF(Tasks[[#This Row],[_Pred2Text]]="","",IFERROR(VALUE(LEFT(Tasks[[#This Row],[_Pred2Text]],MIN(FIND("F",Tasks[[#This Row],[_Pred2Text]]&amp;"F"),FIND("S",Tasks[[#This Row],[_Pred2Text]]&amp;"S"),FIND("+",Tasks[[#This Row],[_Pred2Text]]&amp;"+"),FIND("-",Tasks[[#This Row],[_Pred2Text]]&amp;"-"))-1)),""))</f>
        <v/>
      </c>
      <c r="DA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4" s="43" t="str">
        <f aca="false">IF(Tasks[[#This Row],[_Pred2Text]]="","",TRIM(MID(SUBSTITUTE(SUBSTITUTE(SUBSTITUTE(UPPER(Tasks[[#This Row],[_Predecessors]]),";",",")," ",""),",",REPT(" ",99)),199,99)))</f>
        <v/>
      </c>
      <c r="DD34" s="43" t="str">
        <f aca="false">IF(Tasks[[#This Row],[_Pred3Text]]="","",IFERROR(VALUE(LEFT(Tasks[[#This Row],[_Pred3Text]],MIN(FIND("F",Tasks[[#This Row],[_Pred3Text]]&amp;"F"),FIND("S",Tasks[[#This Row],[_Pred3Text]]&amp;"S"),FIND("+",Tasks[[#This Row],[_Pred3Text]]&amp;"+"),FIND("-",Tasks[[#This Row],[_Pred3Text]]&amp;"-"))-1)),""))</f>
        <v/>
      </c>
      <c r="DE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4" s="43" t="str">
        <f aca="false">IF(Tasks[[#This Row],[_Pred3Text]]="","",TRIM(MID(SUBSTITUTE(SUBSTITUTE(SUBSTITUTE(UPPER(Tasks[[#This Row],[_Predecessors]]),";",",")," ",""),",",REPT(" ",99)),298,99)))</f>
        <v/>
      </c>
      <c r="DH34" s="43" t="str">
        <f aca="false">IF(Tasks[[#This Row],[_Pred4Text]]="","",IFERROR(VALUE(LEFT(Tasks[[#This Row],[_Pred4Text]],MIN(FIND("F",Tasks[[#This Row],[_Pred4Text]]&amp;"F"),FIND("S",Tasks[[#This Row],[_Pred4Text]]&amp;"S"),FIND("+",Tasks[[#This Row],[_Pred4Text]]&amp;"+"),FIND("-",Tasks[[#This Row],[_Pred4Text]]&amp;"-"))-1)),""))</f>
        <v/>
      </c>
      <c r="DI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4" s="43" t="str">
        <f aca="false">IF(OR(Tasks[[#This Row],[Task Name]]="",Tasks[[#This Row],[_Resources]]=""),"",TRIM(MID(SUBSTITUTE(Tasks[[#This Row],[_Resources]],",",REPT(" ",99)),1,99)))</f>
        <v/>
      </c>
      <c r="DL34" s="43" t="str">
        <f aca="false">IF(Tasks[[#This Row],[_Res1Text]]="","",TRIM(MID(SUBSTITUTE(Tasks[[#This Row],[_Resources]],",",REPT(" ",99)),100,99)))</f>
        <v/>
      </c>
      <c r="DM34" s="43" t="str">
        <f aca="false">IF(Tasks[[#This Row],[_Res2Text]]="","",TRIM(MID(SUBSTITUTE(Tasks[[#This Row],[_Resources]],",",REPT(" ",99)),199,99)))</f>
        <v/>
      </c>
      <c r="DN34" s="43" t="str">
        <f aca="false">IF(Tasks[[#This Row],[_Res3Text]]="","",TRIM(MID(SUBSTITUTE(Tasks[[#This Row],[_Resources]],",",REPT(" ",99)),298,99)))</f>
        <v/>
      </c>
      <c r="DO34" s="43" t="n">
        <f aca="false">IF(Tasks[[#This Row],[_Res1Text]]="",0,IFERROR(MATCH(TRIM(LEFT(Tasks[[#This Row],[_Res1Text]],FIND("[",Tasks[[#This Row],[_Res1Text]]&amp;"[")-1)),res_Name,0),IFERROR(MATCH(TRIM(LEFT(Tasks[[#This Row],[_Res1Text]],FIND("[",Tasks[[#This Row],[_Res1Text]]&amp;"[")-1)),res_Initials,0),0)))</f>
        <v>0</v>
      </c>
      <c r="DP34" s="43" t="n">
        <f aca="false">IF(Tasks[[#This Row],[_Res2Text]]="",0,IFERROR(MATCH(TRIM(LEFT(Tasks[[#This Row],[_Res2Text]],FIND("[",Tasks[[#This Row],[_Res2Text]]&amp;"[")-1)),res_Name,0),IFERROR(MATCH(TRIM(LEFT(Tasks[[#This Row],[_Res2Text]],FIND("[",Tasks[[#This Row],[_Res2Text]]&amp;"[")-1)),res_Initials,0),0)))</f>
        <v>0</v>
      </c>
      <c r="DQ34" s="43" t="n">
        <f aca="false">IF(Tasks[[#This Row],[_Res3Text]]="",0,IFERROR(MATCH(TRIM(LEFT(Tasks[[#This Row],[_Res3Text]],FIND("[",Tasks[[#This Row],[_Res3Text]]&amp;"[")-1)),res_Name,0),IFERROR(MATCH(TRIM(LEFT(Tasks[[#This Row],[_Res3Text]],FIND("[",Tasks[[#This Row],[_Res3Text]]&amp;"[")-1)),res_Initials,0),0)))</f>
        <v>0</v>
      </c>
      <c r="DR34" s="43" t="n">
        <f aca="false">IF(Tasks[[#This Row],[_Res4Text]]="",0,IFERROR(MATCH(TRIM(LEFT(Tasks[[#This Row],[_Res4Text]],FIND("[",Tasks[[#This Row],[_Res4Text]]&amp;"[")-1)),res_Name,0),IFERROR(MATCH(TRIM(LEFT(Tasks[[#This Row],[_Res4Text]],FIND("[",Tasks[[#This Row],[_Res4Text]]&amp;"[")-1)),res_Initials,0),0)))</f>
        <v>0</v>
      </c>
      <c r="DS34" s="43" t="str">
        <f aca="false">IF(Tasks[[#This Row],[_Res1Text]]="","",IF(Tasks[[#This Row],[_Res1Row]]&gt;0,INDEX(res_Name,Tasks[[#This Row],[_Res1Row]]),TRIM(LEFT(Tasks[[#This Row],[_Res1Text]],FIND("[",Tasks[[#This Row],[_Res1Text]]&amp;"[")-1))))</f>
        <v/>
      </c>
      <c r="DT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4" s="43" t="n">
        <f aca="false">IF(NOT(Tasks[[#This Row],[_IsLeaf]]=1),0,(Tasks[[#This Row],[_Resource1]]&lt;&gt;"")+(Tasks[[#This Row],[_Res2]]&lt;&gt;"")+(Tasks[[#This Row],[_Res3]]&lt;&gt;"")+(Tasks[[#This Row],[_Res4]]&lt;&gt;""))</f>
        <v>0</v>
      </c>
      <c r="DV34" s="43" t="str">
        <f aca="false">IF(Tasks[[#This Row],[_Res2Text]]="","",IF(Tasks[[#This Row],[_Res2Row]]&gt;0,INDEX(res_Name,Tasks[[#This Row],[_Res2Row]]),TRIM(LEFT(Tasks[[#This Row],[_Res2Text]],FIND("[",Tasks[[#This Row],[_Res2Text]]&amp;"[")-1))))</f>
        <v/>
      </c>
      <c r="DW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4" s="43" t="n">
        <f aca="false">IF(OR(NOT(Tasks[[#This Row],[_IsLeaf]]=1),Tasks[[#This Row],[_Res2Row]]=0),0,N(Tasks[[#This Row],[_Days]])*HoursPerDay*IF(Tasks[[#This Row],[_Res2Units]]="",DefaultUnits,Tasks[[#This Row],[_Res2Units]]))</f>
        <v>0</v>
      </c>
      <c r="DY34" s="43" t="n">
        <f aca="false">IF(AND(AND(Tasks[[#This Row],[_IsLeaf]]=1,Tasks[[#This Row],[_LeafTotalWork]]&gt;0),Tasks[[#This Row],[_Res2Work]]&gt;0),Tasks[[#This Row],[_Res2Work]]/(Tasks[[#This Row],[_FinishWorkday]]-Tasks[[#This Row],[_StartWorkday]]+1),0)</f>
        <v>0</v>
      </c>
      <c r="DZ34" s="43" t="n">
        <f aca="false">Tasks[[#This Row],[_Res2WorkPerWD]]*MAX(0,Tasks[[#This Row],[_StartWorkday]]-1)</f>
        <v>0</v>
      </c>
      <c r="EA34" s="43" t="n">
        <f aca="false">Tasks[[#This Row],[_Res2Work]]*Tasks[[#This Row],[_LeafProgress]]</f>
        <v>0</v>
      </c>
      <c r="EB34" s="43" t="str">
        <f aca="false">IF(Tasks[[#This Row],[_Res3Text]]="","",IF(Tasks[[#This Row],[_Res3Row]]&gt;0,INDEX(res_Name,Tasks[[#This Row],[_Res3Row]]),TRIM(LEFT(Tasks[[#This Row],[_Res3Text]],FIND("[",Tasks[[#This Row],[_Res3Text]]&amp;"[")-1))))</f>
        <v/>
      </c>
      <c r="EC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4" s="43" t="n">
        <f aca="false">IF(OR(NOT(Tasks[[#This Row],[_IsLeaf]]=1),Tasks[[#This Row],[_Res3Row]]=0),0,N(Tasks[[#This Row],[_Days]])*HoursPerDay*IF(Tasks[[#This Row],[_Res3Units]]="",DefaultUnits,Tasks[[#This Row],[_Res3Units]]))</f>
        <v>0</v>
      </c>
      <c r="EE34" s="43" t="n">
        <f aca="false">IF(AND(AND(Tasks[[#This Row],[_IsLeaf]]=1,Tasks[[#This Row],[_LeafTotalWork]]&gt;0),Tasks[[#This Row],[_Res3Work]]&gt;0),Tasks[[#This Row],[_Res3Work]]/(Tasks[[#This Row],[_FinishWorkday]]-Tasks[[#This Row],[_StartWorkday]]+1),0)</f>
        <v>0</v>
      </c>
      <c r="EF34" s="43" t="n">
        <f aca="false">Tasks[[#This Row],[_Res3WorkPerWD]]*MAX(0,Tasks[[#This Row],[_StartWorkday]]-1)</f>
        <v>0</v>
      </c>
      <c r="EG34" s="43" t="n">
        <f aca="false">Tasks[[#This Row],[_Res3Work]]*Tasks[[#This Row],[_LeafProgress]]</f>
        <v>0</v>
      </c>
      <c r="EH34" s="43" t="str">
        <f aca="false">IF(Tasks[[#This Row],[_Res4Text]]="","",IF(Tasks[[#This Row],[_Res4Row]]&gt;0,INDEX(res_Name,Tasks[[#This Row],[_Res4Row]]),TRIM(LEFT(Tasks[[#This Row],[_Res4Text]],FIND("[",Tasks[[#This Row],[_Res4Text]]&amp;"[")-1))))</f>
        <v/>
      </c>
      <c r="EI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4" s="43" t="n">
        <f aca="false">IF(OR(NOT(Tasks[[#This Row],[_IsLeaf]]=1),Tasks[[#This Row],[_Res4Row]]=0),0,N(Tasks[[#This Row],[_Days]])*HoursPerDay*IF(Tasks[[#This Row],[_Res4Units]]="",DefaultUnits,Tasks[[#This Row],[_Res4Units]]))</f>
        <v>0</v>
      </c>
      <c r="EK34" s="43" t="n">
        <f aca="false">IF(AND(AND(Tasks[[#This Row],[_IsLeaf]]=1,Tasks[[#This Row],[_LeafTotalWork]]&gt;0),Tasks[[#This Row],[_Res4Work]]&gt;0),Tasks[[#This Row],[_Res4Work]]/(Tasks[[#This Row],[_FinishWorkday]]-Tasks[[#This Row],[_StartWorkday]]+1),0)</f>
        <v>0</v>
      </c>
      <c r="EL34" s="43" t="n">
        <f aca="false">Tasks[[#This Row],[_Res4WorkPerWD]]*MAX(0,Tasks[[#This Row],[_StartWorkday]]-1)</f>
        <v>0</v>
      </c>
      <c r="EM34" s="43" t="n">
        <f aca="false">Tasks[[#This Row],[_Res4Work]]*Tasks[[#This Row],[_LeafProgress]]</f>
        <v>0</v>
      </c>
      <c r="EN34" s="43" t="n">
        <f aca="false">IF(ISNUMBER(Tasks[[#This Row],[% Complete]]),Tasks[[#This Row],[% Complete]],IF(Tasks[[#This Row],[Stage]]="",0,IFERROR(INDEX(stg_Pct,MATCH(Tasks[[#This Row],[Stage]],stg_Name,0)),0)))</f>
        <v>0</v>
      </c>
      <c r="EO34" s="43" t="n">
        <f aca="false">IF(NOT(Tasks[[#This Row],[_IsLeaf]]=1),0,IF(N(Tasks[[#This Row],[Actual Finish]])&gt;0,1,MIN(1,Tasks[[#This Row],[_Pct]])))</f>
        <v>0</v>
      </c>
      <c r="EP34" s="43" t="n">
        <f aca="false">IF(OR(NOT(Tasks[[#This Row],[_IsLeaf]]=1),Tasks[[#This Row],[_Res1Row]]=0),0,N(Tasks[[#This Row],[_Days]])*HoursPerDay*IF(Tasks[[#This Row],[_Units1]]="",DefaultUnits,Tasks[[#This Row],[_Units1]]))</f>
        <v>0</v>
      </c>
      <c r="EQ34" s="43" t="n">
        <f aca="false">Tasks[[#This Row],[_LeafWork]]+Tasks[[#This Row],[_Res2Work]]+Tasks[[#This Row],[_Res3Work]]+Tasks[[#This Row],[_Res4Work]]</f>
        <v>0</v>
      </c>
      <c r="ER3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4" s="43" t="n">
        <f aca="false">IF(NOT(Tasks[[#This Row],[_IsLeaf]]=1),0,MAX(_xlfn.MAXIFS(Tasks[_Row],Tasks[_Pred1UID],Tasks[[#This Row],[UID]]),_xlfn.MAXIFS(Tasks[_Row],Tasks[_Pred2UID],Tasks[[#This Row],[UID]]),_xlfn.MAXIFS(Tasks[_Row],Tasks[_Pred3UID],Tasks[[#This Row],[UID]]),_xlfn.MAXIFS(Tasks[_Row],Tasks[_Pred4UID],Tasks[[#This Row],[UID]])))</f>
        <v>0</v>
      </c>
      <c r="FA3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4" s="91" t="str">
        <f aca="false">IF(NOT(Tasks[[#This Row],[_IsLeaf]]=1),"",IF(N(Tasks[[#This Row],[_Days]])&lt;=0,Tasks[[#This Row],[_LeafLateFinish]],WORKDAY.INTL(Tasks[[#This Row],[_LeafLateFinish]],-(Tasks[[#This Row],[_Days]]-1),WorkWeek,Holidays)))</f>
        <v/>
      </c>
      <c r="FD3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4" s="90" t="b">
        <f aca="false">AND(Tasks[[#This Row],[_IsLeaf]]=1,Tasks[[#This Row],[_LeafProgress]]&lt;1,N(Tasks[[#This Row],[_LeafTotalSlack]])&lt;=CriticalSlackDays)</f>
        <v>0</v>
      </c>
      <c r="FF34" s="43" t="n">
        <f aca="false">IF(AND(Tasks[[#This Row],[_IsLeaf]]=1,Tasks[[#This Row],[_ConstraintCode]]=1,Tasks[[#This Row],[Mode]]&lt;&gt;"Manual",N(Tasks[[#This Row],[Actual Start]])=0),MAX(0,N(Tasks[[#This Row],[Free Slack]])),0)</f>
        <v>0</v>
      </c>
      <c r="FG34" s="91" t="str">
        <f aca="false">IF(NOT(Tasks[[#This Row],[_IsLeaf]]=1),"",IF(Tasks[[#This Row],[_AlapShift]]=0,Tasks[[#This Row],[_LeafCalcStart]],WORKDAY.INTL(Tasks[[#This Row],[_LeafCalcStart]],Tasks[[#This Row],[_AlapShift]],WorkWeek,Holidays)))</f>
        <v/>
      </c>
      <c r="FH34" s="91" t="str">
        <f aca="false">IF(NOT(Tasks[[#This Row],[_IsLeaf]]=1),"",IF(Tasks[[#This Row],[_AlapShift]]=0,Tasks[[#This Row],[_LeafCalcFinish]],WORKDAY.INTL(Tasks[[#This Row],[_LeafCalcFinish]],Tasks[[#This Row],[_AlapShift]],WorkWeek,Holidays)))</f>
        <v/>
      </c>
      <c r="FI34" s="91" t="str">
        <f aca="false">IF(NOT(Tasks[[#This Row],[_IsLeaf]]=1),"",IF(Tasks[[#This Row],[_AlapShift]]=0,Tasks[[#This Row],[_LeafFcstStart]],WORKDAY.INTL(Tasks[[#This Row],[_LeafFcstStart]],Tasks[[#This Row],[_AlapShift]],WorkWeek,Holidays)))</f>
        <v/>
      </c>
      <c r="FJ34" s="91" t="str">
        <f aca="false">IF(NOT(Tasks[[#This Row],[_IsLeaf]]=1),"",IF(Tasks[[#This Row],[_AlapShift]]=0,Tasks[[#This Row],[_LeafFcstFinish]],WORKDAY.INTL(Tasks[[#This Row],[_LeafFcstFinish]],Tasks[[#This Row],[_AlapShift]],WorkWeek,Holidays)))</f>
        <v/>
      </c>
      <c r="FK34" s="91" t="str">
        <f aca="false">IF(Tasks[[#This Row],[Task Name]]="","",IF(Tasks[[#This Row],[_IsSummary]],MIN(INDEX(Tasks[_ShownCalcStart],Tasks[[#This Row],[_Row]]+1):INDEX(Tasks[_ShownCalcStart],Tasks[[#This Row],[_Row]]+Tasks[[#This Row],[_Descendants]])),Tasks[[#This Row],[_ShownCalcStart]]))</f>
        <v/>
      </c>
      <c r="FL34" s="91" t="str">
        <f aca="false">IF(Tasks[[#This Row],[Task Name]]="","",IF(Tasks[[#This Row],[_IsSummary]],MAX(INDEX(Tasks[_ShownCalcFinish],Tasks[[#This Row],[_Row]]+1):INDEX(Tasks[_ShownCalcFinish],Tasks[[#This Row],[_Row]]+Tasks[[#This Row],[_Descendants]])),Tasks[[#This Row],[_ShownCalcFinish]]))</f>
        <v/>
      </c>
      <c r="FM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4" s="43" t="n">
        <f aca="false">IF(AND(Tasks[[#This Row],[_IsLeaf]]=1,Tasks[[#This Row],[_LeafTotalWork]]&gt;0),NETWORKDAYS.INTL(ProjectStart,Tasks[[#This Row],[_ShownFcstStart]],WorkWeek,Holidays),0)</f>
        <v>0</v>
      </c>
      <c r="FZ34" s="43" t="n">
        <f aca="false">IF(AND(Tasks[[#This Row],[_IsLeaf]]=1,Tasks[[#This Row],[_LeafTotalWork]]&gt;0),MAX(Tasks[[#This Row],[_StartWorkday]],NETWORKDAYS.INTL(ProjectStart,Tasks[[#This Row],[_ShownFcstFinish]],WorkWeek,Holidays)),0)</f>
        <v>0</v>
      </c>
      <c r="GA34" s="43" t="n">
        <f aca="false">IF(AND(Tasks[[#This Row],[_IsLeaf]]=1,Tasks[[#This Row],[_LeafTotalWork]]&gt;0),Tasks[[#This Row],[_LeafWork]]/(Tasks[[#This Row],[_FinishWorkday]]-Tasks[[#This Row],[_StartWorkday]]+1),0)</f>
        <v>0</v>
      </c>
      <c r="GB34" s="43" t="n">
        <f aca="false">Tasks[[#This Row],[_WorkPerWorkday]]*(Tasks[[#This Row],[_StartWorkday]]-1)</f>
        <v>-0</v>
      </c>
      <c r="GC34" s="43" t="n">
        <f aca="false">IF(Tasks[[#This Row],[_IsLeaf]]=1,MAX(N(Tasks[[#This Row],[_Days]]),0.1),0)</f>
        <v>0</v>
      </c>
      <c r="GD34" s="43" t="n">
        <f aca="false">Tasks[[#This Row],[_WeightDur]]*Tasks[[#This Row],[_LeafProgress]]</f>
        <v>0</v>
      </c>
      <c r="GE34" s="43" t="n">
        <f aca="false">Tasks[[#This Row],[_WeightDur]]*Tasks[[#This Row],[_PlannedPct]]</f>
        <v>0</v>
      </c>
      <c r="GF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4" s="43" t="str">
        <f aca="false">IF(AND(Tasks[[#This Row],[_IsLeaf]]=1,N(Tasks[[#This Row],[_Days]])=0,Tasks[[#This Row],[_LeafProgress]]&lt;1),Tasks[[#This Row],[_ShownFcstFinish]]+Tasks[[#This Row],[_Row]]/100000,"")</f>
        <v/>
      </c>
      <c r="GH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4" s="43" t="str">
        <f aca="false">IF(Tasks[[#This Row],[Task Name]]="","",LEFT(Tasks[[#This Row],[WBS]],FIND(".",Tasks[[#This Row],[WBS]]&amp;".")-1))</f>
        <v/>
      </c>
      <c r="GJ34" s="43" t="str">
        <f aca="false">IF(AND(Tasks[[#This Row],[Task Name]]&lt;&gt;"",Tasks[[#This Row],[_Level]]=1),Tasks[[#This Row],[_Row]],"")</f>
        <v/>
      </c>
      <c r="GK34" s="43" t="str">
        <f aca="false">IF(AND(Tasks[[#This Row],[_IsLeaf]]=1,N(Tasks[[#This Row],[_Days]])=0),Tasks[[#This Row],[Planned Finish]]+Tasks[[#This Row],[_Row]]/100000,"")</f>
        <v/>
      </c>
      <c r="GL34" s="43" t="str">
        <f aca="false">IF(AND(Tasks[[#This Row],[_IsLeaf]]=1,Tasks[[#This Row],[_LeafProgress]]&lt;1,OR(N(Tasks[[#This Row],[Finish Var]])&gt;0,Tasks[[#This Row],[Status]]="Late Start")),MAX(0,Tasks[[#This Row],[Finish Var]])+1-Tasks[[#This Row],[_Row]]/1000000,"")</f>
        <v/>
      </c>
      <c r="GM34" s="43" t="str">
        <f aca="false">IF(AND(Tasks[[#This Row],[_IsLeaf]]=1,N(Tasks[[#This Row],[Actual Start]])=0,Tasks[[#This Row],[_ShownFcstStart]]&gt;=StatusDate,Tasks[[#This Row],[_ShownFcstStart]]&lt;=LookaheadEnd),Tasks[[#This Row],[_ShownFcstStart]]+Tasks[[#This Row],[_Row]]/100000,"")</f>
        <v/>
      </c>
      <c r="GN34" s="43" t="str">
        <f aca="false">IF(AND(Tasks[[#This Row],[_IsLeaf]]=1,Tasks[[#This Row],[_LeafProgress]]&lt;1,Tasks[[#This Row],[_ShownFcstFinish]]&gt;=StatusDate,Tasks[[#This Row],[_ShownFcstFinish]]&lt;=LookaheadEnd),Tasks[[#This Row],[_ShownFcstFinish]]+Tasks[[#This Row],[_Row]]/100000,"")</f>
        <v/>
      </c>
      <c r="GO34" s="43" t="str">
        <f aca="false">IF(Tasks[[#This Row],[_LeafCritical]],Tasks[[#This Row],[_ShownFcstStart]]+Tasks[[#This Row],[_Row]]/100000,"")</f>
        <v/>
      </c>
      <c r="GP34" s="43" t="n">
        <f aca="false">Tasks[[#This Row],[_LeafWork]]*Tasks[[#This Row],[_LeafProgress]]</f>
        <v>0</v>
      </c>
      <c r="GQ34" s="91" t="str">
        <f aca="false">IF(AND(Tasks[[#This Row],[_IsLeaf]]=1,Tasks[[#This Row],[_LeafProgress]]&gt;=1),IF(N(Tasks[[#This Row],[Actual Finish]])&gt;0,Tasks[[#This Row],[Actual Finish]],Tasks[[#This Row],[_ShownFcstFinish]]),"")</f>
        <v/>
      </c>
      <c r="GR34" s="43" t="n">
        <f aca="false">IF(Tasks[[#This Row],[_IsLeaf]]=1,N(Tasks[[#This Row],[Story Points]]),0)</f>
        <v>0</v>
      </c>
      <c r="GS34" s="43" t="str">
        <f aca="false">""</f>
        <v/>
      </c>
      <c r="GT34" s="90" t="b">
        <f aca="false">IF(Tasks[[#This Row],[Task Name]]="",FALSE(),AND(Tasks[[#This Row],[_IsLeaf]]=1,N(Tasks[[#This Row],[_Days]])=0))</f>
        <v>0</v>
      </c>
      <c r="GU34" s="91" t="n">
        <f aca="false">IF(Tasks[[#This Row],[Task Name]]="",0,IF(AND(Tasks[[#This Row],[_IsLeaf]]=1,NOT(Tasks[[#This Row],[_IsMilestone]]),N(Tasks[[#This Row],[Progress]])&gt;0),Tasks[[#This Row],[Start]],0))</f>
        <v>0</v>
      </c>
      <c r="GV34" s="91" t="n">
        <f aca="false">IF(Tasks[[#This Row],[_DoneFrom]]=0,0,IF(Tasks[[#This Row],[Progress]]&gt;=1,Tasks[[#This Row],[Finish]],MAX(Tasks[[#This Row],[_DoneFrom]],Tasks[[#This Row],[Start]]+ROUND((Tasks[[#This Row],[Finish]]-Tasks[[#This Row],[Start]]+1)*Tasks[[#This Row],[Progress]],0)-1)))</f>
        <v>0</v>
      </c>
      <c r="GW34" s="91" t="n">
        <f aca="false">IF(Tasks[[#This Row],[Task Name]]="",0,IF(OR(NOT(Tasks[[#This Row],[_IsLeaf]]=1),Tasks[[#This Row],[_IsMilestone]],N(Tasks[[#This Row],[Progress]])&gt;=1),0,IF(Tasks[[#This Row],[_DoneTo]]&gt;0,Tasks[[#This Row],[_DoneTo]]+1,Tasks[[#This Row],[Start]])))</f>
        <v>0</v>
      </c>
      <c r="GX34" s="91" t="n">
        <f aca="false">IF(Tasks[[#This Row],[_RemFrom]]=0,0,Tasks[[#This Row],[Finish]])</f>
        <v>0</v>
      </c>
      <c r="GY34" s="90" t="b">
        <f aca="false">IF(Tasks[[#This Row],[Task Name]]="",FALSE(),OR(NOT(BaselineSet),N(Tasks[[#This Row],[Baseline Start]])&gt;0))</f>
        <v>0</v>
      </c>
      <c r="GZ3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4" s="92" t="str">
        <f aca="false">IF(Tasks[[#This Row],[_IsLeaf]]=1,Tasks[[#This Row],[_Row]],"")</f>
        <v/>
      </c>
      <c r="HD34" s="92" t="str">
        <f aca="false">IFERROR(INDEX(Tasks[UID],SMALL(Tasks[_PickKey],Tasks[[#This Row],[_Row]]))&amp;" "&amp;INDEX(Tasks[Task Name],SMALL(Tasks[_PickKey],Tasks[[#This Row],[_Row]])),"")</f>
        <v/>
      </c>
      <c r="HE34" s="43" t="str">
        <f aca="false">IF(Tasks[[#This Row],[Task Name]]="","",IF(Tasks[[#This Row],[_IsSummary]],NETWORKDAYS.INTL(Tasks[[#This Row],[Start]],Tasks[[#This Row],[Finish]],WorkWeek,Holidays),N(Tasks[[#This Row],[_Days]])))</f>
        <v/>
      </c>
      <c r="HF34" s="43" t="n">
        <f aca="false">IF(Tasks[[#This Row],[Expected]]="",0,((Tasks[[#This Row],[Pessimistic]]-Tasks[[#This Row],[Optimistic]])/6)^2)</f>
        <v>0</v>
      </c>
      <c r="HG34" s="43" t="n">
        <f aca="false">IF(Tasks[[#This Row],[Expected]]="",0,Tasks[[#This Row],[Expected]]-N(Tasks[[#This Row],[_Days]]))</f>
        <v>0</v>
      </c>
    </row>
    <row r="35" customFormat="false" ht="15" hidden="false" customHeight="false" outlineLevel="0" collapsed="false">
      <c r="A35" s="21" t="str">
        <f aca="false">IF(Tasks[[#This Row],[Task Name]]="","",COUNTA(Tasks[[#Headers],[Task Name]]:Tasks[[#This Row],[Task Name]])-1)</f>
        <v/>
      </c>
      <c r="B35" s="22" t="n">
        <v>43</v>
      </c>
      <c r="C35" s="22"/>
      <c r="D35" s="23"/>
      <c r="E35" s="22"/>
      <c r="F35" s="23"/>
      <c r="G35" s="22"/>
      <c r="H35" s="22"/>
      <c r="I35" s="23"/>
      <c r="J35" s="22"/>
      <c r="K35" s="22"/>
      <c r="L35" s="23"/>
      <c r="M35" s="22"/>
      <c r="N35" s="22"/>
      <c r="O35" s="23"/>
      <c r="P35" s="22"/>
      <c r="Q35" s="22"/>
      <c r="R35" s="23"/>
      <c r="S35" s="23"/>
      <c r="T35" s="84"/>
      <c r="U35" s="23"/>
      <c r="V35" s="84"/>
      <c r="W35" s="23"/>
      <c r="X35" s="84"/>
      <c r="Y35" s="23"/>
      <c r="Z35" s="84"/>
      <c r="AA35" s="23"/>
      <c r="AB35" s="23"/>
      <c r="AC35" s="7"/>
      <c r="AD35" s="7"/>
      <c r="AE35" s="63" t="str">
        <f aca="false">IF(Tasks[[#This Row],[Task Name]]="","",IF(Tasks[[#This Row],[_IsSummary]],MIN(INDEX(Tasks[_ShownFcstStart],Tasks[[#This Row],[_Row]]+1):INDEX(Tasks[_ShownFcstStart],Tasks[[#This Row],[_Row]]+Tasks[[#This Row],[_Descendants]])),Tasks[[#This Row],[_ShownFcstStart]]))</f>
        <v/>
      </c>
      <c r="AF35" s="63" t="str">
        <f aca="false">IF(Tasks[[#This Row],[Task Name]]="","",IF(Tasks[[#This Row],[_IsSummary]],MAX(INDEX(Tasks[_ShownFcstFinish],Tasks[[#This Row],[_Row]]+1):INDEX(Tasks[_ShownFcstFinish],Tasks[[#This Row],[_Row]]+Tasks[[#This Row],[_Descendants]])),Tasks[[#This Row],[_ShownFcstFinish]]))</f>
        <v/>
      </c>
      <c r="AG35" s="21" t="str">
        <f aca="false">""</f>
        <v/>
      </c>
      <c r="AH35" s="23"/>
      <c r="AI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5" s="7"/>
      <c r="AK35" s="22"/>
      <c r="AL35" s="23"/>
      <c r="AM35" s="7"/>
      <c r="AN35" s="47" t="str">
        <f aca="false">IF(Tasks[[#This Row],[Task Name]]="","",IF(Tasks[[#This Row],[Finish]]&gt;=Tasks[[#This Row],[Planned Finish]],NETWORKDAYS.INTL(Tasks[[#This Row],[Planned Finish]],Tasks[[#This Row],[Finish]],WorkWeek,Holidays)-1,1-NETWORKDAYS.INTL(Tasks[[#This Row],[Finish]],Tasks[[#This Row],[Planned Finish]],WorkWeek,Holidays)))</f>
        <v/>
      </c>
      <c r="AO35" s="21" t="str">
        <f aca="false">IF(Tasks[[#This Row],[Task Name]]="","",IF(Tasks[[#This Row],[Progress]]&gt;=1,"Complete",IF(OR(N(Tasks[[#This Row],[Actual Start]])&gt;0,Tasks[[#This Row],[Progress]]&gt;0),IF(Tasks[[#This Row],[Finish Var]]&gt;0,"Behind","In Progress"),IF(Tasks[[#This Row],[Planned Start]]&lt;StatusDate,"Late Start","Not Started"))))</f>
        <v/>
      </c>
      <c r="AP35" s="21" t="str">
        <f aca="false">IF(Tasks[[#This Row],[Task Name]]="","",IF(IF(Tasks[[#This Row],[_IsSummary]],COUNTIF(INDEX(Tasks[_LeafCritical],Tasks[[#This Row],[_Row]]+1):INDEX(Tasks[_LeafCritical],Tasks[[#This Row],[_Row]]+Tasks[[#This Row],[_Descendants]]),TRUE())&gt;0,Tasks[[#This Row],[_LeafCritical]]),"Yes",""))</f>
        <v/>
      </c>
      <c r="AQ35" s="63" t="str">
        <f aca="false">IF(Tasks[[#This Row],[Task Name]]="","",IF(N(Tasks[[#This Row],[Baseline Start]])&gt;0,Tasks[[#This Row],[Baseline Start]],Tasks[[#This Row],[_CalcStart]]))</f>
        <v/>
      </c>
      <c r="AR35" s="63" t="str">
        <f aca="false">IF(Tasks[[#This Row],[Task Name]]="","",IF(N(Tasks[[#This Row],[Baseline Finish]])&gt;0,Tasks[[#This Row],[Baseline Finish]],Tasks[[#This Row],[_CalcFinish]]))</f>
        <v/>
      </c>
      <c r="AS35" s="47" t="str">
        <f aca="false">IF(Tasks[[#This Row],[Task Name]]="","",IF(Tasks[[#This Row],[Start]]&gt;=Tasks[[#This Row],[Planned Start]],NETWORKDAYS.INTL(Tasks[[#This Row],[Planned Start]],Tasks[[#This Row],[Start]],WorkWeek,Holidays)-1,1-NETWORKDAYS.INTL(Tasks[[#This Row],[Start]],Tasks[[#This Row],[Planned Start]],WorkWeek,Holidays)))</f>
        <v/>
      </c>
      <c r="AT35" s="63" t="str">
        <f aca="false">IF(Tasks[[#This Row],[Task Name]]="","",IF(Tasks[[#This Row],[_IsSummary]],MIN(INDEX(Tasks[_LeafLateStart],Tasks[[#This Row],[_Row]]+1):INDEX(Tasks[_LeafLateStart],Tasks[[#This Row],[_Row]]+Tasks[[#This Row],[_Descendants]])),Tasks[[#This Row],[_LeafLateStart]]))</f>
        <v/>
      </c>
      <c r="AU35" s="63" t="str">
        <f aca="false">IF(Tasks[[#This Row],[Task Name]]="","",IF(Tasks[[#This Row],[_IsSummary]],MAX(INDEX(Tasks[_LeafLateFinish],Tasks[[#This Row],[_Row]]+1):INDEX(Tasks[_LeafLateFinish],Tasks[[#This Row],[_Row]]+Tasks[[#This Row],[_Descendants]])),Tasks[[#This Row],[_LeafLateFinish]]))</f>
        <v/>
      </c>
      <c r="AV35" s="47" t="str">
        <f aca="false">IF(Tasks[[#This Row],[Task Name]]="","",IF(Tasks[[#This Row],[_IsSummary]],MIN(INDEX(Tasks[_LeafTotalSlack],Tasks[[#This Row],[_Row]]+1):INDEX(Tasks[_LeafTotalSlack],Tasks[[#This Row],[_Row]]+Tasks[[#This Row],[_Descendants]])),Tasks[[#This Row],[_LeafTotalSlack]]))</f>
        <v/>
      </c>
      <c r="AW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5"/>
      <c r="BA3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t="str">
        <f aca="false">IF(Tasks[[#This Row],[Task Name]]="","",IF(Tasks[[#This Row],[_Level]]&lt;=OutlineShowLevel,"Yes","No"))</f>
        <v/>
      </c>
      <c r="BE35" s="86" t="str">
        <f aca="false">IF(Tasks[[#This Row],[Task Name]]="","",IF(Tasks[[#This Row],[_IsSummary]],SUM(INDEX(Tasks[_LeafTotalWork],Tasks[[#This Row],[_Row]]+1):INDEX(Tasks[_LeafTotalWork],Tasks[[#This Row],[_Row]]+Tasks[[#This Row],[_Descendants]])),Tasks[[#This Row],[_LeafTotalWork]]))</f>
        <v/>
      </c>
      <c r="BF35" s="23"/>
      <c r="BG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t="str">
        <f aca="false">""</f>
        <v/>
      </c>
      <c r="BI35" s="87"/>
      <c r="BJ35" s="22"/>
      <c r="BK35" s="47" t="str">
        <f aca="false">IF(OR(Tasks[[#This Row],[Task Name]]="",Tasks[[#This Row],[Baseline Duration]]=""),"",Tasks[[#This Row],[_SpanDays]]-N(Tasks[[#This Row],[Baseline Duration]]))</f>
        <v/>
      </c>
      <c r="BL35" s="86" t="str">
        <f aca="false">IF(OR(Tasks[[#This Row],[Task Name]]="",Tasks[[#This Row],[Baseline Work]]=""),"",Tasks[[#This Row],[Work]]-N(Tasks[[#This Row],[Baseline Work]]))</f>
        <v/>
      </c>
      <c r="BM35" s="63" t="str">
        <f aca="false">IF(Tasks[[#This Row],[Task Name]]="","",IF(OR(TakeBaseline="Yes",N(Tasks[[#This Row],[Baseline Start]])=0),Tasks[[#This Row],[Start]],Tasks[[#This Row],[Baseline Start]]))</f>
        <v/>
      </c>
      <c r="BN35" s="63" t="str">
        <f aca="false">IF(Tasks[[#This Row],[Task Name]]="","",IF(OR(TakeBaseline="Yes",N(Tasks[[#This Row],[Baseline Finish]])=0),Tasks[[#This Row],[Finish]],Tasks[[#This Row],[Baseline Finish]]))</f>
        <v/>
      </c>
      <c r="BO35" s="21" t="str">
        <f aca="false">IF(Tasks[[#This Row],[Task Name]]="","",IF(OR(TakeBaseline="Yes",N(Tasks[[#This Row],[Baseline Duration]])=0),Tasks[[#This Row],[_SpanDays]],Tasks[[#This Row],[Baseline Duration]]))</f>
        <v/>
      </c>
      <c r="BP35" s="86" t="str">
        <f aca="false">IF(Tasks[[#This Row],[Task Name]]="","",IF(OR(TakeBaseline="Yes",N(Tasks[[#This Row],[Baseline Work]])=0),Tasks[[#This Row],[Work]],Tasks[[#This Row],[Baseline Work]]))</f>
        <v/>
      </c>
      <c r="BQ35" s="7"/>
      <c r="BR35" s="7"/>
      <c r="BS35" s="22"/>
      <c r="BT35" s="88"/>
      <c r="BU35" s="23"/>
      <c r="BV35" s="23"/>
      <c r="BW35" s="23"/>
      <c r="BX35" s="89" t="str">
        <f aca="false">IF(AND(Tasks[[#This Row],[_IsLeaf]]=1,ISNUMBER(Tasks[[#This Row],[Optimistic]]),ISNUMBER(Tasks[[#This Row],[Pessimistic]])),ROUND((Tasks[[#This Row],[Optimistic]]+4*N(Tasks[[#This Row],[_Days]])+Tasks[[#This Row],[Pessimistic]])/6,1),"")</f>
        <v/>
      </c>
      <c r="BY35" s="87"/>
      <c r="BZ35" s="87"/>
      <c r="CA35" s="22"/>
      <c r="CB35" s="43" t="str">
        <f aca="false">IF(Tasks[[#This Row],[Task Name]]="","",MAX(1,N(Tasks[[#This Row],[Level]])))</f>
        <v/>
      </c>
      <c r="CC35" s="43" t="n">
        <f aca="false">ROW()-ROW(Tasks[[#Headers],[ID]])</f>
        <v>30</v>
      </c>
      <c r="CD35" s="43" t="n">
        <f aca="false">IF(OR(Tasks[[#This Row],[Task Name]]="",Tasks[[#This Row],[_Level]]&lt;=1),0,IFERROR(LOOKUP(2,1/(Tasks[[#Headers],[_Level]]:Tasks[[#This Row],[_Level]]=Tasks[[#This Row],[_Level]]-1),ROW(Tasks[[#Headers],[_Level]]:Tasks[[#This Row],[_Level]])),0))</f>
        <v>0</v>
      </c>
      <c r="CE35" s="43" t="n">
        <f aca="false">IFERROR(N(INDEX(Tasks[_Level],Tasks[[#This Row],[_Row]]+1)),0)</f>
        <v>0</v>
      </c>
      <c r="CF35" s="90" t="b">
        <f aca="false">AND(Tasks[[#This Row],[Task Name]]&lt;&gt;"",Tasks[[#This Row],[_NextLevel]]&gt;Tasks[[#This Row],[_Level]])</f>
        <v>0</v>
      </c>
      <c r="CG35" s="43" t="n">
        <f aca="false">IF(Tasks[[#This Row],[_IsSummary]],COUNTIF(Tasks[WBS],Tasks[[#This Row],[WBS]]&amp;".*"),0)</f>
        <v>0</v>
      </c>
      <c r="CH35" s="43" t="n">
        <f aca="false">IF(AND(Tasks[[#This Row],[Task Name]]&lt;&gt;"",NOT(Tasks[[#This Row],[_IsSummary]])),1,0)</f>
        <v>0</v>
      </c>
      <c r="CI35" s="43" t="n">
        <f aca="false">IF(N(Tasks[[#This Row],[_Pred1UID]])=0,0,IFERROR(MATCH(Tasks[[#This Row],[_Pred1UID]],Tasks[UID],0),-1))</f>
        <v>0</v>
      </c>
      <c r="CJ35" s="43" t="n">
        <f aca="false">IF(N(Tasks[[#This Row],[_Pred2UID]])=0,0,IFERROR(MATCH(Tasks[[#This Row],[_Pred2UID]],Tasks[UID],0),-1))</f>
        <v>0</v>
      </c>
      <c r="CK35" s="43" t="n">
        <f aca="false">IF(N(Tasks[[#This Row],[_Pred3UID]])=0,0,IFERROR(MATCH(Tasks[[#This Row],[_Pred3UID]],Tasks[UID],0),-1))</f>
        <v>0</v>
      </c>
      <c r="CL35" s="43" t="n">
        <f aca="false">IF(N(Tasks[[#This Row],[_Pred4UID]])=0,0,IFERROR(MATCH(Tasks[[#This Row],[_Pred4UID]],Tasks[UID],0),-1))</f>
        <v>0</v>
      </c>
      <c r="CM3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5" s="91" t="n">
        <f aca="false">IF(OR(Tasks[[#This Row],[_ConstraintCode]]=2,Tasks[[#This Row],[_ConstraintCode]]=3,Tasks[[#This Row],[_ConstraintCode]]=4,Tasks[[#This Row],[_ConstraintCode]]=6),Tasks[[#This Row],[_ConstraintStart]],0)</f>
        <v>0</v>
      </c>
      <c r="CP35" s="91" t="n">
        <f aca="false">IF(OR(Tasks[[#This Row],[_ConstraintCode]]=2,Tasks[[#This Row],[_ConstraintCode]]=3,Tasks[[#This Row],[_ConstraintCode]]=5,Tasks[[#This Row],[_ConstraintCode]]=7),Tasks[[#This Row],[_ConstraintStart]],2958465)</f>
        <v>2958465</v>
      </c>
      <c r="CQ3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5" s="91" t="str">
        <f aca="false">IF(NOT(Tasks[[#This Row],[_IsLeaf]]=1),"",IF(N(Tasks[[#This Row],[_Days]])&lt;=0,Tasks[[#This Row],[_LeafCalcStart]],WORKDAY.INTL(Tasks[[#This Row],[_LeafCalcStart]],Tasks[[#This Row],[_Days]]-1,WorkWeek,Holidays)))</f>
        <v/>
      </c>
      <c r="CS3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5" s="43" t="str">
        <f aca="false">IF(Tasks[[#This Row],[_Predecessors]]="","",TRIM(MID(SUBSTITUTE(SUBSTITUTE(SUBSTITUTE(UPPER(Tasks[[#This Row],[_Predecessors]]),";",",")," ",""),",",REPT(" ",99)),1,99)))</f>
        <v/>
      </c>
      <c r="CV35" s="43" t="str">
        <f aca="false">IF(Tasks[[#This Row],[_Pred1Text]]="","",IFERROR(VALUE(LEFT(Tasks[[#This Row],[_Pred1Text]],MIN(FIND("F",Tasks[[#This Row],[_Pred1Text]]&amp;"F"),FIND("S",Tasks[[#This Row],[_Pred1Text]]&amp;"S"),FIND("+",Tasks[[#This Row],[_Pred1Text]]&amp;"+"),FIND("-",Tasks[[#This Row],[_Pred1Text]]&amp;"-"))-1)),""))</f>
        <v/>
      </c>
      <c r="CW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5" s="43" t="str">
        <f aca="false">IF(Tasks[[#This Row],[_Pred1Text]]="","",TRIM(MID(SUBSTITUTE(SUBSTITUTE(SUBSTITUTE(UPPER(Tasks[[#This Row],[_Predecessors]]),";",",")," ",""),",",REPT(" ",99)),100,99)))</f>
        <v/>
      </c>
      <c r="CZ35" s="43" t="str">
        <f aca="false">IF(Tasks[[#This Row],[_Pred2Text]]="","",IFERROR(VALUE(LEFT(Tasks[[#This Row],[_Pred2Text]],MIN(FIND("F",Tasks[[#This Row],[_Pred2Text]]&amp;"F"),FIND("S",Tasks[[#This Row],[_Pred2Text]]&amp;"S"),FIND("+",Tasks[[#This Row],[_Pred2Text]]&amp;"+"),FIND("-",Tasks[[#This Row],[_Pred2Text]]&amp;"-"))-1)),""))</f>
        <v/>
      </c>
      <c r="DA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5" s="43" t="str">
        <f aca="false">IF(Tasks[[#This Row],[_Pred2Text]]="","",TRIM(MID(SUBSTITUTE(SUBSTITUTE(SUBSTITUTE(UPPER(Tasks[[#This Row],[_Predecessors]]),";",",")," ",""),",",REPT(" ",99)),199,99)))</f>
        <v/>
      </c>
      <c r="DD35" s="43" t="str">
        <f aca="false">IF(Tasks[[#This Row],[_Pred3Text]]="","",IFERROR(VALUE(LEFT(Tasks[[#This Row],[_Pred3Text]],MIN(FIND("F",Tasks[[#This Row],[_Pred3Text]]&amp;"F"),FIND("S",Tasks[[#This Row],[_Pred3Text]]&amp;"S"),FIND("+",Tasks[[#This Row],[_Pred3Text]]&amp;"+"),FIND("-",Tasks[[#This Row],[_Pred3Text]]&amp;"-"))-1)),""))</f>
        <v/>
      </c>
      <c r="DE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5" s="43" t="str">
        <f aca="false">IF(Tasks[[#This Row],[_Pred3Text]]="","",TRIM(MID(SUBSTITUTE(SUBSTITUTE(SUBSTITUTE(UPPER(Tasks[[#This Row],[_Predecessors]]),";",",")," ",""),",",REPT(" ",99)),298,99)))</f>
        <v/>
      </c>
      <c r="DH35" s="43" t="str">
        <f aca="false">IF(Tasks[[#This Row],[_Pred4Text]]="","",IFERROR(VALUE(LEFT(Tasks[[#This Row],[_Pred4Text]],MIN(FIND("F",Tasks[[#This Row],[_Pred4Text]]&amp;"F"),FIND("S",Tasks[[#This Row],[_Pred4Text]]&amp;"S"),FIND("+",Tasks[[#This Row],[_Pred4Text]]&amp;"+"),FIND("-",Tasks[[#This Row],[_Pred4Text]]&amp;"-"))-1)),""))</f>
        <v/>
      </c>
      <c r="DI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5" s="43" t="str">
        <f aca="false">IF(OR(Tasks[[#This Row],[Task Name]]="",Tasks[[#This Row],[_Resources]]=""),"",TRIM(MID(SUBSTITUTE(Tasks[[#This Row],[_Resources]],",",REPT(" ",99)),1,99)))</f>
        <v/>
      </c>
      <c r="DL35" s="43" t="str">
        <f aca="false">IF(Tasks[[#This Row],[_Res1Text]]="","",TRIM(MID(SUBSTITUTE(Tasks[[#This Row],[_Resources]],",",REPT(" ",99)),100,99)))</f>
        <v/>
      </c>
      <c r="DM35" s="43" t="str">
        <f aca="false">IF(Tasks[[#This Row],[_Res2Text]]="","",TRIM(MID(SUBSTITUTE(Tasks[[#This Row],[_Resources]],",",REPT(" ",99)),199,99)))</f>
        <v/>
      </c>
      <c r="DN35" s="43" t="str">
        <f aca="false">IF(Tasks[[#This Row],[_Res3Text]]="","",TRIM(MID(SUBSTITUTE(Tasks[[#This Row],[_Resources]],",",REPT(" ",99)),298,99)))</f>
        <v/>
      </c>
      <c r="DO35" s="43" t="n">
        <f aca="false">IF(Tasks[[#This Row],[_Res1Text]]="",0,IFERROR(MATCH(TRIM(LEFT(Tasks[[#This Row],[_Res1Text]],FIND("[",Tasks[[#This Row],[_Res1Text]]&amp;"[")-1)),res_Name,0),IFERROR(MATCH(TRIM(LEFT(Tasks[[#This Row],[_Res1Text]],FIND("[",Tasks[[#This Row],[_Res1Text]]&amp;"[")-1)),res_Initials,0),0)))</f>
        <v>0</v>
      </c>
      <c r="DP35" s="43" t="n">
        <f aca="false">IF(Tasks[[#This Row],[_Res2Text]]="",0,IFERROR(MATCH(TRIM(LEFT(Tasks[[#This Row],[_Res2Text]],FIND("[",Tasks[[#This Row],[_Res2Text]]&amp;"[")-1)),res_Name,0),IFERROR(MATCH(TRIM(LEFT(Tasks[[#This Row],[_Res2Text]],FIND("[",Tasks[[#This Row],[_Res2Text]]&amp;"[")-1)),res_Initials,0),0)))</f>
        <v>0</v>
      </c>
      <c r="DQ35" s="43" t="n">
        <f aca="false">IF(Tasks[[#This Row],[_Res3Text]]="",0,IFERROR(MATCH(TRIM(LEFT(Tasks[[#This Row],[_Res3Text]],FIND("[",Tasks[[#This Row],[_Res3Text]]&amp;"[")-1)),res_Name,0),IFERROR(MATCH(TRIM(LEFT(Tasks[[#This Row],[_Res3Text]],FIND("[",Tasks[[#This Row],[_Res3Text]]&amp;"[")-1)),res_Initials,0),0)))</f>
        <v>0</v>
      </c>
      <c r="DR35" s="43" t="n">
        <f aca="false">IF(Tasks[[#This Row],[_Res4Text]]="",0,IFERROR(MATCH(TRIM(LEFT(Tasks[[#This Row],[_Res4Text]],FIND("[",Tasks[[#This Row],[_Res4Text]]&amp;"[")-1)),res_Name,0),IFERROR(MATCH(TRIM(LEFT(Tasks[[#This Row],[_Res4Text]],FIND("[",Tasks[[#This Row],[_Res4Text]]&amp;"[")-1)),res_Initials,0),0)))</f>
        <v>0</v>
      </c>
      <c r="DS35" s="43" t="str">
        <f aca="false">IF(Tasks[[#This Row],[_Res1Text]]="","",IF(Tasks[[#This Row],[_Res1Row]]&gt;0,INDEX(res_Name,Tasks[[#This Row],[_Res1Row]]),TRIM(LEFT(Tasks[[#This Row],[_Res1Text]],FIND("[",Tasks[[#This Row],[_Res1Text]]&amp;"[")-1))))</f>
        <v/>
      </c>
      <c r="DT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5" s="43" t="n">
        <f aca="false">IF(NOT(Tasks[[#This Row],[_IsLeaf]]=1),0,(Tasks[[#This Row],[_Resource1]]&lt;&gt;"")+(Tasks[[#This Row],[_Res2]]&lt;&gt;"")+(Tasks[[#This Row],[_Res3]]&lt;&gt;"")+(Tasks[[#This Row],[_Res4]]&lt;&gt;""))</f>
        <v>0</v>
      </c>
      <c r="DV35" s="43" t="str">
        <f aca="false">IF(Tasks[[#This Row],[_Res2Text]]="","",IF(Tasks[[#This Row],[_Res2Row]]&gt;0,INDEX(res_Name,Tasks[[#This Row],[_Res2Row]]),TRIM(LEFT(Tasks[[#This Row],[_Res2Text]],FIND("[",Tasks[[#This Row],[_Res2Text]]&amp;"[")-1))))</f>
        <v/>
      </c>
      <c r="DW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5" s="43" t="n">
        <f aca="false">IF(OR(NOT(Tasks[[#This Row],[_IsLeaf]]=1),Tasks[[#This Row],[_Res2Row]]=0),0,N(Tasks[[#This Row],[_Days]])*HoursPerDay*IF(Tasks[[#This Row],[_Res2Units]]="",DefaultUnits,Tasks[[#This Row],[_Res2Units]]))</f>
        <v>0</v>
      </c>
      <c r="DY35" s="43" t="n">
        <f aca="false">IF(AND(AND(Tasks[[#This Row],[_IsLeaf]]=1,Tasks[[#This Row],[_LeafTotalWork]]&gt;0),Tasks[[#This Row],[_Res2Work]]&gt;0),Tasks[[#This Row],[_Res2Work]]/(Tasks[[#This Row],[_FinishWorkday]]-Tasks[[#This Row],[_StartWorkday]]+1),0)</f>
        <v>0</v>
      </c>
      <c r="DZ35" s="43" t="n">
        <f aca="false">Tasks[[#This Row],[_Res2WorkPerWD]]*MAX(0,Tasks[[#This Row],[_StartWorkday]]-1)</f>
        <v>0</v>
      </c>
      <c r="EA35" s="43" t="n">
        <f aca="false">Tasks[[#This Row],[_Res2Work]]*Tasks[[#This Row],[_LeafProgress]]</f>
        <v>0</v>
      </c>
      <c r="EB35" s="43" t="str">
        <f aca="false">IF(Tasks[[#This Row],[_Res3Text]]="","",IF(Tasks[[#This Row],[_Res3Row]]&gt;0,INDEX(res_Name,Tasks[[#This Row],[_Res3Row]]),TRIM(LEFT(Tasks[[#This Row],[_Res3Text]],FIND("[",Tasks[[#This Row],[_Res3Text]]&amp;"[")-1))))</f>
        <v/>
      </c>
      <c r="EC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5" s="43" t="n">
        <f aca="false">IF(OR(NOT(Tasks[[#This Row],[_IsLeaf]]=1),Tasks[[#This Row],[_Res3Row]]=0),0,N(Tasks[[#This Row],[_Days]])*HoursPerDay*IF(Tasks[[#This Row],[_Res3Units]]="",DefaultUnits,Tasks[[#This Row],[_Res3Units]]))</f>
        <v>0</v>
      </c>
      <c r="EE35" s="43" t="n">
        <f aca="false">IF(AND(AND(Tasks[[#This Row],[_IsLeaf]]=1,Tasks[[#This Row],[_LeafTotalWork]]&gt;0),Tasks[[#This Row],[_Res3Work]]&gt;0),Tasks[[#This Row],[_Res3Work]]/(Tasks[[#This Row],[_FinishWorkday]]-Tasks[[#This Row],[_StartWorkday]]+1),0)</f>
        <v>0</v>
      </c>
      <c r="EF35" s="43" t="n">
        <f aca="false">Tasks[[#This Row],[_Res3WorkPerWD]]*MAX(0,Tasks[[#This Row],[_StartWorkday]]-1)</f>
        <v>0</v>
      </c>
      <c r="EG35" s="43" t="n">
        <f aca="false">Tasks[[#This Row],[_Res3Work]]*Tasks[[#This Row],[_LeafProgress]]</f>
        <v>0</v>
      </c>
      <c r="EH35" s="43" t="str">
        <f aca="false">IF(Tasks[[#This Row],[_Res4Text]]="","",IF(Tasks[[#This Row],[_Res4Row]]&gt;0,INDEX(res_Name,Tasks[[#This Row],[_Res4Row]]),TRIM(LEFT(Tasks[[#This Row],[_Res4Text]],FIND("[",Tasks[[#This Row],[_Res4Text]]&amp;"[")-1))))</f>
        <v/>
      </c>
      <c r="EI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5" s="43" t="n">
        <f aca="false">IF(OR(NOT(Tasks[[#This Row],[_IsLeaf]]=1),Tasks[[#This Row],[_Res4Row]]=0),0,N(Tasks[[#This Row],[_Days]])*HoursPerDay*IF(Tasks[[#This Row],[_Res4Units]]="",DefaultUnits,Tasks[[#This Row],[_Res4Units]]))</f>
        <v>0</v>
      </c>
      <c r="EK35" s="43" t="n">
        <f aca="false">IF(AND(AND(Tasks[[#This Row],[_IsLeaf]]=1,Tasks[[#This Row],[_LeafTotalWork]]&gt;0),Tasks[[#This Row],[_Res4Work]]&gt;0),Tasks[[#This Row],[_Res4Work]]/(Tasks[[#This Row],[_FinishWorkday]]-Tasks[[#This Row],[_StartWorkday]]+1),0)</f>
        <v>0</v>
      </c>
      <c r="EL35" s="43" t="n">
        <f aca="false">Tasks[[#This Row],[_Res4WorkPerWD]]*MAX(0,Tasks[[#This Row],[_StartWorkday]]-1)</f>
        <v>0</v>
      </c>
      <c r="EM35" s="43" t="n">
        <f aca="false">Tasks[[#This Row],[_Res4Work]]*Tasks[[#This Row],[_LeafProgress]]</f>
        <v>0</v>
      </c>
      <c r="EN35" s="43" t="n">
        <f aca="false">IF(ISNUMBER(Tasks[[#This Row],[% Complete]]),Tasks[[#This Row],[% Complete]],IF(Tasks[[#This Row],[Stage]]="",0,IFERROR(INDEX(stg_Pct,MATCH(Tasks[[#This Row],[Stage]],stg_Name,0)),0)))</f>
        <v>0</v>
      </c>
      <c r="EO35" s="43" t="n">
        <f aca="false">IF(NOT(Tasks[[#This Row],[_IsLeaf]]=1),0,IF(N(Tasks[[#This Row],[Actual Finish]])&gt;0,1,MIN(1,Tasks[[#This Row],[_Pct]])))</f>
        <v>0</v>
      </c>
      <c r="EP35" s="43" t="n">
        <f aca="false">IF(OR(NOT(Tasks[[#This Row],[_IsLeaf]]=1),Tasks[[#This Row],[_Res1Row]]=0),0,N(Tasks[[#This Row],[_Days]])*HoursPerDay*IF(Tasks[[#This Row],[_Units1]]="",DefaultUnits,Tasks[[#This Row],[_Units1]]))</f>
        <v>0</v>
      </c>
      <c r="EQ35" s="43" t="n">
        <f aca="false">Tasks[[#This Row],[_LeafWork]]+Tasks[[#This Row],[_Res2Work]]+Tasks[[#This Row],[_Res3Work]]+Tasks[[#This Row],[_Res4Work]]</f>
        <v>0</v>
      </c>
      <c r="ER3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5" s="43" t="n">
        <f aca="false">IF(NOT(Tasks[[#This Row],[_IsLeaf]]=1),0,MAX(_xlfn.MAXIFS(Tasks[_Row],Tasks[_Pred1UID],Tasks[[#This Row],[UID]]),_xlfn.MAXIFS(Tasks[_Row],Tasks[_Pred2UID],Tasks[[#This Row],[UID]]),_xlfn.MAXIFS(Tasks[_Row],Tasks[_Pred3UID],Tasks[[#This Row],[UID]]),_xlfn.MAXIFS(Tasks[_Row],Tasks[_Pred4UID],Tasks[[#This Row],[UID]])))</f>
        <v>0</v>
      </c>
      <c r="FA3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5" s="91" t="str">
        <f aca="false">IF(NOT(Tasks[[#This Row],[_IsLeaf]]=1),"",IF(N(Tasks[[#This Row],[_Days]])&lt;=0,Tasks[[#This Row],[_LeafLateFinish]],WORKDAY.INTL(Tasks[[#This Row],[_LeafLateFinish]],-(Tasks[[#This Row],[_Days]]-1),WorkWeek,Holidays)))</f>
        <v/>
      </c>
      <c r="FD3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5" s="90" t="b">
        <f aca="false">AND(Tasks[[#This Row],[_IsLeaf]]=1,Tasks[[#This Row],[_LeafProgress]]&lt;1,N(Tasks[[#This Row],[_LeafTotalSlack]])&lt;=CriticalSlackDays)</f>
        <v>0</v>
      </c>
      <c r="FF35" s="43" t="n">
        <f aca="false">IF(AND(Tasks[[#This Row],[_IsLeaf]]=1,Tasks[[#This Row],[_ConstraintCode]]=1,Tasks[[#This Row],[Mode]]&lt;&gt;"Manual",N(Tasks[[#This Row],[Actual Start]])=0),MAX(0,N(Tasks[[#This Row],[Free Slack]])),0)</f>
        <v>0</v>
      </c>
      <c r="FG35" s="91" t="str">
        <f aca="false">IF(NOT(Tasks[[#This Row],[_IsLeaf]]=1),"",IF(Tasks[[#This Row],[_AlapShift]]=0,Tasks[[#This Row],[_LeafCalcStart]],WORKDAY.INTL(Tasks[[#This Row],[_LeafCalcStart]],Tasks[[#This Row],[_AlapShift]],WorkWeek,Holidays)))</f>
        <v/>
      </c>
      <c r="FH35" s="91" t="str">
        <f aca="false">IF(NOT(Tasks[[#This Row],[_IsLeaf]]=1),"",IF(Tasks[[#This Row],[_AlapShift]]=0,Tasks[[#This Row],[_LeafCalcFinish]],WORKDAY.INTL(Tasks[[#This Row],[_LeafCalcFinish]],Tasks[[#This Row],[_AlapShift]],WorkWeek,Holidays)))</f>
        <v/>
      </c>
      <c r="FI35" s="91" t="str">
        <f aca="false">IF(NOT(Tasks[[#This Row],[_IsLeaf]]=1),"",IF(Tasks[[#This Row],[_AlapShift]]=0,Tasks[[#This Row],[_LeafFcstStart]],WORKDAY.INTL(Tasks[[#This Row],[_LeafFcstStart]],Tasks[[#This Row],[_AlapShift]],WorkWeek,Holidays)))</f>
        <v/>
      </c>
      <c r="FJ35" s="91" t="str">
        <f aca="false">IF(NOT(Tasks[[#This Row],[_IsLeaf]]=1),"",IF(Tasks[[#This Row],[_AlapShift]]=0,Tasks[[#This Row],[_LeafFcstFinish]],WORKDAY.INTL(Tasks[[#This Row],[_LeafFcstFinish]],Tasks[[#This Row],[_AlapShift]],WorkWeek,Holidays)))</f>
        <v/>
      </c>
      <c r="FK35" s="91" t="str">
        <f aca="false">IF(Tasks[[#This Row],[Task Name]]="","",IF(Tasks[[#This Row],[_IsSummary]],MIN(INDEX(Tasks[_ShownCalcStart],Tasks[[#This Row],[_Row]]+1):INDEX(Tasks[_ShownCalcStart],Tasks[[#This Row],[_Row]]+Tasks[[#This Row],[_Descendants]])),Tasks[[#This Row],[_ShownCalcStart]]))</f>
        <v/>
      </c>
      <c r="FL35" s="91" t="str">
        <f aca="false">IF(Tasks[[#This Row],[Task Name]]="","",IF(Tasks[[#This Row],[_IsSummary]],MAX(INDEX(Tasks[_ShownCalcFinish],Tasks[[#This Row],[_Row]]+1):INDEX(Tasks[_ShownCalcFinish],Tasks[[#This Row],[_Row]]+Tasks[[#This Row],[_Descendants]])),Tasks[[#This Row],[_ShownCalcFinish]]))</f>
        <v/>
      </c>
      <c r="FM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5" s="43" t="n">
        <f aca="false">IF(AND(Tasks[[#This Row],[_IsLeaf]]=1,Tasks[[#This Row],[_LeafTotalWork]]&gt;0),NETWORKDAYS.INTL(ProjectStart,Tasks[[#This Row],[_ShownFcstStart]],WorkWeek,Holidays),0)</f>
        <v>0</v>
      </c>
      <c r="FZ35" s="43" t="n">
        <f aca="false">IF(AND(Tasks[[#This Row],[_IsLeaf]]=1,Tasks[[#This Row],[_LeafTotalWork]]&gt;0),MAX(Tasks[[#This Row],[_StartWorkday]],NETWORKDAYS.INTL(ProjectStart,Tasks[[#This Row],[_ShownFcstFinish]],WorkWeek,Holidays)),0)</f>
        <v>0</v>
      </c>
      <c r="GA35" s="43" t="n">
        <f aca="false">IF(AND(Tasks[[#This Row],[_IsLeaf]]=1,Tasks[[#This Row],[_LeafTotalWork]]&gt;0),Tasks[[#This Row],[_LeafWork]]/(Tasks[[#This Row],[_FinishWorkday]]-Tasks[[#This Row],[_StartWorkday]]+1),0)</f>
        <v>0</v>
      </c>
      <c r="GB35" s="43" t="n">
        <f aca="false">Tasks[[#This Row],[_WorkPerWorkday]]*(Tasks[[#This Row],[_StartWorkday]]-1)</f>
        <v>-0</v>
      </c>
      <c r="GC35" s="43" t="n">
        <f aca="false">IF(Tasks[[#This Row],[_IsLeaf]]=1,MAX(N(Tasks[[#This Row],[_Days]]),0.1),0)</f>
        <v>0</v>
      </c>
      <c r="GD35" s="43" t="n">
        <f aca="false">Tasks[[#This Row],[_WeightDur]]*Tasks[[#This Row],[_LeafProgress]]</f>
        <v>0</v>
      </c>
      <c r="GE35" s="43" t="n">
        <f aca="false">Tasks[[#This Row],[_WeightDur]]*Tasks[[#This Row],[_PlannedPct]]</f>
        <v>0</v>
      </c>
      <c r="GF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5" s="43" t="str">
        <f aca="false">IF(AND(Tasks[[#This Row],[_IsLeaf]]=1,N(Tasks[[#This Row],[_Days]])=0,Tasks[[#This Row],[_LeafProgress]]&lt;1),Tasks[[#This Row],[_ShownFcstFinish]]+Tasks[[#This Row],[_Row]]/100000,"")</f>
        <v/>
      </c>
      <c r="GH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5" s="43" t="str">
        <f aca="false">IF(Tasks[[#This Row],[Task Name]]="","",LEFT(Tasks[[#This Row],[WBS]],FIND(".",Tasks[[#This Row],[WBS]]&amp;".")-1))</f>
        <v/>
      </c>
      <c r="GJ35" s="43" t="str">
        <f aca="false">IF(AND(Tasks[[#This Row],[Task Name]]&lt;&gt;"",Tasks[[#This Row],[_Level]]=1),Tasks[[#This Row],[_Row]],"")</f>
        <v/>
      </c>
      <c r="GK35" s="43" t="str">
        <f aca="false">IF(AND(Tasks[[#This Row],[_IsLeaf]]=1,N(Tasks[[#This Row],[_Days]])=0),Tasks[[#This Row],[Planned Finish]]+Tasks[[#This Row],[_Row]]/100000,"")</f>
        <v/>
      </c>
      <c r="GL35" s="43" t="str">
        <f aca="false">IF(AND(Tasks[[#This Row],[_IsLeaf]]=1,Tasks[[#This Row],[_LeafProgress]]&lt;1,OR(N(Tasks[[#This Row],[Finish Var]])&gt;0,Tasks[[#This Row],[Status]]="Late Start")),MAX(0,Tasks[[#This Row],[Finish Var]])+1-Tasks[[#This Row],[_Row]]/1000000,"")</f>
        <v/>
      </c>
      <c r="GM35" s="43" t="str">
        <f aca="false">IF(AND(Tasks[[#This Row],[_IsLeaf]]=1,N(Tasks[[#This Row],[Actual Start]])=0,Tasks[[#This Row],[_ShownFcstStart]]&gt;=StatusDate,Tasks[[#This Row],[_ShownFcstStart]]&lt;=LookaheadEnd),Tasks[[#This Row],[_ShownFcstStart]]+Tasks[[#This Row],[_Row]]/100000,"")</f>
        <v/>
      </c>
      <c r="GN35" s="43" t="str">
        <f aca="false">IF(AND(Tasks[[#This Row],[_IsLeaf]]=1,Tasks[[#This Row],[_LeafProgress]]&lt;1,Tasks[[#This Row],[_ShownFcstFinish]]&gt;=StatusDate,Tasks[[#This Row],[_ShownFcstFinish]]&lt;=LookaheadEnd),Tasks[[#This Row],[_ShownFcstFinish]]+Tasks[[#This Row],[_Row]]/100000,"")</f>
        <v/>
      </c>
      <c r="GO35" s="43" t="str">
        <f aca="false">IF(Tasks[[#This Row],[_LeafCritical]],Tasks[[#This Row],[_ShownFcstStart]]+Tasks[[#This Row],[_Row]]/100000,"")</f>
        <v/>
      </c>
      <c r="GP35" s="43" t="n">
        <f aca="false">Tasks[[#This Row],[_LeafWork]]*Tasks[[#This Row],[_LeafProgress]]</f>
        <v>0</v>
      </c>
      <c r="GQ35" s="91" t="str">
        <f aca="false">IF(AND(Tasks[[#This Row],[_IsLeaf]]=1,Tasks[[#This Row],[_LeafProgress]]&gt;=1),IF(N(Tasks[[#This Row],[Actual Finish]])&gt;0,Tasks[[#This Row],[Actual Finish]],Tasks[[#This Row],[_ShownFcstFinish]]),"")</f>
        <v/>
      </c>
      <c r="GR35" s="43" t="n">
        <f aca="false">IF(Tasks[[#This Row],[_IsLeaf]]=1,N(Tasks[[#This Row],[Story Points]]),0)</f>
        <v>0</v>
      </c>
      <c r="GS35" s="43" t="str">
        <f aca="false">""</f>
        <v/>
      </c>
      <c r="GT35" s="90" t="b">
        <f aca="false">IF(Tasks[[#This Row],[Task Name]]="",FALSE(),AND(Tasks[[#This Row],[_IsLeaf]]=1,N(Tasks[[#This Row],[_Days]])=0))</f>
        <v>0</v>
      </c>
      <c r="GU35" s="91" t="n">
        <f aca="false">IF(Tasks[[#This Row],[Task Name]]="",0,IF(AND(Tasks[[#This Row],[_IsLeaf]]=1,NOT(Tasks[[#This Row],[_IsMilestone]]),N(Tasks[[#This Row],[Progress]])&gt;0),Tasks[[#This Row],[Start]],0))</f>
        <v>0</v>
      </c>
      <c r="GV35" s="91" t="n">
        <f aca="false">IF(Tasks[[#This Row],[_DoneFrom]]=0,0,IF(Tasks[[#This Row],[Progress]]&gt;=1,Tasks[[#This Row],[Finish]],MAX(Tasks[[#This Row],[_DoneFrom]],Tasks[[#This Row],[Start]]+ROUND((Tasks[[#This Row],[Finish]]-Tasks[[#This Row],[Start]]+1)*Tasks[[#This Row],[Progress]],0)-1)))</f>
        <v>0</v>
      </c>
      <c r="GW35" s="91" t="n">
        <f aca="false">IF(Tasks[[#This Row],[Task Name]]="",0,IF(OR(NOT(Tasks[[#This Row],[_IsLeaf]]=1),Tasks[[#This Row],[_IsMilestone]],N(Tasks[[#This Row],[Progress]])&gt;=1),0,IF(Tasks[[#This Row],[_DoneTo]]&gt;0,Tasks[[#This Row],[_DoneTo]]+1,Tasks[[#This Row],[Start]])))</f>
        <v>0</v>
      </c>
      <c r="GX35" s="91" t="n">
        <f aca="false">IF(Tasks[[#This Row],[_RemFrom]]=0,0,Tasks[[#This Row],[Finish]])</f>
        <v>0</v>
      </c>
      <c r="GY35" s="90" t="b">
        <f aca="false">IF(Tasks[[#This Row],[Task Name]]="",FALSE(),OR(NOT(BaselineSet),N(Tasks[[#This Row],[Baseline Start]])&gt;0))</f>
        <v>0</v>
      </c>
      <c r="GZ3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5" s="92" t="str">
        <f aca="false">IF(Tasks[[#This Row],[_IsLeaf]]=1,Tasks[[#This Row],[_Row]],"")</f>
        <v/>
      </c>
      <c r="HD35" s="92" t="str">
        <f aca="false">IFERROR(INDEX(Tasks[UID],SMALL(Tasks[_PickKey],Tasks[[#This Row],[_Row]]))&amp;" "&amp;INDEX(Tasks[Task Name],SMALL(Tasks[_PickKey],Tasks[[#This Row],[_Row]])),"")</f>
        <v/>
      </c>
      <c r="HE35" s="43" t="str">
        <f aca="false">IF(Tasks[[#This Row],[Task Name]]="","",IF(Tasks[[#This Row],[_IsSummary]],NETWORKDAYS.INTL(Tasks[[#This Row],[Start]],Tasks[[#This Row],[Finish]],WorkWeek,Holidays),N(Tasks[[#This Row],[_Days]])))</f>
        <v/>
      </c>
      <c r="HF35" s="43" t="n">
        <f aca="false">IF(Tasks[[#This Row],[Expected]]="",0,((Tasks[[#This Row],[Pessimistic]]-Tasks[[#This Row],[Optimistic]])/6)^2)</f>
        <v>0</v>
      </c>
      <c r="HG35" s="43" t="n">
        <f aca="false">IF(Tasks[[#This Row],[Expected]]="",0,Tasks[[#This Row],[Expected]]-N(Tasks[[#This Row],[_Days]]))</f>
        <v>0</v>
      </c>
    </row>
    <row r="36" customFormat="false" ht="15" hidden="false" customHeight="false" outlineLevel="0" collapsed="false">
      <c r="A36" s="21" t="str">
        <f aca="false">IF(Tasks[[#This Row],[Task Name]]="","",COUNTA(Tasks[[#Headers],[Task Name]]:Tasks[[#This Row],[Task Name]])-1)</f>
        <v/>
      </c>
      <c r="B36" s="22" t="n">
        <v>44</v>
      </c>
      <c r="C36" s="22"/>
      <c r="D36" s="23"/>
      <c r="E36" s="22"/>
      <c r="F36" s="23"/>
      <c r="G36" s="22"/>
      <c r="H36" s="22"/>
      <c r="I36" s="23"/>
      <c r="J36" s="22"/>
      <c r="K36" s="22"/>
      <c r="L36" s="23"/>
      <c r="M36" s="22"/>
      <c r="N36" s="22"/>
      <c r="O36" s="23"/>
      <c r="P36" s="22"/>
      <c r="Q36" s="22"/>
      <c r="R36" s="23"/>
      <c r="S36" s="23"/>
      <c r="T36" s="84"/>
      <c r="U36" s="23"/>
      <c r="V36" s="84"/>
      <c r="W36" s="23"/>
      <c r="X36" s="84"/>
      <c r="Y36" s="23"/>
      <c r="Z36" s="84"/>
      <c r="AA36" s="23"/>
      <c r="AB36" s="23"/>
      <c r="AC36" s="7"/>
      <c r="AD36" s="7"/>
      <c r="AE36" s="63" t="str">
        <f aca="false">IF(Tasks[[#This Row],[Task Name]]="","",IF(Tasks[[#This Row],[_IsSummary]],MIN(INDEX(Tasks[_ShownFcstStart],Tasks[[#This Row],[_Row]]+1):INDEX(Tasks[_ShownFcstStart],Tasks[[#This Row],[_Row]]+Tasks[[#This Row],[_Descendants]])),Tasks[[#This Row],[_ShownFcstStart]]))</f>
        <v/>
      </c>
      <c r="AF36" s="63" t="str">
        <f aca="false">IF(Tasks[[#This Row],[Task Name]]="","",IF(Tasks[[#This Row],[_IsSummary]],MAX(INDEX(Tasks[_ShownFcstFinish],Tasks[[#This Row],[_Row]]+1):INDEX(Tasks[_ShownFcstFinish],Tasks[[#This Row],[_Row]]+Tasks[[#This Row],[_Descendants]])),Tasks[[#This Row],[_ShownFcstFinish]]))</f>
        <v/>
      </c>
      <c r="AG36" s="21" t="str">
        <f aca="false">""</f>
        <v/>
      </c>
      <c r="AH36" s="23"/>
      <c r="AI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6" s="7"/>
      <c r="AK36" s="22"/>
      <c r="AL36" s="23"/>
      <c r="AM36" s="7"/>
      <c r="AN36" s="47" t="str">
        <f aca="false">IF(Tasks[[#This Row],[Task Name]]="","",IF(Tasks[[#This Row],[Finish]]&gt;=Tasks[[#This Row],[Planned Finish]],NETWORKDAYS.INTL(Tasks[[#This Row],[Planned Finish]],Tasks[[#This Row],[Finish]],WorkWeek,Holidays)-1,1-NETWORKDAYS.INTL(Tasks[[#This Row],[Finish]],Tasks[[#This Row],[Planned Finish]],WorkWeek,Holidays)))</f>
        <v/>
      </c>
      <c r="AO36" s="21" t="str">
        <f aca="false">IF(Tasks[[#This Row],[Task Name]]="","",IF(Tasks[[#This Row],[Progress]]&gt;=1,"Complete",IF(OR(N(Tasks[[#This Row],[Actual Start]])&gt;0,Tasks[[#This Row],[Progress]]&gt;0),IF(Tasks[[#This Row],[Finish Var]]&gt;0,"Behind","In Progress"),IF(Tasks[[#This Row],[Planned Start]]&lt;StatusDate,"Late Start","Not Started"))))</f>
        <v/>
      </c>
      <c r="AP36" s="21" t="str">
        <f aca="false">IF(Tasks[[#This Row],[Task Name]]="","",IF(IF(Tasks[[#This Row],[_IsSummary]],COUNTIF(INDEX(Tasks[_LeafCritical],Tasks[[#This Row],[_Row]]+1):INDEX(Tasks[_LeafCritical],Tasks[[#This Row],[_Row]]+Tasks[[#This Row],[_Descendants]]),TRUE())&gt;0,Tasks[[#This Row],[_LeafCritical]]),"Yes",""))</f>
        <v/>
      </c>
      <c r="AQ36" s="63" t="str">
        <f aca="false">IF(Tasks[[#This Row],[Task Name]]="","",IF(N(Tasks[[#This Row],[Baseline Start]])&gt;0,Tasks[[#This Row],[Baseline Start]],Tasks[[#This Row],[_CalcStart]]))</f>
        <v/>
      </c>
      <c r="AR36" s="63" t="str">
        <f aca="false">IF(Tasks[[#This Row],[Task Name]]="","",IF(N(Tasks[[#This Row],[Baseline Finish]])&gt;0,Tasks[[#This Row],[Baseline Finish]],Tasks[[#This Row],[_CalcFinish]]))</f>
        <v/>
      </c>
      <c r="AS36" s="47" t="str">
        <f aca="false">IF(Tasks[[#This Row],[Task Name]]="","",IF(Tasks[[#This Row],[Start]]&gt;=Tasks[[#This Row],[Planned Start]],NETWORKDAYS.INTL(Tasks[[#This Row],[Planned Start]],Tasks[[#This Row],[Start]],WorkWeek,Holidays)-1,1-NETWORKDAYS.INTL(Tasks[[#This Row],[Start]],Tasks[[#This Row],[Planned Start]],WorkWeek,Holidays)))</f>
        <v/>
      </c>
      <c r="AT36" s="63" t="str">
        <f aca="false">IF(Tasks[[#This Row],[Task Name]]="","",IF(Tasks[[#This Row],[_IsSummary]],MIN(INDEX(Tasks[_LeafLateStart],Tasks[[#This Row],[_Row]]+1):INDEX(Tasks[_LeafLateStart],Tasks[[#This Row],[_Row]]+Tasks[[#This Row],[_Descendants]])),Tasks[[#This Row],[_LeafLateStart]]))</f>
        <v/>
      </c>
      <c r="AU36" s="63" t="str">
        <f aca="false">IF(Tasks[[#This Row],[Task Name]]="","",IF(Tasks[[#This Row],[_IsSummary]],MAX(INDEX(Tasks[_LeafLateFinish],Tasks[[#This Row],[_Row]]+1):INDEX(Tasks[_LeafLateFinish],Tasks[[#This Row],[_Row]]+Tasks[[#This Row],[_Descendants]])),Tasks[[#This Row],[_LeafLateFinish]]))</f>
        <v/>
      </c>
      <c r="AV36" s="47" t="str">
        <f aca="false">IF(Tasks[[#This Row],[Task Name]]="","",IF(Tasks[[#This Row],[_IsSummary]],MIN(INDEX(Tasks[_LeafTotalSlack],Tasks[[#This Row],[_Row]]+1):INDEX(Tasks[_LeafTotalSlack],Tasks[[#This Row],[_Row]]+Tasks[[#This Row],[_Descendants]])),Tasks[[#This Row],[_LeafTotalSlack]]))</f>
        <v/>
      </c>
      <c r="AW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5"/>
      <c r="BA3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t="str">
        <f aca="false">IF(Tasks[[#This Row],[Task Name]]="","",IF(Tasks[[#This Row],[_Level]]&lt;=OutlineShowLevel,"Yes","No"))</f>
        <v/>
      </c>
      <c r="BE36" s="86" t="str">
        <f aca="false">IF(Tasks[[#This Row],[Task Name]]="","",IF(Tasks[[#This Row],[_IsSummary]],SUM(INDEX(Tasks[_LeafTotalWork],Tasks[[#This Row],[_Row]]+1):INDEX(Tasks[_LeafTotalWork],Tasks[[#This Row],[_Row]]+Tasks[[#This Row],[_Descendants]])),Tasks[[#This Row],[_LeafTotalWork]]))</f>
        <v/>
      </c>
      <c r="BF36" s="23"/>
      <c r="BG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t="str">
        <f aca="false">""</f>
        <v/>
      </c>
      <c r="BI36" s="87"/>
      <c r="BJ36" s="22"/>
      <c r="BK36" s="47" t="str">
        <f aca="false">IF(OR(Tasks[[#This Row],[Task Name]]="",Tasks[[#This Row],[Baseline Duration]]=""),"",Tasks[[#This Row],[_SpanDays]]-N(Tasks[[#This Row],[Baseline Duration]]))</f>
        <v/>
      </c>
      <c r="BL36" s="86" t="str">
        <f aca="false">IF(OR(Tasks[[#This Row],[Task Name]]="",Tasks[[#This Row],[Baseline Work]]=""),"",Tasks[[#This Row],[Work]]-N(Tasks[[#This Row],[Baseline Work]]))</f>
        <v/>
      </c>
      <c r="BM36" s="63" t="str">
        <f aca="false">IF(Tasks[[#This Row],[Task Name]]="","",IF(OR(TakeBaseline="Yes",N(Tasks[[#This Row],[Baseline Start]])=0),Tasks[[#This Row],[Start]],Tasks[[#This Row],[Baseline Start]]))</f>
        <v/>
      </c>
      <c r="BN36" s="63" t="str">
        <f aca="false">IF(Tasks[[#This Row],[Task Name]]="","",IF(OR(TakeBaseline="Yes",N(Tasks[[#This Row],[Baseline Finish]])=0),Tasks[[#This Row],[Finish]],Tasks[[#This Row],[Baseline Finish]]))</f>
        <v/>
      </c>
      <c r="BO36" s="21" t="str">
        <f aca="false">IF(Tasks[[#This Row],[Task Name]]="","",IF(OR(TakeBaseline="Yes",N(Tasks[[#This Row],[Baseline Duration]])=0),Tasks[[#This Row],[_SpanDays]],Tasks[[#This Row],[Baseline Duration]]))</f>
        <v/>
      </c>
      <c r="BP36" s="86" t="str">
        <f aca="false">IF(Tasks[[#This Row],[Task Name]]="","",IF(OR(TakeBaseline="Yes",N(Tasks[[#This Row],[Baseline Work]])=0),Tasks[[#This Row],[Work]],Tasks[[#This Row],[Baseline Work]]))</f>
        <v/>
      </c>
      <c r="BQ36" s="7"/>
      <c r="BR36" s="7"/>
      <c r="BS36" s="22"/>
      <c r="BT36" s="88"/>
      <c r="BU36" s="23"/>
      <c r="BV36" s="23"/>
      <c r="BW36" s="23"/>
      <c r="BX36" s="89" t="str">
        <f aca="false">IF(AND(Tasks[[#This Row],[_IsLeaf]]=1,ISNUMBER(Tasks[[#This Row],[Optimistic]]),ISNUMBER(Tasks[[#This Row],[Pessimistic]])),ROUND((Tasks[[#This Row],[Optimistic]]+4*N(Tasks[[#This Row],[_Days]])+Tasks[[#This Row],[Pessimistic]])/6,1),"")</f>
        <v/>
      </c>
      <c r="BY36" s="87"/>
      <c r="BZ36" s="87"/>
      <c r="CA36" s="22"/>
      <c r="CB36" s="43" t="str">
        <f aca="false">IF(Tasks[[#This Row],[Task Name]]="","",MAX(1,N(Tasks[[#This Row],[Level]])))</f>
        <v/>
      </c>
      <c r="CC36" s="43" t="n">
        <f aca="false">ROW()-ROW(Tasks[[#Headers],[ID]])</f>
        <v>31</v>
      </c>
      <c r="CD36" s="43" t="n">
        <f aca="false">IF(OR(Tasks[[#This Row],[Task Name]]="",Tasks[[#This Row],[_Level]]&lt;=1),0,IFERROR(LOOKUP(2,1/(Tasks[[#Headers],[_Level]]:Tasks[[#This Row],[_Level]]=Tasks[[#This Row],[_Level]]-1),ROW(Tasks[[#Headers],[_Level]]:Tasks[[#This Row],[_Level]])),0))</f>
        <v>0</v>
      </c>
      <c r="CE36" s="43" t="n">
        <f aca="false">IFERROR(N(INDEX(Tasks[_Level],Tasks[[#This Row],[_Row]]+1)),0)</f>
        <v>0</v>
      </c>
      <c r="CF36" s="90" t="b">
        <f aca="false">AND(Tasks[[#This Row],[Task Name]]&lt;&gt;"",Tasks[[#This Row],[_NextLevel]]&gt;Tasks[[#This Row],[_Level]])</f>
        <v>0</v>
      </c>
      <c r="CG36" s="43" t="n">
        <f aca="false">IF(Tasks[[#This Row],[_IsSummary]],COUNTIF(Tasks[WBS],Tasks[[#This Row],[WBS]]&amp;".*"),0)</f>
        <v>0</v>
      </c>
      <c r="CH36" s="43" t="n">
        <f aca="false">IF(AND(Tasks[[#This Row],[Task Name]]&lt;&gt;"",NOT(Tasks[[#This Row],[_IsSummary]])),1,0)</f>
        <v>0</v>
      </c>
      <c r="CI36" s="43" t="n">
        <f aca="false">IF(N(Tasks[[#This Row],[_Pred1UID]])=0,0,IFERROR(MATCH(Tasks[[#This Row],[_Pred1UID]],Tasks[UID],0),-1))</f>
        <v>0</v>
      </c>
      <c r="CJ36" s="43" t="n">
        <f aca="false">IF(N(Tasks[[#This Row],[_Pred2UID]])=0,0,IFERROR(MATCH(Tasks[[#This Row],[_Pred2UID]],Tasks[UID],0),-1))</f>
        <v>0</v>
      </c>
      <c r="CK36" s="43" t="n">
        <f aca="false">IF(N(Tasks[[#This Row],[_Pred3UID]])=0,0,IFERROR(MATCH(Tasks[[#This Row],[_Pred3UID]],Tasks[UID],0),-1))</f>
        <v>0</v>
      </c>
      <c r="CL36" s="43" t="n">
        <f aca="false">IF(N(Tasks[[#This Row],[_Pred4UID]])=0,0,IFERROR(MATCH(Tasks[[#This Row],[_Pred4UID]],Tasks[UID],0),-1))</f>
        <v>0</v>
      </c>
      <c r="CM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6" s="91" t="n">
        <f aca="false">IF(OR(Tasks[[#This Row],[_ConstraintCode]]=2,Tasks[[#This Row],[_ConstraintCode]]=3,Tasks[[#This Row],[_ConstraintCode]]=4,Tasks[[#This Row],[_ConstraintCode]]=6),Tasks[[#This Row],[_ConstraintStart]],0)</f>
        <v>0</v>
      </c>
      <c r="CP36" s="91" t="n">
        <f aca="false">IF(OR(Tasks[[#This Row],[_ConstraintCode]]=2,Tasks[[#This Row],[_ConstraintCode]]=3,Tasks[[#This Row],[_ConstraintCode]]=5,Tasks[[#This Row],[_ConstraintCode]]=7),Tasks[[#This Row],[_ConstraintStart]],2958465)</f>
        <v>2958465</v>
      </c>
      <c r="CQ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6" s="91" t="str">
        <f aca="false">IF(NOT(Tasks[[#This Row],[_IsLeaf]]=1),"",IF(N(Tasks[[#This Row],[_Days]])&lt;=0,Tasks[[#This Row],[_LeafCalcStart]],WORKDAY.INTL(Tasks[[#This Row],[_LeafCalcStart]],Tasks[[#This Row],[_Days]]-1,WorkWeek,Holidays)))</f>
        <v/>
      </c>
      <c r="CS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6" s="43" t="str">
        <f aca="false">IF(Tasks[[#This Row],[_Predecessors]]="","",TRIM(MID(SUBSTITUTE(SUBSTITUTE(SUBSTITUTE(UPPER(Tasks[[#This Row],[_Predecessors]]),";",",")," ",""),",",REPT(" ",99)),1,99)))</f>
        <v/>
      </c>
      <c r="CV36" s="43" t="str">
        <f aca="false">IF(Tasks[[#This Row],[_Pred1Text]]="","",IFERROR(VALUE(LEFT(Tasks[[#This Row],[_Pred1Text]],MIN(FIND("F",Tasks[[#This Row],[_Pred1Text]]&amp;"F"),FIND("S",Tasks[[#This Row],[_Pred1Text]]&amp;"S"),FIND("+",Tasks[[#This Row],[_Pred1Text]]&amp;"+"),FIND("-",Tasks[[#This Row],[_Pred1Text]]&amp;"-"))-1)),""))</f>
        <v/>
      </c>
      <c r="CW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6" s="43" t="str">
        <f aca="false">IF(Tasks[[#This Row],[_Pred1Text]]="","",TRIM(MID(SUBSTITUTE(SUBSTITUTE(SUBSTITUTE(UPPER(Tasks[[#This Row],[_Predecessors]]),";",",")," ",""),",",REPT(" ",99)),100,99)))</f>
        <v/>
      </c>
      <c r="CZ36" s="43" t="str">
        <f aca="false">IF(Tasks[[#This Row],[_Pred2Text]]="","",IFERROR(VALUE(LEFT(Tasks[[#This Row],[_Pred2Text]],MIN(FIND("F",Tasks[[#This Row],[_Pred2Text]]&amp;"F"),FIND("S",Tasks[[#This Row],[_Pred2Text]]&amp;"S"),FIND("+",Tasks[[#This Row],[_Pred2Text]]&amp;"+"),FIND("-",Tasks[[#This Row],[_Pred2Text]]&amp;"-"))-1)),""))</f>
        <v/>
      </c>
      <c r="DA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6" s="43" t="str">
        <f aca="false">IF(Tasks[[#This Row],[_Pred2Text]]="","",TRIM(MID(SUBSTITUTE(SUBSTITUTE(SUBSTITUTE(UPPER(Tasks[[#This Row],[_Predecessors]]),";",",")," ",""),",",REPT(" ",99)),199,99)))</f>
        <v/>
      </c>
      <c r="DD36" s="43" t="str">
        <f aca="false">IF(Tasks[[#This Row],[_Pred3Text]]="","",IFERROR(VALUE(LEFT(Tasks[[#This Row],[_Pred3Text]],MIN(FIND("F",Tasks[[#This Row],[_Pred3Text]]&amp;"F"),FIND("S",Tasks[[#This Row],[_Pred3Text]]&amp;"S"),FIND("+",Tasks[[#This Row],[_Pred3Text]]&amp;"+"),FIND("-",Tasks[[#This Row],[_Pred3Text]]&amp;"-"))-1)),""))</f>
        <v/>
      </c>
      <c r="DE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6" s="43" t="str">
        <f aca="false">IF(Tasks[[#This Row],[_Pred3Text]]="","",TRIM(MID(SUBSTITUTE(SUBSTITUTE(SUBSTITUTE(UPPER(Tasks[[#This Row],[_Predecessors]]),";",",")," ",""),",",REPT(" ",99)),298,99)))</f>
        <v/>
      </c>
      <c r="DH36" s="43" t="str">
        <f aca="false">IF(Tasks[[#This Row],[_Pred4Text]]="","",IFERROR(VALUE(LEFT(Tasks[[#This Row],[_Pred4Text]],MIN(FIND("F",Tasks[[#This Row],[_Pred4Text]]&amp;"F"),FIND("S",Tasks[[#This Row],[_Pred4Text]]&amp;"S"),FIND("+",Tasks[[#This Row],[_Pred4Text]]&amp;"+"),FIND("-",Tasks[[#This Row],[_Pred4Text]]&amp;"-"))-1)),""))</f>
        <v/>
      </c>
      <c r="DI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6" s="43" t="str">
        <f aca="false">IF(OR(Tasks[[#This Row],[Task Name]]="",Tasks[[#This Row],[_Resources]]=""),"",TRIM(MID(SUBSTITUTE(Tasks[[#This Row],[_Resources]],",",REPT(" ",99)),1,99)))</f>
        <v/>
      </c>
      <c r="DL36" s="43" t="str">
        <f aca="false">IF(Tasks[[#This Row],[_Res1Text]]="","",TRIM(MID(SUBSTITUTE(Tasks[[#This Row],[_Resources]],",",REPT(" ",99)),100,99)))</f>
        <v/>
      </c>
      <c r="DM36" s="43" t="str">
        <f aca="false">IF(Tasks[[#This Row],[_Res2Text]]="","",TRIM(MID(SUBSTITUTE(Tasks[[#This Row],[_Resources]],",",REPT(" ",99)),199,99)))</f>
        <v/>
      </c>
      <c r="DN36" s="43" t="str">
        <f aca="false">IF(Tasks[[#This Row],[_Res3Text]]="","",TRIM(MID(SUBSTITUTE(Tasks[[#This Row],[_Resources]],",",REPT(" ",99)),298,99)))</f>
        <v/>
      </c>
      <c r="DO36" s="43" t="n">
        <f aca="false">IF(Tasks[[#This Row],[_Res1Text]]="",0,IFERROR(MATCH(TRIM(LEFT(Tasks[[#This Row],[_Res1Text]],FIND("[",Tasks[[#This Row],[_Res1Text]]&amp;"[")-1)),res_Name,0),IFERROR(MATCH(TRIM(LEFT(Tasks[[#This Row],[_Res1Text]],FIND("[",Tasks[[#This Row],[_Res1Text]]&amp;"[")-1)),res_Initials,0),0)))</f>
        <v>0</v>
      </c>
      <c r="DP36" s="43" t="n">
        <f aca="false">IF(Tasks[[#This Row],[_Res2Text]]="",0,IFERROR(MATCH(TRIM(LEFT(Tasks[[#This Row],[_Res2Text]],FIND("[",Tasks[[#This Row],[_Res2Text]]&amp;"[")-1)),res_Name,0),IFERROR(MATCH(TRIM(LEFT(Tasks[[#This Row],[_Res2Text]],FIND("[",Tasks[[#This Row],[_Res2Text]]&amp;"[")-1)),res_Initials,0),0)))</f>
        <v>0</v>
      </c>
      <c r="DQ36" s="43" t="n">
        <f aca="false">IF(Tasks[[#This Row],[_Res3Text]]="",0,IFERROR(MATCH(TRIM(LEFT(Tasks[[#This Row],[_Res3Text]],FIND("[",Tasks[[#This Row],[_Res3Text]]&amp;"[")-1)),res_Name,0),IFERROR(MATCH(TRIM(LEFT(Tasks[[#This Row],[_Res3Text]],FIND("[",Tasks[[#This Row],[_Res3Text]]&amp;"[")-1)),res_Initials,0),0)))</f>
        <v>0</v>
      </c>
      <c r="DR36" s="43" t="n">
        <f aca="false">IF(Tasks[[#This Row],[_Res4Text]]="",0,IFERROR(MATCH(TRIM(LEFT(Tasks[[#This Row],[_Res4Text]],FIND("[",Tasks[[#This Row],[_Res4Text]]&amp;"[")-1)),res_Name,0),IFERROR(MATCH(TRIM(LEFT(Tasks[[#This Row],[_Res4Text]],FIND("[",Tasks[[#This Row],[_Res4Text]]&amp;"[")-1)),res_Initials,0),0)))</f>
        <v>0</v>
      </c>
      <c r="DS36" s="43" t="str">
        <f aca="false">IF(Tasks[[#This Row],[_Res1Text]]="","",IF(Tasks[[#This Row],[_Res1Row]]&gt;0,INDEX(res_Name,Tasks[[#This Row],[_Res1Row]]),TRIM(LEFT(Tasks[[#This Row],[_Res1Text]],FIND("[",Tasks[[#This Row],[_Res1Text]]&amp;"[")-1))))</f>
        <v/>
      </c>
      <c r="DT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6" s="43" t="n">
        <f aca="false">IF(NOT(Tasks[[#This Row],[_IsLeaf]]=1),0,(Tasks[[#This Row],[_Resource1]]&lt;&gt;"")+(Tasks[[#This Row],[_Res2]]&lt;&gt;"")+(Tasks[[#This Row],[_Res3]]&lt;&gt;"")+(Tasks[[#This Row],[_Res4]]&lt;&gt;""))</f>
        <v>0</v>
      </c>
      <c r="DV36" s="43" t="str">
        <f aca="false">IF(Tasks[[#This Row],[_Res2Text]]="","",IF(Tasks[[#This Row],[_Res2Row]]&gt;0,INDEX(res_Name,Tasks[[#This Row],[_Res2Row]]),TRIM(LEFT(Tasks[[#This Row],[_Res2Text]],FIND("[",Tasks[[#This Row],[_Res2Text]]&amp;"[")-1))))</f>
        <v/>
      </c>
      <c r="DW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6" s="43" t="n">
        <f aca="false">IF(OR(NOT(Tasks[[#This Row],[_IsLeaf]]=1),Tasks[[#This Row],[_Res2Row]]=0),0,N(Tasks[[#This Row],[_Days]])*HoursPerDay*IF(Tasks[[#This Row],[_Res2Units]]="",DefaultUnits,Tasks[[#This Row],[_Res2Units]]))</f>
        <v>0</v>
      </c>
      <c r="DY36" s="43" t="n">
        <f aca="false">IF(AND(AND(Tasks[[#This Row],[_IsLeaf]]=1,Tasks[[#This Row],[_LeafTotalWork]]&gt;0),Tasks[[#This Row],[_Res2Work]]&gt;0),Tasks[[#This Row],[_Res2Work]]/(Tasks[[#This Row],[_FinishWorkday]]-Tasks[[#This Row],[_StartWorkday]]+1),0)</f>
        <v>0</v>
      </c>
      <c r="DZ36" s="43" t="n">
        <f aca="false">Tasks[[#This Row],[_Res2WorkPerWD]]*MAX(0,Tasks[[#This Row],[_StartWorkday]]-1)</f>
        <v>0</v>
      </c>
      <c r="EA36" s="43" t="n">
        <f aca="false">Tasks[[#This Row],[_Res2Work]]*Tasks[[#This Row],[_LeafProgress]]</f>
        <v>0</v>
      </c>
      <c r="EB36" s="43" t="str">
        <f aca="false">IF(Tasks[[#This Row],[_Res3Text]]="","",IF(Tasks[[#This Row],[_Res3Row]]&gt;0,INDEX(res_Name,Tasks[[#This Row],[_Res3Row]]),TRIM(LEFT(Tasks[[#This Row],[_Res3Text]],FIND("[",Tasks[[#This Row],[_Res3Text]]&amp;"[")-1))))</f>
        <v/>
      </c>
      <c r="EC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6" s="43" t="n">
        <f aca="false">IF(OR(NOT(Tasks[[#This Row],[_IsLeaf]]=1),Tasks[[#This Row],[_Res3Row]]=0),0,N(Tasks[[#This Row],[_Days]])*HoursPerDay*IF(Tasks[[#This Row],[_Res3Units]]="",DefaultUnits,Tasks[[#This Row],[_Res3Units]]))</f>
        <v>0</v>
      </c>
      <c r="EE36" s="43" t="n">
        <f aca="false">IF(AND(AND(Tasks[[#This Row],[_IsLeaf]]=1,Tasks[[#This Row],[_LeafTotalWork]]&gt;0),Tasks[[#This Row],[_Res3Work]]&gt;0),Tasks[[#This Row],[_Res3Work]]/(Tasks[[#This Row],[_FinishWorkday]]-Tasks[[#This Row],[_StartWorkday]]+1),0)</f>
        <v>0</v>
      </c>
      <c r="EF36" s="43" t="n">
        <f aca="false">Tasks[[#This Row],[_Res3WorkPerWD]]*MAX(0,Tasks[[#This Row],[_StartWorkday]]-1)</f>
        <v>0</v>
      </c>
      <c r="EG36" s="43" t="n">
        <f aca="false">Tasks[[#This Row],[_Res3Work]]*Tasks[[#This Row],[_LeafProgress]]</f>
        <v>0</v>
      </c>
      <c r="EH36" s="43" t="str">
        <f aca="false">IF(Tasks[[#This Row],[_Res4Text]]="","",IF(Tasks[[#This Row],[_Res4Row]]&gt;0,INDEX(res_Name,Tasks[[#This Row],[_Res4Row]]),TRIM(LEFT(Tasks[[#This Row],[_Res4Text]],FIND("[",Tasks[[#This Row],[_Res4Text]]&amp;"[")-1))))</f>
        <v/>
      </c>
      <c r="EI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6" s="43" t="n">
        <f aca="false">IF(OR(NOT(Tasks[[#This Row],[_IsLeaf]]=1),Tasks[[#This Row],[_Res4Row]]=0),0,N(Tasks[[#This Row],[_Days]])*HoursPerDay*IF(Tasks[[#This Row],[_Res4Units]]="",DefaultUnits,Tasks[[#This Row],[_Res4Units]]))</f>
        <v>0</v>
      </c>
      <c r="EK36" s="43" t="n">
        <f aca="false">IF(AND(AND(Tasks[[#This Row],[_IsLeaf]]=1,Tasks[[#This Row],[_LeafTotalWork]]&gt;0),Tasks[[#This Row],[_Res4Work]]&gt;0),Tasks[[#This Row],[_Res4Work]]/(Tasks[[#This Row],[_FinishWorkday]]-Tasks[[#This Row],[_StartWorkday]]+1),0)</f>
        <v>0</v>
      </c>
      <c r="EL36" s="43" t="n">
        <f aca="false">Tasks[[#This Row],[_Res4WorkPerWD]]*MAX(0,Tasks[[#This Row],[_StartWorkday]]-1)</f>
        <v>0</v>
      </c>
      <c r="EM36" s="43" t="n">
        <f aca="false">Tasks[[#This Row],[_Res4Work]]*Tasks[[#This Row],[_LeafProgress]]</f>
        <v>0</v>
      </c>
      <c r="EN36" s="43" t="n">
        <f aca="false">IF(ISNUMBER(Tasks[[#This Row],[% Complete]]),Tasks[[#This Row],[% Complete]],IF(Tasks[[#This Row],[Stage]]="",0,IFERROR(INDEX(stg_Pct,MATCH(Tasks[[#This Row],[Stage]],stg_Name,0)),0)))</f>
        <v>0</v>
      </c>
      <c r="EO36" s="43" t="n">
        <f aca="false">IF(NOT(Tasks[[#This Row],[_IsLeaf]]=1),0,IF(N(Tasks[[#This Row],[Actual Finish]])&gt;0,1,MIN(1,Tasks[[#This Row],[_Pct]])))</f>
        <v>0</v>
      </c>
      <c r="EP36" s="43" t="n">
        <f aca="false">IF(OR(NOT(Tasks[[#This Row],[_IsLeaf]]=1),Tasks[[#This Row],[_Res1Row]]=0),0,N(Tasks[[#This Row],[_Days]])*HoursPerDay*IF(Tasks[[#This Row],[_Units1]]="",DefaultUnits,Tasks[[#This Row],[_Units1]]))</f>
        <v>0</v>
      </c>
      <c r="EQ36" s="43" t="n">
        <f aca="false">Tasks[[#This Row],[_LeafWork]]+Tasks[[#This Row],[_Res2Work]]+Tasks[[#This Row],[_Res3Work]]+Tasks[[#This Row],[_Res4Work]]</f>
        <v>0</v>
      </c>
      <c r="ER3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6" s="43" t="n">
        <f aca="false">IF(NOT(Tasks[[#This Row],[_IsLeaf]]=1),0,MAX(_xlfn.MAXIFS(Tasks[_Row],Tasks[_Pred1UID],Tasks[[#This Row],[UID]]),_xlfn.MAXIFS(Tasks[_Row],Tasks[_Pred2UID],Tasks[[#This Row],[UID]]),_xlfn.MAXIFS(Tasks[_Row],Tasks[_Pred3UID],Tasks[[#This Row],[UID]]),_xlfn.MAXIFS(Tasks[_Row],Tasks[_Pred4UID],Tasks[[#This Row],[UID]])))</f>
        <v>0</v>
      </c>
      <c r="FA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6" s="91" t="str">
        <f aca="false">IF(NOT(Tasks[[#This Row],[_IsLeaf]]=1),"",IF(N(Tasks[[#This Row],[_Days]])&lt;=0,Tasks[[#This Row],[_LeafLateFinish]],WORKDAY.INTL(Tasks[[#This Row],[_LeafLateFinish]],-(Tasks[[#This Row],[_Days]]-1),WorkWeek,Holidays)))</f>
        <v/>
      </c>
      <c r="FD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6" s="90" t="b">
        <f aca="false">AND(Tasks[[#This Row],[_IsLeaf]]=1,Tasks[[#This Row],[_LeafProgress]]&lt;1,N(Tasks[[#This Row],[_LeafTotalSlack]])&lt;=CriticalSlackDays)</f>
        <v>0</v>
      </c>
      <c r="FF36" s="43" t="n">
        <f aca="false">IF(AND(Tasks[[#This Row],[_IsLeaf]]=1,Tasks[[#This Row],[_ConstraintCode]]=1,Tasks[[#This Row],[Mode]]&lt;&gt;"Manual",N(Tasks[[#This Row],[Actual Start]])=0),MAX(0,N(Tasks[[#This Row],[Free Slack]])),0)</f>
        <v>0</v>
      </c>
      <c r="FG36" s="91" t="str">
        <f aca="false">IF(NOT(Tasks[[#This Row],[_IsLeaf]]=1),"",IF(Tasks[[#This Row],[_AlapShift]]=0,Tasks[[#This Row],[_LeafCalcStart]],WORKDAY.INTL(Tasks[[#This Row],[_LeafCalcStart]],Tasks[[#This Row],[_AlapShift]],WorkWeek,Holidays)))</f>
        <v/>
      </c>
      <c r="FH36" s="91" t="str">
        <f aca="false">IF(NOT(Tasks[[#This Row],[_IsLeaf]]=1),"",IF(Tasks[[#This Row],[_AlapShift]]=0,Tasks[[#This Row],[_LeafCalcFinish]],WORKDAY.INTL(Tasks[[#This Row],[_LeafCalcFinish]],Tasks[[#This Row],[_AlapShift]],WorkWeek,Holidays)))</f>
        <v/>
      </c>
      <c r="FI36" s="91" t="str">
        <f aca="false">IF(NOT(Tasks[[#This Row],[_IsLeaf]]=1),"",IF(Tasks[[#This Row],[_AlapShift]]=0,Tasks[[#This Row],[_LeafFcstStart]],WORKDAY.INTL(Tasks[[#This Row],[_LeafFcstStart]],Tasks[[#This Row],[_AlapShift]],WorkWeek,Holidays)))</f>
        <v/>
      </c>
      <c r="FJ36" s="91" t="str">
        <f aca="false">IF(NOT(Tasks[[#This Row],[_IsLeaf]]=1),"",IF(Tasks[[#This Row],[_AlapShift]]=0,Tasks[[#This Row],[_LeafFcstFinish]],WORKDAY.INTL(Tasks[[#This Row],[_LeafFcstFinish]],Tasks[[#This Row],[_AlapShift]],WorkWeek,Holidays)))</f>
        <v/>
      </c>
      <c r="FK36" s="91" t="str">
        <f aca="false">IF(Tasks[[#This Row],[Task Name]]="","",IF(Tasks[[#This Row],[_IsSummary]],MIN(INDEX(Tasks[_ShownCalcStart],Tasks[[#This Row],[_Row]]+1):INDEX(Tasks[_ShownCalcStart],Tasks[[#This Row],[_Row]]+Tasks[[#This Row],[_Descendants]])),Tasks[[#This Row],[_ShownCalcStart]]))</f>
        <v/>
      </c>
      <c r="FL36" s="91" t="str">
        <f aca="false">IF(Tasks[[#This Row],[Task Name]]="","",IF(Tasks[[#This Row],[_IsSummary]],MAX(INDEX(Tasks[_ShownCalcFinish],Tasks[[#This Row],[_Row]]+1):INDEX(Tasks[_ShownCalcFinish],Tasks[[#This Row],[_Row]]+Tasks[[#This Row],[_Descendants]])),Tasks[[#This Row],[_ShownCalcFinish]]))</f>
        <v/>
      </c>
      <c r="FM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6" s="43" t="n">
        <f aca="false">IF(AND(Tasks[[#This Row],[_IsLeaf]]=1,Tasks[[#This Row],[_LeafTotalWork]]&gt;0),NETWORKDAYS.INTL(ProjectStart,Tasks[[#This Row],[_ShownFcstStart]],WorkWeek,Holidays),0)</f>
        <v>0</v>
      </c>
      <c r="FZ36" s="43" t="n">
        <f aca="false">IF(AND(Tasks[[#This Row],[_IsLeaf]]=1,Tasks[[#This Row],[_LeafTotalWork]]&gt;0),MAX(Tasks[[#This Row],[_StartWorkday]],NETWORKDAYS.INTL(ProjectStart,Tasks[[#This Row],[_ShownFcstFinish]],WorkWeek,Holidays)),0)</f>
        <v>0</v>
      </c>
      <c r="GA36" s="43" t="n">
        <f aca="false">IF(AND(Tasks[[#This Row],[_IsLeaf]]=1,Tasks[[#This Row],[_LeafTotalWork]]&gt;0),Tasks[[#This Row],[_LeafWork]]/(Tasks[[#This Row],[_FinishWorkday]]-Tasks[[#This Row],[_StartWorkday]]+1),0)</f>
        <v>0</v>
      </c>
      <c r="GB36" s="43" t="n">
        <f aca="false">Tasks[[#This Row],[_WorkPerWorkday]]*(Tasks[[#This Row],[_StartWorkday]]-1)</f>
        <v>-0</v>
      </c>
      <c r="GC36" s="43" t="n">
        <f aca="false">IF(Tasks[[#This Row],[_IsLeaf]]=1,MAX(N(Tasks[[#This Row],[_Days]]),0.1),0)</f>
        <v>0</v>
      </c>
      <c r="GD36" s="43" t="n">
        <f aca="false">Tasks[[#This Row],[_WeightDur]]*Tasks[[#This Row],[_LeafProgress]]</f>
        <v>0</v>
      </c>
      <c r="GE36" s="43" t="n">
        <f aca="false">Tasks[[#This Row],[_WeightDur]]*Tasks[[#This Row],[_PlannedPct]]</f>
        <v>0</v>
      </c>
      <c r="GF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6" s="43" t="str">
        <f aca="false">IF(AND(Tasks[[#This Row],[_IsLeaf]]=1,N(Tasks[[#This Row],[_Days]])=0,Tasks[[#This Row],[_LeafProgress]]&lt;1),Tasks[[#This Row],[_ShownFcstFinish]]+Tasks[[#This Row],[_Row]]/100000,"")</f>
        <v/>
      </c>
      <c r="GH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6" s="43" t="str">
        <f aca="false">IF(Tasks[[#This Row],[Task Name]]="","",LEFT(Tasks[[#This Row],[WBS]],FIND(".",Tasks[[#This Row],[WBS]]&amp;".")-1))</f>
        <v/>
      </c>
      <c r="GJ36" s="43" t="str">
        <f aca="false">IF(AND(Tasks[[#This Row],[Task Name]]&lt;&gt;"",Tasks[[#This Row],[_Level]]=1),Tasks[[#This Row],[_Row]],"")</f>
        <v/>
      </c>
      <c r="GK36" s="43" t="str">
        <f aca="false">IF(AND(Tasks[[#This Row],[_IsLeaf]]=1,N(Tasks[[#This Row],[_Days]])=0),Tasks[[#This Row],[Planned Finish]]+Tasks[[#This Row],[_Row]]/100000,"")</f>
        <v/>
      </c>
      <c r="GL36" s="43" t="str">
        <f aca="false">IF(AND(Tasks[[#This Row],[_IsLeaf]]=1,Tasks[[#This Row],[_LeafProgress]]&lt;1,OR(N(Tasks[[#This Row],[Finish Var]])&gt;0,Tasks[[#This Row],[Status]]="Late Start")),MAX(0,Tasks[[#This Row],[Finish Var]])+1-Tasks[[#This Row],[_Row]]/1000000,"")</f>
        <v/>
      </c>
      <c r="GM36" s="43" t="str">
        <f aca="false">IF(AND(Tasks[[#This Row],[_IsLeaf]]=1,N(Tasks[[#This Row],[Actual Start]])=0,Tasks[[#This Row],[_ShownFcstStart]]&gt;=StatusDate,Tasks[[#This Row],[_ShownFcstStart]]&lt;=LookaheadEnd),Tasks[[#This Row],[_ShownFcstStart]]+Tasks[[#This Row],[_Row]]/100000,"")</f>
        <v/>
      </c>
      <c r="GN36" s="43" t="str">
        <f aca="false">IF(AND(Tasks[[#This Row],[_IsLeaf]]=1,Tasks[[#This Row],[_LeafProgress]]&lt;1,Tasks[[#This Row],[_ShownFcstFinish]]&gt;=StatusDate,Tasks[[#This Row],[_ShownFcstFinish]]&lt;=LookaheadEnd),Tasks[[#This Row],[_ShownFcstFinish]]+Tasks[[#This Row],[_Row]]/100000,"")</f>
        <v/>
      </c>
      <c r="GO36" s="43" t="str">
        <f aca="false">IF(Tasks[[#This Row],[_LeafCritical]],Tasks[[#This Row],[_ShownFcstStart]]+Tasks[[#This Row],[_Row]]/100000,"")</f>
        <v/>
      </c>
      <c r="GP36" s="43" t="n">
        <f aca="false">Tasks[[#This Row],[_LeafWork]]*Tasks[[#This Row],[_LeafProgress]]</f>
        <v>0</v>
      </c>
      <c r="GQ36" s="91" t="str">
        <f aca="false">IF(AND(Tasks[[#This Row],[_IsLeaf]]=1,Tasks[[#This Row],[_LeafProgress]]&gt;=1),IF(N(Tasks[[#This Row],[Actual Finish]])&gt;0,Tasks[[#This Row],[Actual Finish]],Tasks[[#This Row],[_ShownFcstFinish]]),"")</f>
        <v/>
      </c>
      <c r="GR36" s="43" t="n">
        <f aca="false">IF(Tasks[[#This Row],[_IsLeaf]]=1,N(Tasks[[#This Row],[Story Points]]),0)</f>
        <v>0</v>
      </c>
      <c r="GS36" s="43" t="str">
        <f aca="false">""</f>
        <v/>
      </c>
      <c r="GT36" s="90" t="b">
        <f aca="false">IF(Tasks[[#This Row],[Task Name]]="",FALSE(),AND(Tasks[[#This Row],[_IsLeaf]]=1,N(Tasks[[#This Row],[_Days]])=0))</f>
        <v>0</v>
      </c>
      <c r="GU36" s="91" t="n">
        <f aca="false">IF(Tasks[[#This Row],[Task Name]]="",0,IF(AND(Tasks[[#This Row],[_IsLeaf]]=1,NOT(Tasks[[#This Row],[_IsMilestone]]),N(Tasks[[#This Row],[Progress]])&gt;0),Tasks[[#This Row],[Start]],0))</f>
        <v>0</v>
      </c>
      <c r="GV36" s="91" t="n">
        <f aca="false">IF(Tasks[[#This Row],[_DoneFrom]]=0,0,IF(Tasks[[#This Row],[Progress]]&gt;=1,Tasks[[#This Row],[Finish]],MAX(Tasks[[#This Row],[_DoneFrom]],Tasks[[#This Row],[Start]]+ROUND((Tasks[[#This Row],[Finish]]-Tasks[[#This Row],[Start]]+1)*Tasks[[#This Row],[Progress]],0)-1)))</f>
        <v>0</v>
      </c>
      <c r="GW36" s="91" t="n">
        <f aca="false">IF(Tasks[[#This Row],[Task Name]]="",0,IF(OR(NOT(Tasks[[#This Row],[_IsLeaf]]=1),Tasks[[#This Row],[_IsMilestone]],N(Tasks[[#This Row],[Progress]])&gt;=1),0,IF(Tasks[[#This Row],[_DoneTo]]&gt;0,Tasks[[#This Row],[_DoneTo]]+1,Tasks[[#This Row],[Start]])))</f>
        <v>0</v>
      </c>
      <c r="GX36" s="91" t="n">
        <f aca="false">IF(Tasks[[#This Row],[_RemFrom]]=0,0,Tasks[[#This Row],[Finish]])</f>
        <v>0</v>
      </c>
      <c r="GY36" s="90" t="b">
        <f aca="false">IF(Tasks[[#This Row],[Task Name]]="",FALSE(),OR(NOT(BaselineSet),N(Tasks[[#This Row],[Baseline Start]])&gt;0))</f>
        <v>0</v>
      </c>
      <c r="GZ3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6" s="92" t="str">
        <f aca="false">IF(Tasks[[#This Row],[_IsLeaf]]=1,Tasks[[#This Row],[_Row]],"")</f>
        <v/>
      </c>
      <c r="HD36" s="92" t="str">
        <f aca="false">IFERROR(INDEX(Tasks[UID],SMALL(Tasks[_PickKey],Tasks[[#This Row],[_Row]]))&amp;" "&amp;INDEX(Tasks[Task Name],SMALL(Tasks[_PickKey],Tasks[[#This Row],[_Row]])),"")</f>
        <v/>
      </c>
      <c r="HE36" s="43" t="str">
        <f aca="false">IF(Tasks[[#This Row],[Task Name]]="","",IF(Tasks[[#This Row],[_IsSummary]],NETWORKDAYS.INTL(Tasks[[#This Row],[Start]],Tasks[[#This Row],[Finish]],WorkWeek,Holidays),N(Tasks[[#This Row],[_Days]])))</f>
        <v/>
      </c>
      <c r="HF36" s="43" t="n">
        <f aca="false">IF(Tasks[[#This Row],[Expected]]="",0,((Tasks[[#This Row],[Pessimistic]]-Tasks[[#This Row],[Optimistic]])/6)^2)</f>
        <v>0</v>
      </c>
      <c r="HG36" s="43" t="n">
        <f aca="false">IF(Tasks[[#This Row],[Expected]]="",0,Tasks[[#This Row],[Expected]]-N(Tasks[[#This Row],[_Days]]))</f>
        <v>0</v>
      </c>
    </row>
    <row r="37" customFormat="false" ht="15" hidden="false" customHeight="false" outlineLevel="0" collapsed="false">
      <c r="A37" s="21" t="str">
        <f aca="false">IF(Tasks[[#This Row],[Task Name]]="","",COUNTA(Tasks[[#Headers],[Task Name]]:Tasks[[#This Row],[Task Name]])-1)</f>
        <v/>
      </c>
      <c r="B37" s="22" t="n">
        <v>45</v>
      </c>
      <c r="C37" s="22"/>
      <c r="D37" s="23"/>
      <c r="E37" s="22"/>
      <c r="F37" s="23"/>
      <c r="G37" s="22"/>
      <c r="H37" s="22"/>
      <c r="I37" s="23"/>
      <c r="J37" s="22"/>
      <c r="K37" s="22"/>
      <c r="L37" s="23"/>
      <c r="M37" s="22"/>
      <c r="N37" s="22"/>
      <c r="O37" s="23"/>
      <c r="P37" s="22"/>
      <c r="Q37" s="22"/>
      <c r="R37" s="23"/>
      <c r="S37" s="23"/>
      <c r="T37" s="84"/>
      <c r="U37" s="23"/>
      <c r="V37" s="84"/>
      <c r="W37" s="23"/>
      <c r="X37" s="84"/>
      <c r="Y37" s="23"/>
      <c r="Z37" s="84"/>
      <c r="AA37" s="23"/>
      <c r="AB37" s="23"/>
      <c r="AC37" s="7"/>
      <c r="AD37" s="7"/>
      <c r="AE37" s="63" t="str">
        <f aca="false">IF(Tasks[[#This Row],[Task Name]]="","",IF(Tasks[[#This Row],[_IsSummary]],MIN(INDEX(Tasks[_ShownFcstStart],Tasks[[#This Row],[_Row]]+1):INDEX(Tasks[_ShownFcstStart],Tasks[[#This Row],[_Row]]+Tasks[[#This Row],[_Descendants]])),Tasks[[#This Row],[_ShownFcstStart]]))</f>
        <v/>
      </c>
      <c r="AF37" s="63" t="str">
        <f aca="false">IF(Tasks[[#This Row],[Task Name]]="","",IF(Tasks[[#This Row],[_IsSummary]],MAX(INDEX(Tasks[_ShownFcstFinish],Tasks[[#This Row],[_Row]]+1):INDEX(Tasks[_ShownFcstFinish],Tasks[[#This Row],[_Row]]+Tasks[[#This Row],[_Descendants]])),Tasks[[#This Row],[_ShownFcstFinish]]))</f>
        <v/>
      </c>
      <c r="AG37" s="21" t="str">
        <f aca="false">""</f>
        <v/>
      </c>
      <c r="AH37" s="23"/>
      <c r="AI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7" s="7"/>
      <c r="AK37" s="22"/>
      <c r="AL37" s="23"/>
      <c r="AM37" s="7"/>
      <c r="AN37" s="47" t="str">
        <f aca="false">IF(Tasks[[#This Row],[Task Name]]="","",IF(Tasks[[#This Row],[Finish]]&gt;=Tasks[[#This Row],[Planned Finish]],NETWORKDAYS.INTL(Tasks[[#This Row],[Planned Finish]],Tasks[[#This Row],[Finish]],WorkWeek,Holidays)-1,1-NETWORKDAYS.INTL(Tasks[[#This Row],[Finish]],Tasks[[#This Row],[Planned Finish]],WorkWeek,Holidays)))</f>
        <v/>
      </c>
      <c r="AO37" s="21" t="str">
        <f aca="false">IF(Tasks[[#This Row],[Task Name]]="","",IF(Tasks[[#This Row],[Progress]]&gt;=1,"Complete",IF(OR(N(Tasks[[#This Row],[Actual Start]])&gt;0,Tasks[[#This Row],[Progress]]&gt;0),IF(Tasks[[#This Row],[Finish Var]]&gt;0,"Behind","In Progress"),IF(Tasks[[#This Row],[Planned Start]]&lt;StatusDate,"Late Start","Not Started"))))</f>
        <v/>
      </c>
      <c r="AP37" s="21" t="str">
        <f aca="false">IF(Tasks[[#This Row],[Task Name]]="","",IF(IF(Tasks[[#This Row],[_IsSummary]],COUNTIF(INDEX(Tasks[_LeafCritical],Tasks[[#This Row],[_Row]]+1):INDEX(Tasks[_LeafCritical],Tasks[[#This Row],[_Row]]+Tasks[[#This Row],[_Descendants]]),TRUE())&gt;0,Tasks[[#This Row],[_LeafCritical]]),"Yes",""))</f>
        <v/>
      </c>
      <c r="AQ37" s="63" t="str">
        <f aca="false">IF(Tasks[[#This Row],[Task Name]]="","",IF(N(Tasks[[#This Row],[Baseline Start]])&gt;0,Tasks[[#This Row],[Baseline Start]],Tasks[[#This Row],[_CalcStart]]))</f>
        <v/>
      </c>
      <c r="AR37" s="63" t="str">
        <f aca="false">IF(Tasks[[#This Row],[Task Name]]="","",IF(N(Tasks[[#This Row],[Baseline Finish]])&gt;0,Tasks[[#This Row],[Baseline Finish]],Tasks[[#This Row],[_CalcFinish]]))</f>
        <v/>
      </c>
      <c r="AS37" s="47" t="str">
        <f aca="false">IF(Tasks[[#This Row],[Task Name]]="","",IF(Tasks[[#This Row],[Start]]&gt;=Tasks[[#This Row],[Planned Start]],NETWORKDAYS.INTL(Tasks[[#This Row],[Planned Start]],Tasks[[#This Row],[Start]],WorkWeek,Holidays)-1,1-NETWORKDAYS.INTL(Tasks[[#This Row],[Start]],Tasks[[#This Row],[Planned Start]],WorkWeek,Holidays)))</f>
        <v/>
      </c>
      <c r="AT37" s="63" t="str">
        <f aca="false">IF(Tasks[[#This Row],[Task Name]]="","",IF(Tasks[[#This Row],[_IsSummary]],MIN(INDEX(Tasks[_LeafLateStart],Tasks[[#This Row],[_Row]]+1):INDEX(Tasks[_LeafLateStart],Tasks[[#This Row],[_Row]]+Tasks[[#This Row],[_Descendants]])),Tasks[[#This Row],[_LeafLateStart]]))</f>
        <v/>
      </c>
      <c r="AU37" s="63" t="str">
        <f aca="false">IF(Tasks[[#This Row],[Task Name]]="","",IF(Tasks[[#This Row],[_IsSummary]],MAX(INDEX(Tasks[_LeafLateFinish],Tasks[[#This Row],[_Row]]+1):INDEX(Tasks[_LeafLateFinish],Tasks[[#This Row],[_Row]]+Tasks[[#This Row],[_Descendants]])),Tasks[[#This Row],[_LeafLateFinish]]))</f>
        <v/>
      </c>
      <c r="AV37" s="47" t="str">
        <f aca="false">IF(Tasks[[#This Row],[Task Name]]="","",IF(Tasks[[#This Row],[_IsSummary]],MIN(INDEX(Tasks[_LeafTotalSlack],Tasks[[#This Row],[_Row]]+1):INDEX(Tasks[_LeafTotalSlack],Tasks[[#This Row],[_Row]]+Tasks[[#This Row],[_Descendants]])),Tasks[[#This Row],[_LeafTotalSlack]]))</f>
        <v/>
      </c>
      <c r="AW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5"/>
      <c r="BA3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t="str">
        <f aca="false">IF(Tasks[[#This Row],[Task Name]]="","",IF(Tasks[[#This Row],[_Level]]&lt;=OutlineShowLevel,"Yes","No"))</f>
        <v/>
      </c>
      <c r="BE37" s="86" t="str">
        <f aca="false">IF(Tasks[[#This Row],[Task Name]]="","",IF(Tasks[[#This Row],[_IsSummary]],SUM(INDEX(Tasks[_LeafTotalWork],Tasks[[#This Row],[_Row]]+1):INDEX(Tasks[_LeafTotalWork],Tasks[[#This Row],[_Row]]+Tasks[[#This Row],[_Descendants]])),Tasks[[#This Row],[_LeafTotalWork]]))</f>
        <v/>
      </c>
      <c r="BF37" s="23"/>
      <c r="BG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t="str">
        <f aca="false">""</f>
        <v/>
      </c>
      <c r="BI37" s="87"/>
      <c r="BJ37" s="22"/>
      <c r="BK37" s="47" t="str">
        <f aca="false">IF(OR(Tasks[[#This Row],[Task Name]]="",Tasks[[#This Row],[Baseline Duration]]=""),"",Tasks[[#This Row],[_SpanDays]]-N(Tasks[[#This Row],[Baseline Duration]]))</f>
        <v/>
      </c>
      <c r="BL37" s="86" t="str">
        <f aca="false">IF(OR(Tasks[[#This Row],[Task Name]]="",Tasks[[#This Row],[Baseline Work]]=""),"",Tasks[[#This Row],[Work]]-N(Tasks[[#This Row],[Baseline Work]]))</f>
        <v/>
      </c>
      <c r="BM37" s="63" t="str">
        <f aca="false">IF(Tasks[[#This Row],[Task Name]]="","",IF(OR(TakeBaseline="Yes",N(Tasks[[#This Row],[Baseline Start]])=0),Tasks[[#This Row],[Start]],Tasks[[#This Row],[Baseline Start]]))</f>
        <v/>
      </c>
      <c r="BN37" s="63" t="str">
        <f aca="false">IF(Tasks[[#This Row],[Task Name]]="","",IF(OR(TakeBaseline="Yes",N(Tasks[[#This Row],[Baseline Finish]])=0),Tasks[[#This Row],[Finish]],Tasks[[#This Row],[Baseline Finish]]))</f>
        <v/>
      </c>
      <c r="BO37" s="21" t="str">
        <f aca="false">IF(Tasks[[#This Row],[Task Name]]="","",IF(OR(TakeBaseline="Yes",N(Tasks[[#This Row],[Baseline Duration]])=0),Tasks[[#This Row],[_SpanDays]],Tasks[[#This Row],[Baseline Duration]]))</f>
        <v/>
      </c>
      <c r="BP37" s="86" t="str">
        <f aca="false">IF(Tasks[[#This Row],[Task Name]]="","",IF(OR(TakeBaseline="Yes",N(Tasks[[#This Row],[Baseline Work]])=0),Tasks[[#This Row],[Work]],Tasks[[#This Row],[Baseline Work]]))</f>
        <v/>
      </c>
      <c r="BQ37" s="7"/>
      <c r="BR37" s="7"/>
      <c r="BS37" s="22"/>
      <c r="BT37" s="88"/>
      <c r="BU37" s="23"/>
      <c r="BV37" s="23"/>
      <c r="BW37" s="23"/>
      <c r="BX37" s="89" t="str">
        <f aca="false">IF(AND(Tasks[[#This Row],[_IsLeaf]]=1,ISNUMBER(Tasks[[#This Row],[Optimistic]]),ISNUMBER(Tasks[[#This Row],[Pessimistic]])),ROUND((Tasks[[#This Row],[Optimistic]]+4*N(Tasks[[#This Row],[_Days]])+Tasks[[#This Row],[Pessimistic]])/6,1),"")</f>
        <v/>
      </c>
      <c r="BY37" s="87"/>
      <c r="BZ37" s="87"/>
      <c r="CA37" s="22"/>
      <c r="CB37" s="43" t="str">
        <f aca="false">IF(Tasks[[#This Row],[Task Name]]="","",MAX(1,N(Tasks[[#This Row],[Level]])))</f>
        <v/>
      </c>
      <c r="CC37" s="43" t="n">
        <f aca="false">ROW()-ROW(Tasks[[#Headers],[ID]])</f>
        <v>32</v>
      </c>
      <c r="CD37" s="43" t="n">
        <f aca="false">IF(OR(Tasks[[#This Row],[Task Name]]="",Tasks[[#This Row],[_Level]]&lt;=1),0,IFERROR(LOOKUP(2,1/(Tasks[[#Headers],[_Level]]:Tasks[[#This Row],[_Level]]=Tasks[[#This Row],[_Level]]-1),ROW(Tasks[[#Headers],[_Level]]:Tasks[[#This Row],[_Level]])),0))</f>
        <v>0</v>
      </c>
      <c r="CE37" s="43" t="n">
        <f aca="false">IFERROR(N(INDEX(Tasks[_Level],Tasks[[#This Row],[_Row]]+1)),0)</f>
        <v>0</v>
      </c>
      <c r="CF37" s="90" t="b">
        <f aca="false">AND(Tasks[[#This Row],[Task Name]]&lt;&gt;"",Tasks[[#This Row],[_NextLevel]]&gt;Tasks[[#This Row],[_Level]])</f>
        <v>0</v>
      </c>
      <c r="CG37" s="43" t="n">
        <f aca="false">IF(Tasks[[#This Row],[_IsSummary]],COUNTIF(Tasks[WBS],Tasks[[#This Row],[WBS]]&amp;".*"),0)</f>
        <v>0</v>
      </c>
      <c r="CH37" s="43" t="n">
        <f aca="false">IF(AND(Tasks[[#This Row],[Task Name]]&lt;&gt;"",NOT(Tasks[[#This Row],[_IsSummary]])),1,0)</f>
        <v>0</v>
      </c>
      <c r="CI37" s="43" t="n">
        <f aca="false">IF(N(Tasks[[#This Row],[_Pred1UID]])=0,0,IFERROR(MATCH(Tasks[[#This Row],[_Pred1UID]],Tasks[UID],0),-1))</f>
        <v>0</v>
      </c>
      <c r="CJ37" s="43" t="n">
        <f aca="false">IF(N(Tasks[[#This Row],[_Pred2UID]])=0,0,IFERROR(MATCH(Tasks[[#This Row],[_Pred2UID]],Tasks[UID],0),-1))</f>
        <v>0</v>
      </c>
      <c r="CK37" s="43" t="n">
        <f aca="false">IF(N(Tasks[[#This Row],[_Pred3UID]])=0,0,IFERROR(MATCH(Tasks[[#This Row],[_Pred3UID]],Tasks[UID],0),-1))</f>
        <v>0</v>
      </c>
      <c r="CL37" s="43" t="n">
        <f aca="false">IF(N(Tasks[[#This Row],[_Pred4UID]])=0,0,IFERROR(MATCH(Tasks[[#This Row],[_Pred4UID]],Tasks[UID],0),-1))</f>
        <v>0</v>
      </c>
      <c r="CM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7" s="91" t="n">
        <f aca="false">IF(OR(Tasks[[#This Row],[_ConstraintCode]]=2,Tasks[[#This Row],[_ConstraintCode]]=3,Tasks[[#This Row],[_ConstraintCode]]=4,Tasks[[#This Row],[_ConstraintCode]]=6),Tasks[[#This Row],[_ConstraintStart]],0)</f>
        <v>0</v>
      </c>
      <c r="CP37" s="91" t="n">
        <f aca="false">IF(OR(Tasks[[#This Row],[_ConstraintCode]]=2,Tasks[[#This Row],[_ConstraintCode]]=3,Tasks[[#This Row],[_ConstraintCode]]=5,Tasks[[#This Row],[_ConstraintCode]]=7),Tasks[[#This Row],[_ConstraintStart]],2958465)</f>
        <v>2958465</v>
      </c>
      <c r="CQ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7" s="91" t="str">
        <f aca="false">IF(NOT(Tasks[[#This Row],[_IsLeaf]]=1),"",IF(N(Tasks[[#This Row],[_Days]])&lt;=0,Tasks[[#This Row],[_LeafCalcStart]],WORKDAY.INTL(Tasks[[#This Row],[_LeafCalcStart]],Tasks[[#This Row],[_Days]]-1,WorkWeek,Holidays)))</f>
        <v/>
      </c>
      <c r="CS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7" s="43" t="str">
        <f aca="false">IF(Tasks[[#This Row],[_Predecessors]]="","",TRIM(MID(SUBSTITUTE(SUBSTITUTE(SUBSTITUTE(UPPER(Tasks[[#This Row],[_Predecessors]]),";",",")," ",""),",",REPT(" ",99)),1,99)))</f>
        <v/>
      </c>
      <c r="CV37" s="43" t="str">
        <f aca="false">IF(Tasks[[#This Row],[_Pred1Text]]="","",IFERROR(VALUE(LEFT(Tasks[[#This Row],[_Pred1Text]],MIN(FIND("F",Tasks[[#This Row],[_Pred1Text]]&amp;"F"),FIND("S",Tasks[[#This Row],[_Pred1Text]]&amp;"S"),FIND("+",Tasks[[#This Row],[_Pred1Text]]&amp;"+"),FIND("-",Tasks[[#This Row],[_Pred1Text]]&amp;"-"))-1)),""))</f>
        <v/>
      </c>
      <c r="CW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7" s="43" t="str">
        <f aca="false">IF(Tasks[[#This Row],[_Pred1Text]]="","",TRIM(MID(SUBSTITUTE(SUBSTITUTE(SUBSTITUTE(UPPER(Tasks[[#This Row],[_Predecessors]]),";",",")," ",""),",",REPT(" ",99)),100,99)))</f>
        <v/>
      </c>
      <c r="CZ37" s="43" t="str">
        <f aca="false">IF(Tasks[[#This Row],[_Pred2Text]]="","",IFERROR(VALUE(LEFT(Tasks[[#This Row],[_Pred2Text]],MIN(FIND("F",Tasks[[#This Row],[_Pred2Text]]&amp;"F"),FIND("S",Tasks[[#This Row],[_Pred2Text]]&amp;"S"),FIND("+",Tasks[[#This Row],[_Pred2Text]]&amp;"+"),FIND("-",Tasks[[#This Row],[_Pred2Text]]&amp;"-"))-1)),""))</f>
        <v/>
      </c>
      <c r="DA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7" s="43" t="str">
        <f aca="false">IF(Tasks[[#This Row],[_Pred2Text]]="","",TRIM(MID(SUBSTITUTE(SUBSTITUTE(SUBSTITUTE(UPPER(Tasks[[#This Row],[_Predecessors]]),";",",")," ",""),",",REPT(" ",99)),199,99)))</f>
        <v/>
      </c>
      <c r="DD37" s="43" t="str">
        <f aca="false">IF(Tasks[[#This Row],[_Pred3Text]]="","",IFERROR(VALUE(LEFT(Tasks[[#This Row],[_Pred3Text]],MIN(FIND("F",Tasks[[#This Row],[_Pred3Text]]&amp;"F"),FIND("S",Tasks[[#This Row],[_Pred3Text]]&amp;"S"),FIND("+",Tasks[[#This Row],[_Pred3Text]]&amp;"+"),FIND("-",Tasks[[#This Row],[_Pred3Text]]&amp;"-"))-1)),""))</f>
        <v/>
      </c>
      <c r="DE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7" s="43" t="str">
        <f aca="false">IF(Tasks[[#This Row],[_Pred3Text]]="","",TRIM(MID(SUBSTITUTE(SUBSTITUTE(SUBSTITUTE(UPPER(Tasks[[#This Row],[_Predecessors]]),";",",")," ",""),",",REPT(" ",99)),298,99)))</f>
        <v/>
      </c>
      <c r="DH37" s="43" t="str">
        <f aca="false">IF(Tasks[[#This Row],[_Pred4Text]]="","",IFERROR(VALUE(LEFT(Tasks[[#This Row],[_Pred4Text]],MIN(FIND("F",Tasks[[#This Row],[_Pred4Text]]&amp;"F"),FIND("S",Tasks[[#This Row],[_Pred4Text]]&amp;"S"),FIND("+",Tasks[[#This Row],[_Pred4Text]]&amp;"+"),FIND("-",Tasks[[#This Row],[_Pred4Text]]&amp;"-"))-1)),""))</f>
        <v/>
      </c>
      <c r="DI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7" s="43" t="str">
        <f aca="false">IF(OR(Tasks[[#This Row],[Task Name]]="",Tasks[[#This Row],[_Resources]]=""),"",TRIM(MID(SUBSTITUTE(Tasks[[#This Row],[_Resources]],",",REPT(" ",99)),1,99)))</f>
        <v/>
      </c>
      <c r="DL37" s="43" t="str">
        <f aca="false">IF(Tasks[[#This Row],[_Res1Text]]="","",TRIM(MID(SUBSTITUTE(Tasks[[#This Row],[_Resources]],",",REPT(" ",99)),100,99)))</f>
        <v/>
      </c>
      <c r="DM37" s="43" t="str">
        <f aca="false">IF(Tasks[[#This Row],[_Res2Text]]="","",TRIM(MID(SUBSTITUTE(Tasks[[#This Row],[_Resources]],",",REPT(" ",99)),199,99)))</f>
        <v/>
      </c>
      <c r="DN37" s="43" t="str">
        <f aca="false">IF(Tasks[[#This Row],[_Res3Text]]="","",TRIM(MID(SUBSTITUTE(Tasks[[#This Row],[_Resources]],",",REPT(" ",99)),298,99)))</f>
        <v/>
      </c>
      <c r="DO37" s="43" t="n">
        <f aca="false">IF(Tasks[[#This Row],[_Res1Text]]="",0,IFERROR(MATCH(TRIM(LEFT(Tasks[[#This Row],[_Res1Text]],FIND("[",Tasks[[#This Row],[_Res1Text]]&amp;"[")-1)),res_Name,0),IFERROR(MATCH(TRIM(LEFT(Tasks[[#This Row],[_Res1Text]],FIND("[",Tasks[[#This Row],[_Res1Text]]&amp;"[")-1)),res_Initials,0),0)))</f>
        <v>0</v>
      </c>
      <c r="DP37" s="43" t="n">
        <f aca="false">IF(Tasks[[#This Row],[_Res2Text]]="",0,IFERROR(MATCH(TRIM(LEFT(Tasks[[#This Row],[_Res2Text]],FIND("[",Tasks[[#This Row],[_Res2Text]]&amp;"[")-1)),res_Name,0),IFERROR(MATCH(TRIM(LEFT(Tasks[[#This Row],[_Res2Text]],FIND("[",Tasks[[#This Row],[_Res2Text]]&amp;"[")-1)),res_Initials,0),0)))</f>
        <v>0</v>
      </c>
      <c r="DQ37" s="43" t="n">
        <f aca="false">IF(Tasks[[#This Row],[_Res3Text]]="",0,IFERROR(MATCH(TRIM(LEFT(Tasks[[#This Row],[_Res3Text]],FIND("[",Tasks[[#This Row],[_Res3Text]]&amp;"[")-1)),res_Name,0),IFERROR(MATCH(TRIM(LEFT(Tasks[[#This Row],[_Res3Text]],FIND("[",Tasks[[#This Row],[_Res3Text]]&amp;"[")-1)),res_Initials,0),0)))</f>
        <v>0</v>
      </c>
      <c r="DR37" s="43" t="n">
        <f aca="false">IF(Tasks[[#This Row],[_Res4Text]]="",0,IFERROR(MATCH(TRIM(LEFT(Tasks[[#This Row],[_Res4Text]],FIND("[",Tasks[[#This Row],[_Res4Text]]&amp;"[")-1)),res_Name,0),IFERROR(MATCH(TRIM(LEFT(Tasks[[#This Row],[_Res4Text]],FIND("[",Tasks[[#This Row],[_Res4Text]]&amp;"[")-1)),res_Initials,0),0)))</f>
        <v>0</v>
      </c>
      <c r="DS37" s="43" t="str">
        <f aca="false">IF(Tasks[[#This Row],[_Res1Text]]="","",IF(Tasks[[#This Row],[_Res1Row]]&gt;0,INDEX(res_Name,Tasks[[#This Row],[_Res1Row]]),TRIM(LEFT(Tasks[[#This Row],[_Res1Text]],FIND("[",Tasks[[#This Row],[_Res1Text]]&amp;"[")-1))))</f>
        <v/>
      </c>
      <c r="DT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7" s="43" t="n">
        <f aca="false">IF(NOT(Tasks[[#This Row],[_IsLeaf]]=1),0,(Tasks[[#This Row],[_Resource1]]&lt;&gt;"")+(Tasks[[#This Row],[_Res2]]&lt;&gt;"")+(Tasks[[#This Row],[_Res3]]&lt;&gt;"")+(Tasks[[#This Row],[_Res4]]&lt;&gt;""))</f>
        <v>0</v>
      </c>
      <c r="DV37" s="43" t="str">
        <f aca="false">IF(Tasks[[#This Row],[_Res2Text]]="","",IF(Tasks[[#This Row],[_Res2Row]]&gt;0,INDEX(res_Name,Tasks[[#This Row],[_Res2Row]]),TRIM(LEFT(Tasks[[#This Row],[_Res2Text]],FIND("[",Tasks[[#This Row],[_Res2Text]]&amp;"[")-1))))</f>
        <v/>
      </c>
      <c r="DW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7" s="43" t="n">
        <f aca="false">IF(OR(NOT(Tasks[[#This Row],[_IsLeaf]]=1),Tasks[[#This Row],[_Res2Row]]=0),0,N(Tasks[[#This Row],[_Days]])*HoursPerDay*IF(Tasks[[#This Row],[_Res2Units]]="",DefaultUnits,Tasks[[#This Row],[_Res2Units]]))</f>
        <v>0</v>
      </c>
      <c r="DY37" s="43" t="n">
        <f aca="false">IF(AND(AND(Tasks[[#This Row],[_IsLeaf]]=1,Tasks[[#This Row],[_LeafTotalWork]]&gt;0),Tasks[[#This Row],[_Res2Work]]&gt;0),Tasks[[#This Row],[_Res2Work]]/(Tasks[[#This Row],[_FinishWorkday]]-Tasks[[#This Row],[_StartWorkday]]+1),0)</f>
        <v>0</v>
      </c>
      <c r="DZ37" s="43" t="n">
        <f aca="false">Tasks[[#This Row],[_Res2WorkPerWD]]*MAX(0,Tasks[[#This Row],[_StartWorkday]]-1)</f>
        <v>0</v>
      </c>
      <c r="EA37" s="43" t="n">
        <f aca="false">Tasks[[#This Row],[_Res2Work]]*Tasks[[#This Row],[_LeafProgress]]</f>
        <v>0</v>
      </c>
      <c r="EB37" s="43" t="str">
        <f aca="false">IF(Tasks[[#This Row],[_Res3Text]]="","",IF(Tasks[[#This Row],[_Res3Row]]&gt;0,INDEX(res_Name,Tasks[[#This Row],[_Res3Row]]),TRIM(LEFT(Tasks[[#This Row],[_Res3Text]],FIND("[",Tasks[[#This Row],[_Res3Text]]&amp;"[")-1))))</f>
        <v/>
      </c>
      <c r="EC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7" s="43" t="n">
        <f aca="false">IF(OR(NOT(Tasks[[#This Row],[_IsLeaf]]=1),Tasks[[#This Row],[_Res3Row]]=0),0,N(Tasks[[#This Row],[_Days]])*HoursPerDay*IF(Tasks[[#This Row],[_Res3Units]]="",DefaultUnits,Tasks[[#This Row],[_Res3Units]]))</f>
        <v>0</v>
      </c>
      <c r="EE37" s="43" t="n">
        <f aca="false">IF(AND(AND(Tasks[[#This Row],[_IsLeaf]]=1,Tasks[[#This Row],[_LeafTotalWork]]&gt;0),Tasks[[#This Row],[_Res3Work]]&gt;0),Tasks[[#This Row],[_Res3Work]]/(Tasks[[#This Row],[_FinishWorkday]]-Tasks[[#This Row],[_StartWorkday]]+1),0)</f>
        <v>0</v>
      </c>
      <c r="EF37" s="43" t="n">
        <f aca="false">Tasks[[#This Row],[_Res3WorkPerWD]]*MAX(0,Tasks[[#This Row],[_StartWorkday]]-1)</f>
        <v>0</v>
      </c>
      <c r="EG37" s="43" t="n">
        <f aca="false">Tasks[[#This Row],[_Res3Work]]*Tasks[[#This Row],[_LeafProgress]]</f>
        <v>0</v>
      </c>
      <c r="EH37" s="43" t="str">
        <f aca="false">IF(Tasks[[#This Row],[_Res4Text]]="","",IF(Tasks[[#This Row],[_Res4Row]]&gt;0,INDEX(res_Name,Tasks[[#This Row],[_Res4Row]]),TRIM(LEFT(Tasks[[#This Row],[_Res4Text]],FIND("[",Tasks[[#This Row],[_Res4Text]]&amp;"[")-1))))</f>
        <v/>
      </c>
      <c r="EI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7" s="43" t="n">
        <f aca="false">IF(OR(NOT(Tasks[[#This Row],[_IsLeaf]]=1),Tasks[[#This Row],[_Res4Row]]=0),0,N(Tasks[[#This Row],[_Days]])*HoursPerDay*IF(Tasks[[#This Row],[_Res4Units]]="",DefaultUnits,Tasks[[#This Row],[_Res4Units]]))</f>
        <v>0</v>
      </c>
      <c r="EK37" s="43" t="n">
        <f aca="false">IF(AND(AND(Tasks[[#This Row],[_IsLeaf]]=1,Tasks[[#This Row],[_LeafTotalWork]]&gt;0),Tasks[[#This Row],[_Res4Work]]&gt;0),Tasks[[#This Row],[_Res4Work]]/(Tasks[[#This Row],[_FinishWorkday]]-Tasks[[#This Row],[_StartWorkday]]+1),0)</f>
        <v>0</v>
      </c>
      <c r="EL37" s="43" t="n">
        <f aca="false">Tasks[[#This Row],[_Res4WorkPerWD]]*MAX(0,Tasks[[#This Row],[_StartWorkday]]-1)</f>
        <v>0</v>
      </c>
      <c r="EM37" s="43" t="n">
        <f aca="false">Tasks[[#This Row],[_Res4Work]]*Tasks[[#This Row],[_LeafProgress]]</f>
        <v>0</v>
      </c>
      <c r="EN37" s="43" t="n">
        <f aca="false">IF(ISNUMBER(Tasks[[#This Row],[% Complete]]),Tasks[[#This Row],[% Complete]],IF(Tasks[[#This Row],[Stage]]="",0,IFERROR(INDEX(stg_Pct,MATCH(Tasks[[#This Row],[Stage]],stg_Name,0)),0)))</f>
        <v>0</v>
      </c>
      <c r="EO37" s="43" t="n">
        <f aca="false">IF(NOT(Tasks[[#This Row],[_IsLeaf]]=1),0,IF(N(Tasks[[#This Row],[Actual Finish]])&gt;0,1,MIN(1,Tasks[[#This Row],[_Pct]])))</f>
        <v>0</v>
      </c>
      <c r="EP37" s="43" t="n">
        <f aca="false">IF(OR(NOT(Tasks[[#This Row],[_IsLeaf]]=1),Tasks[[#This Row],[_Res1Row]]=0),0,N(Tasks[[#This Row],[_Days]])*HoursPerDay*IF(Tasks[[#This Row],[_Units1]]="",DefaultUnits,Tasks[[#This Row],[_Units1]]))</f>
        <v>0</v>
      </c>
      <c r="EQ37" s="43" t="n">
        <f aca="false">Tasks[[#This Row],[_LeafWork]]+Tasks[[#This Row],[_Res2Work]]+Tasks[[#This Row],[_Res3Work]]+Tasks[[#This Row],[_Res4Work]]</f>
        <v>0</v>
      </c>
      <c r="ER3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7" s="43" t="n">
        <f aca="false">IF(NOT(Tasks[[#This Row],[_IsLeaf]]=1),0,MAX(_xlfn.MAXIFS(Tasks[_Row],Tasks[_Pred1UID],Tasks[[#This Row],[UID]]),_xlfn.MAXIFS(Tasks[_Row],Tasks[_Pred2UID],Tasks[[#This Row],[UID]]),_xlfn.MAXIFS(Tasks[_Row],Tasks[_Pred3UID],Tasks[[#This Row],[UID]]),_xlfn.MAXIFS(Tasks[_Row],Tasks[_Pred4UID],Tasks[[#This Row],[UID]])))</f>
        <v>0</v>
      </c>
      <c r="FA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7" s="91" t="str">
        <f aca="false">IF(NOT(Tasks[[#This Row],[_IsLeaf]]=1),"",IF(N(Tasks[[#This Row],[_Days]])&lt;=0,Tasks[[#This Row],[_LeafLateFinish]],WORKDAY.INTL(Tasks[[#This Row],[_LeafLateFinish]],-(Tasks[[#This Row],[_Days]]-1),WorkWeek,Holidays)))</f>
        <v/>
      </c>
      <c r="FD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7" s="90" t="b">
        <f aca="false">AND(Tasks[[#This Row],[_IsLeaf]]=1,Tasks[[#This Row],[_LeafProgress]]&lt;1,N(Tasks[[#This Row],[_LeafTotalSlack]])&lt;=CriticalSlackDays)</f>
        <v>0</v>
      </c>
      <c r="FF37" s="43" t="n">
        <f aca="false">IF(AND(Tasks[[#This Row],[_IsLeaf]]=1,Tasks[[#This Row],[_ConstraintCode]]=1,Tasks[[#This Row],[Mode]]&lt;&gt;"Manual",N(Tasks[[#This Row],[Actual Start]])=0),MAX(0,N(Tasks[[#This Row],[Free Slack]])),0)</f>
        <v>0</v>
      </c>
      <c r="FG37" s="91" t="str">
        <f aca="false">IF(NOT(Tasks[[#This Row],[_IsLeaf]]=1),"",IF(Tasks[[#This Row],[_AlapShift]]=0,Tasks[[#This Row],[_LeafCalcStart]],WORKDAY.INTL(Tasks[[#This Row],[_LeafCalcStart]],Tasks[[#This Row],[_AlapShift]],WorkWeek,Holidays)))</f>
        <v/>
      </c>
      <c r="FH37" s="91" t="str">
        <f aca="false">IF(NOT(Tasks[[#This Row],[_IsLeaf]]=1),"",IF(Tasks[[#This Row],[_AlapShift]]=0,Tasks[[#This Row],[_LeafCalcFinish]],WORKDAY.INTL(Tasks[[#This Row],[_LeafCalcFinish]],Tasks[[#This Row],[_AlapShift]],WorkWeek,Holidays)))</f>
        <v/>
      </c>
      <c r="FI37" s="91" t="str">
        <f aca="false">IF(NOT(Tasks[[#This Row],[_IsLeaf]]=1),"",IF(Tasks[[#This Row],[_AlapShift]]=0,Tasks[[#This Row],[_LeafFcstStart]],WORKDAY.INTL(Tasks[[#This Row],[_LeafFcstStart]],Tasks[[#This Row],[_AlapShift]],WorkWeek,Holidays)))</f>
        <v/>
      </c>
      <c r="FJ37" s="91" t="str">
        <f aca="false">IF(NOT(Tasks[[#This Row],[_IsLeaf]]=1),"",IF(Tasks[[#This Row],[_AlapShift]]=0,Tasks[[#This Row],[_LeafFcstFinish]],WORKDAY.INTL(Tasks[[#This Row],[_LeafFcstFinish]],Tasks[[#This Row],[_AlapShift]],WorkWeek,Holidays)))</f>
        <v/>
      </c>
      <c r="FK37" s="91" t="str">
        <f aca="false">IF(Tasks[[#This Row],[Task Name]]="","",IF(Tasks[[#This Row],[_IsSummary]],MIN(INDEX(Tasks[_ShownCalcStart],Tasks[[#This Row],[_Row]]+1):INDEX(Tasks[_ShownCalcStart],Tasks[[#This Row],[_Row]]+Tasks[[#This Row],[_Descendants]])),Tasks[[#This Row],[_ShownCalcStart]]))</f>
        <v/>
      </c>
      <c r="FL37" s="91" t="str">
        <f aca="false">IF(Tasks[[#This Row],[Task Name]]="","",IF(Tasks[[#This Row],[_IsSummary]],MAX(INDEX(Tasks[_ShownCalcFinish],Tasks[[#This Row],[_Row]]+1):INDEX(Tasks[_ShownCalcFinish],Tasks[[#This Row],[_Row]]+Tasks[[#This Row],[_Descendants]])),Tasks[[#This Row],[_ShownCalcFinish]]))</f>
        <v/>
      </c>
      <c r="FM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7" s="43" t="n">
        <f aca="false">IF(AND(Tasks[[#This Row],[_IsLeaf]]=1,Tasks[[#This Row],[_LeafTotalWork]]&gt;0),NETWORKDAYS.INTL(ProjectStart,Tasks[[#This Row],[_ShownFcstStart]],WorkWeek,Holidays),0)</f>
        <v>0</v>
      </c>
      <c r="FZ37" s="43" t="n">
        <f aca="false">IF(AND(Tasks[[#This Row],[_IsLeaf]]=1,Tasks[[#This Row],[_LeafTotalWork]]&gt;0),MAX(Tasks[[#This Row],[_StartWorkday]],NETWORKDAYS.INTL(ProjectStart,Tasks[[#This Row],[_ShownFcstFinish]],WorkWeek,Holidays)),0)</f>
        <v>0</v>
      </c>
      <c r="GA37" s="43" t="n">
        <f aca="false">IF(AND(Tasks[[#This Row],[_IsLeaf]]=1,Tasks[[#This Row],[_LeafTotalWork]]&gt;0),Tasks[[#This Row],[_LeafWork]]/(Tasks[[#This Row],[_FinishWorkday]]-Tasks[[#This Row],[_StartWorkday]]+1),0)</f>
        <v>0</v>
      </c>
      <c r="GB37" s="43" t="n">
        <f aca="false">Tasks[[#This Row],[_WorkPerWorkday]]*(Tasks[[#This Row],[_StartWorkday]]-1)</f>
        <v>-0</v>
      </c>
      <c r="GC37" s="43" t="n">
        <f aca="false">IF(Tasks[[#This Row],[_IsLeaf]]=1,MAX(N(Tasks[[#This Row],[_Days]]),0.1),0)</f>
        <v>0</v>
      </c>
      <c r="GD37" s="43" t="n">
        <f aca="false">Tasks[[#This Row],[_WeightDur]]*Tasks[[#This Row],[_LeafProgress]]</f>
        <v>0</v>
      </c>
      <c r="GE37" s="43" t="n">
        <f aca="false">Tasks[[#This Row],[_WeightDur]]*Tasks[[#This Row],[_PlannedPct]]</f>
        <v>0</v>
      </c>
      <c r="GF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7" s="43" t="str">
        <f aca="false">IF(AND(Tasks[[#This Row],[_IsLeaf]]=1,N(Tasks[[#This Row],[_Days]])=0,Tasks[[#This Row],[_LeafProgress]]&lt;1),Tasks[[#This Row],[_ShownFcstFinish]]+Tasks[[#This Row],[_Row]]/100000,"")</f>
        <v/>
      </c>
      <c r="GH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7" s="43" t="str">
        <f aca="false">IF(Tasks[[#This Row],[Task Name]]="","",LEFT(Tasks[[#This Row],[WBS]],FIND(".",Tasks[[#This Row],[WBS]]&amp;".")-1))</f>
        <v/>
      </c>
      <c r="GJ37" s="43" t="str">
        <f aca="false">IF(AND(Tasks[[#This Row],[Task Name]]&lt;&gt;"",Tasks[[#This Row],[_Level]]=1),Tasks[[#This Row],[_Row]],"")</f>
        <v/>
      </c>
      <c r="GK37" s="43" t="str">
        <f aca="false">IF(AND(Tasks[[#This Row],[_IsLeaf]]=1,N(Tasks[[#This Row],[_Days]])=0),Tasks[[#This Row],[Planned Finish]]+Tasks[[#This Row],[_Row]]/100000,"")</f>
        <v/>
      </c>
      <c r="GL37" s="43" t="str">
        <f aca="false">IF(AND(Tasks[[#This Row],[_IsLeaf]]=1,Tasks[[#This Row],[_LeafProgress]]&lt;1,OR(N(Tasks[[#This Row],[Finish Var]])&gt;0,Tasks[[#This Row],[Status]]="Late Start")),MAX(0,Tasks[[#This Row],[Finish Var]])+1-Tasks[[#This Row],[_Row]]/1000000,"")</f>
        <v/>
      </c>
      <c r="GM37" s="43" t="str">
        <f aca="false">IF(AND(Tasks[[#This Row],[_IsLeaf]]=1,N(Tasks[[#This Row],[Actual Start]])=0,Tasks[[#This Row],[_ShownFcstStart]]&gt;=StatusDate,Tasks[[#This Row],[_ShownFcstStart]]&lt;=LookaheadEnd),Tasks[[#This Row],[_ShownFcstStart]]+Tasks[[#This Row],[_Row]]/100000,"")</f>
        <v/>
      </c>
      <c r="GN37" s="43" t="str">
        <f aca="false">IF(AND(Tasks[[#This Row],[_IsLeaf]]=1,Tasks[[#This Row],[_LeafProgress]]&lt;1,Tasks[[#This Row],[_ShownFcstFinish]]&gt;=StatusDate,Tasks[[#This Row],[_ShownFcstFinish]]&lt;=LookaheadEnd),Tasks[[#This Row],[_ShownFcstFinish]]+Tasks[[#This Row],[_Row]]/100000,"")</f>
        <v/>
      </c>
      <c r="GO37" s="43" t="str">
        <f aca="false">IF(Tasks[[#This Row],[_LeafCritical]],Tasks[[#This Row],[_ShownFcstStart]]+Tasks[[#This Row],[_Row]]/100000,"")</f>
        <v/>
      </c>
      <c r="GP37" s="43" t="n">
        <f aca="false">Tasks[[#This Row],[_LeafWork]]*Tasks[[#This Row],[_LeafProgress]]</f>
        <v>0</v>
      </c>
      <c r="GQ37" s="91" t="str">
        <f aca="false">IF(AND(Tasks[[#This Row],[_IsLeaf]]=1,Tasks[[#This Row],[_LeafProgress]]&gt;=1),IF(N(Tasks[[#This Row],[Actual Finish]])&gt;0,Tasks[[#This Row],[Actual Finish]],Tasks[[#This Row],[_ShownFcstFinish]]),"")</f>
        <v/>
      </c>
      <c r="GR37" s="43" t="n">
        <f aca="false">IF(Tasks[[#This Row],[_IsLeaf]]=1,N(Tasks[[#This Row],[Story Points]]),0)</f>
        <v>0</v>
      </c>
      <c r="GS37" s="43" t="str">
        <f aca="false">""</f>
        <v/>
      </c>
      <c r="GT37" s="90" t="b">
        <f aca="false">IF(Tasks[[#This Row],[Task Name]]="",FALSE(),AND(Tasks[[#This Row],[_IsLeaf]]=1,N(Tasks[[#This Row],[_Days]])=0))</f>
        <v>0</v>
      </c>
      <c r="GU37" s="91" t="n">
        <f aca="false">IF(Tasks[[#This Row],[Task Name]]="",0,IF(AND(Tasks[[#This Row],[_IsLeaf]]=1,NOT(Tasks[[#This Row],[_IsMilestone]]),N(Tasks[[#This Row],[Progress]])&gt;0),Tasks[[#This Row],[Start]],0))</f>
        <v>0</v>
      </c>
      <c r="GV37" s="91" t="n">
        <f aca="false">IF(Tasks[[#This Row],[_DoneFrom]]=0,0,IF(Tasks[[#This Row],[Progress]]&gt;=1,Tasks[[#This Row],[Finish]],MAX(Tasks[[#This Row],[_DoneFrom]],Tasks[[#This Row],[Start]]+ROUND((Tasks[[#This Row],[Finish]]-Tasks[[#This Row],[Start]]+1)*Tasks[[#This Row],[Progress]],0)-1)))</f>
        <v>0</v>
      </c>
      <c r="GW37" s="91" t="n">
        <f aca="false">IF(Tasks[[#This Row],[Task Name]]="",0,IF(OR(NOT(Tasks[[#This Row],[_IsLeaf]]=1),Tasks[[#This Row],[_IsMilestone]],N(Tasks[[#This Row],[Progress]])&gt;=1),0,IF(Tasks[[#This Row],[_DoneTo]]&gt;0,Tasks[[#This Row],[_DoneTo]]+1,Tasks[[#This Row],[Start]])))</f>
        <v>0</v>
      </c>
      <c r="GX37" s="91" t="n">
        <f aca="false">IF(Tasks[[#This Row],[_RemFrom]]=0,0,Tasks[[#This Row],[Finish]])</f>
        <v>0</v>
      </c>
      <c r="GY37" s="90" t="b">
        <f aca="false">IF(Tasks[[#This Row],[Task Name]]="",FALSE(),OR(NOT(BaselineSet),N(Tasks[[#This Row],[Baseline Start]])&gt;0))</f>
        <v>0</v>
      </c>
      <c r="GZ3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7" s="92" t="str">
        <f aca="false">IF(Tasks[[#This Row],[_IsLeaf]]=1,Tasks[[#This Row],[_Row]],"")</f>
        <v/>
      </c>
      <c r="HD37" s="92" t="str">
        <f aca="false">IFERROR(INDEX(Tasks[UID],SMALL(Tasks[_PickKey],Tasks[[#This Row],[_Row]]))&amp;" "&amp;INDEX(Tasks[Task Name],SMALL(Tasks[_PickKey],Tasks[[#This Row],[_Row]])),"")</f>
        <v/>
      </c>
      <c r="HE37" s="43" t="str">
        <f aca="false">IF(Tasks[[#This Row],[Task Name]]="","",IF(Tasks[[#This Row],[_IsSummary]],NETWORKDAYS.INTL(Tasks[[#This Row],[Start]],Tasks[[#This Row],[Finish]],WorkWeek,Holidays),N(Tasks[[#This Row],[_Days]])))</f>
        <v/>
      </c>
      <c r="HF37" s="43" t="n">
        <f aca="false">IF(Tasks[[#This Row],[Expected]]="",0,((Tasks[[#This Row],[Pessimistic]]-Tasks[[#This Row],[Optimistic]])/6)^2)</f>
        <v>0</v>
      </c>
      <c r="HG37" s="43" t="n">
        <f aca="false">IF(Tasks[[#This Row],[Expected]]="",0,Tasks[[#This Row],[Expected]]-N(Tasks[[#This Row],[_Days]]))</f>
        <v>0</v>
      </c>
    </row>
    <row r="38" customFormat="false" ht="15" hidden="false" customHeight="false" outlineLevel="0" collapsed="false">
      <c r="A38" s="21" t="str">
        <f aca="false">IF(Tasks[[#This Row],[Task Name]]="","",COUNTA(Tasks[[#Headers],[Task Name]]:Tasks[[#This Row],[Task Name]])-1)</f>
        <v/>
      </c>
      <c r="B38" s="22" t="n">
        <v>46</v>
      </c>
      <c r="C38" s="22"/>
      <c r="D38" s="23"/>
      <c r="E38" s="22"/>
      <c r="F38" s="23"/>
      <c r="G38" s="22"/>
      <c r="H38" s="22"/>
      <c r="I38" s="23"/>
      <c r="J38" s="22"/>
      <c r="K38" s="22"/>
      <c r="L38" s="23"/>
      <c r="M38" s="22"/>
      <c r="N38" s="22"/>
      <c r="O38" s="23"/>
      <c r="P38" s="22"/>
      <c r="Q38" s="22"/>
      <c r="R38" s="23"/>
      <c r="S38" s="23"/>
      <c r="T38" s="84"/>
      <c r="U38" s="23"/>
      <c r="V38" s="84"/>
      <c r="W38" s="23"/>
      <c r="X38" s="84"/>
      <c r="Y38" s="23"/>
      <c r="Z38" s="84"/>
      <c r="AA38" s="23"/>
      <c r="AB38" s="23"/>
      <c r="AC38" s="7"/>
      <c r="AD38" s="7"/>
      <c r="AE38" s="63" t="str">
        <f aca="false">IF(Tasks[[#This Row],[Task Name]]="","",IF(Tasks[[#This Row],[_IsSummary]],MIN(INDEX(Tasks[_ShownFcstStart],Tasks[[#This Row],[_Row]]+1):INDEX(Tasks[_ShownFcstStart],Tasks[[#This Row],[_Row]]+Tasks[[#This Row],[_Descendants]])),Tasks[[#This Row],[_ShownFcstStart]]))</f>
        <v/>
      </c>
      <c r="AF38" s="63" t="str">
        <f aca="false">IF(Tasks[[#This Row],[Task Name]]="","",IF(Tasks[[#This Row],[_IsSummary]],MAX(INDEX(Tasks[_ShownFcstFinish],Tasks[[#This Row],[_Row]]+1):INDEX(Tasks[_ShownFcstFinish],Tasks[[#This Row],[_Row]]+Tasks[[#This Row],[_Descendants]])),Tasks[[#This Row],[_ShownFcstFinish]]))</f>
        <v/>
      </c>
      <c r="AG38" s="21" t="str">
        <f aca="false">""</f>
        <v/>
      </c>
      <c r="AH38" s="23"/>
      <c r="AI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8" s="7"/>
      <c r="AK38" s="22"/>
      <c r="AL38" s="23"/>
      <c r="AM38" s="7"/>
      <c r="AN38" s="47" t="str">
        <f aca="false">IF(Tasks[[#This Row],[Task Name]]="","",IF(Tasks[[#This Row],[Finish]]&gt;=Tasks[[#This Row],[Planned Finish]],NETWORKDAYS.INTL(Tasks[[#This Row],[Planned Finish]],Tasks[[#This Row],[Finish]],WorkWeek,Holidays)-1,1-NETWORKDAYS.INTL(Tasks[[#This Row],[Finish]],Tasks[[#This Row],[Planned Finish]],WorkWeek,Holidays)))</f>
        <v/>
      </c>
      <c r="AO38" s="21" t="str">
        <f aca="false">IF(Tasks[[#This Row],[Task Name]]="","",IF(Tasks[[#This Row],[Progress]]&gt;=1,"Complete",IF(OR(N(Tasks[[#This Row],[Actual Start]])&gt;0,Tasks[[#This Row],[Progress]]&gt;0),IF(Tasks[[#This Row],[Finish Var]]&gt;0,"Behind","In Progress"),IF(Tasks[[#This Row],[Planned Start]]&lt;StatusDate,"Late Start","Not Started"))))</f>
        <v/>
      </c>
      <c r="AP38" s="21" t="str">
        <f aca="false">IF(Tasks[[#This Row],[Task Name]]="","",IF(IF(Tasks[[#This Row],[_IsSummary]],COUNTIF(INDEX(Tasks[_LeafCritical],Tasks[[#This Row],[_Row]]+1):INDEX(Tasks[_LeafCritical],Tasks[[#This Row],[_Row]]+Tasks[[#This Row],[_Descendants]]),TRUE())&gt;0,Tasks[[#This Row],[_LeafCritical]]),"Yes",""))</f>
        <v/>
      </c>
      <c r="AQ38" s="63" t="str">
        <f aca="false">IF(Tasks[[#This Row],[Task Name]]="","",IF(N(Tasks[[#This Row],[Baseline Start]])&gt;0,Tasks[[#This Row],[Baseline Start]],Tasks[[#This Row],[_CalcStart]]))</f>
        <v/>
      </c>
      <c r="AR38" s="63" t="str">
        <f aca="false">IF(Tasks[[#This Row],[Task Name]]="","",IF(N(Tasks[[#This Row],[Baseline Finish]])&gt;0,Tasks[[#This Row],[Baseline Finish]],Tasks[[#This Row],[_CalcFinish]]))</f>
        <v/>
      </c>
      <c r="AS38" s="47" t="str">
        <f aca="false">IF(Tasks[[#This Row],[Task Name]]="","",IF(Tasks[[#This Row],[Start]]&gt;=Tasks[[#This Row],[Planned Start]],NETWORKDAYS.INTL(Tasks[[#This Row],[Planned Start]],Tasks[[#This Row],[Start]],WorkWeek,Holidays)-1,1-NETWORKDAYS.INTL(Tasks[[#This Row],[Start]],Tasks[[#This Row],[Planned Start]],WorkWeek,Holidays)))</f>
        <v/>
      </c>
      <c r="AT38" s="63" t="str">
        <f aca="false">IF(Tasks[[#This Row],[Task Name]]="","",IF(Tasks[[#This Row],[_IsSummary]],MIN(INDEX(Tasks[_LeafLateStart],Tasks[[#This Row],[_Row]]+1):INDEX(Tasks[_LeafLateStart],Tasks[[#This Row],[_Row]]+Tasks[[#This Row],[_Descendants]])),Tasks[[#This Row],[_LeafLateStart]]))</f>
        <v/>
      </c>
      <c r="AU38" s="63" t="str">
        <f aca="false">IF(Tasks[[#This Row],[Task Name]]="","",IF(Tasks[[#This Row],[_IsSummary]],MAX(INDEX(Tasks[_LeafLateFinish],Tasks[[#This Row],[_Row]]+1):INDEX(Tasks[_LeafLateFinish],Tasks[[#This Row],[_Row]]+Tasks[[#This Row],[_Descendants]])),Tasks[[#This Row],[_LeafLateFinish]]))</f>
        <v/>
      </c>
      <c r="AV38" s="47" t="str">
        <f aca="false">IF(Tasks[[#This Row],[Task Name]]="","",IF(Tasks[[#This Row],[_IsSummary]],MIN(INDEX(Tasks[_LeafTotalSlack],Tasks[[#This Row],[_Row]]+1):INDEX(Tasks[_LeafTotalSlack],Tasks[[#This Row],[_Row]]+Tasks[[#This Row],[_Descendants]])),Tasks[[#This Row],[_LeafTotalSlack]]))</f>
        <v/>
      </c>
      <c r="AW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5"/>
      <c r="BA3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t="str">
        <f aca="false">IF(Tasks[[#This Row],[Task Name]]="","",IF(Tasks[[#This Row],[_Level]]&lt;=OutlineShowLevel,"Yes","No"))</f>
        <v/>
      </c>
      <c r="BE38" s="86" t="str">
        <f aca="false">IF(Tasks[[#This Row],[Task Name]]="","",IF(Tasks[[#This Row],[_IsSummary]],SUM(INDEX(Tasks[_LeafTotalWork],Tasks[[#This Row],[_Row]]+1):INDEX(Tasks[_LeafTotalWork],Tasks[[#This Row],[_Row]]+Tasks[[#This Row],[_Descendants]])),Tasks[[#This Row],[_LeafTotalWork]]))</f>
        <v/>
      </c>
      <c r="BF38" s="23"/>
      <c r="BG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t="str">
        <f aca="false">""</f>
        <v/>
      </c>
      <c r="BI38" s="87"/>
      <c r="BJ38" s="22"/>
      <c r="BK38" s="47" t="str">
        <f aca="false">IF(OR(Tasks[[#This Row],[Task Name]]="",Tasks[[#This Row],[Baseline Duration]]=""),"",Tasks[[#This Row],[_SpanDays]]-N(Tasks[[#This Row],[Baseline Duration]]))</f>
        <v/>
      </c>
      <c r="BL38" s="86" t="str">
        <f aca="false">IF(OR(Tasks[[#This Row],[Task Name]]="",Tasks[[#This Row],[Baseline Work]]=""),"",Tasks[[#This Row],[Work]]-N(Tasks[[#This Row],[Baseline Work]]))</f>
        <v/>
      </c>
      <c r="BM38" s="63" t="str">
        <f aca="false">IF(Tasks[[#This Row],[Task Name]]="","",IF(OR(TakeBaseline="Yes",N(Tasks[[#This Row],[Baseline Start]])=0),Tasks[[#This Row],[Start]],Tasks[[#This Row],[Baseline Start]]))</f>
        <v/>
      </c>
      <c r="BN38" s="63" t="str">
        <f aca="false">IF(Tasks[[#This Row],[Task Name]]="","",IF(OR(TakeBaseline="Yes",N(Tasks[[#This Row],[Baseline Finish]])=0),Tasks[[#This Row],[Finish]],Tasks[[#This Row],[Baseline Finish]]))</f>
        <v/>
      </c>
      <c r="BO38" s="21" t="str">
        <f aca="false">IF(Tasks[[#This Row],[Task Name]]="","",IF(OR(TakeBaseline="Yes",N(Tasks[[#This Row],[Baseline Duration]])=0),Tasks[[#This Row],[_SpanDays]],Tasks[[#This Row],[Baseline Duration]]))</f>
        <v/>
      </c>
      <c r="BP38" s="86" t="str">
        <f aca="false">IF(Tasks[[#This Row],[Task Name]]="","",IF(OR(TakeBaseline="Yes",N(Tasks[[#This Row],[Baseline Work]])=0),Tasks[[#This Row],[Work]],Tasks[[#This Row],[Baseline Work]]))</f>
        <v/>
      </c>
      <c r="BQ38" s="7"/>
      <c r="BR38" s="7"/>
      <c r="BS38" s="22"/>
      <c r="BT38" s="88"/>
      <c r="BU38" s="23"/>
      <c r="BV38" s="23"/>
      <c r="BW38" s="23"/>
      <c r="BX38" s="89" t="str">
        <f aca="false">IF(AND(Tasks[[#This Row],[_IsLeaf]]=1,ISNUMBER(Tasks[[#This Row],[Optimistic]]),ISNUMBER(Tasks[[#This Row],[Pessimistic]])),ROUND((Tasks[[#This Row],[Optimistic]]+4*N(Tasks[[#This Row],[_Days]])+Tasks[[#This Row],[Pessimistic]])/6,1),"")</f>
        <v/>
      </c>
      <c r="BY38" s="87"/>
      <c r="BZ38" s="87"/>
      <c r="CA38" s="22"/>
      <c r="CB38" s="43" t="str">
        <f aca="false">IF(Tasks[[#This Row],[Task Name]]="","",MAX(1,N(Tasks[[#This Row],[Level]])))</f>
        <v/>
      </c>
      <c r="CC38" s="43" t="n">
        <f aca="false">ROW()-ROW(Tasks[[#Headers],[ID]])</f>
        <v>33</v>
      </c>
      <c r="CD38" s="43" t="n">
        <f aca="false">IF(OR(Tasks[[#This Row],[Task Name]]="",Tasks[[#This Row],[_Level]]&lt;=1),0,IFERROR(LOOKUP(2,1/(Tasks[[#Headers],[_Level]]:Tasks[[#This Row],[_Level]]=Tasks[[#This Row],[_Level]]-1),ROW(Tasks[[#Headers],[_Level]]:Tasks[[#This Row],[_Level]])),0))</f>
        <v>0</v>
      </c>
      <c r="CE38" s="43" t="n">
        <f aca="false">IFERROR(N(INDEX(Tasks[_Level],Tasks[[#This Row],[_Row]]+1)),0)</f>
        <v>0</v>
      </c>
      <c r="CF38" s="90" t="b">
        <f aca="false">AND(Tasks[[#This Row],[Task Name]]&lt;&gt;"",Tasks[[#This Row],[_NextLevel]]&gt;Tasks[[#This Row],[_Level]])</f>
        <v>0</v>
      </c>
      <c r="CG38" s="43" t="n">
        <f aca="false">IF(Tasks[[#This Row],[_IsSummary]],COUNTIF(Tasks[WBS],Tasks[[#This Row],[WBS]]&amp;".*"),0)</f>
        <v>0</v>
      </c>
      <c r="CH38" s="43" t="n">
        <f aca="false">IF(AND(Tasks[[#This Row],[Task Name]]&lt;&gt;"",NOT(Tasks[[#This Row],[_IsSummary]])),1,0)</f>
        <v>0</v>
      </c>
      <c r="CI38" s="43" t="n">
        <f aca="false">IF(N(Tasks[[#This Row],[_Pred1UID]])=0,0,IFERROR(MATCH(Tasks[[#This Row],[_Pred1UID]],Tasks[UID],0),-1))</f>
        <v>0</v>
      </c>
      <c r="CJ38" s="43" t="n">
        <f aca="false">IF(N(Tasks[[#This Row],[_Pred2UID]])=0,0,IFERROR(MATCH(Tasks[[#This Row],[_Pred2UID]],Tasks[UID],0),-1))</f>
        <v>0</v>
      </c>
      <c r="CK38" s="43" t="n">
        <f aca="false">IF(N(Tasks[[#This Row],[_Pred3UID]])=0,0,IFERROR(MATCH(Tasks[[#This Row],[_Pred3UID]],Tasks[UID],0),-1))</f>
        <v>0</v>
      </c>
      <c r="CL38" s="43" t="n">
        <f aca="false">IF(N(Tasks[[#This Row],[_Pred4UID]])=0,0,IFERROR(MATCH(Tasks[[#This Row],[_Pred4UID]],Tasks[UID],0),-1))</f>
        <v>0</v>
      </c>
      <c r="CM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8" s="91" t="n">
        <f aca="false">IF(OR(Tasks[[#This Row],[_ConstraintCode]]=2,Tasks[[#This Row],[_ConstraintCode]]=3,Tasks[[#This Row],[_ConstraintCode]]=4,Tasks[[#This Row],[_ConstraintCode]]=6),Tasks[[#This Row],[_ConstraintStart]],0)</f>
        <v>0</v>
      </c>
      <c r="CP38" s="91" t="n">
        <f aca="false">IF(OR(Tasks[[#This Row],[_ConstraintCode]]=2,Tasks[[#This Row],[_ConstraintCode]]=3,Tasks[[#This Row],[_ConstraintCode]]=5,Tasks[[#This Row],[_ConstraintCode]]=7),Tasks[[#This Row],[_ConstraintStart]],2958465)</f>
        <v>2958465</v>
      </c>
      <c r="CQ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8" s="91" t="str">
        <f aca="false">IF(NOT(Tasks[[#This Row],[_IsLeaf]]=1),"",IF(N(Tasks[[#This Row],[_Days]])&lt;=0,Tasks[[#This Row],[_LeafCalcStart]],WORKDAY.INTL(Tasks[[#This Row],[_LeafCalcStart]],Tasks[[#This Row],[_Days]]-1,WorkWeek,Holidays)))</f>
        <v/>
      </c>
      <c r="CS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8" s="43" t="str">
        <f aca="false">IF(Tasks[[#This Row],[_Predecessors]]="","",TRIM(MID(SUBSTITUTE(SUBSTITUTE(SUBSTITUTE(UPPER(Tasks[[#This Row],[_Predecessors]]),";",",")," ",""),",",REPT(" ",99)),1,99)))</f>
        <v/>
      </c>
      <c r="CV38" s="43" t="str">
        <f aca="false">IF(Tasks[[#This Row],[_Pred1Text]]="","",IFERROR(VALUE(LEFT(Tasks[[#This Row],[_Pred1Text]],MIN(FIND("F",Tasks[[#This Row],[_Pred1Text]]&amp;"F"),FIND("S",Tasks[[#This Row],[_Pred1Text]]&amp;"S"),FIND("+",Tasks[[#This Row],[_Pred1Text]]&amp;"+"),FIND("-",Tasks[[#This Row],[_Pred1Text]]&amp;"-"))-1)),""))</f>
        <v/>
      </c>
      <c r="CW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8" s="43" t="str">
        <f aca="false">IF(Tasks[[#This Row],[_Pred1Text]]="","",TRIM(MID(SUBSTITUTE(SUBSTITUTE(SUBSTITUTE(UPPER(Tasks[[#This Row],[_Predecessors]]),";",",")," ",""),",",REPT(" ",99)),100,99)))</f>
        <v/>
      </c>
      <c r="CZ38" s="43" t="str">
        <f aca="false">IF(Tasks[[#This Row],[_Pred2Text]]="","",IFERROR(VALUE(LEFT(Tasks[[#This Row],[_Pred2Text]],MIN(FIND("F",Tasks[[#This Row],[_Pred2Text]]&amp;"F"),FIND("S",Tasks[[#This Row],[_Pred2Text]]&amp;"S"),FIND("+",Tasks[[#This Row],[_Pred2Text]]&amp;"+"),FIND("-",Tasks[[#This Row],[_Pred2Text]]&amp;"-"))-1)),""))</f>
        <v/>
      </c>
      <c r="DA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8" s="43" t="str">
        <f aca="false">IF(Tasks[[#This Row],[_Pred2Text]]="","",TRIM(MID(SUBSTITUTE(SUBSTITUTE(SUBSTITUTE(UPPER(Tasks[[#This Row],[_Predecessors]]),";",",")," ",""),",",REPT(" ",99)),199,99)))</f>
        <v/>
      </c>
      <c r="DD38" s="43" t="str">
        <f aca="false">IF(Tasks[[#This Row],[_Pred3Text]]="","",IFERROR(VALUE(LEFT(Tasks[[#This Row],[_Pred3Text]],MIN(FIND("F",Tasks[[#This Row],[_Pred3Text]]&amp;"F"),FIND("S",Tasks[[#This Row],[_Pred3Text]]&amp;"S"),FIND("+",Tasks[[#This Row],[_Pred3Text]]&amp;"+"),FIND("-",Tasks[[#This Row],[_Pred3Text]]&amp;"-"))-1)),""))</f>
        <v/>
      </c>
      <c r="DE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8" s="43" t="str">
        <f aca="false">IF(Tasks[[#This Row],[_Pred3Text]]="","",TRIM(MID(SUBSTITUTE(SUBSTITUTE(SUBSTITUTE(UPPER(Tasks[[#This Row],[_Predecessors]]),";",",")," ",""),",",REPT(" ",99)),298,99)))</f>
        <v/>
      </c>
      <c r="DH38" s="43" t="str">
        <f aca="false">IF(Tasks[[#This Row],[_Pred4Text]]="","",IFERROR(VALUE(LEFT(Tasks[[#This Row],[_Pred4Text]],MIN(FIND("F",Tasks[[#This Row],[_Pred4Text]]&amp;"F"),FIND("S",Tasks[[#This Row],[_Pred4Text]]&amp;"S"),FIND("+",Tasks[[#This Row],[_Pred4Text]]&amp;"+"),FIND("-",Tasks[[#This Row],[_Pred4Text]]&amp;"-"))-1)),""))</f>
        <v/>
      </c>
      <c r="DI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8" s="43" t="str">
        <f aca="false">IF(OR(Tasks[[#This Row],[Task Name]]="",Tasks[[#This Row],[_Resources]]=""),"",TRIM(MID(SUBSTITUTE(Tasks[[#This Row],[_Resources]],",",REPT(" ",99)),1,99)))</f>
        <v/>
      </c>
      <c r="DL38" s="43" t="str">
        <f aca="false">IF(Tasks[[#This Row],[_Res1Text]]="","",TRIM(MID(SUBSTITUTE(Tasks[[#This Row],[_Resources]],",",REPT(" ",99)),100,99)))</f>
        <v/>
      </c>
      <c r="DM38" s="43" t="str">
        <f aca="false">IF(Tasks[[#This Row],[_Res2Text]]="","",TRIM(MID(SUBSTITUTE(Tasks[[#This Row],[_Resources]],",",REPT(" ",99)),199,99)))</f>
        <v/>
      </c>
      <c r="DN38" s="43" t="str">
        <f aca="false">IF(Tasks[[#This Row],[_Res3Text]]="","",TRIM(MID(SUBSTITUTE(Tasks[[#This Row],[_Resources]],",",REPT(" ",99)),298,99)))</f>
        <v/>
      </c>
      <c r="DO38" s="43" t="n">
        <f aca="false">IF(Tasks[[#This Row],[_Res1Text]]="",0,IFERROR(MATCH(TRIM(LEFT(Tasks[[#This Row],[_Res1Text]],FIND("[",Tasks[[#This Row],[_Res1Text]]&amp;"[")-1)),res_Name,0),IFERROR(MATCH(TRIM(LEFT(Tasks[[#This Row],[_Res1Text]],FIND("[",Tasks[[#This Row],[_Res1Text]]&amp;"[")-1)),res_Initials,0),0)))</f>
        <v>0</v>
      </c>
      <c r="DP38" s="43" t="n">
        <f aca="false">IF(Tasks[[#This Row],[_Res2Text]]="",0,IFERROR(MATCH(TRIM(LEFT(Tasks[[#This Row],[_Res2Text]],FIND("[",Tasks[[#This Row],[_Res2Text]]&amp;"[")-1)),res_Name,0),IFERROR(MATCH(TRIM(LEFT(Tasks[[#This Row],[_Res2Text]],FIND("[",Tasks[[#This Row],[_Res2Text]]&amp;"[")-1)),res_Initials,0),0)))</f>
        <v>0</v>
      </c>
      <c r="DQ38" s="43" t="n">
        <f aca="false">IF(Tasks[[#This Row],[_Res3Text]]="",0,IFERROR(MATCH(TRIM(LEFT(Tasks[[#This Row],[_Res3Text]],FIND("[",Tasks[[#This Row],[_Res3Text]]&amp;"[")-1)),res_Name,0),IFERROR(MATCH(TRIM(LEFT(Tasks[[#This Row],[_Res3Text]],FIND("[",Tasks[[#This Row],[_Res3Text]]&amp;"[")-1)),res_Initials,0),0)))</f>
        <v>0</v>
      </c>
      <c r="DR38" s="43" t="n">
        <f aca="false">IF(Tasks[[#This Row],[_Res4Text]]="",0,IFERROR(MATCH(TRIM(LEFT(Tasks[[#This Row],[_Res4Text]],FIND("[",Tasks[[#This Row],[_Res4Text]]&amp;"[")-1)),res_Name,0),IFERROR(MATCH(TRIM(LEFT(Tasks[[#This Row],[_Res4Text]],FIND("[",Tasks[[#This Row],[_Res4Text]]&amp;"[")-1)),res_Initials,0),0)))</f>
        <v>0</v>
      </c>
      <c r="DS38" s="43" t="str">
        <f aca="false">IF(Tasks[[#This Row],[_Res1Text]]="","",IF(Tasks[[#This Row],[_Res1Row]]&gt;0,INDEX(res_Name,Tasks[[#This Row],[_Res1Row]]),TRIM(LEFT(Tasks[[#This Row],[_Res1Text]],FIND("[",Tasks[[#This Row],[_Res1Text]]&amp;"[")-1))))</f>
        <v/>
      </c>
      <c r="DT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8" s="43" t="n">
        <f aca="false">IF(NOT(Tasks[[#This Row],[_IsLeaf]]=1),0,(Tasks[[#This Row],[_Resource1]]&lt;&gt;"")+(Tasks[[#This Row],[_Res2]]&lt;&gt;"")+(Tasks[[#This Row],[_Res3]]&lt;&gt;"")+(Tasks[[#This Row],[_Res4]]&lt;&gt;""))</f>
        <v>0</v>
      </c>
      <c r="DV38" s="43" t="str">
        <f aca="false">IF(Tasks[[#This Row],[_Res2Text]]="","",IF(Tasks[[#This Row],[_Res2Row]]&gt;0,INDEX(res_Name,Tasks[[#This Row],[_Res2Row]]),TRIM(LEFT(Tasks[[#This Row],[_Res2Text]],FIND("[",Tasks[[#This Row],[_Res2Text]]&amp;"[")-1))))</f>
        <v/>
      </c>
      <c r="DW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8" s="43" t="n">
        <f aca="false">IF(OR(NOT(Tasks[[#This Row],[_IsLeaf]]=1),Tasks[[#This Row],[_Res2Row]]=0),0,N(Tasks[[#This Row],[_Days]])*HoursPerDay*IF(Tasks[[#This Row],[_Res2Units]]="",DefaultUnits,Tasks[[#This Row],[_Res2Units]]))</f>
        <v>0</v>
      </c>
      <c r="DY38" s="43" t="n">
        <f aca="false">IF(AND(AND(Tasks[[#This Row],[_IsLeaf]]=1,Tasks[[#This Row],[_LeafTotalWork]]&gt;0),Tasks[[#This Row],[_Res2Work]]&gt;0),Tasks[[#This Row],[_Res2Work]]/(Tasks[[#This Row],[_FinishWorkday]]-Tasks[[#This Row],[_StartWorkday]]+1),0)</f>
        <v>0</v>
      </c>
      <c r="DZ38" s="43" t="n">
        <f aca="false">Tasks[[#This Row],[_Res2WorkPerWD]]*MAX(0,Tasks[[#This Row],[_StartWorkday]]-1)</f>
        <v>0</v>
      </c>
      <c r="EA38" s="43" t="n">
        <f aca="false">Tasks[[#This Row],[_Res2Work]]*Tasks[[#This Row],[_LeafProgress]]</f>
        <v>0</v>
      </c>
      <c r="EB38" s="43" t="str">
        <f aca="false">IF(Tasks[[#This Row],[_Res3Text]]="","",IF(Tasks[[#This Row],[_Res3Row]]&gt;0,INDEX(res_Name,Tasks[[#This Row],[_Res3Row]]),TRIM(LEFT(Tasks[[#This Row],[_Res3Text]],FIND("[",Tasks[[#This Row],[_Res3Text]]&amp;"[")-1))))</f>
        <v/>
      </c>
      <c r="EC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8" s="43" t="n">
        <f aca="false">IF(OR(NOT(Tasks[[#This Row],[_IsLeaf]]=1),Tasks[[#This Row],[_Res3Row]]=0),0,N(Tasks[[#This Row],[_Days]])*HoursPerDay*IF(Tasks[[#This Row],[_Res3Units]]="",DefaultUnits,Tasks[[#This Row],[_Res3Units]]))</f>
        <v>0</v>
      </c>
      <c r="EE38" s="43" t="n">
        <f aca="false">IF(AND(AND(Tasks[[#This Row],[_IsLeaf]]=1,Tasks[[#This Row],[_LeafTotalWork]]&gt;0),Tasks[[#This Row],[_Res3Work]]&gt;0),Tasks[[#This Row],[_Res3Work]]/(Tasks[[#This Row],[_FinishWorkday]]-Tasks[[#This Row],[_StartWorkday]]+1),0)</f>
        <v>0</v>
      </c>
      <c r="EF38" s="43" t="n">
        <f aca="false">Tasks[[#This Row],[_Res3WorkPerWD]]*MAX(0,Tasks[[#This Row],[_StartWorkday]]-1)</f>
        <v>0</v>
      </c>
      <c r="EG38" s="43" t="n">
        <f aca="false">Tasks[[#This Row],[_Res3Work]]*Tasks[[#This Row],[_LeafProgress]]</f>
        <v>0</v>
      </c>
      <c r="EH38" s="43" t="str">
        <f aca="false">IF(Tasks[[#This Row],[_Res4Text]]="","",IF(Tasks[[#This Row],[_Res4Row]]&gt;0,INDEX(res_Name,Tasks[[#This Row],[_Res4Row]]),TRIM(LEFT(Tasks[[#This Row],[_Res4Text]],FIND("[",Tasks[[#This Row],[_Res4Text]]&amp;"[")-1))))</f>
        <v/>
      </c>
      <c r="EI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8" s="43" t="n">
        <f aca="false">IF(OR(NOT(Tasks[[#This Row],[_IsLeaf]]=1),Tasks[[#This Row],[_Res4Row]]=0),0,N(Tasks[[#This Row],[_Days]])*HoursPerDay*IF(Tasks[[#This Row],[_Res4Units]]="",DefaultUnits,Tasks[[#This Row],[_Res4Units]]))</f>
        <v>0</v>
      </c>
      <c r="EK38" s="43" t="n">
        <f aca="false">IF(AND(AND(Tasks[[#This Row],[_IsLeaf]]=1,Tasks[[#This Row],[_LeafTotalWork]]&gt;0),Tasks[[#This Row],[_Res4Work]]&gt;0),Tasks[[#This Row],[_Res4Work]]/(Tasks[[#This Row],[_FinishWorkday]]-Tasks[[#This Row],[_StartWorkday]]+1),0)</f>
        <v>0</v>
      </c>
      <c r="EL38" s="43" t="n">
        <f aca="false">Tasks[[#This Row],[_Res4WorkPerWD]]*MAX(0,Tasks[[#This Row],[_StartWorkday]]-1)</f>
        <v>0</v>
      </c>
      <c r="EM38" s="43" t="n">
        <f aca="false">Tasks[[#This Row],[_Res4Work]]*Tasks[[#This Row],[_LeafProgress]]</f>
        <v>0</v>
      </c>
      <c r="EN38" s="43" t="n">
        <f aca="false">IF(ISNUMBER(Tasks[[#This Row],[% Complete]]),Tasks[[#This Row],[% Complete]],IF(Tasks[[#This Row],[Stage]]="",0,IFERROR(INDEX(stg_Pct,MATCH(Tasks[[#This Row],[Stage]],stg_Name,0)),0)))</f>
        <v>0</v>
      </c>
      <c r="EO38" s="43" t="n">
        <f aca="false">IF(NOT(Tasks[[#This Row],[_IsLeaf]]=1),0,IF(N(Tasks[[#This Row],[Actual Finish]])&gt;0,1,MIN(1,Tasks[[#This Row],[_Pct]])))</f>
        <v>0</v>
      </c>
      <c r="EP38" s="43" t="n">
        <f aca="false">IF(OR(NOT(Tasks[[#This Row],[_IsLeaf]]=1),Tasks[[#This Row],[_Res1Row]]=0),0,N(Tasks[[#This Row],[_Days]])*HoursPerDay*IF(Tasks[[#This Row],[_Units1]]="",DefaultUnits,Tasks[[#This Row],[_Units1]]))</f>
        <v>0</v>
      </c>
      <c r="EQ38" s="43" t="n">
        <f aca="false">Tasks[[#This Row],[_LeafWork]]+Tasks[[#This Row],[_Res2Work]]+Tasks[[#This Row],[_Res3Work]]+Tasks[[#This Row],[_Res4Work]]</f>
        <v>0</v>
      </c>
      <c r="ER3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8" s="43" t="n">
        <f aca="false">IF(NOT(Tasks[[#This Row],[_IsLeaf]]=1),0,MAX(_xlfn.MAXIFS(Tasks[_Row],Tasks[_Pred1UID],Tasks[[#This Row],[UID]]),_xlfn.MAXIFS(Tasks[_Row],Tasks[_Pred2UID],Tasks[[#This Row],[UID]]),_xlfn.MAXIFS(Tasks[_Row],Tasks[_Pred3UID],Tasks[[#This Row],[UID]]),_xlfn.MAXIFS(Tasks[_Row],Tasks[_Pred4UID],Tasks[[#This Row],[UID]])))</f>
        <v>0</v>
      </c>
      <c r="FA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8" s="91" t="str">
        <f aca="false">IF(NOT(Tasks[[#This Row],[_IsLeaf]]=1),"",IF(N(Tasks[[#This Row],[_Days]])&lt;=0,Tasks[[#This Row],[_LeafLateFinish]],WORKDAY.INTL(Tasks[[#This Row],[_LeafLateFinish]],-(Tasks[[#This Row],[_Days]]-1),WorkWeek,Holidays)))</f>
        <v/>
      </c>
      <c r="FD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8" s="90" t="b">
        <f aca="false">AND(Tasks[[#This Row],[_IsLeaf]]=1,Tasks[[#This Row],[_LeafProgress]]&lt;1,N(Tasks[[#This Row],[_LeafTotalSlack]])&lt;=CriticalSlackDays)</f>
        <v>0</v>
      </c>
      <c r="FF38" s="43" t="n">
        <f aca="false">IF(AND(Tasks[[#This Row],[_IsLeaf]]=1,Tasks[[#This Row],[_ConstraintCode]]=1,Tasks[[#This Row],[Mode]]&lt;&gt;"Manual",N(Tasks[[#This Row],[Actual Start]])=0),MAX(0,N(Tasks[[#This Row],[Free Slack]])),0)</f>
        <v>0</v>
      </c>
      <c r="FG38" s="91" t="str">
        <f aca="false">IF(NOT(Tasks[[#This Row],[_IsLeaf]]=1),"",IF(Tasks[[#This Row],[_AlapShift]]=0,Tasks[[#This Row],[_LeafCalcStart]],WORKDAY.INTL(Tasks[[#This Row],[_LeafCalcStart]],Tasks[[#This Row],[_AlapShift]],WorkWeek,Holidays)))</f>
        <v/>
      </c>
      <c r="FH38" s="91" t="str">
        <f aca="false">IF(NOT(Tasks[[#This Row],[_IsLeaf]]=1),"",IF(Tasks[[#This Row],[_AlapShift]]=0,Tasks[[#This Row],[_LeafCalcFinish]],WORKDAY.INTL(Tasks[[#This Row],[_LeafCalcFinish]],Tasks[[#This Row],[_AlapShift]],WorkWeek,Holidays)))</f>
        <v/>
      </c>
      <c r="FI38" s="91" t="str">
        <f aca="false">IF(NOT(Tasks[[#This Row],[_IsLeaf]]=1),"",IF(Tasks[[#This Row],[_AlapShift]]=0,Tasks[[#This Row],[_LeafFcstStart]],WORKDAY.INTL(Tasks[[#This Row],[_LeafFcstStart]],Tasks[[#This Row],[_AlapShift]],WorkWeek,Holidays)))</f>
        <v/>
      </c>
      <c r="FJ38" s="91" t="str">
        <f aca="false">IF(NOT(Tasks[[#This Row],[_IsLeaf]]=1),"",IF(Tasks[[#This Row],[_AlapShift]]=0,Tasks[[#This Row],[_LeafFcstFinish]],WORKDAY.INTL(Tasks[[#This Row],[_LeafFcstFinish]],Tasks[[#This Row],[_AlapShift]],WorkWeek,Holidays)))</f>
        <v/>
      </c>
      <c r="FK38" s="91" t="str">
        <f aca="false">IF(Tasks[[#This Row],[Task Name]]="","",IF(Tasks[[#This Row],[_IsSummary]],MIN(INDEX(Tasks[_ShownCalcStart],Tasks[[#This Row],[_Row]]+1):INDEX(Tasks[_ShownCalcStart],Tasks[[#This Row],[_Row]]+Tasks[[#This Row],[_Descendants]])),Tasks[[#This Row],[_ShownCalcStart]]))</f>
        <v/>
      </c>
      <c r="FL38" s="91" t="str">
        <f aca="false">IF(Tasks[[#This Row],[Task Name]]="","",IF(Tasks[[#This Row],[_IsSummary]],MAX(INDEX(Tasks[_ShownCalcFinish],Tasks[[#This Row],[_Row]]+1):INDEX(Tasks[_ShownCalcFinish],Tasks[[#This Row],[_Row]]+Tasks[[#This Row],[_Descendants]])),Tasks[[#This Row],[_ShownCalcFinish]]))</f>
        <v/>
      </c>
      <c r="FM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8" s="43" t="n">
        <f aca="false">IF(AND(Tasks[[#This Row],[_IsLeaf]]=1,Tasks[[#This Row],[_LeafTotalWork]]&gt;0),NETWORKDAYS.INTL(ProjectStart,Tasks[[#This Row],[_ShownFcstStart]],WorkWeek,Holidays),0)</f>
        <v>0</v>
      </c>
      <c r="FZ38" s="43" t="n">
        <f aca="false">IF(AND(Tasks[[#This Row],[_IsLeaf]]=1,Tasks[[#This Row],[_LeafTotalWork]]&gt;0),MAX(Tasks[[#This Row],[_StartWorkday]],NETWORKDAYS.INTL(ProjectStart,Tasks[[#This Row],[_ShownFcstFinish]],WorkWeek,Holidays)),0)</f>
        <v>0</v>
      </c>
      <c r="GA38" s="43" t="n">
        <f aca="false">IF(AND(Tasks[[#This Row],[_IsLeaf]]=1,Tasks[[#This Row],[_LeafTotalWork]]&gt;0),Tasks[[#This Row],[_LeafWork]]/(Tasks[[#This Row],[_FinishWorkday]]-Tasks[[#This Row],[_StartWorkday]]+1),0)</f>
        <v>0</v>
      </c>
      <c r="GB38" s="43" t="n">
        <f aca="false">Tasks[[#This Row],[_WorkPerWorkday]]*(Tasks[[#This Row],[_StartWorkday]]-1)</f>
        <v>-0</v>
      </c>
      <c r="GC38" s="43" t="n">
        <f aca="false">IF(Tasks[[#This Row],[_IsLeaf]]=1,MAX(N(Tasks[[#This Row],[_Days]]),0.1),0)</f>
        <v>0</v>
      </c>
      <c r="GD38" s="43" t="n">
        <f aca="false">Tasks[[#This Row],[_WeightDur]]*Tasks[[#This Row],[_LeafProgress]]</f>
        <v>0</v>
      </c>
      <c r="GE38" s="43" t="n">
        <f aca="false">Tasks[[#This Row],[_WeightDur]]*Tasks[[#This Row],[_PlannedPct]]</f>
        <v>0</v>
      </c>
      <c r="GF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8" s="43" t="str">
        <f aca="false">IF(AND(Tasks[[#This Row],[_IsLeaf]]=1,N(Tasks[[#This Row],[_Days]])=0,Tasks[[#This Row],[_LeafProgress]]&lt;1),Tasks[[#This Row],[_ShownFcstFinish]]+Tasks[[#This Row],[_Row]]/100000,"")</f>
        <v/>
      </c>
      <c r="GH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8" s="43" t="str">
        <f aca="false">IF(Tasks[[#This Row],[Task Name]]="","",LEFT(Tasks[[#This Row],[WBS]],FIND(".",Tasks[[#This Row],[WBS]]&amp;".")-1))</f>
        <v/>
      </c>
      <c r="GJ38" s="43" t="str">
        <f aca="false">IF(AND(Tasks[[#This Row],[Task Name]]&lt;&gt;"",Tasks[[#This Row],[_Level]]=1),Tasks[[#This Row],[_Row]],"")</f>
        <v/>
      </c>
      <c r="GK38" s="43" t="str">
        <f aca="false">IF(AND(Tasks[[#This Row],[_IsLeaf]]=1,N(Tasks[[#This Row],[_Days]])=0),Tasks[[#This Row],[Planned Finish]]+Tasks[[#This Row],[_Row]]/100000,"")</f>
        <v/>
      </c>
      <c r="GL38" s="43" t="str">
        <f aca="false">IF(AND(Tasks[[#This Row],[_IsLeaf]]=1,Tasks[[#This Row],[_LeafProgress]]&lt;1,OR(N(Tasks[[#This Row],[Finish Var]])&gt;0,Tasks[[#This Row],[Status]]="Late Start")),MAX(0,Tasks[[#This Row],[Finish Var]])+1-Tasks[[#This Row],[_Row]]/1000000,"")</f>
        <v/>
      </c>
      <c r="GM38" s="43" t="str">
        <f aca="false">IF(AND(Tasks[[#This Row],[_IsLeaf]]=1,N(Tasks[[#This Row],[Actual Start]])=0,Tasks[[#This Row],[_ShownFcstStart]]&gt;=StatusDate,Tasks[[#This Row],[_ShownFcstStart]]&lt;=LookaheadEnd),Tasks[[#This Row],[_ShownFcstStart]]+Tasks[[#This Row],[_Row]]/100000,"")</f>
        <v/>
      </c>
      <c r="GN38" s="43" t="str">
        <f aca="false">IF(AND(Tasks[[#This Row],[_IsLeaf]]=1,Tasks[[#This Row],[_LeafProgress]]&lt;1,Tasks[[#This Row],[_ShownFcstFinish]]&gt;=StatusDate,Tasks[[#This Row],[_ShownFcstFinish]]&lt;=LookaheadEnd),Tasks[[#This Row],[_ShownFcstFinish]]+Tasks[[#This Row],[_Row]]/100000,"")</f>
        <v/>
      </c>
      <c r="GO38" s="43" t="str">
        <f aca="false">IF(Tasks[[#This Row],[_LeafCritical]],Tasks[[#This Row],[_ShownFcstStart]]+Tasks[[#This Row],[_Row]]/100000,"")</f>
        <v/>
      </c>
      <c r="GP38" s="43" t="n">
        <f aca="false">Tasks[[#This Row],[_LeafWork]]*Tasks[[#This Row],[_LeafProgress]]</f>
        <v>0</v>
      </c>
      <c r="GQ38" s="91" t="str">
        <f aca="false">IF(AND(Tasks[[#This Row],[_IsLeaf]]=1,Tasks[[#This Row],[_LeafProgress]]&gt;=1),IF(N(Tasks[[#This Row],[Actual Finish]])&gt;0,Tasks[[#This Row],[Actual Finish]],Tasks[[#This Row],[_ShownFcstFinish]]),"")</f>
        <v/>
      </c>
      <c r="GR38" s="43" t="n">
        <f aca="false">IF(Tasks[[#This Row],[_IsLeaf]]=1,N(Tasks[[#This Row],[Story Points]]),0)</f>
        <v>0</v>
      </c>
      <c r="GS38" s="43" t="str">
        <f aca="false">""</f>
        <v/>
      </c>
      <c r="GT38" s="90" t="b">
        <f aca="false">IF(Tasks[[#This Row],[Task Name]]="",FALSE(),AND(Tasks[[#This Row],[_IsLeaf]]=1,N(Tasks[[#This Row],[_Days]])=0))</f>
        <v>0</v>
      </c>
      <c r="GU38" s="91" t="n">
        <f aca="false">IF(Tasks[[#This Row],[Task Name]]="",0,IF(AND(Tasks[[#This Row],[_IsLeaf]]=1,NOT(Tasks[[#This Row],[_IsMilestone]]),N(Tasks[[#This Row],[Progress]])&gt;0),Tasks[[#This Row],[Start]],0))</f>
        <v>0</v>
      </c>
      <c r="GV38" s="91" t="n">
        <f aca="false">IF(Tasks[[#This Row],[_DoneFrom]]=0,0,IF(Tasks[[#This Row],[Progress]]&gt;=1,Tasks[[#This Row],[Finish]],MAX(Tasks[[#This Row],[_DoneFrom]],Tasks[[#This Row],[Start]]+ROUND((Tasks[[#This Row],[Finish]]-Tasks[[#This Row],[Start]]+1)*Tasks[[#This Row],[Progress]],0)-1)))</f>
        <v>0</v>
      </c>
      <c r="GW38" s="91" t="n">
        <f aca="false">IF(Tasks[[#This Row],[Task Name]]="",0,IF(OR(NOT(Tasks[[#This Row],[_IsLeaf]]=1),Tasks[[#This Row],[_IsMilestone]],N(Tasks[[#This Row],[Progress]])&gt;=1),0,IF(Tasks[[#This Row],[_DoneTo]]&gt;0,Tasks[[#This Row],[_DoneTo]]+1,Tasks[[#This Row],[Start]])))</f>
        <v>0</v>
      </c>
      <c r="GX38" s="91" t="n">
        <f aca="false">IF(Tasks[[#This Row],[_RemFrom]]=0,0,Tasks[[#This Row],[Finish]])</f>
        <v>0</v>
      </c>
      <c r="GY38" s="90" t="b">
        <f aca="false">IF(Tasks[[#This Row],[Task Name]]="",FALSE(),OR(NOT(BaselineSet),N(Tasks[[#This Row],[Baseline Start]])&gt;0))</f>
        <v>0</v>
      </c>
      <c r="GZ3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8" s="92" t="str">
        <f aca="false">IF(Tasks[[#This Row],[_IsLeaf]]=1,Tasks[[#This Row],[_Row]],"")</f>
        <v/>
      </c>
      <c r="HD38" s="92" t="str">
        <f aca="false">IFERROR(INDEX(Tasks[UID],SMALL(Tasks[_PickKey],Tasks[[#This Row],[_Row]]))&amp;" "&amp;INDEX(Tasks[Task Name],SMALL(Tasks[_PickKey],Tasks[[#This Row],[_Row]])),"")</f>
        <v/>
      </c>
      <c r="HE38" s="43" t="str">
        <f aca="false">IF(Tasks[[#This Row],[Task Name]]="","",IF(Tasks[[#This Row],[_IsSummary]],NETWORKDAYS.INTL(Tasks[[#This Row],[Start]],Tasks[[#This Row],[Finish]],WorkWeek,Holidays),N(Tasks[[#This Row],[_Days]])))</f>
        <v/>
      </c>
      <c r="HF38" s="43" t="n">
        <f aca="false">IF(Tasks[[#This Row],[Expected]]="",0,((Tasks[[#This Row],[Pessimistic]]-Tasks[[#This Row],[Optimistic]])/6)^2)</f>
        <v>0</v>
      </c>
      <c r="HG38" s="43" t="n">
        <f aca="false">IF(Tasks[[#This Row],[Expected]]="",0,Tasks[[#This Row],[Expected]]-N(Tasks[[#This Row],[_Days]]))</f>
        <v>0</v>
      </c>
    </row>
    <row r="39" customFormat="false" ht="15" hidden="false" customHeight="false" outlineLevel="0" collapsed="false">
      <c r="A39" s="21" t="str">
        <f aca="false">IF(Tasks[[#This Row],[Task Name]]="","",COUNTA(Tasks[[#Headers],[Task Name]]:Tasks[[#This Row],[Task Name]])-1)</f>
        <v/>
      </c>
      <c r="B39" s="22" t="n">
        <v>47</v>
      </c>
      <c r="C39" s="22"/>
      <c r="D39" s="23"/>
      <c r="E39" s="22"/>
      <c r="F39" s="23"/>
      <c r="G39" s="22"/>
      <c r="H39" s="22"/>
      <c r="I39" s="23"/>
      <c r="J39" s="22"/>
      <c r="K39" s="22"/>
      <c r="L39" s="23"/>
      <c r="M39" s="22"/>
      <c r="N39" s="22"/>
      <c r="O39" s="23"/>
      <c r="P39" s="22"/>
      <c r="Q39" s="22"/>
      <c r="R39" s="23"/>
      <c r="S39" s="23"/>
      <c r="T39" s="84"/>
      <c r="U39" s="23"/>
      <c r="V39" s="84"/>
      <c r="W39" s="23"/>
      <c r="X39" s="84"/>
      <c r="Y39" s="23"/>
      <c r="Z39" s="84"/>
      <c r="AA39" s="23"/>
      <c r="AB39" s="23"/>
      <c r="AC39" s="7"/>
      <c r="AD39" s="7"/>
      <c r="AE39" s="63" t="str">
        <f aca="false">IF(Tasks[[#This Row],[Task Name]]="","",IF(Tasks[[#This Row],[_IsSummary]],MIN(INDEX(Tasks[_ShownFcstStart],Tasks[[#This Row],[_Row]]+1):INDEX(Tasks[_ShownFcstStart],Tasks[[#This Row],[_Row]]+Tasks[[#This Row],[_Descendants]])),Tasks[[#This Row],[_ShownFcstStart]]))</f>
        <v/>
      </c>
      <c r="AF39" s="63" t="str">
        <f aca="false">IF(Tasks[[#This Row],[Task Name]]="","",IF(Tasks[[#This Row],[_IsSummary]],MAX(INDEX(Tasks[_ShownFcstFinish],Tasks[[#This Row],[_Row]]+1):INDEX(Tasks[_ShownFcstFinish],Tasks[[#This Row],[_Row]]+Tasks[[#This Row],[_Descendants]])),Tasks[[#This Row],[_ShownFcstFinish]]))</f>
        <v/>
      </c>
      <c r="AG39" s="21" t="str">
        <f aca="false">""</f>
        <v/>
      </c>
      <c r="AH39" s="23"/>
      <c r="AI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9" s="7"/>
      <c r="AK39" s="22"/>
      <c r="AL39" s="23"/>
      <c r="AM39" s="7"/>
      <c r="AN39" s="47" t="str">
        <f aca="false">IF(Tasks[[#This Row],[Task Name]]="","",IF(Tasks[[#This Row],[Finish]]&gt;=Tasks[[#This Row],[Planned Finish]],NETWORKDAYS.INTL(Tasks[[#This Row],[Planned Finish]],Tasks[[#This Row],[Finish]],WorkWeek,Holidays)-1,1-NETWORKDAYS.INTL(Tasks[[#This Row],[Finish]],Tasks[[#This Row],[Planned Finish]],WorkWeek,Holidays)))</f>
        <v/>
      </c>
      <c r="AO39" s="21" t="str">
        <f aca="false">IF(Tasks[[#This Row],[Task Name]]="","",IF(Tasks[[#This Row],[Progress]]&gt;=1,"Complete",IF(OR(N(Tasks[[#This Row],[Actual Start]])&gt;0,Tasks[[#This Row],[Progress]]&gt;0),IF(Tasks[[#This Row],[Finish Var]]&gt;0,"Behind","In Progress"),IF(Tasks[[#This Row],[Planned Start]]&lt;StatusDate,"Late Start","Not Started"))))</f>
        <v/>
      </c>
      <c r="AP39" s="21" t="str">
        <f aca="false">IF(Tasks[[#This Row],[Task Name]]="","",IF(IF(Tasks[[#This Row],[_IsSummary]],COUNTIF(INDEX(Tasks[_LeafCritical],Tasks[[#This Row],[_Row]]+1):INDEX(Tasks[_LeafCritical],Tasks[[#This Row],[_Row]]+Tasks[[#This Row],[_Descendants]]),TRUE())&gt;0,Tasks[[#This Row],[_LeafCritical]]),"Yes",""))</f>
        <v/>
      </c>
      <c r="AQ39" s="63" t="str">
        <f aca="false">IF(Tasks[[#This Row],[Task Name]]="","",IF(N(Tasks[[#This Row],[Baseline Start]])&gt;0,Tasks[[#This Row],[Baseline Start]],Tasks[[#This Row],[_CalcStart]]))</f>
        <v/>
      </c>
      <c r="AR39" s="63" t="str">
        <f aca="false">IF(Tasks[[#This Row],[Task Name]]="","",IF(N(Tasks[[#This Row],[Baseline Finish]])&gt;0,Tasks[[#This Row],[Baseline Finish]],Tasks[[#This Row],[_CalcFinish]]))</f>
        <v/>
      </c>
      <c r="AS39" s="47" t="str">
        <f aca="false">IF(Tasks[[#This Row],[Task Name]]="","",IF(Tasks[[#This Row],[Start]]&gt;=Tasks[[#This Row],[Planned Start]],NETWORKDAYS.INTL(Tasks[[#This Row],[Planned Start]],Tasks[[#This Row],[Start]],WorkWeek,Holidays)-1,1-NETWORKDAYS.INTL(Tasks[[#This Row],[Start]],Tasks[[#This Row],[Planned Start]],WorkWeek,Holidays)))</f>
        <v/>
      </c>
      <c r="AT39" s="63" t="str">
        <f aca="false">IF(Tasks[[#This Row],[Task Name]]="","",IF(Tasks[[#This Row],[_IsSummary]],MIN(INDEX(Tasks[_LeafLateStart],Tasks[[#This Row],[_Row]]+1):INDEX(Tasks[_LeafLateStart],Tasks[[#This Row],[_Row]]+Tasks[[#This Row],[_Descendants]])),Tasks[[#This Row],[_LeafLateStart]]))</f>
        <v/>
      </c>
      <c r="AU39" s="63" t="str">
        <f aca="false">IF(Tasks[[#This Row],[Task Name]]="","",IF(Tasks[[#This Row],[_IsSummary]],MAX(INDEX(Tasks[_LeafLateFinish],Tasks[[#This Row],[_Row]]+1):INDEX(Tasks[_LeafLateFinish],Tasks[[#This Row],[_Row]]+Tasks[[#This Row],[_Descendants]])),Tasks[[#This Row],[_LeafLateFinish]]))</f>
        <v/>
      </c>
      <c r="AV39" s="47" t="str">
        <f aca="false">IF(Tasks[[#This Row],[Task Name]]="","",IF(Tasks[[#This Row],[_IsSummary]],MIN(INDEX(Tasks[_LeafTotalSlack],Tasks[[#This Row],[_Row]]+1):INDEX(Tasks[_LeafTotalSlack],Tasks[[#This Row],[_Row]]+Tasks[[#This Row],[_Descendants]])),Tasks[[#This Row],[_LeafTotalSlack]]))</f>
        <v/>
      </c>
      <c r="AW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5"/>
      <c r="BA3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t="str">
        <f aca="false">IF(Tasks[[#This Row],[Task Name]]="","",IF(Tasks[[#This Row],[_Level]]&lt;=OutlineShowLevel,"Yes","No"))</f>
        <v/>
      </c>
      <c r="BE39" s="86" t="str">
        <f aca="false">IF(Tasks[[#This Row],[Task Name]]="","",IF(Tasks[[#This Row],[_IsSummary]],SUM(INDEX(Tasks[_LeafTotalWork],Tasks[[#This Row],[_Row]]+1):INDEX(Tasks[_LeafTotalWork],Tasks[[#This Row],[_Row]]+Tasks[[#This Row],[_Descendants]])),Tasks[[#This Row],[_LeafTotalWork]]))</f>
        <v/>
      </c>
      <c r="BF39" s="23"/>
      <c r="BG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t="str">
        <f aca="false">""</f>
        <v/>
      </c>
      <c r="BI39" s="87"/>
      <c r="BJ39" s="22"/>
      <c r="BK39" s="47" t="str">
        <f aca="false">IF(OR(Tasks[[#This Row],[Task Name]]="",Tasks[[#This Row],[Baseline Duration]]=""),"",Tasks[[#This Row],[_SpanDays]]-N(Tasks[[#This Row],[Baseline Duration]]))</f>
        <v/>
      </c>
      <c r="BL39" s="86" t="str">
        <f aca="false">IF(OR(Tasks[[#This Row],[Task Name]]="",Tasks[[#This Row],[Baseline Work]]=""),"",Tasks[[#This Row],[Work]]-N(Tasks[[#This Row],[Baseline Work]]))</f>
        <v/>
      </c>
      <c r="BM39" s="63" t="str">
        <f aca="false">IF(Tasks[[#This Row],[Task Name]]="","",IF(OR(TakeBaseline="Yes",N(Tasks[[#This Row],[Baseline Start]])=0),Tasks[[#This Row],[Start]],Tasks[[#This Row],[Baseline Start]]))</f>
        <v/>
      </c>
      <c r="BN39" s="63" t="str">
        <f aca="false">IF(Tasks[[#This Row],[Task Name]]="","",IF(OR(TakeBaseline="Yes",N(Tasks[[#This Row],[Baseline Finish]])=0),Tasks[[#This Row],[Finish]],Tasks[[#This Row],[Baseline Finish]]))</f>
        <v/>
      </c>
      <c r="BO39" s="21" t="str">
        <f aca="false">IF(Tasks[[#This Row],[Task Name]]="","",IF(OR(TakeBaseline="Yes",N(Tasks[[#This Row],[Baseline Duration]])=0),Tasks[[#This Row],[_SpanDays]],Tasks[[#This Row],[Baseline Duration]]))</f>
        <v/>
      </c>
      <c r="BP39" s="86" t="str">
        <f aca="false">IF(Tasks[[#This Row],[Task Name]]="","",IF(OR(TakeBaseline="Yes",N(Tasks[[#This Row],[Baseline Work]])=0),Tasks[[#This Row],[Work]],Tasks[[#This Row],[Baseline Work]]))</f>
        <v/>
      </c>
      <c r="BQ39" s="7"/>
      <c r="BR39" s="7"/>
      <c r="BS39" s="22"/>
      <c r="BT39" s="88"/>
      <c r="BU39" s="23"/>
      <c r="BV39" s="23"/>
      <c r="BW39" s="23"/>
      <c r="BX39" s="89" t="str">
        <f aca="false">IF(AND(Tasks[[#This Row],[_IsLeaf]]=1,ISNUMBER(Tasks[[#This Row],[Optimistic]]),ISNUMBER(Tasks[[#This Row],[Pessimistic]])),ROUND((Tasks[[#This Row],[Optimistic]]+4*N(Tasks[[#This Row],[_Days]])+Tasks[[#This Row],[Pessimistic]])/6,1),"")</f>
        <v/>
      </c>
      <c r="BY39" s="87"/>
      <c r="BZ39" s="87"/>
      <c r="CA39" s="22"/>
      <c r="CB39" s="43" t="str">
        <f aca="false">IF(Tasks[[#This Row],[Task Name]]="","",MAX(1,N(Tasks[[#This Row],[Level]])))</f>
        <v/>
      </c>
      <c r="CC39" s="43" t="n">
        <f aca="false">ROW()-ROW(Tasks[[#Headers],[ID]])</f>
        <v>34</v>
      </c>
      <c r="CD39" s="43" t="n">
        <f aca="false">IF(OR(Tasks[[#This Row],[Task Name]]="",Tasks[[#This Row],[_Level]]&lt;=1),0,IFERROR(LOOKUP(2,1/(Tasks[[#Headers],[_Level]]:Tasks[[#This Row],[_Level]]=Tasks[[#This Row],[_Level]]-1),ROW(Tasks[[#Headers],[_Level]]:Tasks[[#This Row],[_Level]])),0))</f>
        <v>0</v>
      </c>
      <c r="CE39" s="43" t="n">
        <f aca="false">IFERROR(N(INDEX(Tasks[_Level],Tasks[[#This Row],[_Row]]+1)),0)</f>
        <v>0</v>
      </c>
      <c r="CF39" s="90" t="b">
        <f aca="false">AND(Tasks[[#This Row],[Task Name]]&lt;&gt;"",Tasks[[#This Row],[_NextLevel]]&gt;Tasks[[#This Row],[_Level]])</f>
        <v>0</v>
      </c>
      <c r="CG39" s="43" t="n">
        <f aca="false">IF(Tasks[[#This Row],[_IsSummary]],COUNTIF(Tasks[WBS],Tasks[[#This Row],[WBS]]&amp;".*"),0)</f>
        <v>0</v>
      </c>
      <c r="CH39" s="43" t="n">
        <f aca="false">IF(AND(Tasks[[#This Row],[Task Name]]&lt;&gt;"",NOT(Tasks[[#This Row],[_IsSummary]])),1,0)</f>
        <v>0</v>
      </c>
      <c r="CI39" s="43" t="n">
        <f aca="false">IF(N(Tasks[[#This Row],[_Pred1UID]])=0,0,IFERROR(MATCH(Tasks[[#This Row],[_Pred1UID]],Tasks[UID],0),-1))</f>
        <v>0</v>
      </c>
      <c r="CJ39" s="43" t="n">
        <f aca="false">IF(N(Tasks[[#This Row],[_Pred2UID]])=0,0,IFERROR(MATCH(Tasks[[#This Row],[_Pred2UID]],Tasks[UID],0),-1))</f>
        <v>0</v>
      </c>
      <c r="CK39" s="43" t="n">
        <f aca="false">IF(N(Tasks[[#This Row],[_Pred3UID]])=0,0,IFERROR(MATCH(Tasks[[#This Row],[_Pred3UID]],Tasks[UID],0),-1))</f>
        <v>0</v>
      </c>
      <c r="CL39" s="43" t="n">
        <f aca="false">IF(N(Tasks[[#This Row],[_Pred4UID]])=0,0,IFERROR(MATCH(Tasks[[#This Row],[_Pred4UID]],Tasks[UID],0),-1))</f>
        <v>0</v>
      </c>
      <c r="CM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9" s="91" t="n">
        <f aca="false">IF(OR(Tasks[[#This Row],[_ConstraintCode]]=2,Tasks[[#This Row],[_ConstraintCode]]=3,Tasks[[#This Row],[_ConstraintCode]]=4,Tasks[[#This Row],[_ConstraintCode]]=6),Tasks[[#This Row],[_ConstraintStart]],0)</f>
        <v>0</v>
      </c>
      <c r="CP39" s="91" t="n">
        <f aca="false">IF(OR(Tasks[[#This Row],[_ConstraintCode]]=2,Tasks[[#This Row],[_ConstraintCode]]=3,Tasks[[#This Row],[_ConstraintCode]]=5,Tasks[[#This Row],[_ConstraintCode]]=7),Tasks[[#This Row],[_ConstraintStart]],2958465)</f>
        <v>2958465</v>
      </c>
      <c r="CQ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9" s="91" t="str">
        <f aca="false">IF(NOT(Tasks[[#This Row],[_IsLeaf]]=1),"",IF(N(Tasks[[#This Row],[_Days]])&lt;=0,Tasks[[#This Row],[_LeafCalcStart]],WORKDAY.INTL(Tasks[[#This Row],[_LeafCalcStart]],Tasks[[#This Row],[_Days]]-1,WorkWeek,Holidays)))</f>
        <v/>
      </c>
      <c r="CS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9" s="43" t="str">
        <f aca="false">IF(Tasks[[#This Row],[_Predecessors]]="","",TRIM(MID(SUBSTITUTE(SUBSTITUTE(SUBSTITUTE(UPPER(Tasks[[#This Row],[_Predecessors]]),";",",")," ",""),",",REPT(" ",99)),1,99)))</f>
        <v/>
      </c>
      <c r="CV39" s="43" t="str">
        <f aca="false">IF(Tasks[[#This Row],[_Pred1Text]]="","",IFERROR(VALUE(LEFT(Tasks[[#This Row],[_Pred1Text]],MIN(FIND("F",Tasks[[#This Row],[_Pred1Text]]&amp;"F"),FIND("S",Tasks[[#This Row],[_Pred1Text]]&amp;"S"),FIND("+",Tasks[[#This Row],[_Pred1Text]]&amp;"+"),FIND("-",Tasks[[#This Row],[_Pred1Text]]&amp;"-"))-1)),""))</f>
        <v/>
      </c>
      <c r="CW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9" s="43" t="str">
        <f aca="false">IF(Tasks[[#This Row],[_Pred1Text]]="","",TRIM(MID(SUBSTITUTE(SUBSTITUTE(SUBSTITUTE(UPPER(Tasks[[#This Row],[_Predecessors]]),";",",")," ",""),",",REPT(" ",99)),100,99)))</f>
        <v/>
      </c>
      <c r="CZ39" s="43" t="str">
        <f aca="false">IF(Tasks[[#This Row],[_Pred2Text]]="","",IFERROR(VALUE(LEFT(Tasks[[#This Row],[_Pred2Text]],MIN(FIND("F",Tasks[[#This Row],[_Pred2Text]]&amp;"F"),FIND("S",Tasks[[#This Row],[_Pred2Text]]&amp;"S"),FIND("+",Tasks[[#This Row],[_Pred2Text]]&amp;"+"),FIND("-",Tasks[[#This Row],[_Pred2Text]]&amp;"-"))-1)),""))</f>
        <v/>
      </c>
      <c r="DA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9" s="43" t="str">
        <f aca="false">IF(Tasks[[#This Row],[_Pred2Text]]="","",TRIM(MID(SUBSTITUTE(SUBSTITUTE(SUBSTITUTE(UPPER(Tasks[[#This Row],[_Predecessors]]),";",",")," ",""),",",REPT(" ",99)),199,99)))</f>
        <v/>
      </c>
      <c r="DD39" s="43" t="str">
        <f aca="false">IF(Tasks[[#This Row],[_Pred3Text]]="","",IFERROR(VALUE(LEFT(Tasks[[#This Row],[_Pred3Text]],MIN(FIND("F",Tasks[[#This Row],[_Pred3Text]]&amp;"F"),FIND("S",Tasks[[#This Row],[_Pred3Text]]&amp;"S"),FIND("+",Tasks[[#This Row],[_Pred3Text]]&amp;"+"),FIND("-",Tasks[[#This Row],[_Pred3Text]]&amp;"-"))-1)),""))</f>
        <v/>
      </c>
      <c r="DE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9" s="43" t="str">
        <f aca="false">IF(Tasks[[#This Row],[_Pred3Text]]="","",TRIM(MID(SUBSTITUTE(SUBSTITUTE(SUBSTITUTE(UPPER(Tasks[[#This Row],[_Predecessors]]),";",",")," ",""),",",REPT(" ",99)),298,99)))</f>
        <v/>
      </c>
      <c r="DH39" s="43" t="str">
        <f aca="false">IF(Tasks[[#This Row],[_Pred4Text]]="","",IFERROR(VALUE(LEFT(Tasks[[#This Row],[_Pred4Text]],MIN(FIND("F",Tasks[[#This Row],[_Pred4Text]]&amp;"F"),FIND("S",Tasks[[#This Row],[_Pred4Text]]&amp;"S"),FIND("+",Tasks[[#This Row],[_Pred4Text]]&amp;"+"),FIND("-",Tasks[[#This Row],[_Pred4Text]]&amp;"-"))-1)),""))</f>
        <v/>
      </c>
      <c r="DI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9" s="43" t="str">
        <f aca="false">IF(OR(Tasks[[#This Row],[Task Name]]="",Tasks[[#This Row],[_Resources]]=""),"",TRIM(MID(SUBSTITUTE(Tasks[[#This Row],[_Resources]],",",REPT(" ",99)),1,99)))</f>
        <v/>
      </c>
      <c r="DL39" s="43" t="str">
        <f aca="false">IF(Tasks[[#This Row],[_Res1Text]]="","",TRIM(MID(SUBSTITUTE(Tasks[[#This Row],[_Resources]],",",REPT(" ",99)),100,99)))</f>
        <v/>
      </c>
      <c r="DM39" s="43" t="str">
        <f aca="false">IF(Tasks[[#This Row],[_Res2Text]]="","",TRIM(MID(SUBSTITUTE(Tasks[[#This Row],[_Resources]],",",REPT(" ",99)),199,99)))</f>
        <v/>
      </c>
      <c r="DN39" s="43" t="str">
        <f aca="false">IF(Tasks[[#This Row],[_Res3Text]]="","",TRIM(MID(SUBSTITUTE(Tasks[[#This Row],[_Resources]],",",REPT(" ",99)),298,99)))</f>
        <v/>
      </c>
      <c r="DO39" s="43" t="n">
        <f aca="false">IF(Tasks[[#This Row],[_Res1Text]]="",0,IFERROR(MATCH(TRIM(LEFT(Tasks[[#This Row],[_Res1Text]],FIND("[",Tasks[[#This Row],[_Res1Text]]&amp;"[")-1)),res_Name,0),IFERROR(MATCH(TRIM(LEFT(Tasks[[#This Row],[_Res1Text]],FIND("[",Tasks[[#This Row],[_Res1Text]]&amp;"[")-1)),res_Initials,0),0)))</f>
        <v>0</v>
      </c>
      <c r="DP39" s="43" t="n">
        <f aca="false">IF(Tasks[[#This Row],[_Res2Text]]="",0,IFERROR(MATCH(TRIM(LEFT(Tasks[[#This Row],[_Res2Text]],FIND("[",Tasks[[#This Row],[_Res2Text]]&amp;"[")-1)),res_Name,0),IFERROR(MATCH(TRIM(LEFT(Tasks[[#This Row],[_Res2Text]],FIND("[",Tasks[[#This Row],[_Res2Text]]&amp;"[")-1)),res_Initials,0),0)))</f>
        <v>0</v>
      </c>
      <c r="DQ39" s="43" t="n">
        <f aca="false">IF(Tasks[[#This Row],[_Res3Text]]="",0,IFERROR(MATCH(TRIM(LEFT(Tasks[[#This Row],[_Res3Text]],FIND("[",Tasks[[#This Row],[_Res3Text]]&amp;"[")-1)),res_Name,0),IFERROR(MATCH(TRIM(LEFT(Tasks[[#This Row],[_Res3Text]],FIND("[",Tasks[[#This Row],[_Res3Text]]&amp;"[")-1)),res_Initials,0),0)))</f>
        <v>0</v>
      </c>
      <c r="DR39" s="43" t="n">
        <f aca="false">IF(Tasks[[#This Row],[_Res4Text]]="",0,IFERROR(MATCH(TRIM(LEFT(Tasks[[#This Row],[_Res4Text]],FIND("[",Tasks[[#This Row],[_Res4Text]]&amp;"[")-1)),res_Name,0),IFERROR(MATCH(TRIM(LEFT(Tasks[[#This Row],[_Res4Text]],FIND("[",Tasks[[#This Row],[_Res4Text]]&amp;"[")-1)),res_Initials,0),0)))</f>
        <v>0</v>
      </c>
      <c r="DS39" s="43" t="str">
        <f aca="false">IF(Tasks[[#This Row],[_Res1Text]]="","",IF(Tasks[[#This Row],[_Res1Row]]&gt;0,INDEX(res_Name,Tasks[[#This Row],[_Res1Row]]),TRIM(LEFT(Tasks[[#This Row],[_Res1Text]],FIND("[",Tasks[[#This Row],[_Res1Text]]&amp;"[")-1))))</f>
        <v/>
      </c>
      <c r="DT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9" s="43" t="n">
        <f aca="false">IF(NOT(Tasks[[#This Row],[_IsLeaf]]=1),0,(Tasks[[#This Row],[_Resource1]]&lt;&gt;"")+(Tasks[[#This Row],[_Res2]]&lt;&gt;"")+(Tasks[[#This Row],[_Res3]]&lt;&gt;"")+(Tasks[[#This Row],[_Res4]]&lt;&gt;""))</f>
        <v>0</v>
      </c>
      <c r="DV39" s="43" t="str">
        <f aca="false">IF(Tasks[[#This Row],[_Res2Text]]="","",IF(Tasks[[#This Row],[_Res2Row]]&gt;0,INDEX(res_Name,Tasks[[#This Row],[_Res2Row]]),TRIM(LEFT(Tasks[[#This Row],[_Res2Text]],FIND("[",Tasks[[#This Row],[_Res2Text]]&amp;"[")-1))))</f>
        <v/>
      </c>
      <c r="DW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9" s="43" t="n">
        <f aca="false">IF(OR(NOT(Tasks[[#This Row],[_IsLeaf]]=1),Tasks[[#This Row],[_Res2Row]]=0),0,N(Tasks[[#This Row],[_Days]])*HoursPerDay*IF(Tasks[[#This Row],[_Res2Units]]="",DefaultUnits,Tasks[[#This Row],[_Res2Units]]))</f>
        <v>0</v>
      </c>
      <c r="DY39" s="43" t="n">
        <f aca="false">IF(AND(AND(Tasks[[#This Row],[_IsLeaf]]=1,Tasks[[#This Row],[_LeafTotalWork]]&gt;0),Tasks[[#This Row],[_Res2Work]]&gt;0),Tasks[[#This Row],[_Res2Work]]/(Tasks[[#This Row],[_FinishWorkday]]-Tasks[[#This Row],[_StartWorkday]]+1),0)</f>
        <v>0</v>
      </c>
      <c r="DZ39" s="43" t="n">
        <f aca="false">Tasks[[#This Row],[_Res2WorkPerWD]]*MAX(0,Tasks[[#This Row],[_StartWorkday]]-1)</f>
        <v>0</v>
      </c>
      <c r="EA39" s="43" t="n">
        <f aca="false">Tasks[[#This Row],[_Res2Work]]*Tasks[[#This Row],[_LeafProgress]]</f>
        <v>0</v>
      </c>
      <c r="EB39" s="43" t="str">
        <f aca="false">IF(Tasks[[#This Row],[_Res3Text]]="","",IF(Tasks[[#This Row],[_Res3Row]]&gt;0,INDEX(res_Name,Tasks[[#This Row],[_Res3Row]]),TRIM(LEFT(Tasks[[#This Row],[_Res3Text]],FIND("[",Tasks[[#This Row],[_Res3Text]]&amp;"[")-1))))</f>
        <v/>
      </c>
      <c r="EC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9" s="43" t="n">
        <f aca="false">IF(OR(NOT(Tasks[[#This Row],[_IsLeaf]]=1),Tasks[[#This Row],[_Res3Row]]=0),0,N(Tasks[[#This Row],[_Days]])*HoursPerDay*IF(Tasks[[#This Row],[_Res3Units]]="",DefaultUnits,Tasks[[#This Row],[_Res3Units]]))</f>
        <v>0</v>
      </c>
      <c r="EE39" s="43" t="n">
        <f aca="false">IF(AND(AND(Tasks[[#This Row],[_IsLeaf]]=1,Tasks[[#This Row],[_LeafTotalWork]]&gt;0),Tasks[[#This Row],[_Res3Work]]&gt;0),Tasks[[#This Row],[_Res3Work]]/(Tasks[[#This Row],[_FinishWorkday]]-Tasks[[#This Row],[_StartWorkday]]+1),0)</f>
        <v>0</v>
      </c>
      <c r="EF39" s="43" t="n">
        <f aca="false">Tasks[[#This Row],[_Res3WorkPerWD]]*MAX(0,Tasks[[#This Row],[_StartWorkday]]-1)</f>
        <v>0</v>
      </c>
      <c r="EG39" s="43" t="n">
        <f aca="false">Tasks[[#This Row],[_Res3Work]]*Tasks[[#This Row],[_LeafProgress]]</f>
        <v>0</v>
      </c>
      <c r="EH39" s="43" t="str">
        <f aca="false">IF(Tasks[[#This Row],[_Res4Text]]="","",IF(Tasks[[#This Row],[_Res4Row]]&gt;0,INDEX(res_Name,Tasks[[#This Row],[_Res4Row]]),TRIM(LEFT(Tasks[[#This Row],[_Res4Text]],FIND("[",Tasks[[#This Row],[_Res4Text]]&amp;"[")-1))))</f>
        <v/>
      </c>
      <c r="EI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9" s="43" t="n">
        <f aca="false">IF(OR(NOT(Tasks[[#This Row],[_IsLeaf]]=1),Tasks[[#This Row],[_Res4Row]]=0),0,N(Tasks[[#This Row],[_Days]])*HoursPerDay*IF(Tasks[[#This Row],[_Res4Units]]="",DefaultUnits,Tasks[[#This Row],[_Res4Units]]))</f>
        <v>0</v>
      </c>
      <c r="EK39" s="43" t="n">
        <f aca="false">IF(AND(AND(Tasks[[#This Row],[_IsLeaf]]=1,Tasks[[#This Row],[_LeafTotalWork]]&gt;0),Tasks[[#This Row],[_Res4Work]]&gt;0),Tasks[[#This Row],[_Res4Work]]/(Tasks[[#This Row],[_FinishWorkday]]-Tasks[[#This Row],[_StartWorkday]]+1),0)</f>
        <v>0</v>
      </c>
      <c r="EL39" s="43" t="n">
        <f aca="false">Tasks[[#This Row],[_Res4WorkPerWD]]*MAX(0,Tasks[[#This Row],[_StartWorkday]]-1)</f>
        <v>0</v>
      </c>
      <c r="EM39" s="43" t="n">
        <f aca="false">Tasks[[#This Row],[_Res4Work]]*Tasks[[#This Row],[_LeafProgress]]</f>
        <v>0</v>
      </c>
      <c r="EN39" s="43" t="n">
        <f aca="false">IF(ISNUMBER(Tasks[[#This Row],[% Complete]]),Tasks[[#This Row],[% Complete]],IF(Tasks[[#This Row],[Stage]]="",0,IFERROR(INDEX(stg_Pct,MATCH(Tasks[[#This Row],[Stage]],stg_Name,0)),0)))</f>
        <v>0</v>
      </c>
      <c r="EO39" s="43" t="n">
        <f aca="false">IF(NOT(Tasks[[#This Row],[_IsLeaf]]=1),0,IF(N(Tasks[[#This Row],[Actual Finish]])&gt;0,1,MIN(1,Tasks[[#This Row],[_Pct]])))</f>
        <v>0</v>
      </c>
      <c r="EP39" s="43" t="n">
        <f aca="false">IF(OR(NOT(Tasks[[#This Row],[_IsLeaf]]=1),Tasks[[#This Row],[_Res1Row]]=0),0,N(Tasks[[#This Row],[_Days]])*HoursPerDay*IF(Tasks[[#This Row],[_Units1]]="",DefaultUnits,Tasks[[#This Row],[_Units1]]))</f>
        <v>0</v>
      </c>
      <c r="EQ39" s="43" t="n">
        <f aca="false">Tasks[[#This Row],[_LeafWork]]+Tasks[[#This Row],[_Res2Work]]+Tasks[[#This Row],[_Res3Work]]+Tasks[[#This Row],[_Res4Work]]</f>
        <v>0</v>
      </c>
      <c r="ER3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9" s="43" t="n">
        <f aca="false">IF(NOT(Tasks[[#This Row],[_IsLeaf]]=1),0,MAX(_xlfn.MAXIFS(Tasks[_Row],Tasks[_Pred1UID],Tasks[[#This Row],[UID]]),_xlfn.MAXIFS(Tasks[_Row],Tasks[_Pred2UID],Tasks[[#This Row],[UID]]),_xlfn.MAXIFS(Tasks[_Row],Tasks[_Pred3UID],Tasks[[#This Row],[UID]]),_xlfn.MAXIFS(Tasks[_Row],Tasks[_Pred4UID],Tasks[[#This Row],[UID]])))</f>
        <v>0</v>
      </c>
      <c r="FA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9" s="91" t="str">
        <f aca="false">IF(NOT(Tasks[[#This Row],[_IsLeaf]]=1),"",IF(N(Tasks[[#This Row],[_Days]])&lt;=0,Tasks[[#This Row],[_LeafLateFinish]],WORKDAY.INTL(Tasks[[#This Row],[_LeafLateFinish]],-(Tasks[[#This Row],[_Days]]-1),WorkWeek,Holidays)))</f>
        <v/>
      </c>
      <c r="FD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9" s="90" t="b">
        <f aca="false">AND(Tasks[[#This Row],[_IsLeaf]]=1,Tasks[[#This Row],[_LeafProgress]]&lt;1,N(Tasks[[#This Row],[_LeafTotalSlack]])&lt;=CriticalSlackDays)</f>
        <v>0</v>
      </c>
      <c r="FF39" s="43" t="n">
        <f aca="false">IF(AND(Tasks[[#This Row],[_IsLeaf]]=1,Tasks[[#This Row],[_ConstraintCode]]=1,Tasks[[#This Row],[Mode]]&lt;&gt;"Manual",N(Tasks[[#This Row],[Actual Start]])=0),MAX(0,N(Tasks[[#This Row],[Free Slack]])),0)</f>
        <v>0</v>
      </c>
      <c r="FG39" s="91" t="str">
        <f aca="false">IF(NOT(Tasks[[#This Row],[_IsLeaf]]=1),"",IF(Tasks[[#This Row],[_AlapShift]]=0,Tasks[[#This Row],[_LeafCalcStart]],WORKDAY.INTL(Tasks[[#This Row],[_LeafCalcStart]],Tasks[[#This Row],[_AlapShift]],WorkWeek,Holidays)))</f>
        <v/>
      </c>
      <c r="FH39" s="91" t="str">
        <f aca="false">IF(NOT(Tasks[[#This Row],[_IsLeaf]]=1),"",IF(Tasks[[#This Row],[_AlapShift]]=0,Tasks[[#This Row],[_LeafCalcFinish]],WORKDAY.INTL(Tasks[[#This Row],[_LeafCalcFinish]],Tasks[[#This Row],[_AlapShift]],WorkWeek,Holidays)))</f>
        <v/>
      </c>
      <c r="FI39" s="91" t="str">
        <f aca="false">IF(NOT(Tasks[[#This Row],[_IsLeaf]]=1),"",IF(Tasks[[#This Row],[_AlapShift]]=0,Tasks[[#This Row],[_LeafFcstStart]],WORKDAY.INTL(Tasks[[#This Row],[_LeafFcstStart]],Tasks[[#This Row],[_AlapShift]],WorkWeek,Holidays)))</f>
        <v/>
      </c>
      <c r="FJ39" s="91" t="str">
        <f aca="false">IF(NOT(Tasks[[#This Row],[_IsLeaf]]=1),"",IF(Tasks[[#This Row],[_AlapShift]]=0,Tasks[[#This Row],[_LeafFcstFinish]],WORKDAY.INTL(Tasks[[#This Row],[_LeafFcstFinish]],Tasks[[#This Row],[_AlapShift]],WorkWeek,Holidays)))</f>
        <v/>
      </c>
      <c r="FK39" s="91" t="str">
        <f aca="false">IF(Tasks[[#This Row],[Task Name]]="","",IF(Tasks[[#This Row],[_IsSummary]],MIN(INDEX(Tasks[_ShownCalcStart],Tasks[[#This Row],[_Row]]+1):INDEX(Tasks[_ShownCalcStart],Tasks[[#This Row],[_Row]]+Tasks[[#This Row],[_Descendants]])),Tasks[[#This Row],[_ShownCalcStart]]))</f>
        <v/>
      </c>
      <c r="FL39" s="91" t="str">
        <f aca="false">IF(Tasks[[#This Row],[Task Name]]="","",IF(Tasks[[#This Row],[_IsSummary]],MAX(INDEX(Tasks[_ShownCalcFinish],Tasks[[#This Row],[_Row]]+1):INDEX(Tasks[_ShownCalcFinish],Tasks[[#This Row],[_Row]]+Tasks[[#This Row],[_Descendants]])),Tasks[[#This Row],[_ShownCalcFinish]]))</f>
        <v/>
      </c>
      <c r="FM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9" s="43" t="n">
        <f aca="false">IF(AND(Tasks[[#This Row],[_IsLeaf]]=1,Tasks[[#This Row],[_LeafTotalWork]]&gt;0),NETWORKDAYS.INTL(ProjectStart,Tasks[[#This Row],[_ShownFcstStart]],WorkWeek,Holidays),0)</f>
        <v>0</v>
      </c>
      <c r="FZ39" s="43" t="n">
        <f aca="false">IF(AND(Tasks[[#This Row],[_IsLeaf]]=1,Tasks[[#This Row],[_LeafTotalWork]]&gt;0),MAX(Tasks[[#This Row],[_StartWorkday]],NETWORKDAYS.INTL(ProjectStart,Tasks[[#This Row],[_ShownFcstFinish]],WorkWeek,Holidays)),0)</f>
        <v>0</v>
      </c>
      <c r="GA39" s="43" t="n">
        <f aca="false">IF(AND(Tasks[[#This Row],[_IsLeaf]]=1,Tasks[[#This Row],[_LeafTotalWork]]&gt;0),Tasks[[#This Row],[_LeafWork]]/(Tasks[[#This Row],[_FinishWorkday]]-Tasks[[#This Row],[_StartWorkday]]+1),0)</f>
        <v>0</v>
      </c>
      <c r="GB39" s="43" t="n">
        <f aca="false">Tasks[[#This Row],[_WorkPerWorkday]]*(Tasks[[#This Row],[_StartWorkday]]-1)</f>
        <v>-0</v>
      </c>
      <c r="GC39" s="43" t="n">
        <f aca="false">IF(Tasks[[#This Row],[_IsLeaf]]=1,MAX(N(Tasks[[#This Row],[_Days]]),0.1),0)</f>
        <v>0</v>
      </c>
      <c r="GD39" s="43" t="n">
        <f aca="false">Tasks[[#This Row],[_WeightDur]]*Tasks[[#This Row],[_LeafProgress]]</f>
        <v>0</v>
      </c>
      <c r="GE39" s="43" t="n">
        <f aca="false">Tasks[[#This Row],[_WeightDur]]*Tasks[[#This Row],[_PlannedPct]]</f>
        <v>0</v>
      </c>
      <c r="GF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9" s="43" t="str">
        <f aca="false">IF(AND(Tasks[[#This Row],[_IsLeaf]]=1,N(Tasks[[#This Row],[_Days]])=0,Tasks[[#This Row],[_LeafProgress]]&lt;1),Tasks[[#This Row],[_ShownFcstFinish]]+Tasks[[#This Row],[_Row]]/100000,"")</f>
        <v/>
      </c>
      <c r="GH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9" s="43" t="str">
        <f aca="false">IF(Tasks[[#This Row],[Task Name]]="","",LEFT(Tasks[[#This Row],[WBS]],FIND(".",Tasks[[#This Row],[WBS]]&amp;".")-1))</f>
        <v/>
      </c>
      <c r="GJ39" s="43" t="str">
        <f aca="false">IF(AND(Tasks[[#This Row],[Task Name]]&lt;&gt;"",Tasks[[#This Row],[_Level]]=1),Tasks[[#This Row],[_Row]],"")</f>
        <v/>
      </c>
      <c r="GK39" s="43" t="str">
        <f aca="false">IF(AND(Tasks[[#This Row],[_IsLeaf]]=1,N(Tasks[[#This Row],[_Days]])=0),Tasks[[#This Row],[Planned Finish]]+Tasks[[#This Row],[_Row]]/100000,"")</f>
        <v/>
      </c>
      <c r="GL39" s="43" t="str">
        <f aca="false">IF(AND(Tasks[[#This Row],[_IsLeaf]]=1,Tasks[[#This Row],[_LeafProgress]]&lt;1,OR(N(Tasks[[#This Row],[Finish Var]])&gt;0,Tasks[[#This Row],[Status]]="Late Start")),MAX(0,Tasks[[#This Row],[Finish Var]])+1-Tasks[[#This Row],[_Row]]/1000000,"")</f>
        <v/>
      </c>
      <c r="GM39" s="43" t="str">
        <f aca="false">IF(AND(Tasks[[#This Row],[_IsLeaf]]=1,N(Tasks[[#This Row],[Actual Start]])=0,Tasks[[#This Row],[_ShownFcstStart]]&gt;=StatusDate,Tasks[[#This Row],[_ShownFcstStart]]&lt;=LookaheadEnd),Tasks[[#This Row],[_ShownFcstStart]]+Tasks[[#This Row],[_Row]]/100000,"")</f>
        <v/>
      </c>
      <c r="GN39" s="43" t="str">
        <f aca="false">IF(AND(Tasks[[#This Row],[_IsLeaf]]=1,Tasks[[#This Row],[_LeafProgress]]&lt;1,Tasks[[#This Row],[_ShownFcstFinish]]&gt;=StatusDate,Tasks[[#This Row],[_ShownFcstFinish]]&lt;=LookaheadEnd),Tasks[[#This Row],[_ShownFcstFinish]]+Tasks[[#This Row],[_Row]]/100000,"")</f>
        <v/>
      </c>
      <c r="GO39" s="43" t="str">
        <f aca="false">IF(Tasks[[#This Row],[_LeafCritical]],Tasks[[#This Row],[_ShownFcstStart]]+Tasks[[#This Row],[_Row]]/100000,"")</f>
        <v/>
      </c>
      <c r="GP39" s="43" t="n">
        <f aca="false">Tasks[[#This Row],[_LeafWork]]*Tasks[[#This Row],[_LeafProgress]]</f>
        <v>0</v>
      </c>
      <c r="GQ39" s="91" t="str">
        <f aca="false">IF(AND(Tasks[[#This Row],[_IsLeaf]]=1,Tasks[[#This Row],[_LeafProgress]]&gt;=1),IF(N(Tasks[[#This Row],[Actual Finish]])&gt;0,Tasks[[#This Row],[Actual Finish]],Tasks[[#This Row],[_ShownFcstFinish]]),"")</f>
        <v/>
      </c>
      <c r="GR39" s="43" t="n">
        <f aca="false">IF(Tasks[[#This Row],[_IsLeaf]]=1,N(Tasks[[#This Row],[Story Points]]),0)</f>
        <v>0</v>
      </c>
      <c r="GS39" s="43" t="str">
        <f aca="false">""</f>
        <v/>
      </c>
      <c r="GT39" s="90" t="b">
        <f aca="false">IF(Tasks[[#This Row],[Task Name]]="",FALSE(),AND(Tasks[[#This Row],[_IsLeaf]]=1,N(Tasks[[#This Row],[_Days]])=0))</f>
        <v>0</v>
      </c>
      <c r="GU39" s="91" t="n">
        <f aca="false">IF(Tasks[[#This Row],[Task Name]]="",0,IF(AND(Tasks[[#This Row],[_IsLeaf]]=1,NOT(Tasks[[#This Row],[_IsMilestone]]),N(Tasks[[#This Row],[Progress]])&gt;0),Tasks[[#This Row],[Start]],0))</f>
        <v>0</v>
      </c>
      <c r="GV39" s="91" t="n">
        <f aca="false">IF(Tasks[[#This Row],[_DoneFrom]]=0,0,IF(Tasks[[#This Row],[Progress]]&gt;=1,Tasks[[#This Row],[Finish]],MAX(Tasks[[#This Row],[_DoneFrom]],Tasks[[#This Row],[Start]]+ROUND((Tasks[[#This Row],[Finish]]-Tasks[[#This Row],[Start]]+1)*Tasks[[#This Row],[Progress]],0)-1)))</f>
        <v>0</v>
      </c>
      <c r="GW39" s="91" t="n">
        <f aca="false">IF(Tasks[[#This Row],[Task Name]]="",0,IF(OR(NOT(Tasks[[#This Row],[_IsLeaf]]=1),Tasks[[#This Row],[_IsMilestone]],N(Tasks[[#This Row],[Progress]])&gt;=1),0,IF(Tasks[[#This Row],[_DoneTo]]&gt;0,Tasks[[#This Row],[_DoneTo]]+1,Tasks[[#This Row],[Start]])))</f>
        <v>0</v>
      </c>
      <c r="GX39" s="91" t="n">
        <f aca="false">IF(Tasks[[#This Row],[_RemFrom]]=0,0,Tasks[[#This Row],[Finish]])</f>
        <v>0</v>
      </c>
      <c r="GY39" s="90" t="b">
        <f aca="false">IF(Tasks[[#This Row],[Task Name]]="",FALSE(),OR(NOT(BaselineSet),N(Tasks[[#This Row],[Baseline Start]])&gt;0))</f>
        <v>0</v>
      </c>
      <c r="GZ3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9" s="92" t="str">
        <f aca="false">IF(Tasks[[#This Row],[_IsLeaf]]=1,Tasks[[#This Row],[_Row]],"")</f>
        <v/>
      </c>
      <c r="HD39" s="92" t="str">
        <f aca="false">IFERROR(INDEX(Tasks[UID],SMALL(Tasks[_PickKey],Tasks[[#This Row],[_Row]]))&amp;" "&amp;INDEX(Tasks[Task Name],SMALL(Tasks[_PickKey],Tasks[[#This Row],[_Row]])),"")</f>
        <v/>
      </c>
      <c r="HE39" s="43" t="str">
        <f aca="false">IF(Tasks[[#This Row],[Task Name]]="","",IF(Tasks[[#This Row],[_IsSummary]],NETWORKDAYS.INTL(Tasks[[#This Row],[Start]],Tasks[[#This Row],[Finish]],WorkWeek,Holidays),N(Tasks[[#This Row],[_Days]])))</f>
        <v/>
      </c>
      <c r="HF39" s="43" t="n">
        <f aca="false">IF(Tasks[[#This Row],[Expected]]="",0,((Tasks[[#This Row],[Pessimistic]]-Tasks[[#This Row],[Optimistic]])/6)^2)</f>
        <v>0</v>
      </c>
      <c r="HG39" s="43" t="n">
        <f aca="false">IF(Tasks[[#This Row],[Expected]]="",0,Tasks[[#This Row],[Expected]]-N(Tasks[[#This Row],[_Days]]))</f>
        <v>0</v>
      </c>
    </row>
    <row r="40" customFormat="false" ht="15" hidden="false" customHeight="false" outlineLevel="0" collapsed="false">
      <c r="A40" s="21" t="str">
        <f aca="false">IF(Tasks[[#This Row],[Task Name]]="","",COUNTA(Tasks[[#Headers],[Task Name]]:Tasks[[#This Row],[Task Name]])-1)</f>
        <v/>
      </c>
      <c r="B40" s="22" t="n">
        <v>48</v>
      </c>
      <c r="C40" s="22"/>
      <c r="D40" s="23"/>
      <c r="E40" s="22"/>
      <c r="F40" s="23"/>
      <c r="G40" s="22"/>
      <c r="H40" s="22"/>
      <c r="I40" s="23"/>
      <c r="J40" s="22"/>
      <c r="K40" s="22"/>
      <c r="L40" s="23"/>
      <c r="M40" s="22"/>
      <c r="N40" s="22"/>
      <c r="O40" s="23"/>
      <c r="P40" s="22"/>
      <c r="Q40" s="22"/>
      <c r="R40" s="23"/>
      <c r="S40" s="23"/>
      <c r="T40" s="84"/>
      <c r="U40" s="23"/>
      <c r="V40" s="84"/>
      <c r="W40" s="23"/>
      <c r="X40" s="84"/>
      <c r="Y40" s="23"/>
      <c r="Z40" s="84"/>
      <c r="AA40" s="23"/>
      <c r="AB40" s="23"/>
      <c r="AC40" s="7"/>
      <c r="AD40" s="7"/>
      <c r="AE40" s="63" t="str">
        <f aca="false">IF(Tasks[[#This Row],[Task Name]]="","",IF(Tasks[[#This Row],[_IsSummary]],MIN(INDEX(Tasks[_ShownFcstStart],Tasks[[#This Row],[_Row]]+1):INDEX(Tasks[_ShownFcstStart],Tasks[[#This Row],[_Row]]+Tasks[[#This Row],[_Descendants]])),Tasks[[#This Row],[_ShownFcstStart]]))</f>
        <v/>
      </c>
      <c r="AF40" s="63" t="str">
        <f aca="false">IF(Tasks[[#This Row],[Task Name]]="","",IF(Tasks[[#This Row],[_IsSummary]],MAX(INDEX(Tasks[_ShownFcstFinish],Tasks[[#This Row],[_Row]]+1):INDEX(Tasks[_ShownFcstFinish],Tasks[[#This Row],[_Row]]+Tasks[[#This Row],[_Descendants]])),Tasks[[#This Row],[_ShownFcstFinish]]))</f>
        <v/>
      </c>
      <c r="AG40" s="21" t="str">
        <f aca="false">""</f>
        <v/>
      </c>
      <c r="AH40" s="23"/>
      <c r="AI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0" s="7"/>
      <c r="AK40" s="22"/>
      <c r="AL40" s="23"/>
      <c r="AM40" s="7"/>
      <c r="AN40" s="47" t="str">
        <f aca="false">IF(Tasks[[#This Row],[Task Name]]="","",IF(Tasks[[#This Row],[Finish]]&gt;=Tasks[[#This Row],[Planned Finish]],NETWORKDAYS.INTL(Tasks[[#This Row],[Planned Finish]],Tasks[[#This Row],[Finish]],WorkWeek,Holidays)-1,1-NETWORKDAYS.INTL(Tasks[[#This Row],[Finish]],Tasks[[#This Row],[Planned Finish]],WorkWeek,Holidays)))</f>
        <v/>
      </c>
      <c r="AO40" s="21" t="str">
        <f aca="false">IF(Tasks[[#This Row],[Task Name]]="","",IF(Tasks[[#This Row],[Progress]]&gt;=1,"Complete",IF(OR(N(Tasks[[#This Row],[Actual Start]])&gt;0,Tasks[[#This Row],[Progress]]&gt;0),IF(Tasks[[#This Row],[Finish Var]]&gt;0,"Behind","In Progress"),IF(Tasks[[#This Row],[Planned Start]]&lt;StatusDate,"Late Start","Not Started"))))</f>
        <v/>
      </c>
      <c r="AP40" s="21" t="str">
        <f aca="false">IF(Tasks[[#This Row],[Task Name]]="","",IF(IF(Tasks[[#This Row],[_IsSummary]],COUNTIF(INDEX(Tasks[_LeafCritical],Tasks[[#This Row],[_Row]]+1):INDEX(Tasks[_LeafCritical],Tasks[[#This Row],[_Row]]+Tasks[[#This Row],[_Descendants]]),TRUE())&gt;0,Tasks[[#This Row],[_LeafCritical]]),"Yes",""))</f>
        <v/>
      </c>
      <c r="AQ40" s="63" t="str">
        <f aca="false">IF(Tasks[[#This Row],[Task Name]]="","",IF(N(Tasks[[#This Row],[Baseline Start]])&gt;0,Tasks[[#This Row],[Baseline Start]],Tasks[[#This Row],[_CalcStart]]))</f>
        <v/>
      </c>
      <c r="AR40" s="63" t="str">
        <f aca="false">IF(Tasks[[#This Row],[Task Name]]="","",IF(N(Tasks[[#This Row],[Baseline Finish]])&gt;0,Tasks[[#This Row],[Baseline Finish]],Tasks[[#This Row],[_CalcFinish]]))</f>
        <v/>
      </c>
      <c r="AS40" s="47" t="str">
        <f aca="false">IF(Tasks[[#This Row],[Task Name]]="","",IF(Tasks[[#This Row],[Start]]&gt;=Tasks[[#This Row],[Planned Start]],NETWORKDAYS.INTL(Tasks[[#This Row],[Planned Start]],Tasks[[#This Row],[Start]],WorkWeek,Holidays)-1,1-NETWORKDAYS.INTL(Tasks[[#This Row],[Start]],Tasks[[#This Row],[Planned Start]],WorkWeek,Holidays)))</f>
        <v/>
      </c>
      <c r="AT40" s="63" t="str">
        <f aca="false">IF(Tasks[[#This Row],[Task Name]]="","",IF(Tasks[[#This Row],[_IsSummary]],MIN(INDEX(Tasks[_LeafLateStart],Tasks[[#This Row],[_Row]]+1):INDEX(Tasks[_LeafLateStart],Tasks[[#This Row],[_Row]]+Tasks[[#This Row],[_Descendants]])),Tasks[[#This Row],[_LeafLateStart]]))</f>
        <v/>
      </c>
      <c r="AU40" s="63" t="str">
        <f aca="false">IF(Tasks[[#This Row],[Task Name]]="","",IF(Tasks[[#This Row],[_IsSummary]],MAX(INDEX(Tasks[_LeafLateFinish],Tasks[[#This Row],[_Row]]+1):INDEX(Tasks[_LeafLateFinish],Tasks[[#This Row],[_Row]]+Tasks[[#This Row],[_Descendants]])),Tasks[[#This Row],[_LeafLateFinish]]))</f>
        <v/>
      </c>
      <c r="AV40" s="47" t="str">
        <f aca="false">IF(Tasks[[#This Row],[Task Name]]="","",IF(Tasks[[#This Row],[_IsSummary]],MIN(INDEX(Tasks[_LeafTotalSlack],Tasks[[#This Row],[_Row]]+1):INDEX(Tasks[_LeafTotalSlack],Tasks[[#This Row],[_Row]]+Tasks[[#This Row],[_Descendants]])),Tasks[[#This Row],[_LeafTotalSlack]]))</f>
        <v/>
      </c>
      <c r="AW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5"/>
      <c r="BA4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t="str">
        <f aca="false">IF(Tasks[[#This Row],[Task Name]]="","",IF(Tasks[[#This Row],[_Level]]&lt;=OutlineShowLevel,"Yes","No"))</f>
        <v/>
      </c>
      <c r="BE40" s="86" t="str">
        <f aca="false">IF(Tasks[[#This Row],[Task Name]]="","",IF(Tasks[[#This Row],[_IsSummary]],SUM(INDEX(Tasks[_LeafTotalWork],Tasks[[#This Row],[_Row]]+1):INDEX(Tasks[_LeafTotalWork],Tasks[[#This Row],[_Row]]+Tasks[[#This Row],[_Descendants]])),Tasks[[#This Row],[_LeafTotalWork]]))</f>
        <v/>
      </c>
      <c r="BF40" s="23"/>
      <c r="BG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t="str">
        <f aca="false">""</f>
        <v/>
      </c>
      <c r="BI40" s="87"/>
      <c r="BJ40" s="22"/>
      <c r="BK40" s="47" t="str">
        <f aca="false">IF(OR(Tasks[[#This Row],[Task Name]]="",Tasks[[#This Row],[Baseline Duration]]=""),"",Tasks[[#This Row],[_SpanDays]]-N(Tasks[[#This Row],[Baseline Duration]]))</f>
        <v/>
      </c>
      <c r="BL40" s="86" t="str">
        <f aca="false">IF(OR(Tasks[[#This Row],[Task Name]]="",Tasks[[#This Row],[Baseline Work]]=""),"",Tasks[[#This Row],[Work]]-N(Tasks[[#This Row],[Baseline Work]]))</f>
        <v/>
      </c>
      <c r="BM40" s="63" t="str">
        <f aca="false">IF(Tasks[[#This Row],[Task Name]]="","",IF(OR(TakeBaseline="Yes",N(Tasks[[#This Row],[Baseline Start]])=0),Tasks[[#This Row],[Start]],Tasks[[#This Row],[Baseline Start]]))</f>
        <v/>
      </c>
      <c r="BN40" s="63" t="str">
        <f aca="false">IF(Tasks[[#This Row],[Task Name]]="","",IF(OR(TakeBaseline="Yes",N(Tasks[[#This Row],[Baseline Finish]])=0),Tasks[[#This Row],[Finish]],Tasks[[#This Row],[Baseline Finish]]))</f>
        <v/>
      </c>
      <c r="BO40" s="21" t="str">
        <f aca="false">IF(Tasks[[#This Row],[Task Name]]="","",IF(OR(TakeBaseline="Yes",N(Tasks[[#This Row],[Baseline Duration]])=0),Tasks[[#This Row],[_SpanDays]],Tasks[[#This Row],[Baseline Duration]]))</f>
        <v/>
      </c>
      <c r="BP40" s="86" t="str">
        <f aca="false">IF(Tasks[[#This Row],[Task Name]]="","",IF(OR(TakeBaseline="Yes",N(Tasks[[#This Row],[Baseline Work]])=0),Tasks[[#This Row],[Work]],Tasks[[#This Row],[Baseline Work]]))</f>
        <v/>
      </c>
      <c r="BQ40" s="7"/>
      <c r="BR40" s="7"/>
      <c r="BS40" s="22"/>
      <c r="BT40" s="88"/>
      <c r="BU40" s="23"/>
      <c r="BV40" s="23"/>
      <c r="BW40" s="23"/>
      <c r="BX40" s="89" t="str">
        <f aca="false">IF(AND(Tasks[[#This Row],[_IsLeaf]]=1,ISNUMBER(Tasks[[#This Row],[Optimistic]]),ISNUMBER(Tasks[[#This Row],[Pessimistic]])),ROUND((Tasks[[#This Row],[Optimistic]]+4*N(Tasks[[#This Row],[_Days]])+Tasks[[#This Row],[Pessimistic]])/6,1),"")</f>
        <v/>
      </c>
      <c r="BY40" s="87"/>
      <c r="BZ40" s="87"/>
      <c r="CA40" s="22"/>
      <c r="CB40" s="43" t="str">
        <f aca="false">IF(Tasks[[#This Row],[Task Name]]="","",MAX(1,N(Tasks[[#This Row],[Level]])))</f>
        <v/>
      </c>
      <c r="CC40" s="43" t="n">
        <f aca="false">ROW()-ROW(Tasks[[#Headers],[ID]])</f>
        <v>35</v>
      </c>
      <c r="CD40" s="43" t="n">
        <f aca="false">IF(OR(Tasks[[#This Row],[Task Name]]="",Tasks[[#This Row],[_Level]]&lt;=1),0,IFERROR(LOOKUP(2,1/(Tasks[[#Headers],[_Level]]:Tasks[[#This Row],[_Level]]=Tasks[[#This Row],[_Level]]-1),ROW(Tasks[[#Headers],[_Level]]:Tasks[[#This Row],[_Level]])),0))</f>
        <v>0</v>
      </c>
      <c r="CE40" s="43" t="n">
        <f aca="false">IFERROR(N(INDEX(Tasks[_Level],Tasks[[#This Row],[_Row]]+1)),0)</f>
        <v>0</v>
      </c>
      <c r="CF40" s="90" t="b">
        <f aca="false">AND(Tasks[[#This Row],[Task Name]]&lt;&gt;"",Tasks[[#This Row],[_NextLevel]]&gt;Tasks[[#This Row],[_Level]])</f>
        <v>0</v>
      </c>
      <c r="CG40" s="43" t="n">
        <f aca="false">IF(Tasks[[#This Row],[_IsSummary]],COUNTIF(Tasks[WBS],Tasks[[#This Row],[WBS]]&amp;".*"),0)</f>
        <v>0</v>
      </c>
      <c r="CH40" s="43" t="n">
        <f aca="false">IF(AND(Tasks[[#This Row],[Task Name]]&lt;&gt;"",NOT(Tasks[[#This Row],[_IsSummary]])),1,0)</f>
        <v>0</v>
      </c>
      <c r="CI40" s="43" t="n">
        <f aca="false">IF(N(Tasks[[#This Row],[_Pred1UID]])=0,0,IFERROR(MATCH(Tasks[[#This Row],[_Pred1UID]],Tasks[UID],0),-1))</f>
        <v>0</v>
      </c>
      <c r="CJ40" s="43" t="n">
        <f aca="false">IF(N(Tasks[[#This Row],[_Pred2UID]])=0,0,IFERROR(MATCH(Tasks[[#This Row],[_Pred2UID]],Tasks[UID],0),-1))</f>
        <v>0</v>
      </c>
      <c r="CK40" s="43" t="n">
        <f aca="false">IF(N(Tasks[[#This Row],[_Pred3UID]])=0,0,IFERROR(MATCH(Tasks[[#This Row],[_Pred3UID]],Tasks[UID],0),-1))</f>
        <v>0</v>
      </c>
      <c r="CL40" s="43" t="n">
        <f aca="false">IF(N(Tasks[[#This Row],[_Pred4UID]])=0,0,IFERROR(MATCH(Tasks[[#This Row],[_Pred4UID]],Tasks[UID],0),-1))</f>
        <v>0</v>
      </c>
      <c r="CM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0" s="91" t="n">
        <f aca="false">IF(OR(Tasks[[#This Row],[_ConstraintCode]]=2,Tasks[[#This Row],[_ConstraintCode]]=3,Tasks[[#This Row],[_ConstraintCode]]=4,Tasks[[#This Row],[_ConstraintCode]]=6),Tasks[[#This Row],[_ConstraintStart]],0)</f>
        <v>0</v>
      </c>
      <c r="CP40" s="91" t="n">
        <f aca="false">IF(OR(Tasks[[#This Row],[_ConstraintCode]]=2,Tasks[[#This Row],[_ConstraintCode]]=3,Tasks[[#This Row],[_ConstraintCode]]=5,Tasks[[#This Row],[_ConstraintCode]]=7),Tasks[[#This Row],[_ConstraintStart]],2958465)</f>
        <v>2958465</v>
      </c>
      <c r="CQ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0" s="91" t="str">
        <f aca="false">IF(NOT(Tasks[[#This Row],[_IsLeaf]]=1),"",IF(N(Tasks[[#This Row],[_Days]])&lt;=0,Tasks[[#This Row],[_LeafCalcStart]],WORKDAY.INTL(Tasks[[#This Row],[_LeafCalcStart]],Tasks[[#This Row],[_Days]]-1,WorkWeek,Holidays)))</f>
        <v/>
      </c>
      <c r="CS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0" s="43" t="str">
        <f aca="false">IF(Tasks[[#This Row],[_Predecessors]]="","",TRIM(MID(SUBSTITUTE(SUBSTITUTE(SUBSTITUTE(UPPER(Tasks[[#This Row],[_Predecessors]]),";",",")," ",""),",",REPT(" ",99)),1,99)))</f>
        <v/>
      </c>
      <c r="CV40" s="43" t="str">
        <f aca="false">IF(Tasks[[#This Row],[_Pred1Text]]="","",IFERROR(VALUE(LEFT(Tasks[[#This Row],[_Pred1Text]],MIN(FIND("F",Tasks[[#This Row],[_Pred1Text]]&amp;"F"),FIND("S",Tasks[[#This Row],[_Pred1Text]]&amp;"S"),FIND("+",Tasks[[#This Row],[_Pred1Text]]&amp;"+"),FIND("-",Tasks[[#This Row],[_Pred1Text]]&amp;"-"))-1)),""))</f>
        <v/>
      </c>
      <c r="CW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0" s="43" t="str">
        <f aca="false">IF(Tasks[[#This Row],[_Pred1Text]]="","",TRIM(MID(SUBSTITUTE(SUBSTITUTE(SUBSTITUTE(UPPER(Tasks[[#This Row],[_Predecessors]]),";",",")," ",""),",",REPT(" ",99)),100,99)))</f>
        <v/>
      </c>
      <c r="CZ40" s="43" t="str">
        <f aca="false">IF(Tasks[[#This Row],[_Pred2Text]]="","",IFERROR(VALUE(LEFT(Tasks[[#This Row],[_Pred2Text]],MIN(FIND("F",Tasks[[#This Row],[_Pred2Text]]&amp;"F"),FIND("S",Tasks[[#This Row],[_Pred2Text]]&amp;"S"),FIND("+",Tasks[[#This Row],[_Pred2Text]]&amp;"+"),FIND("-",Tasks[[#This Row],[_Pred2Text]]&amp;"-"))-1)),""))</f>
        <v/>
      </c>
      <c r="DA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0" s="43" t="str">
        <f aca="false">IF(Tasks[[#This Row],[_Pred2Text]]="","",TRIM(MID(SUBSTITUTE(SUBSTITUTE(SUBSTITUTE(UPPER(Tasks[[#This Row],[_Predecessors]]),";",",")," ",""),",",REPT(" ",99)),199,99)))</f>
        <v/>
      </c>
      <c r="DD40" s="43" t="str">
        <f aca="false">IF(Tasks[[#This Row],[_Pred3Text]]="","",IFERROR(VALUE(LEFT(Tasks[[#This Row],[_Pred3Text]],MIN(FIND("F",Tasks[[#This Row],[_Pred3Text]]&amp;"F"),FIND("S",Tasks[[#This Row],[_Pred3Text]]&amp;"S"),FIND("+",Tasks[[#This Row],[_Pred3Text]]&amp;"+"),FIND("-",Tasks[[#This Row],[_Pred3Text]]&amp;"-"))-1)),""))</f>
        <v/>
      </c>
      <c r="DE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0" s="43" t="str">
        <f aca="false">IF(Tasks[[#This Row],[_Pred3Text]]="","",TRIM(MID(SUBSTITUTE(SUBSTITUTE(SUBSTITUTE(UPPER(Tasks[[#This Row],[_Predecessors]]),";",",")," ",""),",",REPT(" ",99)),298,99)))</f>
        <v/>
      </c>
      <c r="DH40" s="43" t="str">
        <f aca="false">IF(Tasks[[#This Row],[_Pred4Text]]="","",IFERROR(VALUE(LEFT(Tasks[[#This Row],[_Pred4Text]],MIN(FIND("F",Tasks[[#This Row],[_Pred4Text]]&amp;"F"),FIND("S",Tasks[[#This Row],[_Pred4Text]]&amp;"S"),FIND("+",Tasks[[#This Row],[_Pred4Text]]&amp;"+"),FIND("-",Tasks[[#This Row],[_Pred4Text]]&amp;"-"))-1)),""))</f>
        <v/>
      </c>
      <c r="DI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0" s="43" t="str">
        <f aca="false">IF(OR(Tasks[[#This Row],[Task Name]]="",Tasks[[#This Row],[_Resources]]=""),"",TRIM(MID(SUBSTITUTE(Tasks[[#This Row],[_Resources]],",",REPT(" ",99)),1,99)))</f>
        <v/>
      </c>
      <c r="DL40" s="43" t="str">
        <f aca="false">IF(Tasks[[#This Row],[_Res1Text]]="","",TRIM(MID(SUBSTITUTE(Tasks[[#This Row],[_Resources]],",",REPT(" ",99)),100,99)))</f>
        <v/>
      </c>
      <c r="DM40" s="43" t="str">
        <f aca="false">IF(Tasks[[#This Row],[_Res2Text]]="","",TRIM(MID(SUBSTITUTE(Tasks[[#This Row],[_Resources]],",",REPT(" ",99)),199,99)))</f>
        <v/>
      </c>
      <c r="DN40" s="43" t="str">
        <f aca="false">IF(Tasks[[#This Row],[_Res3Text]]="","",TRIM(MID(SUBSTITUTE(Tasks[[#This Row],[_Resources]],",",REPT(" ",99)),298,99)))</f>
        <v/>
      </c>
      <c r="DO40" s="43" t="n">
        <f aca="false">IF(Tasks[[#This Row],[_Res1Text]]="",0,IFERROR(MATCH(TRIM(LEFT(Tasks[[#This Row],[_Res1Text]],FIND("[",Tasks[[#This Row],[_Res1Text]]&amp;"[")-1)),res_Name,0),IFERROR(MATCH(TRIM(LEFT(Tasks[[#This Row],[_Res1Text]],FIND("[",Tasks[[#This Row],[_Res1Text]]&amp;"[")-1)),res_Initials,0),0)))</f>
        <v>0</v>
      </c>
      <c r="DP40" s="43" t="n">
        <f aca="false">IF(Tasks[[#This Row],[_Res2Text]]="",0,IFERROR(MATCH(TRIM(LEFT(Tasks[[#This Row],[_Res2Text]],FIND("[",Tasks[[#This Row],[_Res2Text]]&amp;"[")-1)),res_Name,0),IFERROR(MATCH(TRIM(LEFT(Tasks[[#This Row],[_Res2Text]],FIND("[",Tasks[[#This Row],[_Res2Text]]&amp;"[")-1)),res_Initials,0),0)))</f>
        <v>0</v>
      </c>
      <c r="DQ40" s="43" t="n">
        <f aca="false">IF(Tasks[[#This Row],[_Res3Text]]="",0,IFERROR(MATCH(TRIM(LEFT(Tasks[[#This Row],[_Res3Text]],FIND("[",Tasks[[#This Row],[_Res3Text]]&amp;"[")-1)),res_Name,0),IFERROR(MATCH(TRIM(LEFT(Tasks[[#This Row],[_Res3Text]],FIND("[",Tasks[[#This Row],[_Res3Text]]&amp;"[")-1)),res_Initials,0),0)))</f>
        <v>0</v>
      </c>
      <c r="DR40" s="43" t="n">
        <f aca="false">IF(Tasks[[#This Row],[_Res4Text]]="",0,IFERROR(MATCH(TRIM(LEFT(Tasks[[#This Row],[_Res4Text]],FIND("[",Tasks[[#This Row],[_Res4Text]]&amp;"[")-1)),res_Name,0),IFERROR(MATCH(TRIM(LEFT(Tasks[[#This Row],[_Res4Text]],FIND("[",Tasks[[#This Row],[_Res4Text]]&amp;"[")-1)),res_Initials,0),0)))</f>
        <v>0</v>
      </c>
      <c r="DS40" s="43" t="str">
        <f aca="false">IF(Tasks[[#This Row],[_Res1Text]]="","",IF(Tasks[[#This Row],[_Res1Row]]&gt;0,INDEX(res_Name,Tasks[[#This Row],[_Res1Row]]),TRIM(LEFT(Tasks[[#This Row],[_Res1Text]],FIND("[",Tasks[[#This Row],[_Res1Text]]&amp;"[")-1))))</f>
        <v/>
      </c>
      <c r="DT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0" s="43" t="n">
        <f aca="false">IF(NOT(Tasks[[#This Row],[_IsLeaf]]=1),0,(Tasks[[#This Row],[_Resource1]]&lt;&gt;"")+(Tasks[[#This Row],[_Res2]]&lt;&gt;"")+(Tasks[[#This Row],[_Res3]]&lt;&gt;"")+(Tasks[[#This Row],[_Res4]]&lt;&gt;""))</f>
        <v>0</v>
      </c>
      <c r="DV40" s="43" t="str">
        <f aca="false">IF(Tasks[[#This Row],[_Res2Text]]="","",IF(Tasks[[#This Row],[_Res2Row]]&gt;0,INDEX(res_Name,Tasks[[#This Row],[_Res2Row]]),TRIM(LEFT(Tasks[[#This Row],[_Res2Text]],FIND("[",Tasks[[#This Row],[_Res2Text]]&amp;"[")-1))))</f>
        <v/>
      </c>
      <c r="DW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0" s="43" t="n">
        <f aca="false">IF(OR(NOT(Tasks[[#This Row],[_IsLeaf]]=1),Tasks[[#This Row],[_Res2Row]]=0),0,N(Tasks[[#This Row],[_Days]])*HoursPerDay*IF(Tasks[[#This Row],[_Res2Units]]="",DefaultUnits,Tasks[[#This Row],[_Res2Units]]))</f>
        <v>0</v>
      </c>
      <c r="DY40" s="43" t="n">
        <f aca="false">IF(AND(AND(Tasks[[#This Row],[_IsLeaf]]=1,Tasks[[#This Row],[_LeafTotalWork]]&gt;0),Tasks[[#This Row],[_Res2Work]]&gt;0),Tasks[[#This Row],[_Res2Work]]/(Tasks[[#This Row],[_FinishWorkday]]-Tasks[[#This Row],[_StartWorkday]]+1),0)</f>
        <v>0</v>
      </c>
      <c r="DZ40" s="43" t="n">
        <f aca="false">Tasks[[#This Row],[_Res2WorkPerWD]]*MAX(0,Tasks[[#This Row],[_StartWorkday]]-1)</f>
        <v>0</v>
      </c>
      <c r="EA40" s="43" t="n">
        <f aca="false">Tasks[[#This Row],[_Res2Work]]*Tasks[[#This Row],[_LeafProgress]]</f>
        <v>0</v>
      </c>
      <c r="EB40" s="43" t="str">
        <f aca="false">IF(Tasks[[#This Row],[_Res3Text]]="","",IF(Tasks[[#This Row],[_Res3Row]]&gt;0,INDEX(res_Name,Tasks[[#This Row],[_Res3Row]]),TRIM(LEFT(Tasks[[#This Row],[_Res3Text]],FIND("[",Tasks[[#This Row],[_Res3Text]]&amp;"[")-1))))</f>
        <v/>
      </c>
      <c r="EC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0" s="43" t="n">
        <f aca="false">IF(OR(NOT(Tasks[[#This Row],[_IsLeaf]]=1),Tasks[[#This Row],[_Res3Row]]=0),0,N(Tasks[[#This Row],[_Days]])*HoursPerDay*IF(Tasks[[#This Row],[_Res3Units]]="",DefaultUnits,Tasks[[#This Row],[_Res3Units]]))</f>
        <v>0</v>
      </c>
      <c r="EE40" s="43" t="n">
        <f aca="false">IF(AND(AND(Tasks[[#This Row],[_IsLeaf]]=1,Tasks[[#This Row],[_LeafTotalWork]]&gt;0),Tasks[[#This Row],[_Res3Work]]&gt;0),Tasks[[#This Row],[_Res3Work]]/(Tasks[[#This Row],[_FinishWorkday]]-Tasks[[#This Row],[_StartWorkday]]+1),0)</f>
        <v>0</v>
      </c>
      <c r="EF40" s="43" t="n">
        <f aca="false">Tasks[[#This Row],[_Res3WorkPerWD]]*MAX(0,Tasks[[#This Row],[_StartWorkday]]-1)</f>
        <v>0</v>
      </c>
      <c r="EG40" s="43" t="n">
        <f aca="false">Tasks[[#This Row],[_Res3Work]]*Tasks[[#This Row],[_LeafProgress]]</f>
        <v>0</v>
      </c>
      <c r="EH40" s="43" t="str">
        <f aca="false">IF(Tasks[[#This Row],[_Res4Text]]="","",IF(Tasks[[#This Row],[_Res4Row]]&gt;0,INDEX(res_Name,Tasks[[#This Row],[_Res4Row]]),TRIM(LEFT(Tasks[[#This Row],[_Res4Text]],FIND("[",Tasks[[#This Row],[_Res4Text]]&amp;"[")-1))))</f>
        <v/>
      </c>
      <c r="EI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0" s="43" t="n">
        <f aca="false">IF(OR(NOT(Tasks[[#This Row],[_IsLeaf]]=1),Tasks[[#This Row],[_Res4Row]]=0),0,N(Tasks[[#This Row],[_Days]])*HoursPerDay*IF(Tasks[[#This Row],[_Res4Units]]="",DefaultUnits,Tasks[[#This Row],[_Res4Units]]))</f>
        <v>0</v>
      </c>
      <c r="EK40" s="43" t="n">
        <f aca="false">IF(AND(AND(Tasks[[#This Row],[_IsLeaf]]=1,Tasks[[#This Row],[_LeafTotalWork]]&gt;0),Tasks[[#This Row],[_Res4Work]]&gt;0),Tasks[[#This Row],[_Res4Work]]/(Tasks[[#This Row],[_FinishWorkday]]-Tasks[[#This Row],[_StartWorkday]]+1),0)</f>
        <v>0</v>
      </c>
      <c r="EL40" s="43" t="n">
        <f aca="false">Tasks[[#This Row],[_Res4WorkPerWD]]*MAX(0,Tasks[[#This Row],[_StartWorkday]]-1)</f>
        <v>0</v>
      </c>
      <c r="EM40" s="43" t="n">
        <f aca="false">Tasks[[#This Row],[_Res4Work]]*Tasks[[#This Row],[_LeafProgress]]</f>
        <v>0</v>
      </c>
      <c r="EN40" s="43" t="n">
        <f aca="false">IF(ISNUMBER(Tasks[[#This Row],[% Complete]]),Tasks[[#This Row],[% Complete]],IF(Tasks[[#This Row],[Stage]]="",0,IFERROR(INDEX(stg_Pct,MATCH(Tasks[[#This Row],[Stage]],stg_Name,0)),0)))</f>
        <v>0</v>
      </c>
      <c r="EO40" s="43" t="n">
        <f aca="false">IF(NOT(Tasks[[#This Row],[_IsLeaf]]=1),0,IF(N(Tasks[[#This Row],[Actual Finish]])&gt;0,1,MIN(1,Tasks[[#This Row],[_Pct]])))</f>
        <v>0</v>
      </c>
      <c r="EP40" s="43" t="n">
        <f aca="false">IF(OR(NOT(Tasks[[#This Row],[_IsLeaf]]=1),Tasks[[#This Row],[_Res1Row]]=0),0,N(Tasks[[#This Row],[_Days]])*HoursPerDay*IF(Tasks[[#This Row],[_Units1]]="",DefaultUnits,Tasks[[#This Row],[_Units1]]))</f>
        <v>0</v>
      </c>
      <c r="EQ40" s="43" t="n">
        <f aca="false">Tasks[[#This Row],[_LeafWork]]+Tasks[[#This Row],[_Res2Work]]+Tasks[[#This Row],[_Res3Work]]+Tasks[[#This Row],[_Res4Work]]</f>
        <v>0</v>
      </c>
      <c r="ER4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0" s="43" t="n">
        <f aca="false">IF(NOT(Tasks[[#This Row],[_IsLeaf]]=1),0,MAX(_xlfn.MAXIFS(Tasks[_Row],Tasks[_Pred1UID],Tasks[[#This Row],[UID]]),_xlfn.MAXIFS(Tasks[_Row],Tasks[_Pred2UID],Tasks[[#This Row],[UID]]),_xlfn.MAXIFS(Tasks[_Row],Tasks[_Pred3UID],Tasks[[#This Row],[UID]]),_xlfn.MAXIFS(Tasks[_Row],Tasks[_Pred4UID],Tasks[[#This Row],[UID]])))</f>
        <v>0</v>
      </c>
      <c r="FA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0" s="91" t="str">
        <f aca="false">IF(NOT(Tasks[[#This Row],[_IsLeaf]]=1),"",IF(N(Tasks[[#This Row],[_Days]])&lt;=0,Tasks[[#This Row],[_LeafLateFinish]],WORKDAY.INTL(Tasks[[#This Row],[_LeafLateFinish]],-(Tasks[[#This Row],[_Days]]-1),WorkWeek,Holidays)))</f>
        <v/>
      </c>
      <c r="FD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0" s="90" t="b">
        <f aca="false">AND(Tasks[[#This Row],[_IsLeaf]]=1,Tasks[[#This Row],[_LeafProgress]]&lt;1,N(Tasks[[#This Row],[_LeafTotalSlack]])&lt;=CriticalSlackDays)</f>
        <v>0</v>
      </c>
      <c r="FF40" s="43" t="n">
        <f aca="false">IF(AND(Tasks[[#This Row],[_IsLeaf]]=1,Tasks[[#This Row],[_ConstraintCode]]=1,Tasks[[#This Row],[Mode]]&lt;&gt;"Manual",N(Tasks[[#This Row],[Actual Start]])=0),MAX(0,N(Tasks[[#This Row],[Free Slack]])),0)</f>
        <v>0</v>
      </c>
      <c r="FG40" s="91" t="str">
        <f aca="false">IF(NOT(Tasks[[#This Row],[_IsLeaf]]=1),"",IF(Tasks[[#This Row],[_AlapShift]]=0,Tasks[[#This Row],[_LeafCalcStart]],WORKDAY.INTL(Tasks[[#This Row],[_LeafCalcStart]],Tasks[[#This Row],[_AlapShift]],WorkWeek,Holidays)))</f>
        <v/>
      </c>
      <c r="FH40" s="91" t="str">
        <f aca="false">IF(NOT(Tasks[[#This Row],[_IsLeaf]]=1),"",IF(Tasks[[#This Row],[_AlapShift]]=0,Tasks[[#This Row],[_LeafCalcFinish]],WORKDAY.INTL(Tasks[[#This Row],[_LeafCalcFinish]],Tasks[[#This Row],[_AlapShift]],WorkWeek,Holidays)))</f>
        <v/>
      </c>
      <c r="FI40" s="91" t="str">
        <f aca="false">IF(NOT(Tasks[[#This Row],[_IsLeaf]]=1),"",IF(Tasks[[#This Row],[_AlapShift]]=0,Tasks[[#This Row],[_LeafFcstStart]],WORKDAY.INTL(Tasks[[#This Row],[_LeafFcstStart]],Tasks[[#This Row],[_AlapShift]],WorkWeek,Holidays)))</f>
        <v/>
      </c>
      <c r="FJ40" s="91" t="str">
        <f aca="false">IF(NOT(Tasks[[#This Row],[_IsLeaf]]=1),"",IF(Tasks[[#This Row],[_AlapShift]]=0,Tasks[[#This Row],[_LeafFcstFinish]],WORKDAY.INTL(Tasks[[#This Row],[_LeafFcstFinish]],Tasks[[#This Row],[_AlapShift]],WorkWeek,Holidays)))</f>
        <v/>
      </c>
      <c r="FK40" s="91" t="str">
        <f aca="false">IF(Tasks[[#This Row],[Task Name]]="","",IF(Tasks[[#This Row],[_IsSummary]],MIN(INDEX(Tasks[_ShownCalcStart],Tasks[[#This Row],[_Row]]+1):INDEX(Tasks[_ShownCalcStart],Tasks[[#This Row],[_Row]]+Tasks[[#This Row],[_Descendants]])),Tasks[[#This Row],[_ShownCalcStart]]))</f>
        <v/>
      </c>
      <c r="FL40" s="91" t="str">
        <f aca="false">IF(Tasks[[#This Row],[Task Name]]="","",IF(Tasks[[#This Row],[_IsSummary]],MAX(INDEX(Tasks[_ShownCalcFinish],Tasks[[#This Row],[_Row]]+1):INDEX(Tasks[_ShownCalcFinish],Tasks[[#This Row],[_Row]]+Tasks[[#This Row],[_Descendants]])),Tasks[[#This Row],[_ShownCalcFinish]]))</f>
        <v/>
      </c>
      <c r="FM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0" s="43" t="n">
        <f aca="false">IF(AND(Tasks[[#This Row],[_IsLeaf]]=1,Tasks[[#This Row],[_LeafTotalWork]]&gt;0),NETWORKDAYS.INTL(ProjectStart,Tasks[[#This Row],[_ShownFcstStart]],WorkWeek,Holidays),0)</f>
        <v>0</v>
      </c>
      <c r="FZ40" s="43" t="n">
        <f aca="false">IF(AND(Tasks[[#This Row],[_IsLeaf]]=1,Tasks[[#This Row],[_LeafTotalWork]]&gt;0),MAX(Tasks[[#This Row],[_StartWorkday]],NETWORKDAYS.INTL(ProjectStart,Tasks[[#This Row],[_ShownFcstFinish]],WorkWeek,Holidays)),0)</f>
        <v>0</v>
      </c>
      <c r="GA40" s="43" t="n">
        <f aca="false">IF(AND(Tasks[[#This Row],[_IsLeaf]]=1,Tasks[[#This Row],[_LeafTotalWork]]&gt;0),Tasks[[#This Row],[_LeafWork]]/(Tasks[[#This Row],[_FinishWorkday]]-Tasks[[#This Row],[_StartWorkday]]+1),0)</f>
        <v>0</v>
      </c>
      <c r="GB40" s="43" t="n">
        <f aca="false">Tasks[[#This Row],[_WorkPerWorkday]]*(Tasks[[#This Row],[_StartWorkday]]-1)</f>
        <v>-0</v>
      </c>
      <c r="GC40" s="43" t="n">
        <f aca="false">IF(Tasks[[#This Row],[_IsLeaf]]=1,MAX(N(Tasks[[#This Row],[_Days]]),0.1),0)</f>
        <v>0</v>
      </c>
      <c r="GD40" s="43" t="n">
        <f aca="false">Tasks[[#This Row],[_WeightDur]]*Tasks[[#This Row],[_LeafProgress]]</f>
        <v>0</v>
      </c>
      <c r="GE40" s="43" t="n">
        <f aca="false">Tasks[[#This Row],[_WeightDur]]*Tasks[[#This Row],[_PlannedPct]]</f>
        <v>0</v>
      </c>
      <c r="GF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0" s="43" t="str">
        <f aca="false">IF(AND(Tasks[[#This Row],[_IsLeaf]]=1,N(Tasks[[#This Row],[_Days]])=0,Tasks[[#This Row],[_LeafProgress]]&lt;1),Tasks[[#This Row],[_ShownFcstFinish]]+Tasks[[#This Row],[_Row]]/100000,"")</f>
        <v/>
      </c>
      <c r="GH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0" s="43" t="str">
        <f aca="false">IF(Tasks[[#This Row],[Task Name]]="","",LEFT(Tasks[[#This Row],[WBS]],FIND(".",Tasks[[#This Row],[WBS]]&amp;".")-1))</f>
        <v/>
      </c>
      <c r="GJ40" s="43" t="str">
        <f aca="false">IF(AND(Tasks[[#This Row],[Task Name]]&lt;&gt;"",Tasks[[#This Row],[_Level]]=1),Tasks[[#This Row],[_Row]],"")</f>
        <v/>
      </c>
      <c r="GK40" s="43" t="str">
        <f aca="false">IF(AND(Tasks[[#This Row],[_IsLeaf]]=1,N(Tasks[[#This Row],[_Days]])=0),Tasks[[#This Row],[Planned Finish]]+Tasks[[#This Row],[_Row]]/100000,"")</f>
        <v/>
      </c>
      <c r="GL40" s="43" t="str">
        <f aca="false">IF(AND(Tasks[[#This Row],[_IsLeaf]]=1,Tasks[[#This Row],[_LeafProgress]]&lt;1,OR(N(Tasks[[#This Row],[Finish Var]])&gt;0,Tasks[[#This Row],[Status]]="Late Start")),MAX(0,Tasks[[#This Row],[Finish Var]])+1-Tasks[[#This Row],[_Row]]/1000000,"")</f>
        <v/>
      </c>
      <c r="GM40" s="43" t="str">
        <f aca="false">IF(AND(Tasks[[#This Row],[_IsLeaf]]=1,N(Tasks[[#This Row],[Actual Start]])=0,Tasks[[#This Row],[_ShownFcstStart]]&gt;=StatusDate,Tasks[[#This Row],[_ShownFcstStart]]&lt;=LookaheadEnd),Tasks[[#This Row],[_ShownFcstStart]]+Tasks[[#This Row],[_Row]]/100000,"")</f>
        <v/>
      </c>
      <c r="GN40" s="43" t="str">
        <f aca="false">IF(AND(Tasks[[#This Row],[_IsLeaf]]=1,Tasks[[#This Row],[_LeafProgress]]&lt;1,Tasks[[#This Row],[_ShownFcstFinish]]&gt;=StatusDate,Tasks[[#This Row],[_ShownFcstFinish]]&lt;=LookaheadEnd),Tasks[[#This Row],[_ShownFcstFinish]]+Tasks[[#This Row],[_Row]]/100000,"")</f>
        <v/>
      </c>
      <c r="GO40" s="43" t="str">
        <f aca="false">IF(Tasks[[#This Row],[_LeafCritical]],Tasks[[#This Row],[_ShownFcstStart]]+Tasks[[#This Row],[_Row]]/100000,"")</f>
        <v/>
      </c>
      <c r="GP40" s="43" t="n">
        <f aca="false">Tasks[[#This Row],[_LeafWork]]*Tasks[[#This Row],[_LeafProgress]]</f>
        <v>0</v>
      </c>
      <c r="GQ40" s="91" t="str">
        <f aca="false">IF(AND(Tasks[[#This Row],[_IsLeaf]]=1,Tasks[[#This Row],[_LeafProgress]]&gt;=1),IF(N(Tasks[[#This Row],[Actual Finish]])&gt;0,Tasks[[#This Row],[Actual Finish]],Tasks[[#This Row],[_ShownFcstFinish]]),"")</f>
        <v/>
      </c>
      <c r="GR40" s="43" t="n">
        <f aca="false">IF(Tasks[[#This Row],[_IsLeaf]]=1,N(Tasks[[#This Row],[Story Points]]),0)</f>
        <v>0</v>
      </c>
      <c r="GS40" s="43" t="str">
        <f aca="false">""</f>
        <v/>
      </c>
      <c r="GT40" s="90" t="b">
        <f aca="false">IF(Tasks[[#This Row],[Task Name]]="",FALSE(),AND(Tasks[[#This Row],[_IsLeaf]]=1,N(Tasks[[#This Row],[_Days]])=0))</f>
        <v>0</v>
      </c>
      <c r="GU40" s="91" t="n">
        <f aca="false">IF(Tasks[[#This Row],[Task Name]]="",0,IF(AND(Tasks[[#This Row],[_IsLeaf]]=1,NOT(Tasks[[#This Row],[_IsMilestone]]),N(Tasks[[#This Row],[Progress]])&gt;0),Tasks[[#This Row],[Start]],0))</f>
        <v>0</v>
      </c>
      <c r="GV40" s="91" t="n">
        <f aca="false">IF(Tasks[[#This Row],[_DoneFrom]]=0,0,IF(Tasks[[#This Row],[Progress]]&gt;=1,Tasks[[#This Row],[Finish]],MAX(Tasks[[#This Row],[_DoneFrom]],Tasks[[#This Row],[Start]]+ROUND((Tasks[[#This Row],[Finish]]-Tasks[[#This Row],[Start]]+1)*Tasks[[#This Row],[Progress]],0)-1)))</f>
        <v>0</v>
      </c>
      <c r="GW40" s="91" t="n">
        <f aca="false">IF(Tasks[[#This Row],[Task Name]]="",0,IF(OR(NOT(Tasks[[#This Row],[_IsLeaf]]=1),Tasks[[#This Row],[_IsMilestone]],N(Tasks[[#This Row],[Progress]])&gt;=1),0,IF(Tasks[[#This Row],[_DoneTo]]&gt;0,Tasks[[#This Row],[_DoneTo]]+1,Tasks[[#This Row],[Start]])))</f>
        <v>0</v>
      </c>
      <c r="GX40" s="91" t="n">
        <f aca="false">IF(Tasks[[#This Row],[_RemFrom]]=0,0,Tasks[[#This Row],[Finish]])</f>
        <v>0</v>
      </c>
      <c r="GY40" s="90" t="b">
        <f aca="false">IF(Tasks[[#This Row],[Task Name]]="",FALSE(),OR(NOT(BaselineSet),N(Tasks[[#This Row],[Baseline Start]])&gt;0))</f>
        <v>0</v>
      </c>
      <c r="GZ4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0" s="92" t="str">
        <f aca="false">IF(Tasks[[#This Row],[_IsLeaf]]=1,Tasks[[#This Row],[_Row]],"")</f>
        <v/>
      </c>
      <c r="HD40" s="92" t="str">
        <f aca="false">IFERROR(INDEX(Tasks[UID],SMALL(Tasks[_PickKey],Tasks[[#This Row],[_Row]]))&amp;" "&amp;INDEX(Tasks[Task Name],SMALL(Tasks[_PickKey],Tasks[[#This Row],[_Row]])),"")</f>
        <v/>
      </c>
      <c r="HE40" s="43" t="str">
        <f aca="false">IF(Tasks[[#This Row],[Task Name]]="","",IF(Tasks[[#This Row],[_IsSummary]],NETWORKDAYS.INTL(Tasks[[#This Row],[Start]],Tasks[[#This Row],[Finish]],WorkWeek,Holidays),N(Tasks[[#This Row],[_Days]])))</f>
        <v/>
      </c>
      <c r="HF40" s="43" t="n">
        <f aca="false">IF(Tasks[[#This Row],[Expected]]="",0,((Tasks[[#This Row],[Pessimistic]]-Tasks[[#This Row],[Optimistic]])/6)^2)</f>
        <v>0</v>
      </c>
      <c r="HG40" s="43" t="n">
        <f aca="false">IF(Tasks[[#This Row],[Expected]]="",0,Tasks[[#This Row],[Expected]]-N(Tasks[[#This Row],[_Days]]))</f>
        <v>0</v>
      </c>
    </row>
    <row r="41" customFormat="false" ht="15" hidden="false" customHeight="false" outlineLevel="0" collapsed="false">
      <c r="A41" s="21" t="str">
        <f aca="false">IF(Tasks[[#This Row],[Task Name]]="","",COUNTA(Tasks[[#Headers],[Task Name]]:Tasks[[#This Row],[Task Name]])-1)</f>
        <v/>
      </c>
      <c r="B41" s="22" t="n">
        <v>49</v>
      </c>
      <c r="C41" s="22"/>
      <c r="D41" s="23"/>
      <c r="E41" s="22"/>
      <c r="F41" s="23"/>
      <c r="G41" s="22"/>
      <c r="H41" s="22"/>
      <c r="I41" s="23"/>
      <c r="J41" s="22"/>
      <c r="K41" s="22"/>
      <c r="L41" s="23"/>
      <c r="M41" s="22"/>
      <c r="N41" s="22"/>
      <c r="O41" s="23"/>
      <c r="P41" s="22"/>
      <c r="Q41" s="22"/>
      <c r="R41" s="23"/>
      <c r="S41" s="23"/>
      <c r="T41" s="84"/>
      <c r="U41" s="23"/>
      <c r="V41" s="84"/>
      <c r="W41" s="23"/>
      <c r="X41" s="84"/>
      <c r="Y41" s="23"/>
      <c r="Z41" s="84"/>
      <c r="AA41" s="23"/>
      <c r="AB41" s="23"/>
      <c r="AC41" s="7"/>
      <c r="AD41" s="7"/>
      <c r="AE41" s="63" t="str">
        <f aca="false">IF(Tasks[[#This Row],[Task Name]]="","",IF(Tasks[[#This Row],[_IsSummary]],MIN(INDEX(Tasks[_ShownFcstStart],Tasks[[#This Row],[_Row]]+1):INDEX(Tasks[_ShownFcstStart],Tasks[[#This Row],[_Row]]+Tasks[[#This Row],[_Descendants]])),Tasks[[#This Row],[_ShownFcstStart]]))</f>
        <v/>
      </c>
      <c r="AF41" s="63" t="str">
        <f aca="false">IF(Tasks[[#This Row],[Task Name]]="","",IF(Tasks[[#This Row],[_IsSummary]],MAX(INDEX(Tasks[_ShownFcstFinish],Tasks[[#This Row],[_Row]]+1):INDEX(Tasks[_ShownFcstFinish],Tasks[[#This Row],[_Row]]+Tasks[[#This Row],[_Descendants]])),Tasks[[#This Row],[_ShownFcstFinish]]))</f>
        <v/>
      </c>
      <c r="AG41" s="21" t="str">
        <f aca="false">""</f>
        <v/>
      </c>
      <c r="AH41" s="23"/>
      <c r="AI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1" s="7"/>
      <c r="AK41" s="22"/>
      <c r="AL41" s="23"/>
      <c r="AM41" s="7"/>
      <c r="AN41" s="47" t="str">
        <f aca="false">IF(Tasks[[#This Row],[Task Name]]="","",IF(Tasks[[#This Row],[Finish]]&gt;=Tasks[[#This Row],[Planned Finish]],NETWORKDAYS.INTL(Tasks[[#This Row],[Planned Finish]],Tasks[[#This Row],[Finish]],WorkWeek,Holidays)-1,1-NETWORKDAYS.INTL(Tasks[[#This Row],[Finish]],Tasks[[#This Row],[Planned Finish]],WorkWeek,Holidays)))</f>
        <v/>
      </c>
      <c r="AO41" s="21" t="str">
        <f aca="false">IF(Tasks[[#This Row],[Task Name]]="","",IF(Tasks[[#This Row],[Progress]]&gt;=1,"Complete",IF(OR(N(Tasks[[#This Row],[Actual Start]])&gt;0,Tasks[[#This Row],[Progress]]&gt;0),IF(Tasks[[#This Row],[Finish Var]]&gt;0,"Behind","In Progress"),IF(Tasks[[#This Row],[Planned Start]]&lt;StatusDate,"Late Start","Not Started"))))</f>
        <v/>
      </c>
      <c r="AP41" s="21" t="str">
        <f aca="false">IF(Tasks[[#This Row],[Task Name]]="","",IF(IF(Tasks[[#This Row],[_IsSummary]],COUNTIF(INDEX(Tasks[_LeafCritical],Tasks[[#This Row],[_Row]]+1):INDEX(Tasks[_LeafCritical],Tasks[[#This Row],[_Row]]+Tasks[[#This Row],[_Descendants]]),TRUE())&gt;0,Tasks[[#This Row],[_LeafCritical]]),"Yes",""))</f>
        <v/>
      </c>
      <c r="AQ41" s="63" t="str">
        <f aca="false">IF(Tasks[[#This Row],[Task Name]]="","",IF(N(Tasks[[#This Row],[Baseline Start]])&gt;0,Tasks[[#This Row],[Baseline Start]],Tasks[[#This Row],[_CalcStart]]))</f>
        <v/>
      </c>
      <c r="AR41" s="63" t="str">
        <f aca="false">IF(Tasks[[#This Row],[Task Name]]="","",IF(N(Tasks[[#This Row],[Baseline Finish]])&gt;0,Tasks[[#This Row],[Baseline Finish]],Tasks[[#This Row],[_CalcFinish]]))</f>
        <v/>
      </c>
      <c r="AS41" s="47" t="str">
        <f aca="false">IF(Tasks[[#This Row],[Task Name]]="","",IF(Tasks[[#This Row],[Start]]&gt;=Tasks[[#This Row],[Planned Start]],NETWORKDAYS.INTL(Tasks[[#This Row],[Planned Start]],Tasks[[#This Row],[Start]],WorkWeek,Holidays)-1,1-NETWORKDAYS.INTL(Tasks[[#This Row],[Start]],Tasks[[#This Row],[Planned Start]],WorkWeek,Holidays)))</f>
        <v/>
      </c>
      <c r="AT41" s="63" t="str">
        <f aca="false">IF(Tasks[[#This Row],[Task Name]]="","",IF(Tasks[[#This Row],[_IsSummary]],MIN(INDEX(Tasks[_LeafLateStart],Tasks[[#This Row],[_Row]]+1):INDEX(Tasks[_LeafLateStart],Tasks[[#This Row],[_Row]]+Tasks[[#This Row],[_Descendants]])),Tasks[[#This Row],[_LeafLateStart]]))</f>
        <v/>
      </c>
      <c r="AU41" s="63" t="str">
        <f aca="false">IF(Tasks[[#This Row],[Task Name]]="","",IF(Tasks[[#This Row],[_IsSummary]],MAX(INDEX(Tasks[_LeafLateFinish],Tasks[[#This Row],[_Row]]+1):INDEX(Tasks[_LeafLateFinish],Tasks[[#This Row],[_Row]]+Tasks[[#This Row],[_Descendants]])),Tasks[[#This Row],[_LeafLateFinish]]))</f>
        <v/>
      </c>
      <c r="AV41" s="47" t="str">
        <f aca="false">IF(Tasks[[#This Row],[Task Name]]="","",IF(Tasks[[#This Row],[_IsSummary]],MIN(INDEX(Tasks[_LeafTotalSlack],Tasks[[#This Row],[_Row]]+1):INDEX(Tasks[_LeafTotalSlack],Tasks[[#This Row],[_Row]]+Tasks[[#This Row],[_Descendants]])),Tasks[[#This Row],[_LeafTotalSlack]]))</f>
        <v/>
      </c>
      <c r="AW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5"/>
      <c r="BA4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t="str">
        <f aca="false">IF(Tasks[[#This Row],[Task Name]]="","",IF(Tasks[[#This Row],[_Level]]&lt;=OutlineShowLevel,"Yes","No"))</f>
        <v/>
      </c>
      <c r="BE41" s="86" t="str">
        <f aca="false">IF(Tasks[[#This Row],[Task Name]]="","",IF(Tasks[[#This Row],[_IsSummary]],SUM(INDEX(Tasks[_LeafTotalWork],Tasks[[#This Row],[_Row]]+1):INDEX(Tasks[_LeafTotalWork],Tasks[[#This Row],[_Row]]+Tasks[[#This Row],[_Descendants]])),Tasks[[#This Row],[_LeafTotalWork]]))</f>
        <v/>
      </c>
      <c r="BF41" s="23"/>
      <c r="BG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t="str">
        <f aca="false">""</f>
        <v/>
      </c>
      <c r="BI41" s="87"/>
      <c r="BJ41" s="22"/>
      <c r="BK41" s="47" t="str">
        <f aca="false">IF(OR(Tasks[[#This Row],[Task Name]]="",Tasks[[#This Row],[Baseline Duration]]=""),"",Tasks[[#This Row],[_SpanDays]]-N(Tasks[[#This Row],[Baseline Duration]]))</f>
        <v/>
      </c>
      <c r="BL41" s="86" t="str">
        <f aca="false">IF(OR(Tasks[[#This Row],[Task Name]]="",Tasks[[#This Row],[Baseline Work]]=""),"",Tasks[[#This Row],[Work]]-N(Tasks[[#This Row],[Baseline Work]]))</f>
        <v/>
      </c>
      <c r="BM41" s="63" t="str">
        <f aca="false">IF(Tasks[[#This Row],[Task Name]]="","",IF(OR(TakeBaseline="Yes",N(Tasks[[#This Row],[Baseline Start]])=0),Tasks[[#This Row],[Start]],Tasks[[#This Row],[Baseline Start]]))</f>
        <v/>
      </c>
      <c r="BN41" s="63" t="str">
        <f aca="false">IF(Tasks[[#This Row],[Task Name]]="","",IF(OR(TakeBaseline="Yes",N(Tasks[[#This Row],[Baseline Finish]])=0),Tasks[[#This Row],[Finish]],Tasks[[#This Row],[Baseline Finish]]))</f>
        <v/>
      </c>
      <c r="BO41" s="21" t="str">
        <f aca="false">IF(Tasks[[#This Row],[Task Name]]="","",IF(OR(TakeBaseline="Yes",N(Tasks[[#This Row],[Baseline Duration]])=0),Tasks[[#This Row],[_SpanDays]],Tasks[[#This Row],[Baseline Duration]]))</f>
        <v/>
      </c>
      <c r="BP41" s="86" t="str">
        <f aca="false">IF(Tasks[[#This Row],[Task Name]]="","",IF(OR(TakeBaseline="Yes",N(Tasks[[#This Row],[Baseline Work]])=0),Tasks[[#This Row],[Work]],Tasks[[#This Row],[Baseline Work]]))</f>
        <v/>
      </c>
      <c r="BQ41" s="7"/>
      <c r="BR41" s="7"/>
      <c r="BS41" s="22"/>
      <c r="BT41" s="88"/>
      <c r="BU41" s="23"/>
      <c r="BV41" s="23"/>
      <c r="BW41" s="23"/>
      <c r="BX41" s="89" t="str">
        <f aca="false">IF(AND(Tasks[[#This Row],[_IsLeaf]]=1,ISNUMBER(Tasks[[#This Row],[Optimistic]]),ISNUMBER(Tasks[[#This Row],[Pessimistic]])),ROUND((Tasks[[#This Row],[Optimistic]]+4*N(Tasks[[#This Row],[_Days]])+Tasks[[#This Row],[Pessimistic]])/6,1),"")</f>
        <v/>
      </c>
      <c r="BY41" s="87"/>
      <c r="BZ41" s="87"/>
      <c r="CA41" s="22"/>
      <c r="CB41" s="43" t="str">
        <f aca="false">IF(Tasks[[#This Row],[Task Name]]="","",MAX(1,N(Tasks[[#This Row],[Level]])))</f>
        <v/>
      </c>
      <c r="CC41" s="43" t="n">
        <f aca="false">ROW()-ROW(Tasks[[#Headers],[ID]])</f>
        <v>36</v>
      </c>
      <c r="CD41" s="43" t="n">
        <f aca="false">IF(OR(Tasks[[#This Row],[Task Name]]="",Tasks[[#This Row],[_Level]]&lt;=1),0,IFERROR(LOOKUP(2,1/(Tasks[[#Headers],[_Level]]:Tasks[[#This Row],[_Level]]=Tasks[[#This Row],[_Level]]-1),ROW(Tasks[[#Headers],[_Level]]:Tasks[[#This Row],[_Level]])),0))</f>
        <v>0</v>
      </c>
      <c r="CE41" s="43" t="n">
        <f aca="false">IFERROR(N(INDEX(Tasks[_Level],Tasks[[#This Row],[_Row]]+1)),0)</f>
        <v>0</v>
      </c>
      <c r="CF41" s="90" t="b">
        <f aca="false">AND(Tasks[[#This Row],[Task Name]]&lt;&gt;"",Tasks[[#This Row],[_NextLevel]]&gt;Tasks[[#This Row],[_Level]])</f>
        <v>0</v>
      </c>
      <c r="CG41" s="43" t="n">
        <f aca="false">IF(Tasks[[#This Row],[_IsSummary]],COUNTIF(Tasks[WBS],Tasks[[#This Row],[WBS]]&amp;".*"),0)</f>
        <v>0</v>
      </c>
      <c r="CH41" s="43" t="n">
        <f aca="false">IF(AND(Tasks[[#This Row],[Task Name]]&lt;&gt;"",NOT(Tasks[[#This Row],[_IsSummary]])),1,0)</f>
        <v>0</v>
      </c>
      <c r="CI41" s="43" t="n">
        <f aca="false">IF(N(Tasks[[#This Row],[_Pred1UID]])=0,0,IFERROR(MATCH(Tasks[[#This Row],[_Pred1UID]],Tasks[UID],0),-1))</f>
        <v>0</v>
      </c>
      <c r="CJ41" s="43" t="n">
        <f aca="false">IF(N(Tasks[[#This Row],[_Pred2UID]])=0,0,IFERROR(MATCH(Tasks[[#This Row],[_Pred2UID]],Tasks[UID],0),-1))</f>
        <v>0</v>
      </c>
      <c r="CK41" s="43" t="n">
        <f aca="false">IF(N(Tasks[[#This Row],[_Pred3UID]])=0,0,IFERROR(MATCH(Tasks[[#This Row],[_Pred3UID]],Tasks[UID],0),-1))</f>
        <v>0</v>
      </c>
      <c r="CL41" s="43" t="n">
        <f aca="false">IF(N(Tasks[[#This Row],[_Pred4UID]])=0,0,IFERROR(MATCH(Tasks[[#This Row],[_Pred4UID]],Tasks[UID],0),-1))</f>
        <v>0</v>
      </c>
      <c r="CM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1" s="91" t="n">
        <f aca="false">IF(OR(Tasks[[#This Row],[_ConstraintCode]]=2,Tasks[[#This Row],[_ConstraintCode]]=3,Tasks[[#This Row],[_ConstraintCode]]=4,Tasks[[#This Row],[_ConstraintCode]]=6),Tasks[[#This Row],[_ConstraintStart]],0)</f>
        <v>0</v>
      </c>
      <c r="CP41" s="91" t="n">
        <f aca="false">IF(OR(Tasks[[#This Row],[_ConstraintCode]]=2,Tasks[[#This Row],[_ConstraintCode]]=3,Tasks[[#This Row],[_ConstraintCode]]=5,Tasks[[#This Row],[_ConstraintCode]]=7),Tasks[[#This Row],[_ConstraintStart]],2958465)</f>
        <v>2958465</v>
      </c>
      <c r="CQ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1" s="91" t="str">
        <f aca="false">IF(NOT(Tasks[[#This Row],[_IsLeaf]]=1),"",IF(N(Tasks[[#This Row],[_Days]])&lt;=0,Tasks[[#This Row],[_LeafCalcStart]],WORKDAY.INTL(Tasks[[#This Row],[_LeafCalcStart]],Tasks[[#This Row],[_Days]]-1,WorkWeek,Holidays)))</f>
        <v/>
      </c>
      <c r="CS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1" s="43" t="str">
        <f aca="false">IF(Tasks[[#This Row],[_Predecessors]]="","",TRIM(MID(SUBSTITUTE(SUBSTITUTE(SUBSTITUTE(UPPER(Tasks[[#This Row],[_Predecessors]]),";",",")," ",""),",",REPT(" ",99)),1,99)))</f>
        <v/>
      </c>
      <c r="CV41" s="43" t="str">
        <f aca="false">IF(Tasks[[#This Row],[_Pred1Text]]="","",IFERROR(VALUE(LEFT(Tasks[[#This Row],[_Pred1Text]],MIN(FIND("F",Tasks[[#This Row],[_Pred1Text]]&amp;"F"),FIND("S",Tasks[[#This Row],[_Pred1Text]]&amp;"S"),FIND("+",Tasks[[#This Row],[_Pred1Text]]&amp;"+"),FIND("-",Tasks[[#This Row],[_Pred1Text]]&amp;"-"))-1)),""))</f>
        <v/>
      </c>
      <c r="CW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1" s="43" t="str">
        <f aca="false">IF(Tasks[[#This Row],[_Pred1Text]]="","",TRIM(MID(SUBSTITUTE(SUBSTITUTE(SUBSTITUTE(UPPER(Tasks[[#This Row],[_Predecessors]]),";",",")," ",""),",",REPT(" ",99)),100,99)))</f>
        <v/>
      </c>
      <c r="CZ41" s="43" t="str">
        <f aca="false">IF(Tasks[[#This Row],[_Pred2Text]]="","",IFERROR(VALUE(LEFT(Tasks[[#This Row],[_Pred2Text]],MIN(FIND("F",Tasks[[#This Row],[_Pred2Text]]&amp;"F"),FIND("S",Tasks[[#This Row],[_Pred2Text]]&amp;"S"),FIND("+",Tasks[[#This Row],[_Pred2Text]]&amp;"+"),FIND("-",Tasks[[#This Row],[_Pred2Text]]&amp;"-"))-1)),""))</f>
        <v/>
      </c>
      <c r="DA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1" s="43" t="str">
        <f aca="false">IF(Tasks[[#This Row],[_Pred2Text]]="","",TRIM(MID(SUBSTITUTE(SUBSTITUTE(SUBSTITUTE(UPPER(Tasks[[#This Row],[_Predecessors]]),";",",")," ",""),",",REPT(" ",99)),199,99)))</f>
        <v/>
      </c>
      <c r="DD41" s="43" t="str">
        <f aca="false">IF(Tasks[[#This Row],[_Pred3Text]]="","",IFERROR(VALUE(LEFT(Tasks[[#This Row],[_Pred3Text]],MIN(FIND("F",Tasks[[#This Row],[_Pred3Text]]&amp;"F"),FIND("S",Tasks[[#This Row],[_Pred3Text]]&amp;"S"),FIND("+",Tasks[[#This Row],[_Pred3Text]]&amp;"+"),FIND("-",Tasks[[#This Row],[_Pred3Text]]&amp;"-"))-1)),""))</f>
        <v/>
      </c>
      <c r="DE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1" s="43" t="str">
        <f aca="false">IF(Tasks[[#This Row],[_Pred3Text]]="","",TRIM(MID(SUBSTITUTE(SUBSTITUTE(SUBSTITUTE(UPPER(Tasks[[#This Row],[_Predecessors]]),";",",")," ",""),",",REPT(" ",99)),298,99)))</f>
        <v/>
      </c>
      <c r="DH41" s="43" t="str">
        <f aca="false">IF(Tasks[[#This Row],[_Pred4Text]]="","",IFERROR(VALUE(LEFT(Tasks[[#This Row],[_Pred4Text]],MIN(FIND("F",Tasks[[#This Row],[_Pred4Text]]&amp;"F"),FIND("S",Tasks[[#This Row],[_Pred4Text]]&amp;"S"),FIND("+",Tasks[[#This Row],[_Pred4Text]]&amp;"+"),FIND("-",Tasks[[#This Row],[_Pred4Text]]&amp;"-"))-1)),""))</f>
        <v/>
      </c>
      <c r="DI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1" s="43" t="str">
        <f aca="false">IF(OR(Tasks[[#This Row],[Task Name]]="",Tasks[[#This Row],[_Resources]]=""),"",TRIM(MID(SUBSTITUTE(Tasks[[#This Row],[_Resources]],",",REPT(" ",99)),1,99)))</f>
        <v/>
      </c>
      <c r="DL41" s="43" t="str">
        <f aca="false">IF(Tasks[[#This Row],[_Res1Text]]="","",TRIM(MID(SUBSTITUTE(Tasks[[#This Row],[_Resources]],",",REPT(" ",99)),100,99)))</f>
        <v/>
      </c>
      <c r="DM41" s="43" t="str">
        <f aca="false">IF(Tasks[[#This Row],[_Res2Text]]="","",TRIM(MID(SUBSTITUTE(Tasks[[#This Row],[_Resources]],",",REPT(" ",99)),199,99)))</f>
        <v/>
      </c>
      <c r="DN41" s="43" t="str">
        <f aca="false">IF(Tasks[[#This Row],[_Res3Text]]="","",TRIM(MID(SUBSTITUTE(Tasks[[#This Row],[_Resources]],",",REPT(" ",99)),298,99)))</f>
        <v/>
      </c>
      <c r="DO41" s="43" t="n">
        <f aca="false">IF(Tasks[[#This Row],[_Res1Text]]="",0,IFERROR(MATCH(TRIM(LEFT(Tasks[[#This Row],[_Res1Text]],FIND("[",Tasks[[#This Row],[_Res1Text]]&amp;"[")-1)),res_Name,0),IFERROR(MATCH(TRIM(LEFT(Tasks[[#This Row],[_Res1Text]],FIND("[",Tasks[[#This Row],[_Res1Text]]&amp;"[")-1)),res_Initials,0),0)))</f>
        <v>0</v>
      </c>
      <c r="DP41" s="43" t="n">
        <f aca="false">IF(Tasks[[#This Row],[_Res2Text]]="",0,IFERROR(MATCH(TRIM(LEFT(Tasks[[#This Row],[_Res2Text]],FIND("[",Tasks[[#This Row],[_Res2Text]]&amp;"[")-1)),res_Name,0),IFERROR(MATCH(TRIM(LEFT(Tasks[[#This Row],[_Res2Text]],FIND("[",Tasks[[#This Row],[_Res2Text]]&amp;"[")-1)),res_Initials,0),0)))</f>
        <v>0</v>
      </c>
      <c r="DQ41" s="43" t="n">
        <f aca="false">IF(Tasks[[#This Row],[_Res3Text]]="",0,IFERROR(MATCH(TRIM(LEFT(Tasks[[#This Row],[_Res3Text]],FIND("[",Tasks[[#This Row],[_Res3Text]]&amp;"[")-1)),res_Name,0),IFERROR(MATCH(TRIM(LEFT(Tasks[[#This Row],[_Res3Text]],FIND("[",Tasks[[#This Row],[_Res3Text]]&amp;"[")-1)),res_Initials,0),0)))</f>
        <v>0</v>
      </c>
      <c r="DR41" s="43" t="n">
        <f aca="false">IF(Tasks[[#This Row],[_Res4Text]]="",0,IFERROR(MATCH(TRIM(LEFT(Tasks[[#This Row],[_Res4Text]],FIND("[",Tasks[[#This Row],[_Res4Text]]&amp;"[")-1)),res_Name,0),IFERROR(MATCH(TRIM(LEFT(Tasks[[#This Row],[_Res4Text]],FIND("[",Tasks[[#This Row],[_Res4Text]]&amp;"[")-1)),res_Initials,0),0)))</f>
        <v>0</v>
      </c>
      <c r="DS41" s="43" t="str">
        <f aca="false">IF(Tasks[[#This Row],[_Res1Text]]="","",IF(Tasks[[#This Row],[_Res1Row]]&gt;0,INDEX(res_Name,Tasks[[#This Row],[_Res1Row]]),TRIM(LEFT(Tasks[[#This Row],[_Res1Text]],FIND("[",Tasks[[#This Row],[_Res1Text]]&amp;"[")-1))))</f>
        <v/>
      </c>
      <c r="DT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1" s="43" t="n">
        <f aca="false">IF(NOT(Tasks[[#This Row],[_IsLeaf]]=1),0,(Tasks[[#This Row],[_Resource1]]&lt;&gt;"")+(Tasks[[#This Row],[_Res2]]&lt;&gt;"")+(Tasks[[#This Row],[_Res3]]&lt;&gt;"")+(Tasks[[#This Row],[_Res4]]&lt;&gt;""))</f>
        <v>0</v>
      </c>
      <c r="DV41" s="43" t="str">
        <f aca="false">IF(Tasks[[#This Row],[_Res2Text]]="","",IF(Tasks[[#This Row],[_Res2Row]]&gt;0,INDEX(res_Name,Tasks[[#This Row],[_Res2Row]]),TRIM(LEFT(Tasks[[#This Row],[_Res2Text]],FIND("[",Tasks[[#This Row],[_Res2Text]]&amp;"[")-1))))</f>
        <v/>
      </c>
      <c r="DW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1" s="43" t="n">
        <f aca="false">IF(OR(NOT(Tasks[[#This Row],[_IsLeaf]]=1),Tasks[[#This Row],[_Res2Row]]=0),0,N(Tasks[[#This Row],[_Days]])*HoursPerDay*IF(Tasks[[#This Row],[_Res2Units]]="",DefaultUnits,Tasks[[#This Row],[_Res2Units]]))</f>
        <v>0</v>
      </c>
      <c r="DY41" s="43" t="n">
        <f aca="false">IF(AND(AND(Tasks[[#This Row],[_IsLeaf]]=1,Tasks[[#This Row],[_LeafTotalWork]]&gt;0),Tasks[[#This Row],[_Res2Work]]&gt;0),Tasks[[#This Row],[_Res2Work]]/(Tasks[[#This Row],[_FinishWorkday]]-Tasks[[#This Row],[_StartWorkday]]+1),0)</f>
        <v>0</v>
      </c>
      <c r="DZ41" s="43" t="n">
        <f aca="false">Tasks[[#This Row],[_Res2WorkPerWD]]*MAX(0,Tasks[[#This Row],[_StartWorkday]]-1)</f>
        <v>0</v>
      </c>
      <c r="EA41" s="43" t="n">
        <f aca="false">Tasks[[#This Row],[_Res2Work]]*Tasks[[#This Row],[_LeafProgress]]</f>
        <v>0</v>
      </c>
      <c r="EB41" s="43" t="str">
        <f aca="false">IF(Tasks[[#This Row],[_Res3Text]]="","",IF(Tasks[[#This Row],[_Res3Row]]&gt;0,INDEX(res_Name,Tasks[[#This Row],[_Res3Row]]),TRIM(LEFT(Tasks[[#This Row],[_Res3Text]],FIND("[",Tasks[[#This Row],[_Res3Text]]&amp;"[")-1))))</f>
        <v/>
      </c>
      <c r="EC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1" s="43" t="n">
        <f aca="false">IF(OR(NOT(Tasks[[#This Row],[_IsLeaf]]=1),Tasks[[#This Row],[_Res3Row]]=0),0,N(Tasks[[#This Row],[_Days]])*HoursPerDay*IF(Tasks[[#This Row],[_Res3Units]]="",DefaultUnits,Tasks[[#This Row],[_Res3Units]]))</f>
        <v>0</v>
      </c>
      <c r="EE41" s="43" t="n">
        <f aca="false">IF(AND(AND(Tasks[[#This Row],[_IsLeaf]]=1,Tasks[[#This Row],[_LeafTotalWork]]&gt;0),Tasks[[#This Row],[_Res3Work]]&gt;0),Tasks[[#This Row],[_Res3Work]]/(Tasks[[#This Row],[_FinishWorkday]]-Tasks[[#This Row],[_StartWorkday]]+1),0)</f>
        <v>0</v>
      </c>
      <c r="EF41" s="43" t="n">
        <f aca="false">Tasks[[#This Row],[_Res3WorkPerWD]]*MAX(0,Tasks[[#This Row],[_StartWorkday]]-1)</f>
        <v>0</v>
      </c>
      <c r="EG41" s="43" t="n">
        <f aca="false">Tasks[[#This Row],[_Res3Work]]*Tasks[[#This Row],[_LeafProgress]]</f>
        <v>0</v>
      </c>
      <c r="EH41" s="43" t="str">
        <f aca="false">IF(Tasks[[#This Row],[_Res4Text]]="","",IF(Tasks[[#This Row],[_Res4Row]]&gt;0,INDEX(res_Name,Tasks[[#This Row],[_Res4Row]]),TRIM(LEFT(Tasks[[#This Row],[_Res4Text]],FIND("[",Tasks[[#This Row],[_Res4Text]]&amp;"[")-1))))</f>
        <v/>
      </c>
      <c r="EI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1" s="43" t="n">
        <f aca="false">IF(OR(NOT(Tasks[[#This Row],[_IsLeaf]]=1),Tasks[[#This Row],[_Res4Row]]=0),0,N(Tasks[[#This Row],[_Days]])*HoursPerDay*IF(Tasks[[#This Row],[_Res4Units]]="",DefaultUnits,Tasks[[#This Row],[_Res4Units]]))</f>
        <v>0</v>
      </c>
      <c r="EK41" s="43" t="n">
        <f aca="false">IF(AND(AND(Tasks[[#This Row],[_IsLeaf]]=1,Tasks[[#This Row],[_LeafTotalWork]]&gt;0),Tasks[[#This Row],[_Res4Work]]&gt;0),Tasks[[#This Row],[_Res4Work]]/(Tasks[[#This Row],[_FinishWorkday]]-Tasks[[#This Row],[_StartWorkday]]+1),0)</f>
        <v>0</v>
      </c>
      <c r="EL41" s="43" t="n">
        <f aca="false">Tasks[[#This Row],[_Res4WorkPerWD]]*MAX(0,Tasks[[#This Row],[_StartWorkday]]-1)</f>
        <v>0</v>
      </c>
      <c r="EM41" s="43" t="n">
        <f aca="false">Tasks[[#This Row],[_Res4Work]]*Tasks[[#This Row],[_LeafProgress]]</f>
        <v>0</v>
      </c>
      <c r="EN41" s="43" t="n">
        <f aca="false">IF(ISNUMBER(Tasks[[#This Row],[% Complete]]),Tasks[[#This Row],[% Complete]],IF(Tasks[[#This Row],[Stage]]="",0,IFERROR(INDEX(stg_Pct,MATCH(Tasks[[#This Row],[Stage]],stg_Name,0)),0)))</f>
        <v>0</v>
      </c>
      <c r="EO41" s="43" t="n">
        <f aca="false">IF(NOT(Tasks[[#This Row],[_IsLeaf]]=1),0,IF(N(Tasks[[#This Row],[Actual Finish]])&gt;0,1,MIN(1,Tasks[[#This Row],[_Pct]])))</f>
        <v>0</v>
      </c>
      <c r="EP41" s="43" t="n">
        <f aca="false">IF(OR(NOT(Tasks[[#This Row],[_IsLeaf]]=1),Tasks[[#This Row],[_Res1Row]]=0),0,N(Tasks[[#This Row],[_Days]])*HoursPerDay*IF(Tasks[[#This Row],[_Units1]]="",DefaultUnits,Tasks[[#This Row],[_Units1]]))</f>
        <v>0</v>
      </c>
      <c r="EQ41" s="43" t="n">
        <f aca="false">Tasks[[#This Row],[_LeafWork]]+Tasks[[#This Row],[_Res2Work]]+Tasks[[#This Row],[_Res3Work]]+Tasks[[#This Row],[_Res4Work]]</f>
        <v>0</v>
      </c>
      <c r="ER4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1" s="43" t="n">
        <f aca="false">IF(NOT(Tasks[[#This Row],[_IsLeaf]]=1),0,MAX(_xlfn.MAXIFS(Tasks[_Row],Tasks[_Pred1UID],Tasks[[#This Row],[UID]]),_xlfn.MAXIFS(Tasks[_Row],Tasks[_Pred2UID],Tasks[[#This Row],[UID]]),_xlfn.MAXIFS(Tasks[_Row],Tasks[_Pred3UID],Tasks[[#This Row],[UID]]),_xlfn.MAXIFS(Tasks[_Row],Tasks[_Pred4UID],Tasks[[#This Row],[UID]])))</f>
        <v>0</v>
      </c>
      <c r="FA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1" s="91" t="str">
        <f aca="false">IF(NOT(Tasks[[#This Row],[_IsLeaf]]=1),"",IF(N(Tasks[[#This Row],[_Days]])&lt;=0,Tasks[[#This Row],[_LeafLateFinish]],WORKDAY.INTL(Tasks[[#This Row],[_LeafLateFinish]],-(Tasks[[#This Row],[_Days]]-1),WorkWeek,Holidays)))</f>
        <v/>
      </c>
      <c r="FD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1" s="90" t="b">
        <f aca="false">AND(Tasks[[#This Row],[_IsLeaf]]=1,Tasks[[#This Row],[_LeafProgress]]&lt;1,N(Tasks[[#This Row],[_LeafTotalSlack]])&lt;=CriticalSlackDays)</f>
        <v>0</v>
      </c>
      <c r="FF41" s="43" t="n">
        <f aca="false">IF(AND(Tasks[[#This Row],[_IsLeaf]]=1,Tasks[[#This Row],[_ConstraintCode]]=1,Tasks[[#This Row],[Mode]]&lt;&gt;"Manual",N(Tasks[[#This Row],[Actual Start]])=0),MAX(0,N(Tasks[[#This Row],[Free Slack]])),0)</f>
        <v>0</v>
      </c>
      <c r="FG41" s="91" t="str">
        <f aca="false">IF(NOT(Tasks[[#This Row],[_IsLeaf]]=1),"",IF(Tasks[[#This Row],[_AlapShift]]=0,Tasks[[#This Row],[_LeafCalcStart]],WORKDAY.INTL(Tasks[[#This Row],[_LeafCalcStart]],Tasks[[#This Row],[_AlapShift]],WorkWeek,Holidays)))</f>
        <v/>
      </c>
      <c r="FH41" s="91" t="str">
        <f aca="false">IF(NOT(Tasks[[#This Row],[_IsLeaf]]=1),"",IF(Tasks[[#This Row],[_AlapShift]]=0,Tasks[[#This Row],[_LeafCalcFinish]],WORKDAY.INTL(Tasks[[#This Row],[_LeafCalcFinish]],Tasks[[#This Row],[_AlapShift]],WorkWeek,Holidays)))</f>
        <v/>
      </c>
      <c r="FI41" s="91" t="str">
        <f aca="false">IF(NOT(Tasks[[#This Row],[_IsLeaf]]=1),"",IF(Tasks[[#This Row],[_AlapShift]]=0,Tasks[[#This Row],[_LeafFcstStart]],WORKDAY.INTL(Tasks[[#This Row],[_LeafFcstStart]],Tasks[[#This Row],[_AlapShift]],WorkWeek,Holidays)))</f>
        <v/>
      </c>
      <c r="FJ41" s="91" t="str">
        <f aca="false">IF(NOT(Tasks[[#This Row],[_IsLeaf]]=1),"",IF(Tasks[[#This Row],[_AlapShift]]=0,Tasks[[#This Row],[_LeafFcstFinish]],WORKDAY.INTL(Tasks[[#This Row],[_LeafFcstFinish]],Tasks[[#This Row],[_AlapShift]],WorkWeek,Holidays)))</f>
        <v/>
      </c>
      <c r="FK41" s="91" t="str">
        <f aca="false">IF(Tasks[[#This Row],[Task Name]]="","",IF(Tasks[[#This Row],[_IsSummary]],MIN(INDEX(Tasks[_ShownCalcStart],Tasks[[#This Row],[_Row]]+1):INDEX(Tasks[_ShownCalcStart],Tasks[[#This Row],[_Row]]+Tasks[[#This Row],[_Descendants]])),Tasks[[#This Row],[_ShownCalcStart]]))</f>
        <v/>
      </c>
      <c r="FL41" s="91" t="str">
        <f aca="false">IF(Tasks[[#This Row],[Task Name]]="","",IF(Tasks[[#This Row],[_IsSummary]],MAX(INDEX(Tasks[_ShownCalcFinish],Tasks[[#This Row],[_Row]]+1):INDEX(Tasks[_ShownCalcFinish],Tasks[[#This Row],[_Row]]+Tasks[[#This Row],[_Descendants]])),Tasks[[#This Row],[_ShownCalcFinish]]))</f>
        <v/>
      </c>
      <c r="FM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1" s="43" t="n">
        <f aca="false">IF(AND(Tasks[[#This Row],[_IsLeaf]]=1,Tasks[[#This Row],[_LeafTotalWork]]&gt;0),NETWORKDAYS.INTL(ProjectStart,Tasks[[#This Row],[_ShownFcstStart]],WorkWeek,Holidays),0)</f>
        <v>0</v>
      </c>
      <c r="FZ41" s="43" t="n">
        <f aca="false">IF(AND(Tasks[[#This Row],[_IsLeaf]]=1,Tasks[[#This Row],[_LeafTotalWork]]&gt;0),MAX(Tasks[[#This Row],[_StartWorkday]],NETWORKDAYS.INTL(ProjectStart,Tasks[[#This Row],[_ShownFcstFinish]],WorkWeek,Holidays)),0)</f>
        <v>0</v>
      </c>
      <c r="GA41" s="43" t="n">
        <f aca="false">IF(AND(Tasks[[#This Row],[_IsLeaf]]=1,Tasks[[#This Row],[_LeafTotalWork]]&gt;0),Tasks[[#This Row],[_LeafWork]]/(Tasks[[#This Row],[_FinishWorkday]]-Tasks[[#This Row],[_StartWorkday]]+1),0)</f>
        <v>0</v>
      </c>
      <c r="GB41" s="43" t="n">
        <f aca="false">Tasks[[#This Row],[_WorkPerWorkday]]*(Tasks[[#This Row],[_StartWorkday]]-1)</f>
        <v>-0</v>
      </c>
      <c r="GC41" s="43" t="n">
        <f aca="false">IF(Tasks[[#This Row],[_IsLeaf]]=1,MAX(N(Tasks[[#This Row],[_Days]]),0.1),0)</f>
        <v>0</v>
      </c>
      <c r="GD41" s="43" t="n">
        <f aca="false">Tasks[[#This Row],[_WeightDur]]*Tasks[[#This Row],[_LeafProgress]]</f>
        <v>0</v>
      </c>
      <c r="GE41" s="43" t="n">
        <f aca="false">Tasks[[#This Row],[_WeightDur]]*Tasks[[#This Row],[_PlannedPct]]</f>
        <v>0</v>
      </c>
      <c r="GF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1" s="43" t="str">
        <f aca="false">IF(AND(Tasks[[#This Row],[_IsLeaf]]=1,N(Tasks[[#This Row],[_Days]])=0,Tasks[[#This Row],[_LeafProgress]]&lt;1),Tasks[[#This Row],[_ShownFcstFinish]]+Tasks[[#This Row],[_Row]]/100000,"")</f>
        <v/>
      </c>
      <c r="GH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1" s="43" t="str">
        <f aca="false">IF(Tasks[[#This Row],[Task Name]]="","",LEFT(Tasks[[#This Row],[WBS]],FIND(".",Tasks[[#This Row],[WBS]]&amp;".")-1))</f>
        <v/>
      </c>
      <c r="GJ41" s="43" t="str">
        <f aca="false">IF(AND(Tasks[[#This Row],[Task Name]]&lt;&gt;"",Tasks[[#This Row],[_Level]]=1),Tasks[[#This Row],[_Row]],"")</f>
        <v/>
      </c>
      <c r="GK41" s="43" t="str">
        <f aca="false">IF(AND(Tasks[[#This Row],[_IsLeaf]]=1,N(Tasks[[#This Row],[_Days]])=0),Tasks[[#This Row],[Planned Finish]]+Tasks[[#This Row],[_Row]]/100000,"")</f>
        <v/>
      </c>
      <c r="GL41" s="43" t="str">
        <f aca="false">IF(AND(Tasks[[#This Row],[_IsLeaf]]=1,Tasks[[#This Row],[_LeafProgress]]&lt;1,OR(N(Tasks[[#This Row],[Finish Var]])&gt;0,Tasks[[#This Row],[Status]]="Late Start")),MAX(0,Tasks[[#This Row],[Finish Var]])+1-Tasks[[#This Row],[_Row]]/1000000,"")</f>
        <v/>
      </c>
      <c r="GM41" s="43" t="str">
        <f aca="false">IF(AND(Tasks[[#This Row],[_IsLeaf]]=1,N(Tasks[[#This Row],[Actual Start]])=0,Tasks[[#This Row],[_ShownFcstStart]]&gt;=StatusDate,Tasks[[#This Row],[_ShownFcstStart]]&lt;=LookaheadEnd),Tasks[[#This Row],[_ShownFcstStart]]+Tasks[[#This Row],[_Row]]/100000,"")</f>
        <v/>
      </c>
      <c r="GN41" s="43" t="str">
        <f aca="false">IF(AND(Tasks[[#This Row],[_IsLeaf]]=1,Tasks[[#This Row],[_LeafProgress]]&lt;1,Tasks[[#This Row],[_ShownFcstFinish]]&gt;=StatusDate,Tasks[[#This Row],[_ShownFcstFinish]]&lt;=LookaheadEnd),Tasks[[#This Row],[_ShownFcstFinish]]+Tasks[[#This Row],[_Row]]/100000,"")</f>
        <v/>
      </c>
      <c r="GO41" s="43" t="str">
        <f aca="false">IF(Tasks[[#This Row],[_LeafCritical]],Tasks[[#This Row],[_ShownFcstStart]]+Tasks[[#This Row],[_Row]]/100000,"")</f>
        <v/>
      </c>
      <c r="GP41" s="43" t="n">
        <f aca="false">Tasks[[#This Row],[_LeafWork]]*Tasks[[#This Row],[_LeafProgress]]</f>
        <v>0</v>
      </c>
      <c r="GQ41" s="91" t="str">
        <f aca="false">IF(AND(Tasks[[#This Row],[_IsLeaf]]=1,Tasks[[#This Row],[_LeafProgress]]&gt;=1),IF(N(Tasks[[#This Row],[Actual Finish]])&gt;0,Tasks[[#This Row],[Actual Finish]],Tasks[[#This Row],[_ShownFcstFinish]]),"")</f>
        <v/>
      </c>
      <c r="GR41" s="43" t="n">
        <f aca="false">IF(Tasks[[#This Row],[_IsLeaf]]=1,N(Tasks[[#This Row],[Story Points]]),0)</f>
        <v>0</v>
      </c>
      <c r="GS41" s="43" t="str">
        <f aca="false">""</f>
        <v/>
      </c>
      <c r="GT41" s="90" t="b">
        <f aca="false">IF(Tasks[[#This Row],[Task Name]]="",FALSE(),AND(Tasks[[#This Row],[_IsLeaf]]=1,N(Tasks[[#This Row],[_Days]])=0))</f>
        <v>0</v>
      </c>
      <c r="GU41" s="91" t="n">
        <f aca="false">IF(Tasks[[#This Row],[Task Name]]="",0,IF(AND(Tasks[[#This Row],[_IsLeaf]]=1,NOT(Tasks[[#This Row],[_IsMilestone]]),N(Tasks[[#This Row],[Progress]])&gt;0),Tasks[[#This Row],[Start]],0))</f>
        <v>0</v>
      </c>
      <c r="GV41" s="91" t="n">
        <f aca="false">IF(Tasks[[#This Row],[_DoneFrom]]=0,0,IF(Tasks[[#This Row],[Progress]]&gt;=1,Tasks[[#This Row],[Finish]],MAX(Tasks[[#This Row],[_DoneFrom]],Tasks[[#This Row],[Start]]+ROUND((Tasks[[#This Row],[Finish]]-Tasks[[#This Row],[Start]]+1)*Tasks[[#This Row],[Progress]],0)-1)))</f>
        <v>0</v>
      </c>
      <c r="GW41" s="91" t="n">
        <f aca="false">IF(Tasks[[#This Row],[Task Name]]="",0,IF(OR(NOT(Tasks[[#This Row],[_IsLeaf]]=1),Tasks[[#This Row],[_IsMilestone]],N(Tasks[[#This Row],[Progress]])&gt;=1),0,IF(Tasks[[#This Row],[_DoneTo]]&gt;0,Tasks[[#This Row],[_DoneTo]]+1,Tasks[[#This Row],[Start]])))</f>
        <v>0</v>
      </c>
      <c r="GX41" s="91" t="n">
        <f aca="false">IF(Tasks[[#This Row],[_RemFrom]]=0,0,Tasks[[#This Row],[Finish]])</f>
        <v>0</v>
      </c>
      <c r="GY41" s="90" t="b">
        <f aca="false">IF(Tasks[[#This Row],[Task Name]]="",FALSE(),OR(NOT(BaselineSet),N(Tasks[[#This Row],[Baseline Start]])&gt;0))</f>
        <v>0</v>
      </c>
      <c r="GZ4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1" s="92" t="str">
        <f aca="false">IF(Tasks[[#This Row],[_IsLeaf]]=1,Tasks[[#This Row],[_Row]],"")</f>
        <v/>
      </c>
      <c r="HD41" s="92" t="str">
        <f aca="false">IFERROR(INDEX(Tasks[UID],SMALL(Tasks[_PickKey],Tasks[[#This Row],[_Row]]))&amp;" "&amp;INDEX(Tasks[Task Name],SMALL(Tasks[_PickKey],Tasks[[#This Row],[_Row]])),"")</f>
        <v/>
      </c>
      <c r="HE41" s="43" t="str">
        <f aca="false">IF(Tasks[[#This Row],[Task Name]]="","",IF(Tasks[[#This Row],[_IsSummary]],NETWORKDAYS.INTL(Tasks[[#This Row],[Start]],Tasks[[#This Row],[Finish]],WorkWeek,Holidays),N(Tasks[[#This Row],[_Days]])))</f>
        <v/>
      </c>
      <c r="HF41" s="43" t="n">
        <f aca="false">IF(Tasks[[#This Row],[Expected]]="",0,((Tasks[[#This Row],[Pessimistic]]-Tasks[[#This Row],[Optimistic]])/6)^2)</f>
        <v>0</v>
      </c>
      <c r="HG41" s="43" t="n">
        <f aca="false">IF(Tasks[[#This Row],[Expected]]="",0,Tasks[[#This Row],[Expected]]-N(Tasks[[#This Row],[_Days]]))</f>
        <v>0</v>
      </c>
    </row>
    <row r="42" customFormat="false" ht="15" hidden="false" customHeight="false" outlineLevel="0" collapsed="false">
      <c r="A42" s="21" t="str">
        <f aca="false">IF(Tasks[[#This Row],[Task Name]]="","",COUNTA(Tasks[[#Headers],[Task Name]]:Tasks[[#This Row],[Task Name]])-1)</f>
        <v/>
      </c>
      <c r="B42" s="22" t="n">
        <v>50</v>
      </c>
      <c r="C42" s="22"/>
      <c r="D42" s="23"/>
      <c r="E42" s="22"/>
      <c r="F42" s="23"/>
      <c r="G42" s="22"/>
      <c r="H42" s="22"/>
      <c r="I42" s="23"/>
      <c r="J42" s="22"/>
      <c r="K42" s="22"/>
      <c r="L42" s="23"/>
      <c r="M42" s="22"/>
      <c r="N42" s="22"/>
      <c r="O42" s="23"/>
      <c r="P42" s="22"/>
      <c r="Q42" s="22"/>
      <c r="R42" s="23"/>
      <c r="S42" s="23"/>
      <c r="T42" s="84"/>
      <c r="U42" s="23"/>
      <c r="V42" s="84"/>
      <c r="W42" s="23"/>
      <c r="X42" s="84"/>
      <c r="Y42" s="23"/>
      <c r="Z42" s="84"/>
      <c r="AA42" s="23"/>
      <c r="AB42" s="23"/>
      <c r="AC42" s="7"/>
      <c r="AD42" s="7"/>
      <c r="AE42" s="63" t="str">
        <f aca="false">IF(Tasks[[#This Row],[Task Name]]="","",IF(Tasks[[#This Row],[_IsSummary]],MIN(INDEX(Tasks[_ShownFcstStart],Tasks[[#This Row],[_Row]]+1):INDEX(Tasks[_ShownFcstStart],Tasks[[#This Row],[_Row]]+Tasks[[#This Row],[_Descendants]])),Tasks[[#This Row],[_ShownFcstStart]]))</f>
        <v/>
      </c>
      <c r="AF42" s="63" t="str">
        <f aca="false">IF(Tasks[[#This Row],[Task Name]]="","",IF(Tasks[[#This Row],[_IsSummary]],MAX(INDEX(Tasks[_ShownFcstFinish],Tasks[[#This Row],[_Row]]+1):INDEX(Tasks[_ShownFcstFinish],Tasks[[#This Row],[_Row]]+Tasks[[#This Row],[_Descendants]])),Tasks[[#This Row],[_ShownFcstFinish]]))</f>
        <v/>
      </c>
      <c r="AG42" s="21" t="str">
        <f aca="false">""</f>
        <v/>
      </c>
      <c r="AH42" s="23"/>
      <c r="AI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2" s="7"/>
      <c r="AK42" s="22"/>
      <c r="AL42" s="23"/>
      <c r="AM42" s="7"/>
      <c r="AN42" s="47" t="str">
        <f aca="false">IF(Tasks[[#This Row],[Task Name]]="","",IF(Tasks[[#This Row],[Finish]]&gt;=Tasks[[#This Row],[Planned Finish]],NETWORKDAYS.INTL(Tasks[[#This Row],[Planned Finish]],Tasks[[#This Row],[Finish]],WorkWeek,Holidays)-1,1-NETWORKDAYS.INTL(Tasks[[#This Row],[Finish]],Tasks[[#This Row],[Planned Finish]],WorkWeek,Holidays)))</f>
        <v/>
      </c>
      <c r="AO42" s="21" t="str">
        <f aca="false">IF(Tasks[[#This Row],[Task Name]]="","",IF(Tasks[[#This Row],[Progress]]&gt;=1,"Complete",IF(OR(N(Tasks[[#This Row],[Actual Start]])&gt;0,Tasks[[#This Row],[Progress]]&gt;0),IF(Tasks[[#This Row],[Finish Var]]&gt;0,"Behind","In Progress"),IF(Tasks[[#This Row],[Planned Start]]&lt;StatusDate,"Late Start","Not Started"))))</f>
        <v/>
      </c>
      <c r="AP42" s="21" t="str">
        <f aca="false">IF(Tasks[[#This Row],[Task Name]]="","",IF(IF(Tasks[[#This Row],[_IsSummary]],COUNTIF(INDEX(Tasks[_LeafCritical],Tasks[[#This Row],[_Row]]+1):INDEX(Tasks[_LeafCritical],Tasks[[#This Row],[_Row]]+Tasks[[#This Row],[_Descendants]]),TRUE())&gt;0,Tasks[[#This Row],[_LeafCritical]]),"Yes",""))</f>
        <v/>
      </c>
      <c r="AQ42" s="63" t="str">
        <f aca="false">IF(Tasks[[#This Row],[Task Name]]="","",IF(N(Tasks[[#This Row],[Baseline Start]])&gt;0,Tasks[[#This Row],[Baseline Start]],Tasks[[#This Row],[_CalcStart]]))</f>
        <v/>
      </c>
      <c r="AR42" s="63" t="str">
        <f aca="false">IF(Tasks[[#This Row],[Task Name]]="","",IF(N(Tasks[[#This Row],[Baseline Finish]])&gt;0,Tasks[[#This Row],[Baseline Finish]],Tasks[[#This Row],[_CalcFinish]]))</f>
        <v/>
      </c>
      <c r="AS42" s="47" t="str">
        <f aca="false">IF(Tasks[[#This Row],[Task Name]]="","",IF(Tasks[[#This Row],[Start]]&gt;=Tasks[[#This Row],[Planned Start]],NETWORKDAYS.INTL(Tasks[[#This Row],[Planned Start]],Tasks[[#This Row],[Start]],WorkWeek,Holidays)-1,1-NETWORKDAYS.INTL(Tasks[[#This Row],[Start]],Tasks[[#This Row],[Planned Start]],WorkWeek,Holidays)))</f>
        <v/>
      </c>
      <c r="AT42" s="63" t="str">
        <f aca="false">IF(Tasks[[#This Row],[Task Name]]="","",IF(Tasks[[#This Row],[_IsSummary]],MIN(INDEX(Tasks[_LeafLateStart],Tasks[[#This Row],[_Row]]+1):INDEX(Tasks[_LeafLateStart],Tasks[[#This Row],[_Row]]+Tasks[[#This Row],[_Descendants]])),Tasks[[#This Row],[_LeafLateStart]]))</f>
        <v/>
      </c>
      <c r="AU42" s="63" t="str">
        <f aca="false">IF(Tasks[[#This Row],[Task Name]]="","",IF(Tasks[[#This Row],[_IsSummary]],MAX(INDEX(Tasks[_LeafLateFinish],Tasks[[#This Row],[_Row]]+1):INDEX(Tasks[_LeafLateFinish],Tasks[[#This Row],[_Row]]+Tasks[[#This Row],[_Descendants]])),Tasks[[#This Row],[_LeafLateFinish]]))</f>
        <v/>
      </c>
      <c r="AV42" s="47" t="str">
        <f aca="false">IF(Tasks[[#This Row],[Task Name]]="","",IF(Tasks[[#This Row],[_IsSummary]],MIN(INDEX(Tasks[_LeafTotalSlack],Tasks[[#This Row],[_Row]]+1):INDEX(Tasks[_LeafTotalSlack],Tasks[[#This Row],[_Row]]+Tasks[[#This Row],[_Descendants]])),Tasks[[#This Row],[_LeafTotalSlack]]))</f>
        <v/>
      </c>
      <c r="AW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5"/>
      <c r="BA4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t="str">
        <f aca="false">IF(Tasks[[#This Row],[Task Name]]="","",IF(Tasks[[#This Row],[_Level]]&lt;=OutlineShowLevel,"Yes","No"))</f>
        <v/>
      </c>
      <c r="BE42" s="86" t="str">
        <f aca="false">IF(Tasks[[#This Row],[Task Name]]="","",IF(Tasks[[#This Row],[_IsSummary]],SUM(INDEX(Tasks[_LeafTotalWork],Tasks[[#This Row],[_Row]]+1):INDEX(Tasks[_LeafTotalWork],Tasks[[#This Row],[_Row]]+Tasks[[#This Row],[_Descendants]])),Tasks[[#This Row],[_LeafTotalWork]]))</f>
        <v/>
      </c>
      <c r="BF42" s="23"/>
      <c r="BG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t="str">
        <f aca="false">""</f>
        <v/>
      </c>
      <c r="BI42" s="87"/>
      <c r="BJ42" s="22"/>
      <c r="BK42" s="47" t="str">
        <f aca="false">IF(OR(Tasks[[#This Row],[Task Name]]="",Tasks[[#This Row],[Baseline Duration]]=""),"",Tasks[[#This Row],[_SpanDays]]-N(Tasks[[#This Row],[Baseline Duration]]))</f>
        <v/>
      </c>
      <c r="BL42" s="86" t="str">
        <f aca="false">IF(OR(Tasks[[#This Row],[Task Name]]="",Tasks[[#This Row],[Baseline Work]]=""),"",Tasks[[#This Row],[Work]]-N(Tasks[[#This Row],[Baseline Work]]))</f>
        <v/>
      </c>
      <c r="BM42" s="63" t="str">
        <f aca="false">IF(Tasks[[#This Row],[Task Name]]="","",IF(OR(TakeBaseline="Yes",N(Tasks[[#This Row],[Baseline Start]])=0),Tasks[[#This Row],[Start]],Tasks[[#This Row],[Baseline Start]]))</f>
        <v/>
      </c>
      <c r="BN42" s="63" t="str">
        <f aca="false">IF(Tasks[[#This Row],[Task Name]]="","",IF(OR(TakeBaseline="Yes",N(Tasks[[#This Row],[Baseline Finish]])=0),Tasks[[#This Row],[Finish]],Tasks[[#This Row],[Baseline Finish]]))</f>
        <v/>
      </c>
      <c r="BO42" s="21" t="str">
        <f aca="false">IF(Tasks[[#This Row],[Task Name]]="","",IF(OR(TakeBaseline="Yes",N(Tasks[[#This Row],[Baseline Duration]])=0),Tasks[[#This Row],[_SpanDays]],Tasks[[#This Row],[Baseline Duration]]))</f>
        <v/>
      </c>
      <c r="BP42" s="86" t="str">
        <f aca="false">IF(Tasks[[#This Row],[Task Name]]="","",IF(OR(TakeBaseline="Yes",N(Tasks[[#This Row],[Baseline Work]])=0),Tasks[[#This Row],[Work]],Tasks[[#This Row],[Baseline Work]]))</f>
        <v/>
      </c>
      <c r="BQ42" s="7"/>
      <c r="BR42" s="7"/>
      <c r="BS42" s="22"/>
      <c r="BT42" s="88"/>
      <c r="BU42" s="23"/>
      <c r="BV42" s="23"/>
      <c r="BW42" s="23"/>
      <c r="BX42" s="89" t="str">
        <f aca="false">IF(AND(Tasks[[#This Row],[_IsLeaf]]=1,ISNUMBER(Tasks[[#This Row],[Optimistic]]),ISNUMBER(Tasks[[#This Row],[Pessimistic]])),ROUND((Tasks[[#This Row],[Optimistic]]+4*N(Tasks[[#This Row],[_Days]])+Tasks[[#This Row],[Pessimistic]])/6,1),"")</f>
        <v/>
      </c>
      <c r="BY42" s="87"/>
      <c r="BZ42" s="87"/>
      <c r="CA42" s="22"/>
      <c r="CB42" s="43" t="str">
        <f aca="false">IF(Tasks[[#This Row],[Task Name]]="","",MAX(1,N(Tasks[[#This Row],[Level]])))</f>
        <v/>
      </c>
      <c r="CC42" s="43" t="n">
        <f aca="false">ROW()-ROW(Tasks[[#Headers],[ID]])</f>
        <v>37</v>
      </c>
      <c r="CD42" s="43" t="n">
        <f aca="false">IF(OR(Tasks[[#This Row],[Task Name]]="",Tasks[[#This Row],[_Level]]&lt;=1),0,IFERROR(LOOKUP(2,1/(Tasks[[#Headers],[_Level]]:Tasks[[#This Row],[_Level]]=Tasks[[#This Row],[_Level]]-1),ROW(Tasks[[#Headers],[_Level]]:Tasks[[#This Row],[_Level]])),0))</f>
        <v>0</v>
      </c>
      <c r="CE42" s="43" t="n">
        <f aca="false">IFERROR(N(INDEX(Tasks[_Level],Tasks[[#This Row],[_Row]]+1)),0)</f>
        <v>0</v>
      </c>
      <c r="CF42" s="90" t="b">
        <f aca="false">AND(Tasks[[#This Row],[Task Name]]&lt;&gt;"",Tasks[[#This Row],[_NextLevel]]&gt;Tasks[[#This Row],[_Level]])</f>
        <v>0</v>
      </c>
      <c r="CG42" s="43" t="n">
        <f aca="false">IF(Tasks[[#This Row],[_IsSummary]],COUNTIF(Tasks[WBS],Tasks[[#This Row],[WBS]]&amp;".*"),0)</f>
        <v>0</v>
      </c>
      <c r="CH42" s="43" t="n">
        <f aca="false">IF(AND(Tasks[[#This Row],[Task Name]]&lt;&gt;"",NOT(Tasks[[#This Row],[_IsSummary]])),1,0)</f>
        <v>0</v>
      </c>
      <c r="CI42" s="43" t="n">
        <f aca="false">IF(N(Tasks[[#This Row],[_Pred1UID]])=0,0,IFERROR(MATCH(Tasks[[#This Row],[_Pred1UID]],Tasks[UID],0),-1))</f>
        <v>0</v>
      </c>
      <c r="CJ42" s="43" t="n">
        <f aca="false">IF(N(Tasks[[#This Row],[_Pred2UID]])=0,0,IFERROR(MATCH(Tasks[[#This Row],[_Pred2UID]],Tasks[UID],0),-1))</f>
        <v>0</v>
      </c>
      <c r="CK42" s="43" t="n">
        <f aca="false">IF(N(Tasks[[#This Row],[_Pred3UID]])=0,0,IFERROR(MATCH(Tasks[[#This Row],[_Pred3UID]],Tasks[UID],0),-1))</f>
        <v>0</v>
      </c>
      <c r="CL42" s="43" t="n">
        <f aca="false">IF(N(Tasks[[#This Row],[_Pred4UID]])=0,0,IFERROR(MATCH(Tasks[[#This Row],[_Pred4UID]],Tasks[UID],0),-1))</f>
        <v>0</v>
      </c>
      <c r="CM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2" s="91" t="n">
        <f aca="false">IF(OR(Tasks[[#This Row],[_ConstraintCode]]=2,Tasks[[#This Row],[_ConstraintCode]]=3,Tasks[[#This Row],[_ConstraintCode]]=4,Tasks[[#This Row],[_ConstraintCode]]=6),Tasks[[#This Row],[_ConstraintStart]],0)</f>
        <v>0</v>
      </c>
      <c r="CP42" s="91" t="n">
        <f aca="false">IF(OR(Tasks[[#This Row],[_ConstraintCode]]=2,Tasks[[#This Row],[_ConstraintCode]]=3,Tasks[[#This Row],[_ConstraintCode]]=5,Tasks[[#This Row],[_ConstraintCode]]=7),Tasks[[#This Row],[_ConstraintStart]],2958465)</f>
        <v>2958465</v>
      </c>
      <c r="CQ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2" s="91" t="str">
        <f aca="false">IF(NOT(Tasks[[#This Row],[_IsLeaf]]=1),"",IF(N(Tasks[[#This Row],[_Days]])&lt;=0,Tasks[[#This Row],[_LeafCalcStart]],WORKDAY.INTL(Tasks[[#This Row],[_LeafCalcStart]],Tasks[[#This Row],[_Days]]-1,WorkWeek,Holidays)))</f>
        <v/>
      </c>
      <c r="CS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2" s="43" t="str">
        <f aca="false">IF(Tasks[[#This Row],[_Predecessors]]="","",TRIM(MID(SUBSTITUTE(SUBSTITUTE(SUBSTITUTE(UPPER(Tasks[[#This Row],[_Predecessors]]),";",",")," ",""),",",REPT(" ",99)),1,99)))</f>
        <v/>
      </c>
      <c r="CV42" s="43" t="str">
        <f aca="false">IF(Tasks[[#This Row],[_Pred1Text]]="","",IFERROR(VALUE(LEFT(Tasks[[#This Row],[_Pred1Text]],MIN(FIND("F",Tasks[[#This Row],[_Pred1Text]]&amp;"F"),FIND("S",Tasks[[#This Row],[_Pred1Text]]&amp;"S"),FIND("+",Tasks[[#This Row],[_Pred1Text]]&amp;"+"),FIND("-",Tasks[[#This Row],[_Pred1Text]]&amp;"-"))-1)),""))</f>
        <v/>
      </c>
      <c r="CW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2" s="43" t="str">
        <f aca="false">IF(Tasks[[#This Row],[_Pred1Text]]="","",TRIM(MID(SUBSTITUTE(SUBSTITUTE(SUBSTITUTE(UPPER(Tasks[[#This Row],[_Predecessors]]),";",",")," ",""),",",REPT(" ",99)),100,99)))</f>
        <v/>
      </c>
      <c r="CZ42" s="43" t="str">
        <f aca="false">IF(Tasks[[#This Row],[_Pred2Text]]="","",IFERROR(VALUE(LEFT(Tasks[[#This Row],[_Pred2Text]],MIN(FIND("F",Tasks[[#This Row],[_Pred2Text]]&amp;"F"),FIND("S",Tasks[[#This Row],[_Pred2Text]]&amp;"S"),FIND("+",Tasks[[#This Row],[_Pred2Text]]&amp;"+"),FIND("-",Tasks[[#This Row],[_Pred2Text]]&amp;"-"))-1)),""))</f>
        <v/>
      </c>
      <c r="DA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2" s="43" t="str">
        <f aca="false">IF(Tasks[[#This Row],[_Pred2Text]]="","",TRIM(MID(SUBSTITUTE(SUBSTITUTE(SUBSTITUTE(UPPER(Tasks[[#This Row],[_Predecessors]]),";",",")," ",""),",",REPT(" ",99)),199,99)))</f>
        <v/>
      </c>
      <c r="DD42" s="43" t="str">
        <f aca="false">IF(Tasks[[#This Row],[_Pred3Text]]="","",IFERROR(VALUE(LEFT(Tasks[[#This Row],[_Pred3Text]],MIN(FIND("F",Tasks[[#This Row],[_Pred3Text]]&amp;"F"),FIND("S",Tasks[[#This Row],[_Pred3Text]]&amp;"S"),FIND("+",Tasks[[#This Row],[_Pred3Text]]&amp;"+"),FIND("-",Tasks[[#This Row],[_Pred3Text]]&amp;"-"))-1)),""))</f>
        <v/>
      </c>
      <c r="DE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2" s="43" t="str">
        <f aca="false">IF(Tasks[[#This Row],[_Pred3Text]]="","",TRIM(MID(SUBSTITUTE(SUBSTITUTE(SUBSTITUTE(UPPER(Tasks[[#This Row],[_Predecessors]]),";",",")," ",""),",",REPT(" ",99)),298,99)))</f>
        <v/>
      </c>
      <c r="DH42" s="43" t="str">
        <f aca="false">IF(Tasks[[#This Row],[_Pred4Text]]="","",IFERROR(VALUE(LEFT(Tasks[[#This Row],[_Pred4Text]],MIN(FIND("F",Tasks[[#This Row],[_Pred4Text]]&amp;"F"),FIND("S",Tasks[[#This Row],[_Pred4Text]]&amp;"S"),FIND("+",Tasks[[#This Row],[_Pred4Text]]&amp;"+"),FIND("-",Tasks[[#This Row],[_Pred4Text]]&amp;"-"))-1)),""))</f>
        <v/>
      </c>
      <c r="DI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2" s="43" t="str">
        <f aca="false">IF(OR(Tasks[[#This Row],[Task Name]]="",Tasks[[#This Row],[_Resources]]=""),"",TRIM(MID(SUBSTITUTE(Tasks[[#This Row],[_Resources]],",",REPT(" ",99)),1,99)))</f>
        <v/>
      </c>
      <c r="DL42" s="43" t="str">
        <f aca="false">IF(Tasks[[#This Row],[_Res1Text]]="","",TRIM(MID(SUBSTITUTE(Tasks[[#This Row],[_Resources]],",",REPT(" ",99)),100,99)))</f>
        <v/>
      </c>
      <c r="DM42" s="43" t="str">
        <f aca="false">IF(Tasks[[#This Row],[_Res2Text]]="","",TRIM(MID(SUBSTITUTE(Tasks[[#This Row],[_Resources]],",",REPT(" ",99)),199,99)))</f>
        <v/>
      </c>
      <c r="DN42" s="43" t="str">
        <f aca="false">IF(Tasks[[#This Row],[_Res3Text]]="","",TRIM(MID(SUBSTITUTE(Tasks[[#This Row],[_Resources]],",",REPT(" ",99)),298,99)))</f>
        <v/>
      </c>
      <c r="DO42" s="43" t="n">
        <f aca="false">IF(Tasks[[#This Row],[_Res1Text]]="",0,IFERROR(MATCH(TRIM(LEFT(Tasks[[#This Row],[_Res1Text]],FIND("[",Tasks[[#This Row],[_Res1Text]]&amp;"[")-1)),res_Name,0),IFERROR(MATCH(TRIM(LEFT(Tasks[[#This Row],[_Res1Text]],FIND("[",Tasks[[#This Row],[_Res1Text]]&amp;"[")-1)),res_Initials,0),0)))</f>
        <v>0</v>
      </c>
      <c r="DP42" s="43" t="n">
        <f aca="false">IF(Tasks[[#This Row],[_Res2Text]]="",0,IFERROR(MATCH(TRIM(LEFT(Tasks[[#This Row],[_Res2Text]],FIND("[",Tasks[[#This Row],[_Res2Text]]&amp;"[")-1)),res_Name,0),IFERROR(MATCH(TRIM(LEFT(Tasks[[#This Row],[_Res2Text]],FIND("[",Tasks[[#This Row],[_Res2Text]]&amp;"[")-1)),res_Initials,0),0)))</f>
        <v>0</v>
      </c>
      <c r="DQ42" s="43" t="n">
        <f aca="false">IF(Tasks[[#This Row],[_Res3Text]]="",0,IFERROR(MATCH(TRIM(LEFT(Tasks[[#This Row],[_Res3Text]],FIND("[",Tasks[[#This Row],[_Res3Text]]&amp;"[")-1)),res_Name,0),IFERROR(MATCH(TRIM(LEFT(Tasks[[#This Row],[_Res3Text]],FIND("[",Tasks[[#This Row],[_Res3Text]]&amp;"[")-1)),res_Initials,0),0)))</f>
        <v>0</v>
      </c>
      <c r="DR42" s="43" t="n">
        <f aca="false">IF(Tasks[[#This Row],[_Res4Text]]="",0,IFERROR(MATCH(TRIM(LEFT(Tasks[[#This Row],[_Res4Text]],FIND("[",Tasks[[#This Row],[_Res4Text]]&amp;"[")-1)),res_Name,0),IFERROR(MATCH(TRIM(LEFT(Tasks[[#This Row],[_Res4Text]],FIND("[",Tasks[[#This Row],[_Res4Text]]&amp;"[")-1)),res_Initials,0),0)))</f>
        <v>0</v>
      </c>
      <c r="DS42" s="43" t="str">
        <f aca="false">IF(Tasks[[#This Row],[_Res1Text]]="","",IF(Tasks[[#This Row],[_Res1Row]]&gt;0,INDEX(res_Name,Tasks[[#This Row],[_Res1Row]]),TRIM(LEFT(Tasks[[#This Row],[_Res1Text]],FIND("[",Tasks[[#This Row],[_Res1Text]]&amp;"[")-1))))</f>
        <v/>
      </c>
      <c r="DT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2" s="43" t="n">
        <f aca="false">IF(NOT(Tasks[[#This Row],[_IsLeaf]]=1),0,(Tasks[[#This Row],[_Resource1]]&lt;&gt;"")+(Tasks[[#This Row],[_Res2]]&lt;&gt;"")+(Tasks[[#This Row],[_Res3]]&lt;&gt;"")+(Tasks[[#This Row],[_Res4]]&lt;&gt;""))</f>
        <v>0</v>
      </c>
      <c r="DV42" s="43" t="str">
        <f aca="false">IF(Tasks[[#This Row],[_Res2Text]]="","",IF(Tasks[[#This Row],[_Res2Row]]&gt;0,INDEX(res_Name,Tasks[[#This Row],[_Res2Row]]),TRIM(LEFT(Tasks[[#This Row],[_Res2Text]],FIND("[",Tasks[[#This Row],[_Res2Text]]&amp;"[")-1))))</f>
        <v/>
      </c>
      <c r="DW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2" s="43" t="n">
        <f aca="false">IF(OR(NOT(Tasks[[#This Row],[_IsLeaf]]=1),Tasks[[#This Row],[_Res2Row]]=0),0,N(Tasks[[#This Row],[_Days]])*HoursPerDay*IF(Tasks[[#This Row],[_Res2Units]]="",DefaultUnits,Tasks[[#This Row],[_Res2Units]]))</f>
        <v>0</v>
      </c>
      <c r="DY42" s="43" t="n">
        <f aca="false">IF(AND(AND(Tasks[[#This Row],[_IsLeaf]]=1,Tasks[[#This Row],[_LeafTotalWork]]&gt;0),Tasks[[#This Row],[_Res2Work]]&gt;0),Tasks[[#This Row],[_Res2Work]]/(Tasks[[#This Row],[_FinishWorkday]]-Tasks[[#This Row],[_StartWorkday]]+1),0)</f>
        <v>0</v>
      </c>
      <c r="DZ42" s="43" t="n">
        <f aca="false">Tasks[[#This Row],[_Res2WorkPerWD]]*MAX(0,Tasks[[#This Row],[_StartWorkday]]-1)</f>
        <v>0</v>
      </c>
      <c r="EA42" s="43" t="n">
        <f aca="false">Tasks[[#This Row],[_Res2Work]]*Tasks[[#This Row],[_LeafProgress]]</f>
        <v>0</v>
      </c>
      <c r="EB42" s="43" t="str">
        <f aca="false">IF(Tasks[[#This Row],[_Res3Text]]="","",IF(Tasks[[#This Row],[_Res3Row]]&gt;0,INDEX(res_Name,Tasks[[#This Row],[_Res3Row]]),TRIM(LEFT(Tasks[[#This Row],[_Res3Text]],FIND("[",Tasks[[#This Row],[_Res3Text]]&amp;"[")-1))))</f>
        <v/>
      </c>
      <c r="EC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2" s="43" t="n">
        <f aca="false">IF(OR(NOT(Tasks[[#This Row],[_IsLeaf]]=1),Tasks[[#This Row],[_Res3Row]]=0),0,N(Tasks[[#This Row],[_Days]])*HoursPerDay*IF(Tasks[[#This Row],[_Res3Units]]="",DefaultUnits,Tasks[[#This Row],[_Res3Units]]))</f>
        <v>0</v>
      </c>
      <c r="EE42" s="43" t="n">
        <f aca="false">IF(AND(AND(Tasks[[#This Row],[_IsLeaf]]=1,Tasks[[#This Row],[_LeafTotalWork]]&gt;0),Tasks[[#This Row],[_Res3Work]]&gt;0),Tasks[[#This Row],[_Res3Work]]/(Tasks[[#This Row],[_FinishWorkday]]-Tasks[[#This Row],[_StartWorkday]]+1),0)</f>
        <v>0</v>
      </c>
      <c r="EF42" s="43" t="n">
        <f aca="false">Tasks[[#This Row],[_Res3WorkPerWD]]*MAX(0,Tasks[[#This Row],[_StartWorkday]]-1)</f>
        <v>0</v>
      </c>
      <c r="EG42" s="43" t="n">
        <f aca="false">Tasks[[#This Row],[_Res3Work]]*Tasks[[#This Row],[_LeafProgress]]</f>
        <v>0</v>
      </c>
      <c r="EH42" s="43" t="str">
        <f aca="false">IF(Tasks[[#This Row],[_Res4Text]]="","",IF(Tasks[[#This Row],[_Res4Row]]&gt;0,INDEX(res_Name,Tasks[[#This Row],[_Res4Row]]),TRIM(LEFT(Tasks[[#This Row],[_Res4Text]],FIND("[",Tasks[[#This Row],[_Res4Text]]&amp;"[")-1))))</f>
        <v/>
      </c>
      <c r="EI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2" s="43" t="n">
        <f aca="false">IF(OR(NOT(Tasks[[#This Row],[_IsLeaf]]=1),Tasks[[#This Row],[_Res4Row]]=0),0,N(Tasks[[#This Row],[_Days]])*HoursPerDay*IF(Tasks[[#This Row],[_Res4Units]]="",DefaultUnits,Tasks[[#This Row],[_Res4Units]]))</f>
        <v>0</v>
      </c>
      <c r="EK42" s="43" t="n">
        <f aca="false">IF(AND(AND(Tasks[[#This Row],[_IsLeaf]]=1,Tasks[[#This Row],[_LeafTotalWork]]&gt;0),Tasks[[#This Row],[_Res4Work]]&gt;0),Tasks[[#This Row],[_Res4Work]]/(Tasks[[#This Row],[_FinishWorkday]]-Tasks[[#This Row],[_StartWorkday]]+1),0)</f>
        <v>0</v>
      </c>
      <c r="EL42" s="43" t="n">
        <f aca="false">Tasks[[#This Row],[_Res4WorkPerWD]]*MAX(0,Tasks[[#This Row],[_StartWorkday]]-1)</f>
        <v>0</v>
      </c>
      <c r="EM42" s="43" t="n">
        <f aca="false">Tasks[[#This Row],[_Res4Work]]*Tasks[[#This Row],[_LeafProgress]]</f>
        <v>0</v>
      </c>
      <c r="EN42" s="43" t="n">
        <f aca="false">IF(ISNUMBER(Tasks[[#This Row],[% Complete]]),Tasks[[#This Row],[% Complete]],IF(Tasks[[#This Row],[Stage]]="",0,IFERROR(INDEX(stg_Pct,MATCH(Tasks[[#This Row],[Stage]],stg_Name,0)),0)))</f>
        <v>0</v>
      </c>
      <c r="EO42" s="43" t="n">
        <f aca="false">IF(NOT(Tasks[[#This Row],[_IsLeaf]]=1),0,IF(N(Tasks[[#This Row],[Actual Finish]])&gt;0,1,MIN(1,Tasks[[#This Row],[_Pct]])))</f>
        <v>0</v>
      </c>
      <c r="EP42" s="43" t="n">
        <f aca="false">IF(OR(NOT(Tasks[[#This Row],[_IsLeaf]]=1),Tasks[[#This Row],[_Res1Row]]=0),0,N(Tasks[[#This Row],[_Days]])*HoursPerDay*IF(Tasks[[#This Row],[_Units1]]="",DefaultUnits,Tasks[[#This Row],[_Units1]]))</f>
        <v>0</v>
      </c>
      <c r="EQ42" s="43" t="n">
        <f aca="false">Tasks[[#This Row],[_LeafWork]]+Tasks[[#This Row],[_Res2Work]]+Tasks[[#This Row],[_Res3Work]]+Tasks[[#This Row],[_Res4Work]]</f>
        <v>0</v>
      </c>
      <c r="ER4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2" s="43" t="n">
        <f aca="false">IF(NOT(Tasks[[#This Row],[_IsLeaf]]=1),0,MAX(_xlfn.MAXIFS(Tasks[_Row],Tasks[_Pred1UID],Tasks[[#This Row],[UID]]),_xlfn.MAXIFS(Tasks[_Row],Tasks[_Pred2UID],Tasks[[#This Row],[UID]]),_xlfn.MAXIFS(Tasks[_Row],Tasks[_Pred3UID],Tasks[[#This Row],[UID]]),_xlfn.MAXIFS(Tasks[_Row],Tasks[_Pred4UID],Tasks[[#This Row],[UID]])))</f>
        <v>0</v>
      </c>
      <c r="FA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2" s="91" t="str">
        <f aca="false">IF(NOT(Tasks[[#This Row],[_IsLeaf]]=1),"",IF(N(Tasks[[#This Row],[_Days]])&lt;=0,Tasks[[#This Row],[_LeafLateFinish]],WORKDAY.INTL(Tasks[[#This Row],[_LeafLateFinish]],-(Tasks[[#This Row],[_Days]]-1),WorkWeek,Holidays)))</f>
        <v/>
      </c>
      <c r="FD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2" s="90" t="b">
        <f aca="false">AND(Tasks[[#This Row],[_IsLeaf]]=1,Tasks[[#This Row],[_LeafProgress]]&lt;1,N(Tasks[[#This Row],[_LeafTotalSlack]])&lt;=CriticalSlackDays)</f>
        <v>0</v>
      </c>
      <c r="FF42" s="43" t="n">
        <f aca="false">IF(AND(Tasks[[#This Row],[_IsLeaf]]=1,Tasks[[#This Row],[_ConstraintCode]]=1,Tasks[[#This Row],[Mode]]&lt;&gt;"Manual",N(Tasks[[#This Row],[Actual Start]])=0),MAX(0,N(Tasks[[#This Row],[Free Slack]])),0)</f>
        <v>0</v>
      </c>
      <c r="FG42" s="91" t="str">
        <f aca="false">IF(NOT(Tasks[[#This Row],[_IsLeaf]]=1),"",IF(Tasks[[#This Row],[_AlapShift]]=0,Tasks[[#This Row],[_LeafCalcStart]],WORKDAY.INTL(Tasks[[#This Row],[_LeafCalcStart]],Tasks[[#This Row],[_AlapShift]],WorkWeek,Holidays)))</f>
        <v/>
      </c>
      <c r="FH42" s="91" t="str">
        <f aca="false">IF(NOT(Tasks[[#This Row],[_IsLeaf]]=1),"",IF(Tasks[[#This Row],[_AlapShift]]=0,Tasks[[#This Row],[_LeafCalcFinish]],WORKDAY.INTL(Tasks[[#This Row],[_LeafCalcFinish]],Tasks[[#This Row],[_AlapShift]],WorkWeek,Holidays)))</f>
        <v/>
      </c>
      <c r="FI42" s="91" t="str">
        <f aca="false">IF(NOT(Tasks[[#This Row],[_IsLeaf]]=1),"",IF(Tasks[[#This Row],[_AlapShift]]=0,Tasks[[#This Row],[_LeafFcstStart]],WORKDAY.INTL(Tasks[[#This Row],[_LeafFcstStart]],Tasks[[#This Row],[_AlapShift]],WorkWeek,Holidays)))</f>
        <v/>
      </c>
      <c r="FJ42" s="91" t="str">
        <f aca="false">IF(NOT(Tasks[[#This Row],[_IsLeaf]]=1),"",IF(Tasks[[#This Row],[_AlapShift]]=0,Tasks[[#This Row],[_LeafFcstFinish]],WORKDAY.INTL(Tasks[[#This Row],[_LeafFcstFinish]],Tasks[[#This Row],[_AlapShift]],WorkWeek,Holidays)))</f>
        <v/>
      </c>
      <c r="FK42" s="91" t="str">
        <f aca="false">IF(Tasks[[#This Row],[Task Name]]="","",IF(Tasks[[#This Row],[_IsSummary]],MIN(INDEX(Tasks[_ShownCalcStart],Tasks[[#This Row],[_Row]]+1):INDEX(Tasks[_ShownCalcStart],Tasks[[#This Row],[_Row]]+Tasks[[#This Row],[_Descendants]])),Tasks[[#This Row],[_ShownCalcStart]]))</f>
        <v/>
      </c>
      <c r="FL42" s="91" t="str">
        <f aca="false">IF(Tasks[[#This Row],[Task Name]]="","",IF(Tasks[[#This Row],[_IsSummary]],MAX(INDEX(Tasks[_ShownCalcFinish],Tasks[[#This Row],[_Row]]+1):INDEX(Tasks[_ShownCalcFinish],Tasks[[#This Row],[_Row]]+Tasks[[#This Row],[_Descendants]])),Tasks[[#This Row],[_ShownCalcFinish]]))</f>
        <v/>
      </c>
      <c r="FM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2" s="43" t="n">
        <f aca="false">IF(AND(Tasks[[#This Row],[_IsLeaf]]=1,Tasks[[#This Row],[_LeafTotalWork]]&gt;0),NETWORKDAYS.INTL(ProjectStart,Tasks[[#This Row],[_ShownFcstStart]],WorkWeek,Holidays),0)</f>
        <v>0</v>
      </c>
      <c r="FZ42" s="43" t="n">
        <f aca="false">IF(AND(Tasks[[#This Row],[_IsLeaf]]=1,Tasks[[#This Row],[_LeafTotalWork]]&gt;0),MAX(Tasks[[#This Row],[_StartWorkday]],NETWORKDAYS.INTL(ProjectStart,Tasks[[#This Row],[_ShownFcstFinish]],WorkWeek,Holidays)),0)</f>
        <v>0</v>
      </c>
      <c r="GA42" s="43" t="n">
        <f aca="false">IF(AND(Tasks[[#This Row],[_IsLeaf]]=1,Tasks[[#This Row],[_LeafTotalWork]]&gt;0),Tasks[[#This Row],[_LeafWork]]/(Tasks[[#This Row],[_FinishWorkday]]-Tasks[[#This Row],[_StartWorkday]]+1),0)</f>
        <v>0</v>
      </c>
      <c r="GB42" s="43" t="n">
        <f aca="false">Tasks[[#This Row],[_WorkPerWorkday]]*(Tasks[[#This Row],[_StartWorkday]]-1)</f>
        <v>-0</v>
      </c>
      <c r="GC42" s="43" t="n">
        <f aca="false">IF(Tasks[[#This Row],[_IsLeaf]]=1,MAX(N(Tasks[[#This Row],[_Days]]),0.1),0)</f>
        <v>0</v>
      </c>
      <c r="GD42" s="43" t="n">
        <f aca="false">Tasks[[#This Row],[_WeightDur]]*Tasks[[#This Row],[_LeafProgress]]</f>
        <v>0</v>
      </c>
      <c r="GE42" s="43" t="n">
        <f aca="false">Tasks[[#This Row],[_WeightDur]]*Tasks[[#This Row],[_PlannedPct]]</f>
        <v>0</v>
      </c>
      <c r="GF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2" s="43" t="str">
        <f aca="false">IF(AND(Tasks[[#This Row],[_IsLeaf]]=1,N(Tasks[[#This Row],[_Days]])=0,Tasks[[#This Row],[_LeafProgress]]&lt;1),Tasks[[#This Row],[_ShownFcstFinish]]+Tasks[[#This Row],[_Row]]/100000,"")</f>
        <v/>
      </c>
      <c r="GH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2" s="43" t="str">
        <f aca="false">IF(Tasks[[#This Row],[Task Name]]="","",LEFT(Tasks[[#This Row],[WBS]],FIND(".",Tasks[[#This Row],[WBS]]&amp;".")-1))</f>
        <v/>
      </c>
      <c r="GJ42" s="43" t="str">
        <f aca="false">IF(AND(Tasks[[#This Row],[Task Name]]&lt;&gt;"",Tasks[[#This Row],[_Level]]=1),Tasks[[#This Row],[_Row]],"")</f>
        <v/>
      </c>
      <c r="GK42" s="43" t="str">
        <f aca="false">IF(AND(Tasks[[#This Row],[_IsLeaf]]=1,N(Tasks[[#This Row],[_Days]])=0),Tasks[[#This Row],[Planned Finish]]+Tasks[[#This Row],[_Row]]/100000,"")</f>
        <v/>
      </c>
      <c r="GL42" s="43" t="str">
        <f aca="false">IF(AND(Tasks[[#This Row],[_IsLeaf]]=1,Tasks[[#This Row],[_LeafProgress]]&lt;1,OR(N(Tasks[[#This Row],[Finish Var]])&gt;0,Tasks[[#This Row],[Status]]="Late Start")),MAX(0,Tasks[[#This Row],[Finish Var]])+1-Tasks[[#This Row],[_Row]]/1000000,"")</f>
        <v/>
      </c>
      <c r="GM42" s="43" t="str">
        <f aca="false">IF(AND(Tasks[[#This Row],[_IsLeaf]]=1,N(Tasks[[#This Row],[Actual Start]])=0,Tasks[[#This Row],[_ShownFcstStart]]&gt;=StatusDate,Tasks[[#This Row],[_ShownFcstStart]]&lt;=LookaheadEnd),Tasks[[#This Row],[_ShownFcstStart]]+Tasks[[#This Row],[_Row]]/100000,"")</f>
        <v/>
      </c>
      <c r="GN42" s="43" t="str">
        <f aca="false">IF(AND(Tasks[[#This Row],[_IsLeaf]]=1,Tasks[[#This Row],[_LeafProgress]]&lt;1,Tasks[[#This Row],[_ShownFcstFinish]]&gt;=StatusDate,Tasks[[#This Row],[_ShownFcstFinish]]&lt;=LookaheadEnd),Tasks[[#This Row],[_ShownFcstFinish]]+Tasks[[#This Row],[_Row]]/100000,"")</f>
        <v/>
      </c>
      <c r="GO42" s="43" t="str">
        <f aca="false">IF(Tasks[[#This Row],[_LeafCritical]],Tasks[[#This Row],[_ShownFcstStart]]+Tasks[[#This Row],[_Row]]/100000,"")</f>
        <v/>
      </c>
      <c r="GP42" s="43" t="n">
        <f aca="false">Tasks[[#This Row],[_LeafWork]]*Tasks[[#This Row],[_LeafProgress]]</f>
        <v>0</v>
      </c>
      <c r="GQ42" s="91" t="str">
        <f aca="false">IF(AND(Tasks[[#This Row],[_IsLeaf]]=1,Tasks[[#This Row],[_LeafProgress]]&gt;=1),IF(N(Tasks[[#This Row],[Actual Finish]])&gt;0,Tasks[[#This Row],[Actual Finish]],Tasks[[#This Row],[_ShownFcstFinish]]),"")</f>
        <v/>
      </c>
      <c r="GR42" s="43" t="n">
        <f aca="false">IF(Tasks[[#This Row],[_IsLeaf]]=1,N(Tasks[[#This Row],[Story Points]]),0)</f>
        <v>0</v>
      </c>
      <c r="GS42" s="43" t="str">
        <f aca="false">""</f>
        <v/>
      </c>
      <c r="GT42" s="90" t="b">
        <f aca="false">IF(Tasks[[#This Row],[Task Name]]="",FALSE(),AND(Tasks[[#This Row],[_IsLeaf]]=1,N(Tasks[[#This Row],[_Days]])=0))</f>
        <v>0</v>
      </c>
      <c r="GU42" s="91" t="n">
        <f aca="false">IF(Tasks[[#This Row],[Task Name]]="",0,IF(AND(Tasks[[#This Row],[_IsLeaf]]=1,NOT(Tasks[[#This Row],[_IsMilestone]]),N(Tasks[[#This Row],[Progress]])&gt;0),Tasks[[#This Row],[Start]],0))</f>
        <v>0</v>
      </c>
      <c r="GV42" s="91" t="n">
        <f aca="false">IF(Tasks[[#This Row],[_DoneFrom]]=0,0,IF(Tasks[[#This Row],[Progress]]&gt;=1,Tasks[[#This Row],[Finish]],MAX(Tasks[[#This Row],[_DoneFrom]],Tasks[[#This Row],[Start]]+ROUND((Tasks[[#This Row],[Finish]]-Tasks[[#This Row],[Start]]+1)*Tasks[[#This Row],[Progress]],0)-1)))</f>
        <v>0</v>
      </c>
      <c r="GW42" s="91" t="n">
        <f aca="false">IF(Tasks[[#This Row],[Task Name]]="",0,IF(OR(NOT(Tasks[[#This Row],[_IsLeaf]]=1),Tasks[[#This Row],[_IsMilestone]],N(Tasks[[#This Row],[Progress]])&gt;=1),0,IF(Tasks[[#This Row],[_DoneTo]]&gt;0,Tasks[[#This Row],[_DoneTo]]+1,Tasks[[#This Row],[Start]])))</f>
        <v>0</v>
      </c>
      <c r="GX42" s="91" t="n">
        <f aca="false">IF(Tasks[[#This Row],[_RemFrom]]=0,0,Tasks[[#This Row],[Finish]])</f>
        <v>0</v>
      </c>
      <c r="GY42" s="90" t="b">
        <f aca="false">IF(Tasks[[#This Row],[Task Name]]="",FALSE(),OR(NOT(BaselineSet),N(Tasks[[#This Row],[Baseline Start]])&gt;0))</f>
        <v>0</v>
      </c>
      <c r="GZ4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2" s="92" t="str">
        <f aca="false">IF(Tasks[[#This Row],[_IsLeaf]]=1,Tasks[[#This Row],[_Row]],"")</f>
        <v/>
      </c>
      <c r="HD42" s="92" t="str">
        <f aca="false">IFERROR(INDEX(Tasks[UID],SMALL(Tasks[_PickKey],Tasks[[#This Row],[_Row]]))&amp;" "&amp;INDEX(Tasks[Task Name],SMALL(Tasks[_PickKey],Tasks[[#This Row],[_Row]])),"")</f>
        <v/>
      </c>
      <c r="HE42" s="43" t="str">
        <f aca="false">IF(Tasks[[#This Row],[Task Name]]="","",IF(Tasks[[#This Row],[_IsSummary]],NETWORKDAYS.INTL(Tasks[[#This Row],[Start]],Tasks[[#This Row],[Finish]],WorkWeek,Holidays),N(Tasks[[#This Row],[_Days]])))</f>
        <v/>
      </c>
      <c r="HF42" s="43" t="n">
        <f aca="false">IF(Tasks[[#This Row],[Expected]]="",0,((Tasks[[#This Row],[Pessimistic]]-Tasks[[#This Row],[Optimistic]])/6)^2)</f>
        <v>0</v>
      </c>
      <c r="HG42" s="43" t="n">
        <f aca="false">IF(Tasks[[#This Row],[Expected]]="",0,Tasks[[#This Row],[Expected]]-N(Tasks[[#This Row],[_Days]]))</f>
        <v>0</v>
      </c>
    </row>
    <row r="43" customFormat="false" ht="15" hidden="false" customHeight="false" outlineLevel="0" collapsed="false">
      <c r="A43" s="21" t="str">
        <f aca="false">IF(Tasks[[#This Row],[Task Name]]="","",COUNTA(Tasks[[#Headers],[Task Name]]:Tasks[[#This Row],[Task Name]])-1)</f>
        <v/>
      </c>
      <c r="B43" s="22" t="n">
        <v>51</v>
      </c>
      <c r="C43" s="22"/>
      <c r="D43" s="23"/>
      <c r="E43" s="22"/>
      <c r="F43" s="23"/>
      <c r="G43" s="22"/>
      <c r="H43" s="22"/>
      <c r="I43" s="23"/>
      <c r="J43" s="22"/>
      <c r="K43" s="22"/>
      <c r="L43" s="23"/>
      <c r="M43" s="22"/>
      <c r="N43" s="22"/>
      <c r="O43" s="23"/>
      <c r="P43" s="22"/>
      <c r="Q43" s="22"/>
      <c r="R43" s="23"/>
      <c r="S43" s="23"/>
      <c r="T43" s="84"/>
      <c r="U43" s="23"/>
      <c r="V43" s="84"/>
      <c r="W43" s="23"/>
      <c r="X43" s="84"/>
      <c r="Y43" s="23"/>
      <c r="Z43" s="84"/>
      <c r="AA43" s="23"/>
      <c r="AB43" s="23"/>
      <c r="AC43" s="7"/>
      <c r="AD43" s="7"/>
      <c r="AE43" s="63" t="str">
        <f aca="false">IF(Tasks[[#This Row],[Task Name]]="","",IF(Tasks[[#This Row],[_IsSummary]],MIN(INDEX(Tasks[_ShownFcstStart],Tasks[[#This Row],[_Row]]+1):INDEX(Tasks[_ShownFcstStart],Tasks[[#This Row],[_Row]]+Tasks[[#This Row],[_Descendants]])),Tasks[[#This Row],[_ShownFcstStart]]))</f>
        <v/>
      </c>
      <c r="AF43" s="63" t="str">
        <f aca="false">IF(Tasks[[#This Row],[Task Name]]="","",IF(Tasks[[#This Row],[_IsSummary]],MAX(INDEX(Tasks[_ShownFcstFinish],Tasks[[#This Row],[_Row]]+1):INDEX(Tasks[_ShownFcstFinish],Tasks[[#This Row],[_Row]]+Tasks[[#This Row],[_Descendants]])),Tasks[[#This Row],[_ShownFcstFinish]]))</f>
        <v/>
      </c>
      <c r="AG43" s="21" t="str">
        <f aca="false">""</f>
        <v/>
      </c>
      <c r="AH43" s="23"/>
      <c r="AI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3" s="7"/>
      <c r="AK43" s="22"/>
      <c r="AL43" s="23"/>
      <c r="AM43" s="7"/>
      <c r="AN43" s="47" t="str">
        <f aca="false">IF(Tasks[[#This Row],[Task Name]]="","",IF(Tasks[[#This Row],[Finish]]&gt;=Tasks[[#This Row],[Planned Finish]],NETWORKDAYS.INTL(Tasks[[#This Row],[Planned Finish]],Tasks[[#This Row],[Finish]],WorkWeek,Holidays)-1,1-NETWORKDAYS.INTL(Tasks[[#This Row],[Finish]],Tasks[[#This Row],[Planned Finish]],WorkWeek,Holidays)))</f>
        <v/>
      </c>
      <c r="AO43" s="21" t="str">
        <f aca="false">IF(Tasks[[#This Row],[Task Name]]="","",IF(Tasks[[#This Row],[Progress]]&gt;=1,"Complete",IF(OR(N(Tasks[[#This Row],[Actual Start]])&gt;0,Tasks[[#This Row],[Progress]]&gt;0),IF(Tasks[[#This Row],[Finish Var]]&gt;0,"Behind","In Progress"),IF(Tasks[[#This Row],[Planned Start]]&lt;StatusDate,"Late Start","Not Started"))))</f>
        <v/>
      </c>
      <c r="AP43" s="21" t="str">
        <f aca="false">IF(Tasks[[#This Row],[Task Name]]="","",IF(IF(Tasks[[#This Row],[_IsSummary]],COUNTIF(INDEX(Tasks[_LeafCritical],Tasks[[#This Row],[_Row]]+1):INDEX(Tasks[_LeafCritical],Tasks[[#This Row],[_Row]]+Tasks[[#This Row],[_Descendants]]),TRUE())&gt;0,Tasks[[#This Row],[_LeafCritical]]),"Yes",""))</f>
        <v/>
      </c>
      <c r="AQ43" s="63" t="str">
        <f aca="false">IF(Tasks[[#This Row],[Task Name]]="","",IF(N(Tasks[[#This Row],[Baseline Start]])&gt;0,Tasks[[#This Row],[Baseline Start]],Tasks[[#This Row],[_CalcStart]]))</f>
        <v/>
      </c>
      <c r="AR43" s="63" t="str">
        <f aca="false">IF(Tasks[[#This Row],[Task Name]]="","",IF(N(Tasks[[#This Row],[Baseline Finish]])&gt;0,Tasks[[#This Row],[Baseline Finish]],Tasks[[#This Row],[_CalcFinish]]))</f>
        <v/>
      </c>
      <c r="AS43" s="47" t="str">
        <f aca="false">IF(Tasks[[#This Row],[Task Name]]="","",IF(Tasks[[#This Row],[Start]]&gt;=Tasks[[#This Row],[Planned Start]],NETWORKDAYS.INTL(Tasks[[#This Row],[Planned Start]],Tasks[[#This Row],[Start]],WorkWeek,Holidays)-1,1-NETWORKDAYS.INTL(Tasks[[#This Row],[Start]],Tasks[[#This Row],[Planned Start]],WorkWeek,Holidays)))</f>
        <v/>
      </c>
      <c r="AT43" s="63" t="str">
        <f aca="false">IF(Tasks[[#This Row],[Task Name]]="","",IF(Tasks[[#This Row],[_IsSummary]],MIN(INDEX(Tasks[_LeafLateStart],Tasks[[#This Row],[_Row]]+1):INDEX(Tasks[_LeafLateStart],Tasks[[#This Row],[_Row]]+Tasks[[#This Row],[_Descendants]])),Tasks[[#This Row],[_LeafLateStart]]))</f>
        <v/>
      </c>
      <c r="AU43" s="63" t="str">
        <f aca="false">IF(Tasks[[#This Row],[Task Name]]="","",IF(Tasks[[#This Row],[_IsSummary]],MAX(INDEX(Tasks[_LeafLateFinish],Tasks[[#This Row],[_Row]]+1):INDEX(Tasks[_LeafLateFinish],Tasks[[#This Row],[_Row]]+Tasks[[#This Row],[_Descendants]])),Tasks[[#This Row],[_LeafLateFinish]]))</f>
        <v/>
      </c>
      <c r="AV43" s="47" t="str">
        <f aca="false">IF(Tasks[[#This Row],[Task Name]]="","",IF(Tasks[[#This Row],[_IsSummary]],MIN(INDEX(Tasks[_LeafTotalSlack],Tasks[[#This Row],[_Row]]+1):INDEX(Tasks[_LeafTotalSlack],Tasks[[#This Row],[_Row]]+Tasks[[#This Row],[_Descendants]])),Tasks[[#This Row],[_LeafTotalSlack]]))</f>
        <v/>
      </c>
      <c r="AW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5"/>
      <c r="BA4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t="str">
        <f aca="false">IF(Tasks[[#This Row],[Task Name]]="","",IF(Tasks[[#This Row],[_Level]]&lt;=OutlineShowLevel,"Yes","No"))</f>
        <v/>
      </c>
      <c r="BE43" s="86" t="str">
        <f aca="false">IF(Tasks[[#This Row],[Task Name]]="","",IF(Tasks[[#This Row],[_IsSummary]],SUM(INDEX(Tasks[_LeafTotalWork],Tasks[[#This Row],[_Row]]+1):INDEX(Tasks[_LeafTotalWork],Tasks[[#This Row],[_Row]]+Tasks[[#This Row],[_Descendants]])),Tasks[[#This Row],[_LeafTotalWork]]))</f>
        <v/>
      </c>
      <c r="BF43" s="23"/>
      <c r="BG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t="str">
        <f aca="false">""</f>
        <v/>
      </c>
      <c r="BI43" s="87"/>
      <c r="BJ43" s="22"/>
      <c r="BK43" s="47" t="str">
        <f aca="false">IF(OR(Tasks[[#This Row],[Task Name]]="",Tasks[[#This Row],[Baseline Duration]]=""),"",Tasks[[#This Row],[_SpanDays]]-N(Tasks[[#This Row],[Baseline Duration]]))</f>
        <v/>
      </c>
      <c r="BL43" s="86" t="str">
        <f aca="false">IF(OR(Tasks[[#This Row],[Task Name]]="",Tasks[[#This Row],[Baseline Work]]=""),"",Tasks[[#This Row],[Work]]-N(Tasks[[#This Row],[Baseline Work]]))</f>
        <v/>
      </c>
      <c r="BM43" s="63" t="str">
        <f aca="false">IF(Tasks[[#This Row],[Task Name]]="","",IF(OR(TakeBaseline="Yes",N(Tasks[[#This Row],[Baseline Start]])=0),Tasks[[#This Row],[Start]],Tasks[[#This Row],[Baseline Start]]))</f>
        <v/>
      </c>
      <c r="BN43" s="63" t="str">
        <f aca="false">IF(Tasks[[#This Row],[Task Name]]="","",IF(OR(TakeBaseline="Yes",N(Tasks[[#This Row],[Baseline Finish]])=0),Tasks[[#This Row],[Finish]],Tasks[[#This Row],[Baseline Finish]]))</f>
        <v/>
      </c>
      <c r="BO43" s="21" t="str">
        <f aca="false">IF(Tasks[[#This Row],[Task Name]]="","",IF(OR(TakeBaseline="Yes",N(Tasks[[#This Row],[Baseline Duration]])=0),Tasks[[#This Row],[_SpanDays]],Tasks[[#This Row],[Baseline Duration]]))</f>
        <v/>
      </c>
      <c r="BP43" s="86" t="str">
        <f aca="false">IF(Tasks[[#This Row],[Task Name]]="","",IF(OR(TakeBaseline="Yes",N(Tasks[[#This Row],[Baseline Work]])=0),Tasks[[#This Row],[Work]],Tasks[[#This Row],[Baseline Work]]))</f>
        <v/>
      </c>
      <c r="BQ43" s="7"/>
      <c r="BR43" s="7"/>
      <c r="BS43" s="22"/>
      <c r="BT43" s="88"/>
      <c r="BU43" s="23"/>
      <c r="BV43" s="23"/>
      <c r="BW43" s="23"/>
      <c r="BX43" s="89" t="str">
        <f aca="false">IF(AND(Tasks[[#This Row],[_IsLeaf]]=1,ISNUMBER(Tasks[[#This Row],[Optimistic]]),ISNUMBER(Tasks[[#This Row],[Pessimistic]])),ROUND((Tasks[[#This Row],[Optimistic]]+4*N(Tasks[[#This Row],[_Days]])+Tasks[[#This Row],[Pessimistic]])/6,1),"")</f>
        <v/>
      </c>
      <c r="BY43" s="87"/>
      <c r="BZ43" s="87"/>
      <c r="CA43" s="22"/>
      <c r="CB43" s="43" t="str">
        <f aca="false">IF(Tasks[[#This Row],[Task Name]]="","",MAX(1,N(Tasks[[#This Row],[Level]])))</f>
        <v/>
      </c>
      <c r="CC43" s="43" t="n">
        <f aca="false">ROW()-ROW(Tasks[[#Headers],[ID]])</f>
        <v>38</v>
      </c>
      <c r="CD43" s="43" t="n">
        <f aca="false">IF(OR(Tasks[[#This Row],[Task Name]]="",Tasks[[#This Row],[_Level]]&lt;=1),0,IFERROR(LOOKUP(2,1/(Tasks[[#Headers],[_Level]]:Tasks[[#This Row],[_Level]]=Tasks[[#This Row],[_Level]]-1),ROW(Tasks[[#Headers],[_Level]]:Tasks[[#This Row],[_Level]])),0))</f>
        <v>0</v>
      </c>
      <c r="CE43" s="43" t="n">
        <f aca="false">IFERROR(N(INDEX(Tasks[_Level],Tasks[[#This Row],[_Row]]+1)),0)</f>
        <v>0</v>
      </c>
      <c r="CF43" s="90" t="b">
        <f aca="false">AND(Tasks[[#This Row],[Task Name]]&lt;&gt;"",Tasks[[#This Row],[_NextLevel]]&gt;Tasks[[#This Row],[_Level]])</f>
        <v>0</v>
      </c>
      <c r="CG43" s="43" t="n">
        <f aca="false">IF(Tasks[[#This Row],[_IsSummary]],COUNTIF(Tasks[WBS],Tasks[[#This Row],[WBS]]&amp;".*"),0)</f>
        <v>0</v>
      </c>
      <c r="CH43" s="43" t="n">
        <f aca="false">IF(AND(Tasks[[#This Row],[Task Name]]&lt;&gt;"",NOT(Tasks[[#This Row],[_IsSummary]])),1,0)</f>
        <v>0</v>
      </c>
      <c r="CI43" s="43" t="n">
        <f aca="false">IF(N(Tasks[[#This Row],[_Pred1UID]])=0,0,IFERROR(MATCH(Tasks[[#This Row],[_Pred1UID]],Tasks[UID],0),-1))</f>
        <v>0</v>
      </c>
      <c r="CJ43" s="43" t="n">
        <f aca="false">IF(N(Tasks[[#This Row],[_Pred2UID]])=0,0,IFERROR(MATCH(Tasks[[#This Row],[_Pred2UID]],Tasks[UID],0),-1))</f>
        <v>0</v>
      </c>
      <c r="CK43" s="43" t="n">
        <f aca="false">IF(N(Tasks[[#This Row],[_Pred3UID]])=0,0,IFERROR(MATCH(Tasks[[#This Row],[_Pred3UID]],Tasks[UID],0),-1))</f>
        <v>0</v>
      </c>
      <c r="CL43" s="43" t="n">
        <f aca="false">IF(N(Tasks[[#This Row],[_Pred4UID]])=0,0,IFERROR(MATCH(Tasks[[#This Row],[_Pred4UID]],Tasks[UID],0),-1))</f>
        <v>0</v>
      </c>
      <c r="CM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3" s="91" t="n">
        <f aca="false">IF(OR(Tasks[[#This Row],[_ConstraintCode]]=2,Tasks[[#This Row],[_ConstraintCode]]=3,Tasks[[#This Row],[_ConstraintCode]]=4,Tasks[[#This Row],[_ConstraintCode]]=6),Tasks[[#This Row],[_ConstraintStart]],0)</f>
        <v>0</v>
      </c>
      <c r="CP43" s="91" t="n">
        <f aca="false">IF(OR(Tasks[[#This Row],[_ConstraintCode]]=2,Tasks[[#This Row],[_ConstraintCode]]=3,Tasks[[#This Row],[_ConstraintCode]]=5,Tasks[[#This Row],[_ConstraintCode]]=7),Tasks[[#This Row],[_ConstraintStart]],2958465)</f>
        <v>2958465</v>
      </c>
      <c r="CQ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3" s="91" t="str">
        <f aca="false">IF(NOT(Tasks[[#This Row],[_IsLeaf]]=1),"",IF(N(Tasks[[#This Row],[_Days]])&lt;=0,Tasks[[#This Row],[_LeafCalcStart]],WORKDAY.INTL(Tasks[[#This Row],[_LeafCalcStart]],Tasks[[#This Row],[_Days]]-1,WorkWeek,Holidays)))</f>
        <v/>
      </c>
      <c r="CS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3" s="43" t="str">
        <f aca="false">IF(Tasks[[#This Row],[_Predecessors]]="","",TRIM(MID(SUBSTITUTE(SUBSTITUTE(SUBSTITUTE(UPPER(Tasks[[#This Row],[_Predecessors]]),";",",")," ",""),",",REPT(" ",99)),1,99)))</f>
        <v/>
      </c>
      <c r="CV43" s="43" t="str">
        <f aca="false">IF(Tasks[[#This Row],[_Pred1Text]]="","",IFERROR(VALUE(LEFT(Tasks[[#This Row],[_Pred1Text]],MIN(FIND("F",Tasks[[#This Row],[_Pred1Text]]&amp;"F"),FIND("S",Tasks[[#This Row],[_Pred1Text]]&amp;"S"),FIND("+",Tasks[[#This Row],[_Pred1Text]]&amp;"+"),FIND("-",Tasks[[#This Row],[_Pred1Text]]&amp;"-"))-1)),""))</f>
        <v/>
      </c>
      <c r="CW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3" s="43" t="str">
        <f aca="false">IF(Tasks[[#This Row],[_Pred1Text]]="","",TRIM(MID(SUBSTITUTE(SUBSTITUTE(SUBSTITUTE(UPPER(Tasks[[#This Row],[_Predecessors]]),";",",")," ",""),",",REPT(" ",99)),100,99)))</f>
        <v/>
      </c>
      <c r="CZ43" s="43" t="str">
        <f aca="false">IF(Tasks[[#This Row],[_Pred2Text]]="","",IFERROR(VALUE(LEFT(Tasks[[#This Row],[_Pred2Text]],MIN(FIND("F",Tasks[[#This Row],[_Pred2Text]]&amp;"F"),FIND("S",Tasks[[#This Row],[_Pred2Text]]&amp;"S"),FIND("+",Tasks[[#This Row],[_Pred2Text]]&amp;"+"),FIND("-",Tasks[[#This Row],[_Pred2Text]]&amp;"-"))-1)),""))</f>
        <v/>
      </c>
      <c r="DA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3" s="43" t="str">
        <f aca="false">IF(Tasks[[#This Row],[_Pred2Text]]="","",TRIM(MID(SUBSTITUTE(SUBSTITUTE(SUBSTITUTE(UPPER(Tasks[[#This Row],[_Predecessors]]),";",",")," ",""),",",REPT(" ",99)),199,99)))</f>
        <v/>
      </c>
      <c r="DD43" s="43" t="str">
        <f aca="false">IF(Tasks[[#This Row],[_Pred3Text]]="","",IFERROR(VALUE(LEFT(Tasks[[#This Row],[_Pred3Text]],MIN(FIND("F",Tasks[[#This Row],[_Pred3Text]]&amp;"F"),FIND("S",Tasks[[#This Row],[_Pred3Text]]&amp;"S"),FIND("+",Tasks[[#This Row],[_Pred3Text]]&amp;"+"),FIND("-",Tasks[[#This Row],[_Pred3Text]]&amp;"-"))-1)),""))</f>
        <v/>
      </c>
      <c r="DE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3" s="43" t="str">
        <f aca="false">IF(Tasks[[#This Row],[_Pred3Text]]="","",TRIM(MID(SUBSTITUTE(SUBSTITUTE(SUBSTITUTE(UPPER(Tasks[[#This Row],[_Predecessors]]),";",",")," ",""),",",REPT(" ",99)),298,99)))</f>
        <v/>
      </c>
      <c r="DH43" s="43" t="str">
        <f aca="false">IF(Tasks[[#This Row],[_Pred4Text]]="","",IFERROR(VALUE(LEFT(Tasks[[#This Row],[_Pred4Text]],MIN(FIND("F",Tasks[[#This Row],[_Pred4Text]]&amp;"F"),FIND("S",Tasks[[#This Row],[_Pred4Text]]&amp;"S"),FIND("+",Tasks[[#This Row],[_Pred4Text]]&amp;"+"),FIND("-",Tasks[[#This Row],[_Pred4Text]]&amp;"-"))-1)),""))</f>
        <v/>
      </c>
      <c r="DI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3" s="43" t="str">
        <f aca="false">IF(OR(Tasks[[#This Row],[Task Name]]="",Tasks[[#This Row],[_Resources]]=""),"",TRIM(MID(SUBSTITUTE(Tasks[[#This Row],[_Resources]],",",REPT(" ",99)),1,99)))</f>
        <v/>
      </c>
      <c r="DL43" s="43" t="str">
        <f aca="false">IF(Tasks[[#This Row],[_Res1Text]]="","",TRIM(MID(SUBSTITUTE(Tasks[[#This Row],[_Resources]],",",REPT(" ",99)),100,99)))</f>
        <v/>
      </c>
      <c r="DM43" s="43" t="str">
        <f aca="false">IF(Tasks[[#This Row],[_Res2Text]]="","",TRIM(MID(SUBSTITUTE(Tasks[[#This Row],[_Resources]],",",REPT(" ",99)),199,99)))</f>
        <v/>
      </c>
      <c r="DN43" s="43" t="str">
        <f aca="false">IF(Tasks[[#This Row],[_Res3Text]]="","",TRIM(MID(SUBSTITUTE(Tasks[[#This Row],[_Resources]],",",REPT(" ",99)),298,99)))</f>
        <v/>
      </c>
      <c r="DO43" s="43" t="n">
        <f aca="false">IF(Tasks[[#This Row],[_Res1Text]]="",0,IFERROR(MATCH(TRIM(LEFT(Tasks[[#This Row],[_Res1Text]],FIND("[",Tasks[[#This Row],[_Res1Text]]&amp;"[")-1)),res_Name,0),IFERROR(MATCH(TRIM(LEFT(Tasks[[#This Row],[_Res1Text]],FIND("[",Tasks[[#This Row],[_Res1Text]]&amp;"[")-1)),res_Initials,0),0)))</f>
        <v>0</v>
      </c>
      <c r="DP43" s="43" t="n">
        <f aca="false">IF(Tasks[[#This Row],[_Res2Text]]="",0,IFERROR(MATCH(TRIM(LEFT(Tasks[[#This Row],[_Res2Text]],FIND("[",Tasks[[#This Row],[_Res2Text]]&amp;"[")-1)),res_Name,0),IFERROR(MATCH(TRIM(LEFT(Tasks[[#This Row],[_Res2Text]],FIND("[",Tasks[[#This Row],[_Res2Text]]&amp;"[")-1)),res_Initials,0),0)))</f>
        <v>0</v>
      </c>
      <c r="DQ43" s="43" t="n">
        <f aca="false">IF(Tasks[[#This Row],[_Res3Text]]="",0,IFERROR(MATCH(TRIM(LEFT(Tasks[[#This Row],[_Res3Text]],FIND("[",Tasks[[#This Row],[_Res3Text]]&amp;"[")-1)),res_Name,0),IFERROR(MATCH(TRIM(LEFT(Tasks[[#This Row],[_Res3Text]],FIND("[",Tasks[[#This Row],[_Res3Text]]&amp;"[")-1)),res_Initials,0),0)))</f>
        <v>0</v>
      </c>
      <c r="DR43" s="43" t="n">
        <f aca="false">IF(Tasks[[#This Row],[_Res4Text]]="",0,IFERROR(MATCH(TRIM(LEFT(Tasks[[#This Row],[_Res4Text]],FIND("[",Tasks[[#This Row],[_Res4Text]]&amp;"[")-1)),res_Name,0),IFERROR(MATCH(TRIM(LEFT(Tasks[[#This Row],[_Res4Text]],FIND("[",Tasks[[#This Row],[_Res4Text]]&amp;"[")-1)),res_Initials,0),0)))</f>
        <v>0</v>
      </c>
      <c r="DS43" s="43" t="str">
        <f aca="false">IF(Tasks[[#This Row],[_Res1Text]]="","",IF(Tasks[[#This Row],[_Res1Row]]&gt;0,INDEX(res_Name,Tasks[[#This Row],[_Res1Row]]),TRIM(LEFT(Tasks[[#This Row],[_Res1Text]],FIND("[",Tasks[[#This Row],[_Res1Text]]&amp;"[")-1))))</f>
        <v/>
      </c>
      <c r="DT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3" s="43" t="n">
        <f aca="false">IF(NOT(Tasks[[#This Row],[_IsLeaf]]=1),0,(Tasks[[#This Row],[_Resource1]]&lt;&gt;"")+(Tasks[[#This Row],[_Res2]]&lt;&gt;"")+(Tasks[[#This Row],[_Res3]]&lt;&gt;"")+(Tasks[[#This Row],[_Res4]]&lt;&gt;""))</f>
        <v>0</v>
      </c>
      <c r="DV43" s="43" t="str">
        <f aca="false">IF(Tasks[[#This Row],[_Res2Text]]="","",IF(Tasks[[#This Row],[_Res2Row]]&gt;0,INDEX(res_Name,Tasks[[#This Row],[_Res2Row]]),TRIM(LEFT(Tasks[[#This Row],[_Res2Text]],FIND("[",Tasks[[#This Row],[_Res2Text]]&amp;"[")-1))))</f>
        <v/>
      </c>
      <c r="DW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3" s="43" t="n">
        <f aca="false">IF(OR(NOT(Tasks[[#This Row],[_IsLeaf]]=1),Tasks[[#This Row],[_Res2Row]]=0),0,N(Tasks[[#This Row],[_Days]])*HoursPerDay*IF(Tasks[[#This Row],[_Res2Units]]="",DefaultUnits,Tasks[[#This Row],[_Res2Units]]))</f>
        <v>0</v>
      </c>
      <c r="DY43" s="43" t="n">
        <f aca="false">IF(AND(AND(Tasks[[#This Row],[_IsLeaf]]=1,Tasks[[#This Row],[_LeafTotalWork]]&gt;0),Tasks[[#This Row],[_Res2Work]]&gt;0),Tasks[[#This Row],[_Res2Work]]/(Tasks[[#This Row],[_FinishWorkday]]-Tasks[[#This Row],[_StartWorkday]]+1),0)</f>
        <v>0</v>
      </c>
      <c r="DZ43" s="43" t="n">
        <f aca="false">Tasks[[#This Row],[_Res2WorkPerWD]]*MAX(0,Tasks[[#This Row],[_StartWorkday]]-1)</f>
        <v>0</v>
      </c>
      <c r="EA43" s="43" t="n">
        <f aca="false">Tasks[[#This Row],[_Res2Work]]*Tasks[[#This Row],[_LeafProgress]]</f>
        <v>0</v>
      </c>
      <c r="EB43" s="43" t="str">
        <f aca="false">IF(Tasks[[#This Row],[_Res3Text]]="","",IF(Tasks[[#This Row],[_Res3Row]]&gt;0,INDEX(res_Name,Tasks[[#This Row],[_Res3Row]]),TRIM(LEFT(Tasks[[#This Row],[_Res3Text]],FIND("[",Tasks[[#This Row],[_Res3Text]]&amp;"[")-1))))</f>
        <v/>
      </c>
      <c r="EC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3" s="43" t="n">
        <f aca="false">IF(OR(NOT(Tasks[[#This Row],[_IsLeaf]]=1),Tasks[[#This Row],[_Res3Row]]=0),0,N(Tasks[[#This Row],[_Days]])*HoursPerDay*IF(Tasks[[#This Row],[_Res3Units]]="",DefaultUnits,Tasks[[#This Row],[_Res3Units]]))</f>
        <v>0</v>
      </c>
      <c r="EE43" s="43" t="n">
        <f aca="false">IF(AND(AND(Tasks[[#This Row],[_IsLeaf]]=1,Tasks[[#This Row],[_LeafTotalWork]]&gt;0),Tasks[[#This Row],[_Res3Work]]&gt;0),Tasks[[#This Row],[_Res3Work]]/(Tasks[[#This Row],[_FinishWorkday]]-Tasks[[#This Row],[_StartWorkday]]+1),0)</f>
        <v>0</v>
      </c>
      <c r="EF43" s="43" t="n">
        <f aca="false">Tasks[[#This Row],[_Res3WorkPerWD]]*MAX(0,Tasks[[#This Row],[_StartWorkday]]-1)</f>
        <v>0</v>
      </c>
      <c r="EG43" s="43" t="n">
        <f aca="false">Tasks[[#This Row],[_Res3Work]]*Tasks[[#This Row],[_LeafProgress]]</f>
        <v>0</v>
      </c>
      <c r="EH43" s="43" t="str">
        <f aca="false">IF(Tasks[[#This Row],[_Res4Text]]="","",IF(Tasks[[#This Row],[_Res4Row]]&gt;0,INDEX(res_Name,Tasks[[#This Row],[_Res4Row]]),TRIM(LEFT(Tasks[[#This Row],[_Res4Text]],FIND("[",Tasks[[#This Row],[_Res4Text]]&amp;"[")-1))))</f>
        <v/>
      </c>
      <c r="EI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3" s="43" t="n">
        <f aca="false">IF(OR(NOT(Tasks[[#This Row],[_IsLeaf]]=1),Tasks[[#This Row],[_Res4Row]]=0),0,N(Tasks[[#This Row],[_Days]])*HoursPerDay*IF(Tasks[[#This Row],[_Res4Units]]="",DefaultUnits,Tasks[[#This Row],[_Res4Units]]))</f>
        <v>0</v>
      </c>
      <c r="EK43" s="43" t="n">
        <f aca="false">IF(AND(AND(Tasks[[#This Row],[_IsLeaf]]=1,Tasks[[#This Row],[_LeafTotalWork]]&gt;0),Tasks[[#This Row],[_Res4Work]]&gt;0),Tasks[[#This Row],[_Res4Work]]/(Tasks[[#This Row],[_FinishWorkday]]-Tasks[[#This Row],[_StartWorkday]]+1),0)</f>
        <v>0</v>
      </c>
      <c r="EL43" s="43" t="n">
        <f aca="false">Tasks[[#This Row],[_Res4WorkPerWD]]*MAX(0,Tasks[[#This Row],[_StartWorkday]]-1)</f>
        <v>0</v>
      </c>
      <c r="EM43" s="43" t="n">
        <f aca="false">Tasks[[#This Row],[_Res4Work]]*Tasks[[#This Row],[_LeafProgress]]</f>
        <v>0</v>
      </c>
      <c r="EN43" s="43" t="n">
        <f aca="false">IF(ISNUMBER(Tasks[[#This Row],[% Complete]]),Tasks[[#This Row],[% Complete]],IF(Tasks[[#This Row],[Stage]]="",0,IFERROR(INDEX(stg_Pct,MATCH(Tasks[[#This Row],[Stage]],stg_Name,0)),0)))</f>
        <v>0</v>
      </c>
      <c r="EO43" s="43" t="n">
        <f aca="false">IF(NOT(Tasks[[#This Row],[_IsLeaf]]=1),0,IF(N(Tasks[[#This Row],[Actual Finish]])&gt;0,1,MIN(1,Tasks[[#This Row],[_Pct]])))</f>
        <v>0</v>
      </c>
      <c r="EP43" s="43" t="n">
        <f aca="false">IF(OR(NOT(Tasks[[#This Row],[_IsLeaf]]=1),Tasks[[#This Row],[_Res1Row]]=0),0,N(Tasks[[#This Row],[_Days]])*HoursPerDay*IF(Tasks[[#This Row],[_Units1]]="",DefaultUnits,Tasks[[#This Row],[_Units1]]))</f>
        <v>0</v>
      </c>
      <c r="EQ43" s="43" t="n">
        <f aca="false">Tasks[[#This Row],[_LeafWork]]+Tasks[[#This Row],[_Res2Work]]+Tasks[[#This Row],[_Res3Work]]+Tasks[[#This Row],[_Res4Work]]</f>
        <v>0</v>
      </c>
      <c r="ER4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3" s="43" t="n">
        <f aca="false">IF(NOT(Tasks[[#This Row],[_IsLeaf]]=1),0,MAX(_xlfn.MAXIFS(Tasks[_Row],Tasks[_Pred1UID],Tasks[[#This Row],[UID]]),_xlfn.MAXIFS(Tasks[_Row],Tasks[_Pred2UID],Tasks[[#This Row],[UID]]),_xlfn.MAXIFS(Tasks[_Row],Tasks[_Pred3UID],Tasks[[#This Row],[UID]]),_xlfn.MAXIFS(Tasks[_Row],Tasks[_Pred4UID],Tasks[[#This Row],[UID]])))</f>
        <v>0</v>
      </c>
      <c r="FA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3" s="91" t="str">
        <f aca="false">IF(NOT(Tasks[[#This Row],[_IsLeaf]]=1),"",IF(N(Tasks[[#This Row],[_Days]])&lt;=0,Tasks[[#This Row],[_LeafLateFinish]],WORKDAY.INTL(Tasks[[#This Row],[_LeafLateFinish]],-(Tasks[[#This Row],[_Days]]-1),WorkWeek,Holidays)))</f>
        <v/>
      </c>
      <c r="FD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3" s="90" t="b">
        <f aca="false">AND(Tasks[[#This Row],[_IsLeaf]]=1,Tasks[[#This Row],[_LeafProgress]]&lt;1,N(Tasks[[#This Row],[_LeafTotalSlack]])&lt;=CriticalSlackDays)</f>
        <v>0</v>
      </c>
      <c r="FF43" s="43" t="n">
        <f aca="false">IF(AND(Tasks[[#This Row],[_IsLeaf]]=1,Tasks[[#This Row],[_ConstraintCode]]=1,Tasks[[#This Row],[Mode]]&lt;&gt;"Manual",N(Tasks[[#This Row],[Actual Start]])=0),MAX(0,N(Tasks[[#This Row],[Free Slack]])),0)</f>
        <v>0</v>
      </c>
      <c r="FG43" s="91" t="str">
        <f aca="false">IF(NOT(Tasks[[#This Row],[_IsLeaf]]=1),"",IF(Tasks[[#This Row],[_AlapShift]]=0,Tasks[[#This Row],[_LeafCalcStart]],WORKDAY.INTL(Tasks[[#This Row],[_LeafCalcStart]],Tasks[[#This Row],[_AlapShift]],WorkWeek,Holidays)))</f>
        <v/>
      </c>
      <c r="FH43" s="91" t="str">
        <f aca="false">IF(NOT(Tasks[[#This Row],[_IsLeaf]]=1),"",IF(Tasks[[#This Row],[_AlapShift]]=0,Tasks[[#This Row],[_LeafCalcFinish]],WORKDAY.INTL(Tasks[[#This Row],[_LeafCalcFinish]],Tasks[[#This Row],[_AlapShift]],WorkWeek,Holidays)))</f>
        <v/>
      </c>
      <c r="FI43" s="91" t="str">
        <f aca="false">IF(NOT(Tasks[[#This Row],[_IsLeaf]]=1),"",IF(Tasks[[#This Row],[_AlapShift]]=0,Tasks[[#This Row],[_LeafFcstStart]],WORKDAY.INTL(Tasks[[#This Row],[_LeafFcstStart]],Tasks[[#This Row],[_AlapShift]],WorkWeek,Holidays)))</f>
        <v/>
      </c>
      <c r="FJ43" s="91" t="str">
        <f aca="false">IF(NOT(Tasks[[#This Row],[_IsLeaf]]=1),"",IF(Tasks[[#This Row],[_AlapShift]]=0,Tasks[[#This Row],[_LeafFcstFinish]],WORKDAY.INTL(Tasks[[#This Row],[_LeafFcstFinish]],Tasks[[#This Row],[_AlapShift]],WorkWeek,Holidays)))</f>
        <v/>
      </c>
      <c r="FK43" s="91" t="str">
        <f aca="false">IF(Tasks[[#This Row],[Task Name]]="","",IF(Tasks[[#This Row],[_IsSummary]],MIN(INDEX(Tasks[_ShownCalcStart],Tasks[[#This Row],[_Row]]+1):INDEX(Tasks[_ShownCalcStart],Tasks[[#This Row],[_Row]]+Tasks[[#This Row],[_Descendants]])),Tasks[[#This Row],[_ShownCalcStart]]))</f>
        <v/>
      </c>
      <c r="FL43" s="91" t="str">
        <f aca="false">IF(Tasks[[#This Row],[Task Name]]="","",IF(Tasks[[#This Row],[_IsSummary]],MAX(INDEX(Tasks[_ShownCalcFinish],Tasks[[#This Row],[_Row]]+1):INDEX(Tasks[_ShownCalcFinish],Tasks[[#This Row],[_Row]]+Tasks[[#This Row],[_Descendants]])),Tasks[[#This Row],[_ShownCalcFinish]]))</f>
        <v/>
      </c>
      <c r="FM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3" s="43" t="n">
        <f aca="false">IF(AND(Tasks[[#This Row],[_IsLeaf]]=1,Tasks[[#This Row],[_LeafTotalWork]]&gt;0),NETWORKDAYS.INTL(ProjectStart,Tasks[[#This Row],[_ShownFcstStart]],WorkWeek,Holidays),0)</f>
        <v>0</v>
      </c>
      <c r="FZ43" s="43" t="n">
        <f aca="false">IF(AND(Tasks[[#This Row],[_IsLeaf]]=1,Tasks[[#This Row],[_LeafTotalWork]]&gt;0),MAX(Tasks[[#This Row],[_StartWorkday]],NETWORKDAYS.INTL(ProjectStart,Tasks[[#This Row],[_ShownFcstFinish]],WorkWeek,Holidays)),0)</f>
        <v>0</v>
      </c>
      <c r="GA43" s="43" t="n">
        <f aca="false">IF(AND(Tasks[[#This Row],[_IsLeaf]]=1,Tasks[[#This Row],[_LeafTotalWork]]&gt;0),Tasks[[#This Row],[_LeafWork]]/(Tasks[[#This Row],[_FinishWorkday]]-Tasks[[#This Row],[_StartWorkday]]+1),0)</f>
        <v>0</v>
      </c>
      <c r="GB43" s="43" t="n">
        <f aca="false">Tasks[[#This Row],[_WorkPerWorkday]]*(Tasks[[#This Row],[_StartWorkday]]-1)</f>
        <v>-0</v>
      </c>
      <c r="GC43" s="43" t="n">
        <f aca="false">IF(Tasks[[#This Row],[_IsLeaf]]=1,MAX(N(Tasks[[#This Row],[_Days]]),0.1),0)</f>
        <v>0</v>
      </c>
      <c r="GD43" s="43" t="n">
        <f aca="false">Tasks[[#This Row],[_WeightDur]]*Tasks[[#This Row],[_LeafProgress]]</f>
        <v>0</v>
      </c>
      <c r="GE43" s="43" t="n">
        <f aca="false">Tasks[[#This Row],[_WeightDur]]*Tasks[[#This Row],[_PlannedPct]]</f>
        <v>0</v>
      </c>
      <c r="GF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3" s="43" t="str">
        <f aca="false">IF(AND(Tasks[[#This Row],[_IsLeaf]]=1,N(Tasks[[#This Row],[_Days]])=0,Tasks[[#This Row],[_LeafProgress]]&lt;1),Tasks[[#This Row],[_ShownFcstFinish]]+Tasks[[#This Row],[_Row]]/100000,"")</f>
        <v/>
      </c>
      <c r="GH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3" s="43" t="str">
        <f aca="false">IF(Tasks[[#This Row],[Task Name]]="","",LEFT(Tasks[[#This Row],[WBS]],FIND(".",Tasks[[#This Row],[WBS]]&amp;".")-1))</f>
        <v/>
      </c>
      <c r="GJ43" s="43" t="str">
        <f aca="false">IF(AND(Tasks[[#This Row],[Task Name]]&lt;&gt;"",Tasks[[#This Row],[_Level]]=1),Tasks[[#This Row],[_Row]],"")</f>
        <v/>
      </c>
      <c r="GK43" s="43" t="str">
        <f aca="false">IF(AND(Tasks[[#This Row],[_IsLeaf]]=1,N(Tasks[[#This Row],[_Days]])=0),Tasks[[#This Row],[Planned Finish]]+Tasks[[#This Row],[_Row]]/100000,"")</f>
        <v/>
      </c>
      <c r="GL43" s="43" t="str">
        <f aca="false">IF(AND(Tasks[[#This Row],[_IsLeaf]]=1,Tasks[[#This Row],[_LeafProgress]]&lt;1,OR(N(Tasks[[#This Row],[Finish Var]])&gt;0,Tasks[[#This Row],[Status]]="Late Start")),MAX(0,Tasks[[#This Row],[Finish Var]])+1-Tasks[[#This Row],[_Row]]/1000000,"")</f>
        <v/>
      </c>
      <c r="GM43" s="43" t="str">
        <f aca="false">IF(AND(Tasks[[#This Row],[_IsLeaf]]=1,N(Tasks[[#This Row],[Actual Start]])=0,Tasks[[#This Row],[_ShownFcstStart]]&gt;=StatusDate,Tasks[[#This Row],[_ShownFcstStart]]&lt;=LookaheadEnd),Tasks[[#This Row],[_ShownFcstStart]]+Tasks[[#This Row],[_Row]]/100000,"")</f>
        <v/>
      </c>
      <c r="GN43" s="43" t="str">
        <f aca="false">IF(AND(Tasks[[#This Row],[_IsLeaf]]=1,Tasks[[#This Row],[_LeafProgress]]&lt;1,Tasks[[#This Row],[_ShownFcstFinish]]&gt;=StatusDate,Tasks[[#This Row],[_ShownFcstFinish]]&lt;=LookaheadEnd),Tasks[[#This Row],[_ShownFcstFinish]]+Tasks[[#This Row],[_Row]]/100000,"")</f>
        <v/>
      </c>
      <c r="GO43" s="43" t="str">
        <f aca="false">IF(Tasks[[#This Row],[_LeafCritical]],Tasks[[#This Row],[_ShownFcstStart]]+Tasks[[#This Row],[_Row]]/100000,"")</f>
        <v/>
      </c>
      <c r="GP43" s="43" t="n">
        <f aca="false">Tasks[[#This Row],[_LeafWork]]*Tasks[[#This Row],[_LeafProgress]]</f>
        <v>0</v>
      </c>
      <c r="GQ43" s="91" t="str">
        <f aca="false">IF(AND(Tasks[[#This Row],[_IsLeaf]]=1,Tasks[[#This Row],[_LeafProgress]]&gt;=1),IF(N(Tasks[[#This Row],[Actual Finish]])&gt;0,Tasks[[#This Row],[Actual Finish]],Tasks[[#This Row],[_ShownFcstFinish]]),"")</f>
        <v/>
      </c>
      <c r="GR43" s="43" t="n">
        <f aca="false">IF(Tasks[[#This Row],[_IsLeaf]]=1,N(Tasks[[#This Row],[Story Points]]),0)</f>
        <v>0</v>
      </c>
      <c r="GS43" s="43" t="str">
        <f aca="false">""</f>
        <v/>
      </c>
      <c r="GT43" s="90" t="b">
        <f aca="false">IF(Tasks[[#This Row],[Task Name]]="",FALSE(),AND(Tasks[[#This Row],[_IsLeaf]]=1,N(Tasks[[#This Row],[_Days]])=0))</f>
        <v>0</v>
      </c>
      <c r="GU43" s="91" t="n">
        <f aca="false">IF(Tasks[[#This Row],[Task Name]]="",0,IF(AND(Tasks[[#This Row],[_IsLeaf]]=1,NOT(Tasks[[#This Row],[_IsMilestone]]),N(Tasks[[#This Row],[Progress]])&gt;0),Tasks[[#This Row],[Start]],0))</f>
        <v>0</v>
      </c>
      <c r="GV43" s="91" t="n">
        <f aca="false">IF(Tasks[[#This Row],[_DoneFrom]]=0,0,IF(Tasks[[#This Row],[Progress]]&gt;=1,Tasks[[#This Row],[Finish]],MAX(Tasks[[#This Row],[_DoneFrom]],Tasks[[#This Row],[Start]]+ROUND((Tasks[[#This Row],[Finish]]-Tasks[[#This Row],[Start]]+1)*Tasks[[#This Row],[Progress]],0)-1)))</f>
        <v>0</v>
      </c>
      <c r="GW43" s="91" t="n">
        <f aca="false">IF(Tasks[[#This Row],[Task Name]]="",0,IF(OR(NOT(Tasks[[#This Row],[_IsLeaf]]=1),Tasks[[#This Row],[_IsMilestone]],N(Tasks[[#This Row],[Progress]])&gt;=1),0,IF(Tasks[[#This Row],[_DoneTo]]&gt;0,Tasks[[#This Row],[_DoneTo]]+1,Tasks[[#This Row],[Start]])))</f>
        <v>0</v>
      </c>
      <c r="GX43" s="91" t="n">
        <f aca="false">IF(Tasks[[#This Row],[_RemFrom]]=0,0,Tasks[[#This Row],[Finish]])</f>
        <v>0</v>
      </c>
      <c r="GY43" s="90" t="b">
        <f aca="false">IF(Tasks[[#This Row],[Task Name]]="",FALSE(),OR(NOT(BaselineSet),N(Tasks[[#This Row],[Baseline Start]])&gt;0))</f>
        <v>0</v>
      </c>
      <c r="GZ4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3" s="92" t="str">
        <f aca="false">IF(Tasks[[#This Row],[_IsLeaf]]=1,Tasks[[#This Row],[_Row]],"")</f>
        <v/>
      </c>
      <c r="HD43" s="92" t="str">
        <f aca="false">IFERROR(INDEX(Tasks[UID],SMALL(Tasks[_PickKey],Tasks[[#This Row],[_Row]]))&amp;" "&amp;INDEX(Tasks[Task Name],SMALL(Tasks[_PickKey],Tasks[[#This Row],[_Row]])),"")</f>
        <v/>
      </c>
      <c r="HE43" s="43" t="str">
        <f aca="false">IF(Tasks[[#This Row],[Task Name]]="","",IF(Tasks[[#This Row],[_IsSummary]],NETWORKDAYS.INTL(Tasks[[#This Row],[Start]],Tasks[[#This Row],[Finish]],WorkWeek,Holidays),N(Tasks[[#This Row],[_Days]])))</f>
        <v/>
      </c>
      <c r="HF43" s="43" t="n">
        <f aca="false">IF(Tasks[[#This Row],[Expected]]="",0,((Tasks[[#This Row],[Pessimistic]]-Tasks[[#This Row],[Optimistic]])/6)^2)</f>
        <v>0</v>
      </c>
      <c r="HG43" s="43" t="n">
        <f aca="false">IF(Tasks[[#This Row],[Expected]]="",0,Tasks[[#This Row],[Expected]]-N(Tasks[[#This Row],[_Days]]))</f>
        <v>0</v>
      </c>
    </row>
    <row r="44" customFormat="false" ht="15" hidden="false" customHeight="false" outlineLevel="0" collapsed="false">
      <c r="A44" s="21" t="str">
        <f aca="false">IF(Tasks[[#This Row],[Task Name]]="","",COUNTA(Tasks[[#Headers],[Task Name]]:Tasks[[#This Row],[Task Name]])-1)</f>
        <v/>
      </c>
      <c r="B44" s="22" t="n">
        <v>52</v>
      </c>
      <c r="C44" s="22"/>
      <c r="D44" s="23"/>
      <c r="E44" s="22"/>
      <c r="F44" s="23"/>
      <c r="G44" s="22"/>
      <c r="H44" s="22"/>
      <c r="I44" s="23"/>
      <c r="J44" s="22"/>
      <c r="K44" s="22"/>
      <c r="L44" s="23"/>
      <c r="M44" s="22"/>
      <c r="N44" s="22"/>
      <c r="O44" s="23"/>
      <c r="P44" s="22"/>
      <c r="Q44" s="22"/>
      <c r="R44" s="23"/>
      <c r="S44" s="23"/>
      <c r="T44" s="84"/>
      <c r="U44" s="23"/>
      <c r="V44" s="84"/>
      <c r="W44" s="23"/>
      <c r="X44" s="84"/>
      <c r="Y44" s="23"/>
      <c r="Z44" s="84"/>
      <c r="AA44" s="23"/>
      <c r="AB44" s="23"/>
      <c r="AC44" s="7"/>
      <c r="AD44" s="7"/>
      <c r="AE44" s="63" t="str">
        <f aca="false">IF(Tasks[[#This Row],[Task Name]]="","",IF(Tasks[[#This Row],[_IsSummary]],MIN(INDEX(Tasks[_ShownFcstStart],Tasks[[#This Row],[_Row]]+1):INDEX(Tasks[_ShownFcstStart],Tasks[[#This Row],[_Row]]+Tasks[[#This Row],[_Descendants]])),Tasks[[#This Row],[_ShownFcstStart]]))</f>
        <v/>
      </c>
      <c r="AF44" s="63" t="str">
        <f aca="false">IF(Tasks[[#This Row],[Task Name]]="","",IF(Tasks[[#This Row],[_IsSummary]],MAX(INDEX(Tasks[_ShownFcstFinish],Tasks[[#This Row],[_Row]]+1):INDEX(Tasks[_ShownFcstFinish],Tasks[[#This Row],[_Row]]+Tasks[[#This Row],[_Descendants]])),Tasks[[#This Row],[_ShownFcstFinish]]))</f>
        <v/>
      </c>
      <c r="AG44" s="21" t="str">
        <f aca="false">""</f>
        <v/>
      </c>
      <c r="AH44" s="23"/>
      <c r="AI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4" s="7"/>
      <c r="AK44" s="22"/>
      <c r="AL44" s="23"/>
      <c r="AM44" s="7"/>
      <c r="AN44" s="47" t="str">
        <f aca="false">IF(Tasks[[#This Row],[Task Name]]="","",IF(Tasks[[#This Row],[Finish]]&gt;=Tasks[[#This Row],[Planned Finish]],NETWORKDAYS.INTL(Tasks[[#This Row],[Planned Finish]],Tasks[[#This Row],[Finish]],WorkWeek,Holidays)-1,1-NETWORKDAYS.INTL(Tasks[[#This Row],[Finish]],Tasks[[#This Row],[Planned Finish]],WorkWeek,Holidays)))</f>
        <v/>
      </c>
      <c r="AO44" s="21" t="str">
        <f aca="false">IF(Tasks[[#This Row],[Task Name]]="","",IF(Tasks[[#This Row],[Progress]]&gt;=1,"Complete",IF(OR(N(Tasks[[#This Row],[Actual Start]])&gt;0,Tasks[[#This Row],[Progress]]&gt;0),IF(Tasks[[#This Row],[Finish Var]]&gt;0,"Behind","In Progress"),IF(Tasks[[#This Row],[Planned Start]]&lt;StatusDate,"Late Start","Not Started"))))</f>
        <v/>
      </c>
      <c r="AP44" s="21" t="str">
        <f aca="false">IF(Tasks[[#This Row],[Task Name]]="","",IF(IF(Tasks[[#This Row],[_IsSummary]],COUNTIF(INDEX(Tasks[_LeafCritical],Tasks[[#This Row],[_Row]]+1):INDEX(Tasks[_LeafCritical],Tasks[[#This Row],[_Row]]+Tasks[[#This Row],[_Descendants]]),TRUE())&gt;0,Tasks[[#This Row],[_LeafCritical]]),"Yes",""))</f>
        <v/>
      </c>
      <c r="AQ44" s="63" t="str">
        <f aca="false">IF(Tasks[[#This Row],[Task Name]]="","",IF(N(Tasks[[#This Row],[Baseline Start]])&gt;0,Tasks[[#This Row],[Baseline Start]],Tasks[[#This Row],[_CalcStart]]))</f>
        <v/>
      </c>
      <c r="AR44" s="63" t="str">
        <f aca="false">IF(Tasks[[#This Row],[Task Name]]="","",IF(N(Tasks[[#This Row],[Baseline Finish]])&gt;0,Tasks[[#This Row],[Baseline Finish]],Tasks[[#This Row],[_CalcFinish]]))</f>
        <v/>
      </c>
      <c r="AS44" s="47" t="str">
        <f aca="false">IF(Tasks[[#This Row],[Task Name]]="","",IF(Tasks[[#This Row],[Start]]&gt;=Tasks[[#This Row],[Planned Start]],NETWORKDAYS.INTL(Tasks[[#This Row],[Planned Start]],Tasks[[#This Row],[Start]],WorkWeek,Holidays)-1,1-NETWORKDAYS.INTL(Tasks[[#This Row],[Start]],Tasks[[#This Row],[Planned Start]],WorkWeek,Holidays)))</f>
        <v/>
      </c>
      <c r="AT44" s="63" t="str">
        <f aca="false">IF(Tasks[[#This Row],[Task Name]]="","",IF(Tasks[[#This Row],[_IsSummary]],MIN(INDEX(Tasks[_LeafLateStart],Tasks[[#This Row],[_Row]]+1):INDEX(Tasks[_LeafLateStart],Tasks[[#This Row],[_Row]]+Tasks[[#This Row],[_Descendants]])),Tasks[[#This Row],[_LeafLateStart]]))</f>
        <v/>
      </c>
      <c r="AU44" s="63" t="str">
        <f aca="false">IF(Tasks[[#This Row],[Task Name]]="","",IF(Tasks[[#This Row],[_IsSummary]],MAX(INDEX(Tasks[_LeafLateFinish],Tasks[[#This Row],[_Row]]+1):INDEX(Tasks[_LeafLateFinish],Tasks[[#This Row],[_Row]]+Tasks[[#This Row],[_Descendants]])),Tasks[[#This Row],[_LeafLateFinish]]))</f>
        <v/>
      </c>
      <c r="AV44" s="47" t="str">
        <f aca="false">IF(Tasks[[#This Row],[Task Name]]="","",IF(Tasks[[#This Row],[_IsSummary]],MIN(INDEX(Tasks[_LeafTotalSlack],Tasks[[#This Row],[_Row]]+1):INDEX(Tasks[_LeafTotalSlack],Tasks[[#This Row],[_Row]]+Tasks[[#This Row],[_Descendants]])),Tasks[[#This Row],[_LeafTotalSlack]]))</f>
        <v/>
      </c>
      <c r="AW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5"/>
      <c r="BA4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t="str">
        <f aca="false">IF(Tasks[[#This Row],[Task Name]]="","",IF(Tasks[[#This Row],[_Level]]&lt;=OutlineShowLevel,"Yes","No"))</f>
        <v/>
      </c>
      <c r="BE44" s="86" t="str">
        <f aca="false">IF(Tasks[[#This Row],[Task Name]]="","",IF(Tasks[[#This Row],[_IsSummary]],SUM(INDEX(Tasks[_LeafTotalWork],Tasks[[#This Row],[_Row]]+1):INDEX(Tasks[_LeafTotalWork],Tasks[[#This Row],[_Row]]+Tasks[[#This Row],[_Descendants]])),Tasks[[#This Row],[_LeafTotalWork]]))</f>
        <v/>
      </c>
      <c r="BF44" s="23"/>
      <c r="BG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t="str">
        <f aca="false">""</f>
        <v/>
      </c>
      <c r="BI44" s="87"/>
      <c r="BJ44" s="22"/>
      <c r="BK44" s="47" t="str">
        <f aca="false">IF(OR(Tasks[[#This Row],[Task Name]]="",Tasks[[#This Row],[Baseline Duration]]=""),"",Tasks[[#This Row],[_SpanDays]]-N(Tasks[[#This Row],[Baseline Duration]]))</f>
        <v/>
      </c>
      <c r="BL44" s="86" t="str">
        <f aca="false">IF(OR(Tasks[[#This Row],[Task Name]]="",Tasks[[#This Row],[Baseline Work]]=""),"",Tasks[[#This Row],[Work]]-N(Tasks[[#This Row],[Baseline Work]]))</f>
        <v/>
      </c>
      <c r="BM44" s="63" t="str">
        <f aca="false">IF(Tasks[[#This Row],[Task Name]]="","",IF(OR(TakeBaseline="Yes",N(Tasks[[#This Row],[Baseline Start]])=0),Tasks[[#This Row],[Start]],Tasks[[#This Row],[Baseline Start]]))</f>
        <v/>
      </c>
      <c r="BN44" s="63" t="str">
        <f aca="false">IF(Tasks[[#This Row],[Task Name]]="","",IF(OR(TakeBaseline="Yes",N(Tasks[[#This Row],[Baseline Finish]])=0),Tasks[[#This Row],[Finish]],Tasks[[#This Row],[Baseline Finish]]))</f>
        <v/>
      </c>
      <c r="BO44" s="21" t="str">
        <f aca="false">IF(Tasks[[#This Row],[Task Name]]="","",IF(OR(TakeBaseline="Yes",N(Tasks[[#This Row],[Baseline Duration]])=0),Tasks[[#This Row],[_SpanDays]],Tasks[[#This Row],[Baseline Duration]]))</f>
        <v/>
      </c>
      <c r="BP44" s="86" t="str">
        <f aca="false">IF(Tasks[[#This Row],[Task Name]]="","",IF(OR(TakeBaseline="Yes",N(Tasks[[#This Row],[Baseline Work]])=0),Tasks[[#This Row],[Work]],Tasks[[#This Row],[Baseline Work]]))</f>
        <v/>
      </c>
      <c r="BQ44" s="7"/>
      <c r="BR44" s="7"/>
      <c r="BS44" s="22"/>
      <c r="BT44" s="88"/>
      <c r="BU44" s="23"/>
      <c r="BV44" s="23"/>
      <c r="BW44" s="23"/>
      <c r="BX44" s="89" t="str">
        <f aca="false">IF(AND(Tasks[[#This Row],[_IsLeaf]]=1,ISNUMBER(Tasks[[#This Row],[Optimistic]]),ISNUMBER(Tasks[[#This Row],[Pessimistic]])),ROUND((Tasks[[#This Row],[Optimistic]]+4*N(Tasks[[#This Row],[_Days]])+Tasks[[#This Row],[Pessimistic]])/6,1),"")</f>
        <v/>
      </c>
      <c r="BY44" s="87"/>
      <c r="BZ44" s="87"/>
      <c r="CA44" s="22"/>
      <c r="CB44" s="43" t="str">
        <f aca="false">IF(Tasks[[#This Row],[Task Name]]="","",MAX(1,N(Tasks[[#This Row],[Level]])))</f>
        <v/>
      </c>
      <c r="CC44" s="43" t="n">
        <f aca="false">ROW()-ROW(Tasks[[#Headers],[ID]])</f>
        <v>39</v>
      </c>
      <c r="CD44" s="43" t="n">
        <f aca="false">IF(OR(Tasks[[#This Row],[Task Name]]="",Tasks[[#This Row],[_Level]]&lt;=1),0,IFERROR(LOOKUP(2,1/(Tasks[[#Headers],[_Level]]:Tasks[[#This Row],[_Level]]=Tasks[[#This Row],[_Level]]-1),ROW(Tasks[[#Headers],[_Level]]:Tasks[[#This Row],[_Level]])),0))</f>
        <v>0</v>
      </c>
      <c r="CE44" s="43" t="n">
        <f aca="false">IFERROR(N(INDEX(Tasks[_Level],Tasks[[#This Row],[_Row]]+1)),0)</f>
        <v>0</v>
      </c>
      <c r="CF44" s="90" t="b">
        <f aca="false">AND(Tasks[[#This Row],[Task Name]]&lt;&gt;"",Tasks[[#This Row],[_NextLevel]]&gt;Tasks[[#This Row],[_Level]])</f>
        <v>0</v>
      </c>
      <c r="CG44" s="43" t="n">
        <f aca="false">IF(Tasks[[#This Row],[_IsSummary]],COUNTIF(Tasks[WBS],Tasks[[#This Row],[WBS]]&amp;".*"),0)</f>
        <v>0</v>
      </c>
      <c r="CH44" s="43" t="n">
        <f aca="false">IF(AND(Tasks[[#This Row],[Task Name]]&lt;&gt;"",NOT(Tasks[[#This Row],[_IsSummary]])),1,0)</f>
        <v>0</v>
      </c>
      <c r="CI44" s="43" t="n">
        <f aca="false">IF(N(Tasks[[#This Row],[_Pred1UID]])=0,0,IFERROR(MATCH(Tasks[[#This Row],[_Pred1UID]],Tasks[UID],0),-1))</f>
        <v>0</v>
      </c>
      <c r="CJ44" s="43" t="n">
        <f aca="false">IF(N(Tasks[[#This Row],[_Pred2UID]])=0,0,IFERROR(MATCH(Tasks[[#This Row],[_Pred2UID]],Tasks[UID],0),-1))</f>
        <v>0</v>
      </c>
      <c r="CK44" s="43" t="n">
        <f aca="false">IF(N(Tasks[[#This Row],[_Pred3UID]])=0,0,IFERROR(MATCH(Tasks[[#This Row],[_Pred3UID]],Tasks[UID],0),-1))</f>
        <v>0</v>
      </c>
      <c r="CL44" s="43" t="n">
        <f aca="false">IF(N(Tasks[[#This Row],[_Pred4UID]])=0,0,IFERROR(MATCH(Tasks[[#This Row],[_Pred4UID]],Tasks[UID],0),-1))</f>
        <v>0</v>
      </c>
      <c r="CM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4" s="91" t="n">
        <f aca="false">IF(OR(Tasks[[#This Row],[_ConstraintCode]]=2,Tasks[[#This Row],[_ConstraintCode]]=3,Tasks[[#This Row],[_ConstraintCode]]=4,Tasks[[#This Row],[_ConstraintCode]]=6),Tasks[[#This Row],[_ConstraintStart]],0)</f>
        <v>0</v>
      </c>
      <c r="CP44" s="91" t="n">
        <f aca="false">IF(OR(Tasks[[#This Row],[_ConstraintCode]]=2,Tasks[[#This Row],[_ConstraintCode]]=3,Tasks[[#This Row],[_ConstraintCode]]=5,Tasks[[#This Row],[_ConstraintCode]]=7),Tasks[[#This Row],[_ConstraintStart]],2958465)</f>
        <v>2958465</v>
      </c>
      <c r="CQ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4" s="91" t="str">
        <f aca="false">IF(NOT(Tasks[[#This Row],[_IsLeaf]]=1),"",IF(N(Tasks[[#This Row],[_Days]])&lt;=0,Tasks[[#This Row],[_LeafCalcStart]],WORKDAY.INTL(Tasks[[#This Row],[_LeafCalcStart]],Tasks[[#This Row],[_Days]]-1,WorkWeek,Holidays)))</f>
        <v/>
      </c>
      <c r="CS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4" s="43" t="str">
        <f aca="false">IF(Tasks[[#This Row],[_Predecessors]]="","",TRIM(MID(SUBSTITUTE(SUBSTITUTE(SUBSTITUTE(UPPER(Tasks[[#This Row],[_Predecessors]]),";",",")," ",""),",",REPT(" ",99)),1,99)))</f>
        <v/>
      </c>
      <c r="CV44" s="43" t="str">
        <f aca="false">IF(Tasks[[#This Row],[_Pred1Text]]="","",IFERROR(VALUE(LEFT(Tasks[[#This Row],[_Pred1Text]],MIN(FIND("F",Tasks[[#This Row],[_Pred1Text]]&amp;"F"),FIND("S",Tasks[[#This Row],[_Pred1Text]]&amp;"S"),FIND("+",Tasks[[#This Row],[_Pred1Text]]&amp;"+"),FIND("-",Tasks[[#This Row],[_Pred1Text]]&amp;"-"))-1)),""))</f>
        <v/>
      </c>
      <c r="CW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4" s="43" t="str">
        <f aca="false">IF(Tasks[[#This Row],[_Pred1Text]]="","",TRIM(MID(SUBSTITUTE(SUBSTITUTE(SUBSTITUTE(UPPER(Tasks[[#This Row],[_Predecessors]]),";",",")," ",""),",",REPT(" ",99)),100,99)))</f>
        <v/>
      </c>
      <c r="CZ44" s="43" t="str">
        <f aca="false">IF(Tasks[[#This Row],[_Pred2Text]]="","",IFERROR(VALUE(LEFT(Tasks[[#This Row],[_Pred2Text]],MIN(FIND("F",Tasks[[#This Row],[_Pred2Text]]&amp;"F"),FIND("S",Tasks[[#This Row],[_Pred2Text]]&amp;"S"),FIND("+",Tasks[[#This Row],[_Pred2Text]]&amp;"+"),FIND("-",Tasks[[#This Row],[_Pred2Text]]&amp;"-"))-1)),""))</f>
        <v/>
      </c>
      <c r="DA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4" s="43" t="str">
        <f aca="false">IF(Tasks[[#This Row],[_Pred2Text]]="","",TRIM(MID(SUBSTITUTE(SUBSTITUTE(SUBSTITUTE(UPPER(Tasks[[#This Row],[_Predecessors]]),";",",")," ",""),",",REPT(" ",99)),199,99)))</f>
        <v/>
      </c>
      <c r="DD44" s="43" t="str">
        <f aca="false">IF(Tasks[[#This Row],[_Pred3Text]]="","",IFERROR(VALUE(LEFT(Tasks[[#This Row],[_Pred3Text]],MIN(FIND("F",Tasks[[#This Row],[_Pred3Text]]&amp;"F"),FIND("S",Tasks[[#This Row],[_Pred3Text]]&amp;"S"),FIND("+",Tasks[[#This Row],[_Pred3Text]]&amp;"+"),FIND("-",Tasks[[#This Row],[_Pred3Text]]&amp;"-"))-1)),""))</f>
        <v/>
      </c>
      <c r="DE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4" s="43" t="str">
        <f aca="false">IF(Tasks[[#This Row],[_Pred3Text]]="","",TRIM(MID(SUBSTITUTE(SUBSTITUTE(SUBSTITUTE(UPPER(Tasks[[#This Row],[_Predecessors]]),";",",")," ",""),",",REPT(" ",99)),298,99)))</f>
        <v/>
      </c>
      <c r="DH44" s="43" t="str">
        <f aca="false">IF(Tasks[[#This Row],[_Pred4Text]]="","",IFERROR(VALUE(LEFT(Tasks[[#This Row],[_Pred4Text]],MIN(FIND("F",Tasks[[#This Row],[_Pred4Text]]&amp;"F"),FIND("S",Tasks[[#This Row],[_Pred4Text]]&amp;"S"),FIND("+",Tasks[[#This Row],[_Pred4Text]]&amp;"+"),FIND("-",Tasks[[#This Row],[_Pred4Text]]&amp;"-"))-1)),""))</f>
        <v/>
      </c>
      <c r="DI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4" s="43" t="str">
        <f aca="false">IF(OR(Tasks[[#This Row],[Task Name]]="",Tasks[[#This Row],[_Resources]]=""),"",TRIM(MID(SUBSTITUTE(Tasks[[#This Row],[_Resources]],",",REPT(" ",99)),1,99)))</f>
        <v/>
      </c>
      <c r="DL44" s="43" t="str">
        <f aca="false">IF(Tasks[[#This Row],[_Res1Text]]="","",TRIM(MID(SUBSTITUTE(Tasks[[#This Row],[_Resources]],",",REPT(" ",99)),100,99)))</f>
        <v/>
      </c>
      <c r="DM44" s="43" t="str">
        <f aca="false">IF(Tasks[[#This Row],[_Res2Text]]="","",TRIM(MID(SUBSTITUTE(Tasks[[#This Row],[_Resources]],",",REPT(" ",99)),199,99)))</f>
        <v/>
      </c>
      <c r="DN44" s="43" t="str">
        <f aca="false">IF(Tasks[[#This Row],[_Res3Text]]="","",TRIM(MID(SUBSTITUTE(Tasks[[#This Row],[_Resources]],",",REPT(" ",99)),298,99)))</f>
        <v/>
      </c>
      <c r="DO44" s="43" t="n">
        <f aca="false">IF(Tasks[[#This Row],[_Res1Text]]="",0,IFERROR(MATCH(TRIM(LEFT(Tasks[[#This Row],[_Res1Text]],FIND("[",Tasks[[#This Row],[_Res1Text]]&amp;"[")-1)),res_Name,0),IFERROR(MATCH(TRIM(LEFT(Tasks[[#This Row],[_Res1Text]],FIND("[",Tasks[[#This Row],[_Res1Text]]&amp;"[")-1)),res_Initials,0),0)))</f>
        <v>0</v>
      </c>
      <c r="DP44" s="43" t="n">
        <f aca="false">IF(Tasks[[#This Row],[_Res2Text]]="",0,IFERROR(MATCH(TRIM(LEFT(Tasks[[#This Row],[_Res2Text]],FIND("[",Tasks[[#This Row],[_Res2Text]]&amp;"[")-1)),res_Name,0),IFERROR(MATCH(TRIM(LEFT(Tasks[[#This Row],[_Res2Text]],FIND("[",Tasks[[#This Row],[_Res2Text]]&amp;"[")-1)),res_Initials,0),0)))</f>
        <v>0</v>
      </c>
      <c r="DQ44" s="43" t="n">
        <f aca="false">IF(Tasks[[#This Row],[_Res3Text]]="",0,IFERROR(MATCH(TRIM(LEFT(Tasks[[#This Row],[_Res3Text]],FIND("[",Tasks[[#This Row],[_Res3Text]]&amp;"[")-1)),res_Name,0),IFERROR(MATCH(TRIM(LEFT(Tasks[[#This Row],[_Res3Text]],FIND("[",Tasks[[#This Row],[_Res3Text]]&amp;"[")-1)),res_Initials,0),0)))</f>
        <v>0</v>
      </c>
      <c r="DR44" s="43" t="n">
        <f aca="false">IF(Tasks[[#This Row],[_Res4Text]]="",0,IFERROR(MATCH(TRIM(LEFT(Tasks[[#This Row],[_Res4Text]],FIND("[",Tasks[[#This Row],[_Res4Text]]&amp;"[")-1)),res_Name,0),IFERROR(MATCH(TRIM(LEFT(Tasks[[#This Row],[_Res4Text]],FIND("[",Tasks[[#This Row],[_Res4Text]]&amp;"[")-1)),res_Initials,0),0)))</f>
        <v>0</v>
      </c>
      <c r="DS44" s="43" t="str">
        <f aca="false">IF(Tasks[[#This Row],[_Res1Text]]="","",IF(Tasks[[#This Row],[_Res1Row]]&gt;0,INDEX(res_Name,Tasks[[#This Row],[_Res1Row]]),TRIM(LEFT(Tasks[[#This Row],[_Res1Text]],FIND("[",Tasks[[#This Row],[_Res1Text]]&amp;"[")-1))))</f>
        <v/>
      </c>
      <c r="DT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4" s="43" t="n">
        <f aca="false">IF(NOT(Tasks[[#This Row],[_IsLeaf]]=1),0,(Tasks[[#This Row],[_Resource1]]&lt;&gt;"")+(Tasks[[#This Row],[_Res2]]&lt;&gt;"")+(Tasks[[#This Row],[_Res3]]&lt;&gt;"")+(Tasks[[#This Row],[_Res4]]&lt;&gt;""))</f>
        <v>0</v>
      </c>
      <c r="DV44" s="43" t="str">
        <f aca="false">IF(Tasks[[#This Row],[_Res2Text]]="","",IF(Tasks[[#This Row],[_Res2Row]]&gt;0,INDEX(res_Name,Tasks[[#This Row],[_Res2Row]]),TRIM(LEFT(Tasks[[#This Row],[_Res2Text]],FIND("[",Tasks[[#This Row],[_Res2Text]]&amp;"[")-1))))</f>
        <v/>
      </c>
      <c r="DW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4" s="43" t="n">
        <f aca="false">IF(OR(NOT(Tasks[[#This Row],[_IsLeaf]]=1),Tasks[[#This Row],[_Res2Row]]=0),0,N(Tasks[[#This Row],[_Days]])*HoursPerDay*IF(Tasks[[#This Row],[_Res2Units]]="",DefaultUnits,Tasks[[#This Row],[_Res2Units]]))</f>
        <v>0</v>
      </c>
      <c r="DY44" s="43" t="n">
        <f aca="false">IF(AND(AND(Tasks[[#This Row],[_IsLeaf]]=1,Tasks[[#This Row],[_LeafTotalWork]]&gt;0),Tasks[[#This Row],[_Res2Work]]&gt;0),Tasks[[#This Row],[_Res2Work]]/(Tasks[[#This Row],[_FinishWorkday]]-Tasks[[#This Row],[_StartWorkday]]+1),0)</f>
        <v>0</v>
      </c>
      <c r="DZ44" s="43" t="n">
        <f aca="false">Tasks[[#This Row],[_Res2WorkPerWD]]*MAX(0,Tasks[[#This Row],[_StartWorkday]]-1)</f>
        <v>0</v>
      </c>
      <c r="EA44" s="43" t="n">
        <f aca="false">Tasks[[#This Row],[_Res2Work]]*Tasks[[#This Row],[_LeafProgress]]</f>
        <v>0</v>
      </c>
      <c r="EB44" s="43" t="str">
        <f aca="false">IF(Tasks[[#This Row],[_Res3Text]]="","",IF(Tasks[[#This Row],[_Res3Row]]&gt;0,INDEX(res_Name,Tasks[[#This Row],[_Res3Row]]),TRIM(LEFT(Tasks[[#This Row],[_Res3Text]],FIND("[",Tasks[[#This Row],[_Res3Text]]&amp;"[")-1))))</f>
        <v/>
      </c>
      <c r="EC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4" s="43" t="n">
        <f aca="false">IF(OR(NOT(Tasks[[#This Row],[_IsLeaf]]=1),Tasks[[#This Row],[_Res3Row]]=0),0,N(Tasks[[#This Row],[_Days]])*HoursPerDay*IF(Tasks[[#This Row],[_Res3Units]]="",DefaultUnits,Tasks[[#This Row],[_Res3Units]]))</f>
        <v>0</v>
      </c>
      <c r="EE44" s="43" t="n">
        <f aca="false">IF(AND(AND(Tasks[[#This Row],[_IsLeaf]]=1,Tasks[[#This Row],[_LeafTotalWork]]&gt;0),Tasks[[#This Row],[_Res3Work]]&gt;0),Tasks[[#This Row],[_Res3Work]]/(Tasks[[#This Row],[_FinishWorkday]]-Tasks[[#This Row],[_StartWorkday]]+1),0)</f>
        <v>0</v>
      </c>
      <c r="EF44" s="43" t="n">
        <f aca="false">Tasks[[#This Row],[_Res3WorkPerWD]]*MAX(0,Tasks[[#This Row],[_StartWorkday]]-1)</f>
        <v>0</v>
      </c>
      <c r="EG44" s="43" t="n">
        <f aca="false">Tasks[[#This Row],[_Res3Work]]*Tasks[[#This Row],[_LeafProgress]]</f>
        <v>0</v>
      </c>
      <c r="EH44" s="43" t="str">
        <f aca="false">IF(Tasks[[#This Row],[_Res4Text]]="","",IF(Tasks[[#This Row],[_Res4Row]]&gt;0,INDEX(res_Name,Tasks[[#This Row],[_Res4Row]]),TRIM(LEFT(Tasks[[#This Row],[_Res4Text]],FIND("[",Tasks[[#This Row],[_Res4Text]]&amp;"[")-1))))</f>
        <v/>
      </c>
      <c r="EI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4" s="43" t="n">
        <f aca="false">IF(OR(NOT(Tasks[[#This Row],[_IsLeaf]]=1),Tasks[[#This Row],[_Res4Row]]=0),0,N(Tasks[[#This Row],[_Days]])*HoursPerDay*IF(Tasks[[#This Row],[_Res4Units]]="",DefaultUnits,Tasks[[#This Row],[_Res4Units]]))</f>
        <v>0</v>
      </c>
      <c r="EK44" s="43" t="n">
        <f aca="false">IF(AND(AND(Tasks[[#This Row],[_IsLeaf]]=1,Tasks[[#This Row],[_LeafTotalWork]]&gt;0),Tasks[[#This Row],[_Res4Work]]&gt;0),Tasks[[#This Row],[_Res4Work]]/(Tasks[[#This Row],[_FinishWorkday]]-Tasks[[#This Row],[_StartWorkday]]+1),0)</f>
        <v>0</v>
      </c>
      <c r="EL44" s="43" t="n">
        <f aca="false">Tasks[[#This Row],[_Res4WorkPerWD]]*MAX(0,Tasks[[#This Row],[_StartWorkday]]-1)</f>
        <v>0</v>
      </c>
      <c r="EM44" s="43" t="n">
        <f aca="false">Tasks[[#This Row],[_Res4Work]]*Tasks[[#This Row],[_LeafProgress]]</f>
        <v>0</v>
      </c>
      <c r="EN44" s="43" t="n">
        <f aca="false">IF(ISNUMBER(Tasks[[#This Row],[% Complete]]),Tasks[[#This Row],[% Complete]],IF(Tasks[[#This Row],[Stage]]="",0,IFERROR(INDEX(stg_Pct,MATCH(Tasks[[#This Row],[Stage]],stg_Name,0)),0)))</f>
        <v>0</v>
      </c>
      <c r="EO44" s="43" t="n">
        <f aca="false">IF(NOT(Tasks[[#This Row],[_IsLeaf]]=1),0,IF(N(Tasks[[#This Row],[Actual Finish]])&gt;0,1,MIN(1,Tasks[[#This Row],[_Pct]])))</f>
        <v>0</v>
      </c>
      <c r="EP44" s="43" t="n">
        <f aca="false">IF(OR(NOT(Tasks[[#This Row],[_IsLeaf]]=1),Tasks[[#This Row],[_Res1Row]]=0),0,N(Tasks[[#This Row],[_Days]])*HoursPerDay*IF(Tasks[[#This Row],[_Units1]]="",DefaultUnits,Tasks[[#This Row],[_Units1]]))</f>
        <v>0</v>
      </c>
      <c r="EQ44" s="43" t="n">
        <f aca="false">Tasks[[#This Row],[_LeafWork]]+Tasks[[#This Row],[_Res2Work]]+Tasks[[#This Row],[_Res3Work]]+Tasks[[#This Row],[_Res4Work]]</f>
        <v>0</v>
      </c>
      <c r="ER4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4" s="43" t="n">
        <f aca="false">IF(NOT(Tasks[[#This Row],[_IsLeaf]]=1),0,MAX(_xlfn.MAXIFS(Tasks[_Row],Tasks[_Pred1UID],Tasks[[#This Row],[UID]]),_xlfn.MAXIFS(Tasks[_Row],Tasks[_Pred2UID],Tasks[[#This Row],[UID]]),_xlfn.MAXIFS(Tasks[_Row],Tasks[_Pred3UID],Tasks[[#This Row],[UID]]),_xlfn.MAXIFS(Tasks[_Row],Tasks[_Pred4UID],Tasks[[#This Row],[UID]])))</f>
        <v>0</v>
      </c>
      <c r="FA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4" s="91" t="str">
        <f aca="false">IF(NOT(Tasks[[#This Row],[_IsLeaf]]=1),"",IF(N(Tasks[[#This Row],[_Days]])&lt;=0,Tasks[[#This Row],[_LeafLateFinish]],WORKDAY.INTL(Tasks[[#This Row],[_LeafLateFinish]],-(Tasks[[#This Row],[_Days]]-1),WorkWeek,Holidays)))</f>
        <v/>
      </c>
      <c r="FD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4" s="90" t="b">
        <f aca="false">AND(Tasks[[#This Row],[_IsLeaf]]=1,Tasks[[#This Row],[_LeafProgress]]&lt;1,N(Tasks[[#This Row],[_LeafTotalSlack]])&lt;=CriticalSlackDays)</f>
        <v>0</v>
      </c>
      <c r="FF44" s="43" t="n">
        <f aca="false">IF(AND(Tasks[[#This Row],[_IsLeaf]]=1,Tasks[[#This Row],[_ConstraintCode]]=1,Tasks[[#This Row],[Mode]]&lt;&gt;"Manual",N(Tasks[[#This Row],[Actual Start]])=0),MAX(0,N(Tasks[[#This Row],[Free Slack]])),0)</f>
        <v>0</v>
      </c>
      <c r="FG44" s="91" t="str">
        <f aca="false">IF(NOT(Tasks[[#This Row],[_IsLeaf]]=1),"",IF(Tasks[[#This Row],[_AlapShift]]=0,Tasks[[#This Row],[_LeafCalcStart]],WORKDAY.INTL(Tasks[[#This Row],[_LeafCalcStart]],Tasks[[#This Row],[_AlapShift]],WorkWeek,Holidays)))</f>
        <v/>
      </c>
      <c r="FH44" s="91" t="str">
        <f aca="false">IF(NOT(Tasks[[#This Row],[_IsLeaf]]=1),"",IF(Tasks[[#This Row],[_AlapShift]]=0,Tasks[[#This Row],[_LeafCalcFinish]],WORKDAY.INTL(Tasks[[#This Row],[_LeafCalcFinish]],Tasks[[#This Row],[_AlapShift]],WorkWeek,Holidays)))</f>
        <v/>
      </c>
      <c r="FI44" s="91" t="str">
        <f aca="false">IF(NOT(Tasks[[#This Row],[_IsLeaf]]=1),"",IF(Tasks[[#This Row],[_AlapShift]]=0,Tasks[[#This Row],[_LeafFcstStart]],WORKDAY.INTL(Tasks[[#This Row],[_LeafFcstStart]],Tasks[[#This Row],[_AlapShift]],WorkWeek,Holidays)))</f>
        <v/>
      </c>
      <c r="FJ44" s="91" t="str">
        <f aca="false">IF(NOT(Tasks[[#This Row],[_IsLeaf]]=1),"",IF(Tasks[[#This Row],[_AlapShift]]=0,Tasks[[#This Row],[_LeafFcstFinish]],WORKDAY.INTL(Tasks[[#This Row],[_LeafFcstFinish]],Tasks[[#This Row],[_AlapShift]],WorkWeek,Holidays)))</f>
        <v/>
      </c>
      <c r="FK44" s="91" t="str">
        <f aca="false">IF(Tasks[[#This Row],[Task Name]]="","",IF(Tasks[[#This Row],[_IsSummary]],MIN(INDEX(Tasks[_ShownCalcStart],Tasks[[#This Row],[_Row]]+1):INDEX(Tasks[_ShownCalcStart],Tasks[[#This Row],[_Row]]+Tasks[[#This Row],[_Descendants]])),Tasks[[#This Row],[_ShownCalcStart]]))</f>
        <v/>
      </c>
      <c r="FL44" s="91" t="str">
        <f aca="false">IF(Tasks[[#This Row],[Task Name]]="","",IF(Tasks[[#This Row],[_IsSummary]],MAX(INDEX(Tasks[_ShownCalcFinish],Tasks[[#This Row],[_Row]]+1):INDEX(Tasks[_ShownCalcFinish],Tasks[[#This Row],[_Row]]+Tasks[[#This Row],[_Descendants]])),Tasks[[#This Row],[_ShownCalcFinish]]))</f>
        <v/>
      </c>
      <c r="FM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4" s="43" t="n">
        <f aca="false">IF(AND(Tasks[[#This Row],[_IsLeaf]]=1,Tasks[[#This Row],[_LeafTotalWork]]&gt;0),NETWORKDAYS.INTL(ProjectStart,Tasks[[#This Row],[_ShownFcstStart]],WorkWeek,Holidays),0)</f>
        <v>0</v>
      </c>
      <c r="FZ44" s="43" t="n">
        <f aca="false">IF(AND(Tasks[[#This Row],[_IsLeaf]]=1,Tasks[[#This Row],[_LeafTotalWork]]&gt;0),MAX(Tasks[[#This Row],[_StartWorkday]],NETWORKDAYS.INTL(ProjectStart,Tasks[[#This Row],[_ShownFcstFinish]],WorkWeek,Holidays)),0)</f>
        <v>0</v>
      </c>
      <c r="GA44" s="43" t="n">
        <f aca="false">IF(AND(Tasks[[#This Row],[_IsLeaf]]=1,Tasks[[#This Row],[_LeafTotalWork]]&gt;0),Tasks[[#This Row],[_LeafWork]]/(Tasks[[#This Row],[_FinishWorkday]]-Tasks[[#This Row],[_StartWorkday]]+1),0)</f>
        <v>0</v>
      </c>
      <c r="GB44" s="43" t="n">
        <f aca="false">Tasks[[#This Row],[_WorkPerWorkday]]*(Tasks[[#This Row],[_StartWorkday]]-1)</f>
        <v>-0</v>
      </c>
      <c r="GC44" s="43" t="n">
        <f aca="false">IF(Tasks[[#This Row],[_IsLeaf]]=1,MAX(N(Tasks[[#This Row],[_Days]]),0.1),0)</f>
        <v>0</v>
      </c>
      <c r="GD44" s="43" t="n">
        <f aca="false">Tasks[[#This Row],[_WeightDur]]*Tasks[[#This Row],[_LeafProgress]]</f>
        <v>0</v>
      </c>
      <c r="GE44" s="43" t="n">
        <f aca="false">Tasks[[#This Row],[_WeightDur]]*Tasks[[#This Row],[_PlannedPct]]</f>
        <v>0</v>
      </c>
      <c r="GF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4" s="43" t="str">
        <f aca="false">IF(AND(Tasks[[#This Row],[_IsLeaf]]=1,N(Tasks[[#This Row],[_Days]])=0,Tasks[[#This Row],[_LeafProgress]]&lt;1),Tasks[[#This Row],[_ShownFcstFinish]]+Tasks[[#This Row],[_Row]]/100000,"")</f>
        <v/>
      </c>
      <c r="GH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4" s="43" t="str">
        <f aca="false">IF(Tasks[[#This Row],[Task Name]]="","",LEFT(Tasks[[#This Row],[WBS]],FIND(".",Tasks[[#This Row],[WBS]]&amp;".")-1))</f>
        <v/>
      </c>
      <c r="GJ44" s="43" t="str">
        <f aca="false">IF(AND(Tasks[[#This Row],[Task Name]]&lt;&gt;"",Tasks[[#This Row],[_Level]]=1),Tasks[[#This Row],[_Row]],"")</f>
        <v/>
      </c>
      <c r="GK44" s="43" t="str">
        <f aca="false">IF(AND(Tasks[[#This Row],[_IsLeaf]]=1,N(Tasks[[#This Row],[_Days]])=0),Tasks[[#This Row],[Planned Finish]]+Tasks[[#This Row],[_Row]]/100000,"")</f>
        <v/>
      </c>
      <c r="GL44" s="43" t="str">
        <f aca="false">IF(AND(Tasks[[#This Row],[_IsLeaf]]=1,Tasks[[#This Row],[_LeafProgress]]&lt;1,OR(N(Tasks[[#This Row],[Finish Var]])&gt;0,Tasks[[#This Row],[Status]]="Late Start")),MAX(0,Tasks[[#This Row],[Finish Var]])+1-Tasks[[#This Row],[_Row]]/1000000,"")</f>
        <v/>
      </c>
      <c r="GM44" s="43" t="str">
        <f aca="false">IF(AND(Tasks[[#This Row],[_IsLeaf]]=1,N(Tasks[[#This Row],[Actual Start]])=0,Tasks[[#This Row],[_ShownFcstStart]]&gt;=StatusDate,Tasks[[#This Row],[_ShownFcstStart]]&lt;=LookaheadEnd),Tasks[[#This Row],[_ShownFcstStart]]+Tasks[[#This Row],[_Row]]/100000,"")</f>
        <v/>
      </c>
      <c r="GN44" s="43" t="str">
        <f aca="false">IF(AND(Tasks[[#This Row],[_IsLeaf]]=1,Tasks[[#This Row],[_LeafProgress]]&lt;1,Tasks[[#This Row],[_ShownFcstFinish]]&gt;=StatusDate,Tasks[[#This Row],[_ShownFcstFinish]]&lt;=LookaheadEnd),Tasks[[#This Row],[_ShownFcstFinish]]+Tasks[[#This Row],[_Row]]/100000,"")</f>
        <v/>
      </c>
      <c r="GO44" s="43" t="str">
        <f aca="false">IF(Tasks[[#This Row],[_LeafCritical]],Tasks[[#This Row],[_ShownFcstStart]]+Tasks[[#This Row],[_Row]]/100000,"")</f>
        <v/>
      </c>
      <c r="GP44" s="43" t="n">
        <f aca="false">Tasks[[#This Row],[_LeafWork]]*Tasks[[#This Row],[_LeafProgress]]</f>
        <v>0</v>
      </c>
      <c r="GQ44" s="91" t="str">
        <f aca="false">IF(AND(Tasks[[#This Row],[_IsLeaf]]=1,Tasks[[#This Row],[_LeafProgress]]&gt;=1),IF(N(Tasks[[#This Row],[Actual Finish]])&gt;0,Tasks[[#This Row],[Actual Finish]],Tasks[[#This Row],[_ShownFcstFinish]]),"")</f>
        <v/>
      </c>
      <c r="GR44" s="43" t="n">
        <f aca="false">IF(Tasks[[#This Row],[_IsLeaf]]=1,N(Tasks[[#This Row],[Story Points]]),0)</f>
        <v>0</v>
      </c>
      <c r="GS44" s="43" t="str">
        <f aca="false">""</f>
        <v/>
      </c>
      <c r="GT44" s="90" t="b">
        <f aca="false">IF(Tasks[[#This Row],[Task Name]]="",FALSE(),AND(Tasks[[#This Row],[_IsLeaf]]=1,N(Tasks[[#This Row],[_Days]])=0))</f>
        <v>0</v>
      </c>
      <c r="GU44" s="91" t="n">
        <f aca="false">IF(Tasks[[#This Row],[Task Name]]="",0,IF(AND(Tasks[[#This Row],[_IsLeaf]]=1,NOT(Tasks[[#This Row],[_IsMilestone]]),N(Tasks[[#This Row],[Progress]])&gt;0),Tasks[[#This Row],[Start]],0))</f>
        <v>0</v>
      </c>
      <c r="GV44" s="91" t="n">
        <f aca="false">IF(Tasks[[#This Row],[_DoneFrom]]=0,0,IF(Tasks[[#This Row],[Progress]]&gt;=1,Tasks[[#This Row],[Finish]],MAX(Tasks[[#This Row],[_DoneFrom]],Tasks[[#This Row],[Start]]+ROUND((Tasks[[#This Row],[Finish]]-Tasks[[#This Row],[Start]]+1)*Tasks[[#This Row],[Progress]],0)-1)))</f>
        <v>0</v>
      </c>
      <c r="GW44" s="91" t="n">
        <f aca="false">IF(Tasks[[#This Row],[Task Name]]="",0,IF(OR(NOT(Tasks[[#This Row],[_IsLeaf]]=1),Tasks[[#This Row],[_IsMilestone]],N(Tasks[[#This Row],[Progress]])&gt;=1),0,IF(Tasks[[#This Row],[_DoneTo]]&gt;0,Tasks[[#This Row],[_DoneTo]]+1,Tasks[[#This Row],[Start]])))</f>
        <v>0</v>
      </c>
      <c r="GX44" s="91" t="n">
        <f aca="false">IF(Tasks[[#This Row],[_RemFrom]]=0,0,Tasks[[#This Row],[Finish]])</f>
        <v>0</v>
      </c>
      <c r="GY44" s="90" t="b">
        <f aca="false">IF(Tasks[[#This Row],[Task Name]]="",FALSE(),OR(NOT(BaselineSet),N(Tasks[[#This Row],[Baseline Start]])&gt;0))</f>
        <v>0</v>
      </c>
      <c r="GZ4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4" s="92" t="str">
        <f aca="false">IF(Tasks[[#This Row],[_IsLeaf]]=1,Tasks[[#This Row],[_Row]],"")</f>
        <v/>
      </c>
      <c r="HD44" s="92" t="str">
        <f aca="false">IFERROR(INDEX(Tasks[UID],SMALL(Tasks[_PickKey],Tasks[[#This Row],[_Row]]))&amp;" "&amp;INDEX(Tasks[Task Name],SMALL(Tasks[_PickKey],Tasks[[#This Row],[_Row]])),"")</f>
        <v/>
      </c>
      <c r="HE44" s="43" t="str">
        <f aca="false">IF(Tasks[[#This Row],[Task Name]]="","",IF(Tasks[[#This Row],[_IsSummary]],NETWORKDAYS.INTL(Tasks[[#This Row],[Start]],Tasks[[#This Row],[Finish]],WorkWeek,Holidays),N(Tasks[[#This Row],[_Days]])))</f>
        <v/>
      </c>
      <c r="HF44" s="43" t="n">
        <f aca="false">IF(Tasks[[#This Row],[Expected]]="",0,((Tasks[[#This Row],[Pessimistic]]-Tasks[[#This Row],[Optimistic]])/6)^2)</f>
        <v>0</v>
      </c>
      <c r="HG44" s="43" t="n">
        <f aca="false">IF(Tasks[[#This Row],[Expected]]="",0,Tasks[[#This Row],[Expected]]-N(Tasks[[#This Row],[_Days]]))</f>
        <v>0</v>
      </c>
    </row>
    <row r="45" customFormat="false" ht="15" hidden="false" customHeight="false" outlineLevel="0" collapsed="false">
      <c r="A45" s="21" t="str">
        <f aca="false">IF(Tasks[[#This Row],[Task Name]]="","",COUNTA(Tasks[[#Headers],[Task Name]]:Tasks[[#This Row],[Task Name]])-1)</f>
        <v/>
      </c>
      <c r="B45" s="22" t="n">
        <v>53</v>
      </c>
      <c r="C45" s="22"/>
      <c r="D45" s="23"/>
      <c r="E45" s="22"/>
      <c r="F45" s="23"/>
      <c r="G45" s="22"/>
      <c r="H45" s="22"/>
      <c r="I45" s="23"/>
      <c r="J45" s="22"/>
      <c r="K45" s="22"/>
      <c r="L45" s="23"/>
      <c r="M45" s="22"/>
      <c r="N45" s="22"/>
      <c r="O45" s="23"/>
      <c r="P45" s="22"/>
      <c r="Q45" s="22"/>
      <c r="R45" s="23"/>
      <c r="S45" s="23"/>
      <c r="T45" s="84"/>
      <c r="U45" s="23"/>
      <c r="V45" s="84"/>
      <c r="W45" s="23"/>
      <c r="X45" s="84"/>
      <c r="Y45" s="23"/>
      <c r="Z45" s="84"/>
      <c r="AA45" s="23"/>
      <c r="AB45" s="23"/>
      <c r="AC45" s="7"/>
      <c r="AD45" s="7"/>
      <c r="AE45" s="63" t="str">
        <f aca="false">IF(Tasks[[#This Row],[Task Name]]="","",IF(Tasks[[#This Row],[_IsSummary]],MIN(INDEX(Tasks[_ShownFcstStart],Tasks[[#This Row],[_Row]]+1):INDEX(Tasks[_ShownFcstStart],Tasks[[#This Row],[_Row]]+Tasks[[#This Row],[_Descendants]])),Tasks[[#This Row],[_ShownFcstStart]]))</f>
        <v/>
      </c>
      <c r="AF45" s="63" t="str">
        <f aca="false">IF(Tasks[[#This Row],[Task Name]]="","",IF(Tasks[[#This Row],[_IsSummary]],MAX(INDEX(Tasks[_ShownFcstFinish],Tasks[[#This Row],[_Row]]+1):INDEX(Tasks[_ShownFcstFinish],Tasks[[#This Row],[_Row]]+Tasks[[#This Row],[_Descendants]])),Tasks[[#This Row],[_ShownFcstFinish]]))</f>
        <v/>
      </c>
      <c r="AG45" s="21" t="str">
        <f aca="false">""</f>
        <v/>
      </c>
      <c r="AH45" s="23"/>
      <c r="AI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5" s="7"/>
      <c r="AK45" s="22"/>
      <c r="AL45" s="23"/>
      <c r="AM45" s="7"/>
      <c r="AN45" s="47" t="str">
        <f aca="false">IF(Tasks[[#This Row],[Task Name]]="","",IF(Tasks[[#This Row],[Finish]]&gt;=Tasks[[#This Row],[Planned Finish]],NETWORKDAYS.INTL(Tasks[[#This Row],[Planned Finish]],Tasks[[#This Row],[Finish]],WorkWeek,Holidays)-1,1-NETWORKDAYS.INTL(Tasks[[#This Row],[Finish]],Tasks[[#This Row],[Planned Finish]],WorkWeek,Holidays)))</f>
        <v/>
      </c>
      <c r="AO45" s="21" t="str">
        <f aca="false">IF(Tasks[[#This Row],[Task Name]]="","",IF(Tasks[[#This Row],[Progress]]&gt;=1,"Complete",IF(OR(N(Tasks[[#This Row],[Actual Start]])&gt;0,Tasks[[#This Row],[Progress]]&gt;0),IF(Tasks[[#This Row],[Finish Var]]&gt;0,"Behind","In Progress"),IF(Tasks[[#This Row],[Planned Start]]&lt;StatusDate,"Late Start","Not Started"))))</f>
        <v/>
      </c>
      <c r="AP45" s="21" t="str">
        <f aca="false">IF(Tasks[[#This Row],[Task Name]]="","",IF(IF(Tasks[[#This Row],[_IsSummary]],COUNTIF(INDEX(Tasks[_LeafCritical],Tasks[[#This Row],[_Row]]+1):INDEX(Tasks[_LeafCritical],Tasks[[#This Row],[_Row]]+Tasks[[#This Row],[_Descendants]]),TRUE())&gt;0,Tasks[[#This Row],[_LeafCritical]]),"Yes",""))</f>
        <v/>
      </c>
      <c r="AQ45" s="63" t="str">
        <f aca="false">IF(Tasks[[#This Row],[Task Name]]="","",IF(N(Tasks[[#This Row],[Baseline Start]])&gt;0,Tasks[[#This Row],[Baseline Start]],Tasks[[#This Row],[_CalcStart]]))</f>
        <v/>
      </c>
      <c r="AR45" s="63" t="str">
        <f aca="false">IF(Tasks[[#This Row],[Task Name]]="","",IF(N(Tasks[[#This Row],[Baseline Finish]])&gt;0,Tasks[[#This Row],[Baseline Finish]],Tasks[[#This Row],[_CalcFinish]]))</f>
        <v/>
      </c>
      <c r="AS45" s="47" t="str">
        <f aca="false">IF(Tasks[[#This Row],[Task Name]]="","",IF(Tasks[[#This Row],[Start]]&gt;=Tasks[[#This Row],[Planned Start]],NETWORKDAYS.INTL(Tasks[[#This Row],[Planned Start]],Tasks[[#This Row],[Start]],WorkWeek,Holidays)-1,1-NETWORKDAYS.INTL(Tasks[[#This Row],[Start]],Tasks[[#This Row],[Planned Start]],WorkWeek,Holidays)))</f>
        <v/>
      </c>
      <c r="AT45" s="63" t="str">
        <f aca="false">IF(Tasks[[#This Row],[Task Name]]="","",IF(Tasks[[#This Row],[_IsSummary]],MIN(INDEX(Tasks[_LeafLateStart],Tasks[[#This Row],[_Row]]+1):INDEX(Tasks[_LeafLateStart],Tasks[[#This Row],[_Row]]+Tasks[[#This Row],[_Descendants]])),Tasks[[#This Row],[_LeafLateStart]]))</f>
        <v/>
      </c>
      <c r="AU45" s="63" t="str">
        <f aca="false">IF(Tasks[[#This Row],[Task Name]]="","",IF(Tasks[[#This Row],[_IsSummary]],MAX(INDEX(Tasks[_LeafLateFinish],Tasks[[#This Row],[_Row]]+1):INDEX(Tasks[_LeafLateFinish],Tasks[[#This Row],[_Row]]+Tasks[[#This Row],[_Descendants]])),Tasks[[#This Row],[_LeafLateFinish]]))</f>
        <v/>
      </c>
      <c r="AV45" s="47" t="str">
        <f aca="false">IF(Tasks[[#This Row],[Task Name]]="","",IF(Tasks[[#This Row],[_IsSummary]],MIN(INDEX(Tasks[_LeafTotalSlack],Tasks[[#This Row],[_Row]]+1):INDEX(Tasks[_LeafTotalSlack],Tasks[[#This Row],[_Row]]+Tasks[[#This Row],[_Descendants]])),Tasks[[#This Row],[_LeafTotalSlack]]))</f>
        <v/>
      </c>
      <c r="AW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5"/>
      <c r="BA4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t="str">
        <f aca="false">IF(Tasks[[#This Row],[Task Name]]="","",IF(Tasks[[#This Row],[_Level]]&lt;=OutlineShowLevel,"Yes","No"))</f>
        <v/>
      </c>
      <c r="BE45" s="86" t="str">
        <f aca="false">IF(Tasks[[#This Row],[Task Name]]="","",IF(Tasks[[#This Row],[_IsSummary]],SUM(INDEX(Tasks[_LeafTotalWork],Tasks[[#This Row],[_Row]]+1):INDEX(Tasks[_LeafTotalWork],Tasks[[#This Row],[_Row]]+Tasks[[#This Row],[_Descendants]])),Tasks[[#This Row],[_LeafTotalWork]]))</f>
        <v/>
      </c>
      <c r="BF45" s="23"/>
      <c r="BG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t="str">
        <f aca="false">""</f>
        <v/>
      </c>
      <c r="BI45" s="87"/>
      <c r="BJ45" s="22"/>
      <c r="BK45" s="47" t="str">
        <f aca="false">IF(OR(Tasks[[#This Row],[Task Name]]="",Tasks[[#This Row],[Baseline Duration]]=""),"",Tasks[[#This Row],[_SpanDays]]-N(Tasks[[#This Row],[Baseline Duration]]))</f>
        <v/>
      </c>
      <c r="BL45" s="86" t="str">
        <f aca="false">IF(OR(Tasks[[#This Row],[Task Name]]="",Tasks[[#This Row],[Baseline Work]]=""),"",Tasks[[#This Row],[Work]]-N(Tasks[[#This Row],[Baseline Work]]))</f>
        <v/>
      </c>
      <c r="BM45" s="63" t="str">
        <f aca="false">IF(Tasks[[#This Row],[Task Name]]="","",IF(OR(TakeBaseline="Yes",N(Tasks[[#This Row],[Baseline Start]])=0),Tasks[[#This Row],[Start]],Tasks[[#This Row],[Baseline Start]]))</f>
        <v/>
      </c>
      <c r="BN45" s="63" t="str">
        <f aca="false">IF(Tasks[[#This Row],[Task Name]]="","",IF(OR(TakeBaseline="Yes",N(Tasks[[#This Row],[Baseline Finish]])=0),Tasks[[#This Row],[Finish]],Tasks[[#This Row],[Baseline Finish]]))</f>
        <v/>
      </c>
      <c r="BO45" s="21" t="str">
        <f aca="false">IF(Tasks[[#This Row],[Task Name]]="","",IF(OR(TakeBaseline="Yes",N(Tasks[[#This Row],[Baseline Duration]])=0),Tasks[[#This Row],[_SpanDays]],Tasks[[#This Row],[Baseline Duration]]))</f>
        <v/>
      </c>
      <c r="BP45" s="86" t="str">
        <f aca="false">IF(Tasks[[#This Row],[Task Name]]="","",IF(OR(TakeBaseline="Yes",N(Tasks[[#This Row],[Baseline Work]])=0),Tasks[[#This Row],[Work]],Tasks[[#This Row],[Baseline Work]]))</f>
        <v/>
      </c>
      <c r="BQ45" s="7"/>
      <c r="BR45" s="7"/>
      <c r="BS45" s="22"/>
      <c r="BT45" s="88"/>
      <c r="BU45" s="23"/>
      <c r="BV45" s="23"/>
      <c r="BW45" s="23"/>
      <c r="BX45" s="89" t="str">
        <f aca="false">IF(AND(Tasks[[#This Row],[_IsLeaf]]=1,ISNUMBER(Tasks[[#This Row],[Optimistic]]),ISNUMBER(Tasks[[#This Row],[Pessimistic]])),ROUND((Tasks[[#This Row],[Optimistic]]+4*N(Tasks[[#This Row],[_Days]])+Tasks[[#This Row],[Pessimistic]])/6,1),"")</f>
        <v/>
      </c>
      <c r="BY45" s="87"/>
      <c r="BZ45" s="87"/>
      <c r="CA45" s="22"/>
      <c r="CB45" s="43" t="str">
        <f aca="false">IF(Tasks[[#This Row],[Task Name]]="","",MAX(1,N(Tasks[[#This Row],[Level]])))</f>
        <v/>
      </c>
      <c r="CC45" s="43" t="n">
        <f aca="false">ROW()-ROW(Tasks[[#Headers],[ID]])</f>
        <v>40</v>
      </c>
      <c r="CD45" s="43" t="n">
        <f aca="false">IF(OR(Tasks[[#This Row],[Task Name]]="",Tasks[[#This Row],[_Level]]&lt;=1),0,IFERROR(LOOKUP(2,1/(Tasks[[#Headers],[_Level]]:Tasks[[#This Row],[_Level]]=Tasks[[#This Row],[_Level]]-1),ROW(Tasks[[#Headers],[_Level]]:Tasks[[#This Row],[_Level]])),0))</f>
        <v>0</v>
      </c>
      <c r="CE45" s="43" t="n">
        <f aca="false">IFERROR(N(INDEX(Tasks[_Level],Tasks[[#This Row],[_Row]]+1)),0)</f>
        <v>0</v>
      </c>
      <c r="CF45" s="90" t="b">
        <f aca="false">AND(Tasks[[#This Row],[Task Name]]&lt;&gt;"",Tasks[[#This Row],[_NextLevel]]&gt;Tasks[[#This Row],[_Level]])</f>
        <v>0</v>
      </c>
      <c r="CG45" s="43" t="n">
        <f aca="false">IF(Tasks[[#This Row],[_IsSummary]],COUNTIF(Tasks[WBS],Tasks[[#This Row],[WBS]]&amp;".*"),0)</f>
        <v>0</v>
      </c>
      <c r="CH45" s="43" t="n">
        <f aca="false">IF(AND(Tasks[[#This Row],[Task Name]]&lt;&gt;"",NOT(Tasks[[#This Row],[_IsSummary]])),1,0)</f>
        <v>0</v>
      </c>
      <c r="CI45" s="43" t="n">
        <f aca="false">IF(N(Tasks[[#This Row],[_Pred1UID]])=0,0,IFERROR(MATCH(Tasks[[#This Row],[_Pred1UID]],Tasks[UID],0),-1))</f>
        <v>0</v>
      </c>
      <c r="CJ45" s="43" t="n">
        <f aca="false">IF(N(Tasks[[#This Row],[_Pred2UID]])=0,0,IFERROR(MATCH(Tasks[[#This Row],[_Pred2UID]],Tasks[UID],0),-1))</f>
        <v>0</v>
      </c>
      <c r="CK45" s="43" t="n">
        <f aca="false">IF(N(Tasks[[#This Row],[_Pred3UID]])=0,0,IFERROR(MATCH(Tasks[[#This Row],[_Pred3UID]],Tasks[UID],0),-1))</f>
        <v>0</v>
      </c>
      <c r="CL45" s="43" t="n">
        <f aca="false">IF(N(Tasks[[#This Row],[_Pred4UID]])=0,0,IFERROR(MATCH(Tasks[[#This Row],[_Pred4UID]],Tasks[UID],0),-1))</f>
        <v>0</v>
      </c>
      <c r="CM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5" s="91" t="n">
        <f aca="false">IF(OR(Tasks[[#This Row],[_ConstraintCode]]=2,Tasks[[#This Row],[_ConstraintCode]]=3,Tasks[[#This Row],[_ConstraintCode]]=4,Tasks[[#This Row],[_ConstraintCode]]=6),Tasks[[#This Row],[_ConstraintStart]],0)</f>
        <v>0</v>
      </c>
      <c r="CP45" s="91" t="n">
        <f aca="false">IF(OR(Tasks[[#This Row],[_ConstraintCode]]=2,Tasks[[#This Row],[_ConstraintCode]]=3,Tasks[[#This Row],[_ConstraintCode]]=5,Tasks[[#This Row],[_ConstraintCode]]=7),Tasks[[#This Row],[_ConstraintStart]],2958465)</f>
        <v>2958465</v>
      </c>
      <c r="CQ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5" s="91" t="str">
        <f aca="false">IF(NOT(Tasks[[#This Row],[_IsLeaf]]=1),"",IF(N(Tasks[[#This Row],[_Days]])&lt;=0,Tasks[[#This Row],[_LeafCalcStart]],WORKDAY.INTL(Tasks[[#This Row],[_LeafCalcStart]],Tasks[[#This Row],[_Days]]-1,WorkWeek,Holidays)))</f>
        <v/>
      </c>
      <c r="CS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5" s="43" t="str">
        <f aca="false">IF(Tasks[[#This Row],[_Predecessors]]="","",TRIM(MID(SUBSTITUTE(SUBSTITUTE(SUBSTITUTE(UPPER(Tasks[[#This Row],[_Predecessors]]),";",",")," ",""),",",REPT(" ",99)),1,99)))</f>
        <v/>
      </c>
      <c r="CV45" s="43" t="str">
        <f aca="false">IF(Tasks[[#This Row],[_Pred1Text]]="","",IFERROR(VALUE(LEFT(Tasks[[#This Row],[_Pred1Text]],MIN(FIND("F",Tasks[[#This Row],[_Pred1Text]]&amp;"F"),FIND("S",Tasks[[#This Row],[_Pred1Text]]&amp;"S"),FIND("+",Tasks[[#This Row],[_Pred1Text]]&amp;"+"),FIND("-",Tasks[[#This Row],[_Pred1Text]]&amp;"-"))-1)),""))</f>
        <v/>
      </c>
      <c r="CW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5" s="43" t="str">
        <f aca="false">IF(Tasks[[#This Row],[_Pred1Text]]="","",TRIM(MID(SUBSTITUTE(SUBSTITUTE(SUBSTITUTE(UPPER(Tasks[[#This Row],[_Predecessors]]),";",",")," ",""),",",REPT(" ",99)),100,99)))</f>
        <v/>
      </c>
      <c r="CZ45" s="43" t="str">
        <f aca="false">IF(Tasks[[#This Row],[_Pred2Text]]="","",IFERROR(VALUE(LEFT(Tasks[[#This Row],[_Pred2Text]],MIN(FIND("F",Tasks[[#This Row],[_Pred2Text]]&amp;"F"),FIND("S",Tasks[[#This Row],[_Pred2Text]]&amp;"S"),FIND("+",Tasks[[#This Row],[_Pred2Text]]&amp;"+"),FIND("-",Tasks[[#This Row],[_Pred2Text]]&amp;"-"))-1)),""))</f>
        <v/>
      </c>
      <c r="DA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5" s="43" t="str">
        <f aca="false">IF(Tasks[[#This Row],[_Pred2Text]]="","",TRIM(MID(SUBSTITUTE(SUBSTITUTE(SUBSTITUTE(UPPER(Tasks[[#This Row],[_Predecessors]]),";",",")," ",""),",",REPT(" ",99)),199,99)))</f>
        <v/>
      </c>
      <c r="DD45" s="43" t="str">
        <f aca="false">IF(Tasks[[#This Row],[_Pred3Text]]="","",IFERROR(VALUE(LEFT(Tasks[[#This Row],[_Pred3Text]],MIN(FIND("F",Tasks[[#This Row],[_Pred3Text]]&amp;"F"),FIND("S",Tasks[[#This Row],[_Pred3Text]]&amp;"S"),FIND("+",Tasks[[#This Row],[_Pred3Text]]&amp;"+"),FIND("-",Tasks[[#This Row],[_Pred3Text]]&amp;"-"))-1)),""))</f>
        <v/>
      </c>
      <c r="DE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5" s="43" t="str">
        <f aca="false">IF(Tasks[[#This Row],[_Pred3Text]]="","",TRIM(MID(SUBSTITUTE(SUBSTITUTE(SUBSTITUTE(UPPER(Tasks[[#This Row],[_Predecessors]]),";",",")," ",""),",",REPT(" ",99)),298,99)))</f>
        <v/>
      </c>
      <c r="DH45" s="43" t="str">
        <f aca="false">IF(Tasks[[#This Row],[_Pred4Text]]="","",IFERROR(VALUE(LEFT(Tasks[[#This Row],[_Pred4Text]],MIN(FIND("F",Tasks[[#This Row],[_Pred4Text]]&amp;"F"),FIND("S",Tasks[[#This Row],[_Pred4Text]]&amp;"S"),FIND("+",Tasks[[#This Row],[_Pred4Text]]&amp;"+"),FIND("-",Tasks[[#This Row],[_Pred4Text]]&amp;"-"))-1)),""))</f>
        <v/>
      </c>
      <c r="DI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5" s="43" t="str">
        <f aca="false">IF(OR(Tasks[[#This Row],[Task Name]]="",Tasks[[#This Row],[_Resources]]=""),"",TRIM(MID(SUBSTITUTE(Tasks[[#This Row],[_Resources]],",",REPT(" ",99)),1,99)))</f>
        <v/>
      </c>
      <c r="DL45" s="43" t="str">
        <f aca="false">IF(Tasks[[#This Row],[_Res1Text]]="","",TRIM(MID(SUBSTITUTE(Tasks[[#This Row],[_Resources]],",",REPT(" ",99)),100,99)))</f>
        <v/>
      </c>
      <c r="DM45" s="43" t="str">
        <f aca="false">IF(Tasks[[#This Row],[_Res2Text]]="","",TRIM(MID(SUBSTITUTE(Tasks[[#This Row],[_Resources]],",",REPT(" ",99)),199,99)))</f>
        <v/>
      </c>
      <c r="DN45" s="43" t="str">
        <f aca="false">IF(Tasks[[#This Row],[_Res3Text]]="","",TRIM(MID(SUBSTITUTE(Tasks[[#This Row],[_Resources]],",",REPT(" ",99)),298,99)))</f>
        <v/>
      </c>
      <c r="DO45" s="43" t="n">
        <f aca="false">IF(Tasks[[#This Row],[_Res1Text]]="",0,IFERROR(MATCH(TRIM(LEFT(Tasks[[#This Row],[_Res1Text]],FIND("[",Tasks[[#This Row],[_Res1Text]]&amp;"[")-1)),res_Name,0),IFERROR(MATCH(TRIM(LEFT(Tasks[[#This Row],[_Res1Text]],FIND("[",Tasks[[#This Row],[_Res1Text]]&amp;"[")-1)),res_Initials,0),0)))</f>
        <v>0</v>
      </c>
      <c r="DP45" s="43" t="n">
        <f aca="false">IF(Tasks[[#This Row],[_Res2Text]]="",0,IFERROR(MATCH(TRIM(LEFT(Tasks[[#This Row],[_Res2Text]],FIND("[",Tasks[[#This Row],[_Res2Text]]&amp;"[")-1)),res_Name,0),IFERROR(MATCH(TRIM(LEFT(Tasks[[#This Row],[_Res2Text]],FIND("[",Tasks[[#This Row],[_Res2Text]]&amp;"[")-1)),res_Initials,0),0)))</f>
        <v>0</v>
      </c>
      <c r="DQ45" s="43" t="n">
        <f aca="false">IF(Tasks[[#This Row],[_Res3Text]]="",0,IFERROR(MATCH(TRIM(LEFT(Tasks[[#This Row],[_Res3Text]],FIND("[",Tasks[[#This Row],[_Res3Text]]&amp;"[")-1)),res_Name,0),IFERROR(MATCH(TRIM(LEFT(Tasks[[#This Row],[_Res3Text]],FIND("[",Tasks[[#This Row],[_Res3Text]]&amp;"[")-1)),res_Initials,0),0)))</f>
        <v>0</v>
      </c>
      <c r="DR45" s="43" t="n">
        <f aca="false">IF(Tasks[[#This Row],[_Res4Text]]="",0,IFERROR(MATCH(TRIM(LEFT(Tasks[[#This Row],[_Res4Text]],FIND("[",Tasks[[#This Row],[_Res4Text]]&amp;"[")-1)),res_Name,0),IFERROR(MATCH(TRIM(LEFT(Tasks[[#This Row],[_Res4Text]],FIND("[",Tasks[[#This Row],[_Res4Text]]&amp;"[")-1)),res_Initials,0),0)))</f>
        <v>0</v>
      </c>
      <c r="DS45" s="43" t="str">
        <f aca="false">IF(Tasks[[#This Row],[_Res1Text]]="","",IF(Tasks[[#This Row],[_Res1Row]]&gt;0,INDEX(res_Name,Tasks[[#This Row],[_Res1Row]]),TRIM(LEFT(Tasks[[#This Row],[_Res1Text]],FIND("[",Tasks[[#This Row],[_Res1Text]]&amp;"[")-1))))</f>
        <v/>
      </c>
      <c r="DT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5" s="43" t="n">
        <f aca="false">IF(NOT(Tasks[[#This Row],[_IsLeaf]]=1),0,(Tasks[[#This Row],[_Resource1]]&lt;&gt;"")+(Tasks[[#This Row],[_Res2]]&lt;&gt;"")+(Tasks[[#This Row],[_Res3]]&lt;&gt;"")+(Tasks[[#This Row],[_Res4]]&lt;&gt;""))</f>
        <v>0</v>
      </c>
      <c r="DV45" s="43" t="str">
        <f aca="false">IF(Tasks[[#This Row],[_Res2Text]]="","",IF(Tasks[[#This Row],[_Res2Row]]&gt;0,INDEX(res_Name,Tasks[[#This Row],[_Res2Row]]),TRIM(LEFT(Tasks[[#This Row],[_Res2Text]],FIND("[",Tasks[[#This Row],[_Res2Text]]&amp;"[")-1))))</f>
        <v/>
      </c>
      <c r="DW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5" s="43" t="n">
        <f aca="false">IF(OR(NOT(Tasks[[#This Row],[_IsLeaf]]=1),Tasks[[#This Row],[_Res2Row]]=0),0,N(Tasks[[#This Row],[_Days]])*HoursPerDay*IF(Tasks[[#This Row],[_Res2Units]]="",DefaultUnits,Tasks[[#This Row],[_Res2Units]]))</f>
        <v>0</v>
      </c>
      <c r="DY45" s="43" t="n">
        <f aca="false">IF(AND(AND(Tasks[[#This Row],[_IsLeaf]]=1,Tasks[[#This Row],[_LeafTotalWork]]&gt;0),Tasks[[#This Row],[_Res2Work]]&gt;0),Tasks[[#This Row],[_Res2Work]]/(Tasks[[#This Row],[_FinishWorkday]]-Tasks[[#This Row],[_StartWorkday]]+1),0)</f>
        <v>0</v>
      </c>
      <c r="DZ45" s="43" t="n">
        <f aca="false">Tasks[[#This Row],[_Res2WorkPerWD]]*MAX(0,Tasks[[#This Row],[_StartWorkday]]-1)</f>
        <v>0</v>
      </c>
      <c r="EA45" s="43" t="n">
        <f aca="false">Tasks[[#This Row],[_Res2Work]]*Tasks[[#This Row],[_LeafProgress]]</f>
        <v>0</v>
      </c>
      <c r="EB45" s="43" t="str">
        <f aca="false">IF(Tasks[[#This Row],[_Res3Text]]="","",IF(Tasks[[#This Row],[_Res3Row]]&gt;0,INDEX(res_Name,Tasks[[#This Row],[_Res3Row]]),TRIM(LEFT(Tasks[[#This Row],[_Res3Text]],FIND("[",Tasks[[#This Row],[_Res3Text]]&amp;"[")-1))))</f>
        <v/>
      </c>
      <c r="EC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5" s="43" t="n">
        <f aca="false">IF(OR(NOT(Tasks[[#This Row],[_IsLeaf]]=1),Tasks[[#This Row],[_Res3Row]]=0),0,N(Tasks[[#This Row],[_Days]])*HoursPerDay*IF(Tasks[[#This Row],[_Res3Units]]="",DefaultUnits,Tasks[[#This Row],[_Res3Units]]))</f>
        <v>0</v>
      </c>
      <c r="EE45" s="43" t="n">
        <f aca="false">IF(AND(AND(Tasks[[#This Row],[_IsLeaf]]=1,Tasks[[#This Row],[_LeafTotalWork]]&gt;0),Tasks[[#This Row],[_Res3Work]]&gt;0),Tasks[[#This Row],[_Res3Work]]/(Tasks[[#This Row],[_FinishWorkday]]-Tasks[[#This Row],[_StartWorkday]]+1),0)</f>
        <v>0</v>
      </c>
      <c r="EF45" s="43" t="n">
        <f aca="false">Tasks[[#This Row],[_Res3WorkPerWD]]*MAX(0,Tasks[[#This Row],[_StartWorkday]]-1)</f>
        <v>0</v>
      </c>
      <c r="EG45" s="43" t="n">
        <f aca="false">Tasks[[#This Row],[_Res3Work]]*Tasks[[#This Row],[_LeafProgress]]</f>
        <v>0</v>
      </c>
      <c r="EH45" s="43" t="str">
        <f aca="false">IF(Tasks[[#This Row],[_Res4Text]]="","",IF(Tasks[[#This Row],[_Res4Row]]&gt;0,INDEX(res_Name,Tasks[[#This Row],[_Res4Row]]),TRIM(LEFT(Tasks[[#This Row],[_Res4Text]],FIND("[",Tasks[[#This Row],[_Res4Text]]&amp;"[")-1))))</f>
        <v/>
      </c>
      <c r="EI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5" s="43" t="n">
        <f aca="false">IF(OR(NOT(Tasks[[#This Row],[_IsLeaf]]=1),Tasks[[#This Row],[_Res4Row]]=0),0,N(Tasks[[#This Row],[_Days]])*HoursPerDay*IF(Tasks[[#This Row],[_Res4Units]]="",DefaultUnits,Tasks[[#This Row],[_Res4Units]]))</f>
        <v>0</v>
      </c>
      <c r="EK45" s="43" t="n">
        <f aca="false">IF(AND(AND(Tasks[[#This Row],[_IsLeaf]]=1,Tasks[[#This Row],[_LeafTotalWork]]&gt;0),Tasks[[#This Row],[_Res4Work]]&gt;0),Tasks[[#This Row],[_Res4Work]]/(Tasks[[#This Row],[_FinishWorkday]]-Tasks[[#This Row],[_StartWorkday]]+1),0)</f>
        <v>0</v>
      </c>
      <c r="EL45" s="43" t="n">
        <f aca="false">Tasks[[#This Row],[_Res4WorkPerWD]]*MAX(0,Tasks[[#This Row],[_StartWorkday]]-1)</f>
        <v>0</v>
      </c>
      <c r="EM45" s="43" t="n">
        <f aca="false">Tasks[[#This Row],[_Res4Work]]*Tasks[[#This Row],[_LeafProgress]]</f>
        <v>0</v>
      </c>
      <c r="EN45" s="43" t="n">
        <f aca="false">IF(ISNUMBER(Tasks[[#This Row],[% Complete]]),Tasks[[#This Row],[% Complete]],IF(Tasks[[#This Row],[Stage]]="",0,IFERROR(INDEX(stg_Pct,MATCH(Tasks[[#This Row],[Stage]],stg_Name,0)),0)))</f>
        <v>0</v>
      </c>
      <c r="EO45" s="43" t="n">
        <f aca="false">IF(NOT(Tasks[[#This Row],[_IsLeaf]]=1),0,IF(N(Tasks[[#This Row],[Actual Finish]])&gt;0,1,MIN(1,Tasks[[#This Row],[_Pct]])))</f>
        <v>0</v>
      </c>
      <c r="EP45" s="43" t="n">
        <f aca="false">IF(OR(NOT(Tasks[[#This Row],[_IsLeaf]]=1),Tasks[[#This Row],[_Res1Row]]=0),0,N(Tasks[[#This Row],[_Days]])*HoursPerDay*IF(Tasks[[#This Row],[_Units1]]="",DefaultUnits,Tasks[[#This Row],[_Units1]]))</f>
        <v>0</v>
      </c>
      <c r="EQ45" s="43" t="n">
        <f aca="false">Tasks[[#This Row],[_LeafWork]]+Tasks[[#This Row],[_Res2Work]]+Tasks[[#This Row],[_Res3Work]]+Tasks[[#This Row],[_Res4Work]]</f>
        <v>0</v>
      </c>
      <c r="ER4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5" s="43" t="n">
        <f aca="false">IF(NOT(Tasks[[#This Row],[_IsLeaf]]=1),0,MAX(_xlfn.MAXIFS(Tasks[_Row],Tasks[_Pred1UID],Tasks[[#This Row],[UID]]),_xlfn.MAXIFS(Tasks[_Row],Tasks[_Pred2UID],Tasks[[#This Row],[UID]]),_xlfn.MAXIFS(Tasks[_Row],Tasks[_Pred3UID],Tasks[[#This Row],[UID]]),_xlfn.MAXIFS(Tasks[_Row],Tasks[_Pred4UID],Tasks[[#This Row],[UID]])))</f>
        <v>0</v>
      </c>
      <c r="FA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5" s="91" t="str">
        <f aca="false">IF(NOT(Tasks[[#This Row],[_IsLeaf]]=1),"",IF(N(Tasks[[#This Row],[_Days]])&lt;=0,Tasks[[#This Row],[_LeafLateFinish]],WORKDAY.INTL(Tasks[[#This Row],[_LeafLateFinish]],-(Tasks[[#This Row],[_Days]]-1),WorkWeek,Holidays)))</f>
        <v/>
      </c>
      <c r="FD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5" s="90" t="b">
        <f aca="false">AND(Tasks[[#This Row],[_IsLeaf]]=1,Tasks[[#This Row],[_LeafProgress]]&lt;1,N(Tasks[[#This Row],[_LeafTotalSlack]])&lt;=CriticalSlackDays)</f>
        <v>0</v>
      </c>
      <c r="FF45" s="43" t="n">
        <f aca="false">IF(AND(Tasks[[#This Row],[_IsLeaf]]=1,Tasks[[#This Row],[_ConstraintCode]]=1,Tasks[[#This Row],[Mode]]&lt;&gt;"Manual",N(Tasks[[#This Row],[Actual Start]])=0),MAX(0,N(Tasks[[#This Row],[Free Slack]])),0)</f>
        <v>0</v>
      </c>
      <c r="FG45" s="91" t="str">
        <f aca="false">IF(NOT(Tasks[[#This Row],[_IsLeaf]]=1),"",IF(Tasks[[#This Row],[_AlapShift]]=0,Tasks[[#This Row],[_LeafCalcStart]],WORKDAY.INTL(Tasks[[#This Row],[_LeafCalcStart]],Tasks[[#This Row],[_AlapShift]],WorkWeek,Holidays)))</f>
        <v/>
      </c>
      <c r="FH45" s="91" t="str">
        <f aca="false">IF(NOT(Tasks[[#This Row],[_IsLeaf]]=1),"",IF(Tasks[[#This Row],[_AlapShift]]=0,Tasks[[#This Row],[_LeafCalcFinish]],WORKDAY.INTL(Tasks[[#This Row],[_LeafCalcFinish]],Tasks[[#This Row],[_AlapShift]],WorkWeek,Holidays)))</f>
        <v/>
      </c>
      <c r="FI45" s="91" t="str">
        <f aca="false">IF(NOT(Tasks[[#This Row],[_IsLeaf]]=1),"",IF(Tasks[[#This Row],[_AlapShift]]=0,Tasks[[#This Row],[_LeafFcstStart]],WORKDAY.INTL(Tasks[[#This Row],[_LeafFcstStart]],Tasks[[#This Row],[_AlapShift]],WorkWeek,Holidays)))</f>
        <v/>
      </c>
      <c r="FJ45" s="91" t="str">
        <f aca="false">IF(NOT(Tasks[[#This Row],[_IsLeaf]]=1),"",IF(Tasks[[#This Row],[_AlapShift]]=0,Tasks[[#This Row],[_LeafFcstFinish]],WORKDAY.INTL(Tasks[[#This Row],[_LeafFcstFinish]],Tasks[[#This Row],[_AlapShift]],WorkWeek,Holidays)))</f>
        <v/>
      </c>
      <c r="FK45" s="91" t="str">
        <f aca="false">IF(Tasks[[#This Row],[Task Name]]="","",IF(Tasks[[#This Row],[_IsSummary]],MIN(INDEX(Tasks[_ShownCalcStart],Tasks[[#This Row],[_Row]]+1):INDEX(Tasks[_ShownCalcStart],Tasks[[#This Row],[_Row]]+Tasks[[#This Row],[_Descendants]])),Tasks[[#This Row],[_ShownCalcStart]]))</f>
        <v/>
      </c>
      <c r="FL45" s="91" t="str">
        <f aca="false">IF(Tasks[[#This Row],[Task Name]]="","",IF(Tasks[[#This Row],[_IsSummary]],MAX(INDEX(Tasks[_ShownCalcFinish],Tasks[[#This Row],[_Row]]+1):INDEX(Tasks[_ShownCalcFinish],Tasks[[#This Row],[_Row]]+Tasks[[#This Row],[_Descendants]])),Tasks[[#This Row],[_ShownCalcFinish]]))</f>
        <v/>
      </c>
      <c r="FM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5" s="43" t="n">
        <f aca="false">IF(AND(Tasks[[#This Row],[_IsLeaf]]=1,Tasks[[#This Row],[_LeafTotalWork]]&gt;0),NETWORKDAYS.INTL(ProjectStart,Tasks[[#This Row],[_ShownFcstStart]],WorkWeek,Holidays),0)</f>
        <v>0</v>
      </c>
      <c r="FZ45" s="43" t="n">
        <f aca="false">IF(AND(Tasks[[#This Row],[_IsLeaf]]=1,Tasks[[#This Row],[_LeafTotalWork]]&gt;0),MAX(Tasks[[#This Row],[_StartWorkday]],NETWORKDAYS.INTL(ProjectStart,Tasks[[#This Row],[_ShownFcstFinish]],WorkWeek,Holidays)),0)</f>
        <v>0</v>
      </c>
      <c r="GA45" s="43" t="n">
        <f aca="false">IF(AND(Tasks[[#This Row],[_IsLeaf]]=1,Tasks[[#This Row],[_LeafTotalWork]]&gt;0),Tasks[[#This Row],[_LeafWork]]/(Tasks[[#This Row],[_FinishWorkday]]-Tasks[[#This Row],[_StartWorkday]]+1),0)</f>
        <v>0</v>
      </c>
      <c r="GB45" s="43" t="n">
        <f aca="false">Tasks[[#This Row],[_WorkPerWorkday]]*(Tasks[[#This Row],[_StartWorkday]]-1)</f>
        <v>-0</v>
      </c>
      <c r="GC45" s="43" t="n">
        <f aca="false">IF(Tasks[[#This Row],[_IsLeaf]]=1,MAX(N(Tasks[[#This Row],[_Days]]),0.1),0)</f>
        <v>0</v>
      </c>
      <c r="GD45" s="43" t="n">
        <f aca="false">Tasks[[#This Row],[_WeightDur]]*Tasks[[#This Row],[_LeafProgress]]</f>
        <v>0</v>
      </c>
      <c r="GE45" s="43" t="n">
        <f aca="false">Tasks[[#This Row],[_WeightDur]]*Tasks[[#This Row],[_PlannedPct]]</f>
        <v>0</v>
      </c>
      <c r="GF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5" s="43" t="str">
        <f aca="false">IF(AND(Tasks[[#This Row],[_IsLeaf]]=1,N(Tasks[[#This Row],[_Days]])=0,Tasks[[#This Row],[_LeafProgress]]&lt;1),Tasks[[#This Row],[_ShownFcstFinish]]+Tasks[[#This Row],[_Row]]/100000,"")</f>
        <v/>
      </c>
      <c r="GH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5" s="43" t="str">
        <f aca="false">IF(Tasks[[#This Row],[Task Name]]="","",LEFT(Tasks[[#This Row],[WBS]],FIND(".",Tasks[[#This Row],[WBS]]&amp;".")-1))</f>
        <v/>
      </c>
      <c r="GJ45" s="43" t="str">
        <f aca="false">IF(AND(Tasks[[#This Row],[Task Name]]&lt;&gt;"",Tasks[[#This Row],[_Level]]=1),Tasks[[#This Row],[_Row]],"")</f>
        <v/>
      </c>
      <c r="GK45" s="43" t="str">
        <f aca="false">IF(AND(Tasks[[#This Row],[_IsLeaf]]=1,N(Tasks[[#This Row],[_Days]])=0),Tasks[[#This Row],[Planned Finish]]+Tasks[[#This Row],[_Row]]/100000,"")</f>
        <v/>
      </c>
      <c r="GL45" s="43" t="str">
        <f aca="false">IF(AND(Tasks[[#This Row],[_IsLeaf]]=1,Tasks[[#This Row],[_LeafProgress]]&lt;1,OR(N(Tasks[[#This Row],[Finish Var]])&gt;0,Tasks[[#This Row],[Status]]="Late Start")),MAX(0,Tasks[[#This Row],[Finish Var]])+1-Tasks[[#This Row],[_Row]]/1000000,"")</f>
        <v/>
      </c>
      <c r="GM45" s="43" t="str">
        <f aca="false">IF(AND(Tasks[[#This Row],[_IsLeaf]]=1,N(Tasks[[#This Row],[Actual Start]])=0,Tasks[[#This Row],[_ShownFcstStart]]&gt;=StatusDate,Tasks[[#This Row],[_ShownFcstStart]]&lt;=LookaheadEnd),Tasks[[#This Row],[_ShownFcstStart]]+Tasks[[#This Row],[_Row]]/100000,"")</f>
        <v/>
      </c>
      <c r="GN45" s="43" t="str">
        <f aca="false">IF(AND(Tasks[[#This Row],[_IsLeaf]]=1,Tasks[[#This Row],[_LeafProgress]]&lt;1,Tasks[[#This Row],[_ShownFcstFinish]]&gt;=StatusDate,Tasks[[#This Row],[_ShownFcstFinish]]&lt;=LookaheadEnd),Tasks[[#This Row],[_ShownFcstFinish]]+Tasks[[#This Row],[_Row]]/100000,"")</f>
        <v/>
      </c>
      <c r="GO45" s="43" t="str">
        <f aca="false">IF(Tasks[[#This Row],[_LeafCritical]],Tasks[[#This Row],[_ShownFcstStart]]+Tasks[[#This Row],[_Row]]/100000,"")</f>
        <v/>
      </c>
      <c r="GP45" s="43" t="n">
        <f aca="false">Tasks[[#This Row],[_LeafWork]]*Tasks[[#This Row],[_LeafProgress]]</f>
        <v>0</v>
      </c>
      <c r="GQ45" s="91" t="str">
        <f aca="false">IF(AND(Tasks[[#This Row],[_IsLeaf]]=1,Tasks[[#This Row],[_LeafProgress]]&gt;=1),IF(N(Tasks[[#This Row],[Actual Finish]])&gt;0,Tasks[[#This Row],[Actual Finish]],Tasks[[#This Row],[_ShownFcstFinish]]),"")</f>
        <v/>
      </c>
      <c r="GR45" s="43" t="n">
        <f aca="false">IF(Tasks[[#This Row],[_IsLeaf]]=1,N(Tasks[[#This Row],[Story Points]]),0)</f>
        <v>0</v>
      </c>
      <c r="GS45" s="43" t="str">
        <f aca="false">""</f>
        <v/>
      </c>
      <c r="GT45" s="90" t="b">
        <f aca="false">IF(Tasks[[#This Row],[Task Name]]="",FALSE(),AND(Tasks[[#This Row],[_IsLeaf]]=1,N(Tasks[[#This Row],[_Days]])=0))</f>
        <v>0</v>
      </c>
      <c r="GU45" s="91" t="n">
        <f aca="false">IF(Tasks[[#This Row],[Task Name]]="",0,IF(AND(Tasks[[#This Row],[_IsLeaf]]=1,NOT(Tasks[[#This Row],[_IsMilestone]]),N(Tasks[[#This Row],[Progress]])&gt;0),Tasks[[#This Row],[Start]],0))</f>
        <v>0</v>
      </c>
      <c r="GV45" s="91" t="n">
        <f aca="false">IF(Tasks[[#This Row],[_DoneFrom]]=0,0,IF(Tasks[[#This Row],[Progress]]&gt;=1,Tasks[[#This Row],[Finish]],MAX(Tasks[[#This Row],[_DoneFrom]],Tasks[[#This Row],[Start]]+ROUND((Tasks[[#This Row],[Finish]]-Tasks[[#This Row],[Start]]+1)*Tasks[[#This Row],[Progress]],0)-1)))</f>
        <v>0</v>
      </c>
      <c r="GW45" s="91" t="n">
        <f aca="false">IF(Tasks[[#This Row],[Task Name]]="",0,IF(OR(NOT(Tasks[[#This Row],[_IsLeaf]]=1),Tasks[[#This Row],[_IsMilestone]],N(Tasks[[#This Row],[Progress]])&gt;=1),0,IF(Tasks[[#This Row],[_DoneTo]]&gt;0,Tasks[[#This Row],[_DoneTo]]+1,Tasks[[#This Row],[Start]])))</f>
        <v>0</v>
      </c>
      <c r="GX45" s="91" t="n">
        <f aca="false">IF(Tasks[[#This Row],[_RemFrom]]=0,0,Tasks[[#This Row],[Finish]])</f>
        <v>0</v>
      </c>
      <c r="GY45" s="90" t="b">
        <f aca="false">IF(Tasks[[#This Row],[Task Name]]="",FALSE(),OR(NOT(BaselineSet),N(Tasks[[#This Row],[Baseline Start]])&gt;0))</f>
        <v>0</v>
      </c>
      <c r="GZ4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5" s="92" t="str">
        <f aca="false">IF(Tasks[[#This Row],[_IsLeaf]]=1,Tasks[[#This Row],[_Row]],"")</f>
        <v/>
      </c>
      <c r="HD45" s="92" t="str">
        <f aca="false">IFERROR(INDEX(Tasks[UID],SMALL(Tasks[_PickKey],Tasks[[#This Row],[_Row]]))&amp;" "&amp;INDEX(Tasks[Task Name],SMALL(Tasks[_PickKey],Tasks[[#This Row],[_Row]])),"")</f>
        <v/>
      </c>
      <c r="HE45" s="43" t="str">
        <f aca="false">IF(Tasks[[#This Row],[Task Name]]="","",IF(Tasks[[#This Row],[_IsSummary]],NETWORKDAYS.INTL(Tasks[[#This Row],[Start]],Tasks[[#This Row],[Finish]],WorkWeek,Holidays),N(Tasks[[#This Row],[_Days]])))</f>
        <v/>
      </c>
      <c r="HF45" s="43" t="n">
        <f aca="false">IF(Tasks[[#This Row],[Expected]]="",0,((Tasks[[#This Row],[Pessimistic]]-Tasks[[#This Row],[Optimistic]])/6)^2)</f>
        <v>0</v>
      </c>
      <c r="HG45" s="43" t="n">
        <f aca="false">IF(Tasks[[#This Row],[Expected]]="",0,Tasks[[#This Row],[Expected]]-N(Tasks[[#This Row],[_Days]]))</f>
        <v>0</v>
      </c>
    </row>
    <row r="46" customFormat="false" ht="15" hidden="false" customHeight="false" outlineLevel="0" collapsed="false">
      <c r="A46" s="21" t="str">
        <f aca="false">IF(Tasks[[#This Row],[Task Name]]="","",COUNTA(Tasks[[#Headers],[Task Name]]:Tasks[[#This Row],[Task Name]])-1)</f>
        <v/>
      </c>
      <c r="B46" s="22" t="n">
        <v>54</v>
      </c>
      <c r="C46" s="22"/>
      <c r="D46" s="23"/>
      <c r="E46" s="22"/>
      <c r="F46" s="23"/>
      <c r="G46" s="22"/>
      <c r="H46" s="22"/>
      <c r="I46" s="23"/>
      <c r="J46" s="22"/>
      <c r="K46" s="22"/>
      <c r="L46" s="23"/>
      <c r="M46" s="22"/>
      <c r="N46" s="22"/>
      <c r="O46" s="23"/>
      <c r="P46" s="22"/>
      <c r="Q46" s="22"/>
      <c r="R46" s="23"/>
      <c r="S46" s="23"/>
      <c r="T46" s="84"/>
      <c r="U46" s="23"/>
      <c r="V46" s="84"/>
      <c r="W46" s="23"/>
      <c r="X46" s="84"/>
      <c r="Y46" s="23"/>
      <c r="Z46" s="84"/>
      <c r="AA46" s="23"/>
      <c r="AB46" s="23"/>
      <c r="AC46" s="7"/>
      <c r="AD46" s="7"/>
      <c r="AE46" s="63" t="str">
        <f aca="false">IF(Tasks[[#This Row],[Task Name]]="","",IF(Tasks[[#This Row],[_IsSummary]],MIN(INDEX(Tasks[_ShownFcstStart],Tasks[[#This Row],[_Row]]+1):INDEX(Tasks[_ShownFcstStart],Tasks[[#This Row],[_Row]]+Tasks[[#This Row],[_Descendants]])),Tasks[[#This Row],[_ShownFcstStart]]))</f>
        <v/>
      </c>
      <c r="AF46" s="63" t="str">
        <f aca="false">IF(Tasks[[#This Row],[Task Name]]="","",IF(Tasks[[#This Row],[_IsSummary]],MAX(INDEX(Tasks[_ShownFcstFinish],Tasks[[#This Row],[_Row]]+1):INDEX(Tasks[_ShownFcstFinish],Tasks[[#This Row],[_Row]]+Tasks[[#This Row],[_Descendants]])),Tasks[[#This Row],[_ShownFcstFinish]]))</f>
        <v/>
      </c>
      <c r="AG46" s="21" t="str">
        <f aca="false">""</f>
        <v/>
      </c>
      <c r="AH46" s="23"/>
      <c r="AI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6" s="7"/>
      <c r="AK46" s="22"/>
      <c r="AL46" s="23"/>
      <c r="AM46" s="7"/>
      <c r="AN46" s="47" t="str">
        <f aca="false">IF(Tasks[[#This Row],[Task Name]]="","",IF(Tasks[[#This Row],[Finish]]&gt;=Tasks[[#This Row],[Planned Finish]],NETWORKDAYS.INTL(Tasks[[#This Row],[Planned Finish]],Tasks[[#This Row],[Finish]],WorkWeek,Holidays)-1,1-NETWORKDAYS.INTL(Tasks[[#This Row],[Finish]],Tasks[[#This Row],[Planned Finish]],WorkWeek,Holidays)))</f>
        <v/>
      </c>
      <c r="AO46" s="21" t="str">
        <f aca="false">IF(Tasks[[#This Row],[Task Name]]="","",IF(Tasks[[#This Row],[Progress]]&gt;=1,"Complete",IF(OR(N(Tasks[[#This Row],[Actual Start]])&gt;0,Tasks[[#This Row],[Progress]]&gt;0),IF(Tasks[[#This Row],[Finish Var]]&gt;0,"Behind","In Progress"),IF(Tasks[[#This Row],[Planned Start]]&lt;StatusDate,"Late Start","Not Started"))))</f>
        <v/>
      </c>
      <c r="AP46" s="21" t="str">
        <f aca="false">IF(Tasks[[#This Row],[Task Name]]="","",IF(IF(Tasks[[#This Row],[_IsSummary]],COUNTIF(INDEX(Tasks[_LeafCritical],Tasks[[#This Row],[_Row]]+1):INDEX(Tasks[_LeafCritical],Tasks[[#This Row],[_Row]]+Tasks[[#This Row],[_Descendants]]),TRUE())&gt;0,Tasks[[#This Row],[_LeafCritical]]),"Yes",""))</f>
        <v/>
      </c>
      <c r="AQ46" s="63" t="str">
        <f aca="false">IF(Tasks[[#This Row],[Task Name]]="","",IF(N(Tasks[[#This Row],[Baseline Start]])&gt;0,Tasks[[#This Row],[Baseline Start]],Tasks[[#This Row],[_CalcStart]]))</f>
        <v/>
      </c>
      <c r="AR46" s="63" t="str">
        <f aca="false">IF(Tasks[[#This Row],[Task Name]]="","",IF(N(Tasks[[#This Row],[Baseline Finish]])&gt;0,Tasks[[#This Row],[Baseline Finish]],Tasks[[#This Row],[_CalcFinish]]))</f>
        <v/>
      </c>
      <c r="AS46" s="47" t="str">
        <f aca="false">IF(Tasks[[#This Row],[Task Name]]="","",IF(Tasks[[#This Row],[Start]]&gt;=Tasks[[#This Row],[Planned Start]],NETWORKDAYS.INTL(Tasks[[#This Row],[Planned Start]],Tasks[[#This Row],[Start]],WorkWeek,Holidays)-1,1-NETWORKDAYS.INTL(Tasks[[#This Row],[Start]],Tasks[[#This Row],[Planned Start]],WorkWeek,Holidays)))</f>
        <v/>
      </c>
      <c r="AT46" s="63" t="str">
        <f aca="false">IF(Tasks[[#This Row],[Task Name]]="","",IF(Tasks[[#This Row],[_IsSummary]],MIN(INDEX(Tasks[_LeafLateStart],Tasks[[#This Row],[_Row]]+1):INDEX(Tasks[_LeafLateStart],Tasks[[#This Row],[_Row]]+Tasks[[#This Row],[_Descendants]])),Tasks[[#This Row],[_LeafLateStart]]))</f>
        <v/>
      </c>
      <c r="AU46" s="63" t="str">
        <f aca="false">IF(Tasks[[#This Row],[Task Name]]="","",IF(Tasks[[#This Row],[_IsSummary]],MAX(INDEX(Tasks[_LeafLateFinish],Tasks[[#This Row],[_Row]]+1):INDEX(Tasks[_LeafLateFinish],Tasks[[#This Row],[_Row]]+Tasks[[#This Row],[_Descendants]])),Tasks[[#This Row],[_LeafLateFinish]]))</f>
        <v/>
      </c>
      <c r="AV46" s="47" t="str">
        <f aca="false">IF(Tasks[[#This Row],[Task Name]]="","",IF(Tasks[[#This Row],[_IsSummary]],MIN(INDEX(Tasks[_LeafTotalSlack],Tasks[[#This Row],[_Row]]+1):INDEX(Tasks[_LeafTotalSlack],Tasks[[#This Row],[_Row]]+Tasks[[#This Row],[_Descendants]])),Tasks[[#This Row],[_LeafTotalSlack]]))</f>
        <v/>
      </c>
      <c r="AW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5"/>
      <c r="BA4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t="str">
        <f aca="false">IF(Tasks[[#This Row],[Task Name]]="","",IF(Tasks[[#This Row],[_Level]]&lt;=OutlineShowLevel,"Yes","No"))</f>
        <v/>
      </c>
      <c r="BE46" s="86" t="str">
        <f aca="false">IF(Tasks[[#This Row],[Task Name]]="","",IF(Tasks[[#This Row],[_IsSummary]],SUM(INDEX(Tasks[_LeafTotalWork],Tasks[[#This Row],[_Row]]+1):INDEX(Tasks[_LeafTotalWork],Tasks[[#This Row],[_Row]]+Tasks[[#This Row],[_Descendants]])),Tasks[[#This Row],[_LeafTotalWork]]))</f>
        <v/>
      </c>
      <c r="BF46" s="23"/>
      <c r="BG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t="str">
        <f aca="false">""</f>
        <v/>
      </c>
      <c r="BI46" s="87"/>
      <c r="BJ46" s="22"/>
      <c r="BK46" s="47" t="str">
        <f aca="false">IF(OR(Tasks[[#This Row],[Task Name]]="",Tasks[[#This Row],[Baseline Duration]]=""),"",Tasks[[#This Row],[_SpanDays]]-N(Tasks[[#This Row],[Baseline Duration]]))</f>
        <v/>
      </c>
      <c r="BL46" s="86" t="str">
        <f aca="false">IF(OR(Tasks[[#This Row],[Task Name]]="",Tasks[[#This Row],[Baseline Work]]=""),"",Tasks[[#This Row],[Work]]-N(Tasks[[#This Row],[Baseline Work]]))</f>
        <v/>
      </c>
      <c r="BM46" s="63" t="str">
        <f aca="false">IF(Tasks[[#This Row],[Task Name]]="","",IF(OR(TakeBaseline="Yes",N(Tasks[[#This Row],[Baseline Start]])=0),Tasks[[#This Row],[Start]],Tasks[[#This Row],[Baseline Start]]))</f>
        <v/>
      </c>
      <c r="BN46" s="63" t="str">
        <f aca="false">IF(Tasks[[#This Row],[Task Name]]="","",IF(OR(TakeBaseline="Yes",N(Tasks[[#This Row],[Baseline Finish]])=0),Tasks[[#This Row],[Finish]],Tasks[[#This Row],[Baseline Finish]]))</f>
        <v/>
      </c>
      <c r="BO46" s="21" t="str">
        <f aca="false">IF(Tasks[[#This Row],[Task Name]]="","",IF(OR(TakeBaseline="Yes",N(Tasks[[#This Row],[Baseline Duration]])=0),Tasks[[#This Row],[_SpanDays]],Tasks[[#This Row],[Baseline Duration]]))</f>
        <v/>
      </c>
      <c r="BP46" s="86" t="str">
        <f aca="false">IF(Tasks[[#This Row],[Task Name]]="","",IF(OR(TakeBaseline="Yes",N(Tasks[[#This Row],[Baseline Work]])=0),Tasks[[#This Row],[Work]],Tasks[[#This Row],[Baseline Work]]))</f>
        <v/>
      </c>
      <c r="BQ46" s="7"/>
      <c r="BR46" s="7"/>
      <c r="BS46" s="22"/>
      <c r="BT46" s="88"/>
      <c r="BU46" s="23"/>
      <c r="BV46" s="23"/>
      <c r="BW46" s="23"/>
      <c r="BX46" s="89" t="str">
        <f aca="false">IF(AND(Tasks[[#This Row],[_IsLeaf]]=1,ISNUMBER(Tasks[[#This Row],[Optimistic]]),ISNUMBER(Tasks[[#This Row],[Pessimistic]])),ROUND((Tasks[[#This Row],[Optimistic]]+4*N(Tasks[[#This Row],[_Days]])+Tasks[[#This Row],[Pessimistic]])/6,1),"")</f>
        <v/>
      </c>
      <c r="BY46" s="87"/>
      <c r="BZ46" s="87"/>
      <c r="CA46" s="22"/>
      <c r="CB46" s="43" t="str">
        <f aca="false">IF(Tasks[[#This Row],[Task Name]]="","",MAX(1,N(Tasks[[#This Row],[Level]])))</f>
        <v/>
      </c>
      <c r="CC46" s="43" t="n">
        <f aca="false">ROW()-ROW(Tasks[[#Headers],[ID]])</f>
        <v>41</v>
      </c>
      <c r="CD46" s="43" t="n">
        <f aca="false">IF(OR(Tasks[[#This Row],[Task Name]]="",Tasks[[#This Row],[_Level]]&lt;=1),0,IFERROR(LOOKUP(2,1/(Tasks[[#Headers],[_Level]]:Tasks[[#This Row],[_Level]]=Tasks[[#This Row],[_Level]]-1),ROW(Tasks[[#Headers],[_Level]]:Tasks[[#This Row],[_Level]])),0))</f>
        <v>0</v>
      </c>
      <c r="CE46" s="43" t="n">
        <f aca="false">IFERROR(N(INDEX(Tasks[_Level],Tasks[[#This Row],[_Row]]+1)),0)</f>
        <v>0</v>
      </c>
      <c r="CF46" s="90" t="b">
        <f aca="false">AND(Tasks[[#This Row],[Task Name]]&lt;&gt;"",Tasks[[#This Row],[_NextLevel]]&gt;Tasks[[#This Row],[_Level]])</f>
        <v>0</v>
      </c>
      <c r="CG46" s="43" t="n">
        <f aca="false">IF(Tasks[[#This Row],[_IsSummary]],COUNTIF(Tasks[WBS],Tasks[[#This Row],[WBS]]&amp;".*"),0)</f>
        <v>0</v>
      </c>
      <c r="CH46" s="43" t="n">
        <f aca="false">IF(AND(Tasks[[#This Row],[Task Name]]&lt;&gt;"",NOT(Tasks[[#This Row],[_IsSummary]])),1,0)</f>
        <v>0</v>
      </c>
      <c r="CI46" s="43" t="n">
        <f aca="false">IF(N(Tasks[[#This Row],[_Pred1UID]])=0,0,IFERROR(MATCH(Tasks[[#This Row],[_Pred1UID]],Tasks[UID],0),-1))</f>
        <v>0</v>
      </c>
      <c r="CJ46" s="43" t="n">
        <f aca="false">IF(N(Tasks[[#This Row],[_Pred2UID]])=0,0,IFERROR(MATCH(Tasks[[#This Row],[_Pred2UID]],Tasks[UID],0),-1))</f>
        <v>0</v>
      </c>
      <c r="CK46" s="43" t="n">
        <f aca="false">IF(N(Tasks[[#This Row],[_Pred3UID]])=0,0,IFERROR(MATCH(Tasks[[#This Row],[_Pred3UID]],Tasks[UID],0),-1))</f>
        <v>0</v>
      </c>
      <c r="CL46" s="43" t="n">
        <f aca="false">IF(N(Tasks[[#This Row],[_Pred4UID]])=0,0,IFERROR(MATCH(Tasks[[#This Row],[_Pred4UID]],Tasks[UID],0),-1))</f>
        <v>0</v>
      </c>
      <c r="CM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6" s="91" t="n">
        <f aca="false">IF(OR(Tasks[[#This Row],[_ConstraintCode]]=2,Tasks[[#This Row],[_ConstraintCode]]=3,Tasks[[#This Row],[_ConstraintCode]]=4,Tasks[[#This Row],[_ConstraintCode]]=6),Tasks[[#This Row],[_ConstraintStart]],0)</f>
        <v>0</v>
      </c>
      <c r="CP46" s="91" t="n">
        <f aca="false">IF(OR(Tasks[[#This Row],[_ConstraintCode]]=2,Tasks[[#This Row],[_ConstraintCode]]=3,Tasks[[#This Row],[_ConstraintCode]]=5,Tasks[[#This Row],[_ConstraintCode]]=7),Tasks[[#This Row],[_ConstraintStart]],2958465)</f>
        <v>2958465</v>
      </c>
      <c r="CQ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6" s="91" t="str">
        <f aca="false">IF(NOT(Tasks[[#This Row],[_IsLeaf]]=1),"",IF(N(Tasks[[#This Row],[_Days]])&lt;=0,Tasks[[#This Row],[_LeafCalcStart]],WORKDAY.INTL(Tasks[[#This Row],[_LeafCalcStart]],Tasks[[#This Row],[_Days]]-1,WorkWeek,Holidays)))</f>
        <v/>
      </c>
      <c r="CS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6" s="43" t="str">
        <f aca="false">IF(Tasks[[#This Row],[_Predecessors]]="","",TRIM(MID(SUBSTITUTE(SUBSTITUTE(SUBSTITUTE(UPPER(Tasks[[#This Row],[_Predecessors]]),";",",")," ",""),",",REPT(" ",99)),1,99)))</f>
        <v/>
      </c>
      <c r="CV46" s="43" t="str">
        <f aca="false">IF(Tasks[[#This Row],[_Pred1Text]]="","",IFERROR(VALUE(LEFT(Tasks[[#This Row],[_Pred1Text]],MIN(FIND("F",Tasks[[#This Row],[_Pred1Text]]&amp;"F"),FIND("S",Tasks[[#This Row],[_Pred1Text]]&amp;"S"),FIND("+",Tasks[[#This Row],[_Pred1Text]]&amp;"+"),FIND("-",Tasks[[#This Row],[_Pred1Text]]&amp;"-"))-1)),""))</f>
        <v/>
      </c>
      <c r="CW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6" s="43" t="str">
        <f aca="false">IF(Tasks[[#This Row],[_Pred1Text]]="","",TRIM(MID(SUBSTITUTE(SUBSTITUTE(SUBSTITUTE(UPPER(Tasks[[#This Row],[_Predecessors]]),";",",")," ",""),",",REPT(" ",99)),100,99)))</f>
        <v/>
      </c>
      <c r="CZ46" s="43" t="str">
        <f aca="false">IF(Tasks[[#This Row],[_Pred2Text]]="","",IFERROR(VALUE(LEFT(Tasks[[#This Row],[_Pred2Text]],MIN(FIND("F",Tasks[[#This Row],[_Pred2Text]]&amp;"F"),FIND("S",Tasks[[#This Row],[_Pred2Text]]&amp;"S"),FIND("+",Tasks[[#This Row],[_Pred2Text]]&amp;"+"),FIND("-",Tasks[[#This Row],[_Pred2Text]]&amp;"-"))-1)),""))</f>
        <v/>
      </c>
      <c r="DA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6" s="43" t="str">
        <f aca="false">IF(Tasks[[#This Row],[_Pred2Text]]="","",TRIM(MID(SUBSTITUTE(SUBSTITUTE(SUBSTITUTE(UPPER(Tasks[[#This Row],[_Predecessors]]),";",",")," ",""),",",REPT(" ",99)),199,99)))</f>
        <v/>
      </c>
      <c r="DD46" s="43" t="str">
        <f aca="false">IF(Tasks[[#This Row],[_Pred3Text]]="","",IFERROR(VALUE(LEFT(Tasks[[#This Row],[_Pred3Text]],MIN(FIND("F",Tasks[[#This Row],[_Pred3Text]]&amp;"F"),FIND("S",Tasks[[#This Row],[_Pred3Text]]&amp;"S"),FIND("+",Tasks[[#This Row],[_Pred3Text]]&amp;"+"),FIND("-",Tasks[[#This Row],[_Pred3Text]]&amp;"-"))-1)),""))</f>
        <v/>
      </c>
      <c r="DE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6" s="43" t="str">
        <f aca="false">IF(Tasks[[#This Row],[_Pred3Text]]="","",TRIM(MID(SUBSTITUTE(SUBSTITUTE(SUBSTITUTE(UPPER(Tasks[[#This Row],[_Predecessors]]),";",",")," ",""),",",REPT(" ",99)),298,99)))</f>
        <v/>
      </c>
      <c r="DH46" s="43" t="str">
        <f aca="false">IF(Tasks[[#This Row],[_Pred4Text]]="","",IFERROR(VALUE(LEFT(Tasks[[#This Row],[_Pred4Text]],MIN(FIND("F",Tasks[[#This Row],[_Pred4Text]]&amp;"F"),FIND("S",Tasks[[#This Row],[_Pred4Text]]&amp;"S"),FIND("+",Tasks[[#This Row],[_Pred4Text]]&amp;"+"),FIND("-",Tasks[[#This Row],[_Pred4Text]]&amp;"-"))-1)),""))</f>
        <v/>
      </c>
      <c r="DI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6" s="43" t="str">
        <f aca="false">IF(OR(Tasks[[#This Row],[Task Name]]="",Tasks[[#This Row],[_Resources]]=""),"",TRIM(MID(SUBSTITUTE(Tasks[[#This Row],[_Resources]],",",REPT(" ",99)),1,99)))</f>
        <v/>
      </c>
      <c r="DL46" s="43" t="str">
        <f aca="false">IF(Tasks[[#This Row],[_Res1Text]]="","",TRIM(MID(SUBSTITUTE(Tasks[[#This Row],[_Resources]],",",REPT(" ",99)),100,99)))</f>
        <v/>
      </c>
      <c r="DM46" s="43" t="str">
        <f aca="false">IF(Tasks[[#This Row],[_Res2Text]]="","",TRIM(MID(SUBSTITUTE(Tasks[[#This Row],[_Resources]],",",REPT(" ",99)),199,99)))</f>
        <v/>
      </c>
      <c r="DN46" s="43" t="str">
        <f aca="false">IF(Tasks[[#This Row],[_Res3Text]]="","",TRIM(MID(SUBSTITUTE(Tasks[[#This Row],[_Resources]],",",REPT(" ",99)),298,99)))</f>
        <v/>
      </c>
      <c r="DO46" s="43" t="n">
        <f aca="false">IF(Tasks[[#This Row],[_Res1Text]]="",0,IFERROR(MATCH(TRIM(LEFT(Tasks[[#This Row],[_Res1Text]],FIND("[",Tasks[[#This Row],[_Res1Text]]&amp;"[")-1)),res_Name,0),IFERROR(MATCH(TRIM(LEFT(Tasks[[#This Row],[_Res1Text]],FIND("[",Tasks[[#This Row],[_Res1Text]]&amp;"[")-1)),res_Initials,0),0)))</f>
        <v>0</v>
      </c>
      <c r="DP46" s="43" t="n">
        <f aca="false">IF(Tasks[[#This Row],[_Res2Text]]="",0,IFERROR(MATCH(TRIM(LEFT(Tasks[[#This Row],[_Res2Text]],FIND("[",Tasks[[#This Row],[_Res2Text]]&amp;"[")-1)),res_Name,0),IFERROR(MATCH(TRIM(LEFT(Tasks[[#This Row],[_Res2Text]],FIND("[",Tasks[[#This Row],[_Res2Text]]&amp;"[")-1)),res_Initials,0),0)))</f>
        <v>0</v>
      </c>
      <c r="DQ46" s="43" t="n">
        <f aca="false">IF(Tasks[[#This Row],[_Res3Text]]="",0,IFERROR(MATCH(TRIM(LEFT(Tasks[[#This Row],[_Res3Text]],FIND("[",Tasks[[#This Row],[_Res3Text]]&amp;"[")-1)),res_Name,0),IFERROR(MATCH(TRIM(LEFT(Tasks[[#This Row],[_Res3Text]],FIND("[",Tasks[[#This Row],[_Res3Text]]&amp;"[")-1)),res_Initials,0),0)))</f>
        <v>0</v>
      </c>
      <c r="DR46" s="43" t="n">
        <f aca="false">IF(Tasks[[#This Row],[_Res4Text]]="",0,IFERROR(MATCH(TRIM(LEFT(Tasks[[#This Row],[_Res4Text]],FIND("[",Tasks[[#This Row],[_Res4Text]]&amp;"[")-1)),res_Name,0),IFERROR(MATCH(TRIM(LEFT(Tasks[[#This Row],[_Res4Text]],FIND("[",Tasks[[#This Row],[_Res4Text]]&amp;"[")-1)),res_Initials,0),0)))</f>
        <v>0</v>
      </c>
      <c r="DS46" s="43" t="str">
        <f aca="false">IF(Tasks[[#This Row],[_Res1Text]]="","",IF(Tasks[[#This Row],[_Res1Row]]&gt;0,INDEX(res_Name,Tasks[[#This Row],[_Res1Row]]),TRIM(LEFT(Tasks[[#This Row],[_Res1Text]],FIND("[",Tasks[[#This Row],[_Res1Text]]&amp;"[")-1))))</f>
        <v/>
      </c>
      <c r="DT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6" s="43" t="n">
        <f aca="false">IF(NOT(Tasks[[#This Row],[_IsLeaf]]=1),0,(Tasks[[#This Row],[_Resource1]]&lt;&gt;"")+(Tasks[[#This Row],[_Res2]]&lt;&gt;"")+(Tasks[[#This Row],[_Res3]]&lt;&gt;"")+(Tasks[[#This Row],[_Res4]]&lt;&gt;""))</f>
        <v>0</v>
      </c>
      <c r="DV46" s="43" t="str">
        <f aca="false">IF(Tasks[[#This Row],[_Res2Text]]="","",IF(Tasks[[#This Row],[_Res2Row]]&gt;0,INDEX(res_Name,Tasks[[#This Row],[_Res2Row]]),TRIM(LEFT(Tasks[[#This Row],[_Res2Text]],FIND("[",Tasks[[#This Row],[_Res2Text]]&amp;"[")-1))))</f>
        <v/>
      </c>
      <c r="DW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6" s="43" t="n">
        <f aca="false">IF(OR(NOT(Tasks[[#This Row],[_IsLeaf]]=1),Tasks[[#This Row],[_Res2Row]]=0),0,N(Tasks[[#This Row],[_Days]])*HoursPerDay*IF(Tasks[[#This Row],[_Res2Units]]="",DefaultUnits,Tasks[[#This Row],[_Res2Units]]))</f>
        <v>0</v>
      </c>
      <c r="DY46" s="43" t="n">
        <f aca="false">IF(AND(AND(Tasks[[#This Row],[_IsLeaf]]=1,Tasks[[#This Row],[_LeafTotalWork]]&gt;0),Tasks[[#This Row],[_Res2Work]]&gt;0),Tasks[[#This Row],[_Res2Work]]/(Tasks[[#This Row],[_FinishWorkday]]-Tasks[[#This Row],[_StartWorkday]]+1),0)</f>
        <v>0</v>
      </c>
      <c r="DZ46" s="43" t="n">
        <f aca="false">Tasks[[#This Row],[_Res2WorkPerWD]]*MAX(0,Tasks[[#This Row],[_StartWorkday]]-1)</f>
        <v>0</v>
      </c>
      <c r="EA46" s="43" t="n">
        <f aca="false">Tasks[[#This Row],[_Res2Work]]*Tasks[[#This Row],[_LeafProgress]]</f>
        <v>0</v>
      </c>
      <c r="EB46" s="43" t="str">
        <f aca="false">IF(Tasks[[#This Row],[_Res3Text]]="","",IF(Tasks[[#This Row],[_Res3Row]]&gt;0,INDEX(res_Name,Tasks[[#This Row],[_Res3Row]]),TRIM(LEFT(Tasks[[#This Row],[_Res3Text]],FIND("[",Tasks[[#This Row],[_Res3Text]]&amp;"[")-1))))</f>
        <v/>
      </c>
      <c r="EC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6" s="43" t="n">
        <f aca="false">IF(OR(NOT(Tasks[[#This Row],[_IsLeaf]]=1),Tasks[[#This Row],[_Res3Row]]=0),0,N(Tasks[[#This Row],[_Days]])*HoursPerDay*IF(Tasks[[#This Row],[_Res3Units]]="",DefaultUnits,Tasks[[#This Row],[_Res3Units]]))</f>
        <v>0</v>
      </c>
      <c r="EE46" s="43" t="n">
        <f aca="false">IF(AND(AND(Tasks[[#This Row],[_IsLeaf]]=1,Tasks[[#This Row],[_LeafTotalWork]]&gt;0),Tasks[[#This Row],[_Res3Work]]&gt;0),Tasks[[#This Row],[_Res3Work]]/(Tasks[[#This Row],[_FinishWorkday]]-Tasks[[#This Row],[_StartWorkday]]+1),0)</f>
        <v>0</v>
      </c>
      <c r="EF46" s="43" t="n">
        <f aca="false">Tasks[[#This Row],[_Res3WorkPerWD]]*MAX(0,Tasks[[#This Row],[_StartWorkday]]-1)</f>
        <v>0</v>
      </c>
      <c r="EG46" s="43" t="n">
        <f aca="false">Tasks[[#This Row],[_Res3Work]]*Tasks[[#This Row],[_LeafProgress]]</f>
        <v>0</v>
      </c>
      <c r="EH46" s="43" t="str">
        <f aca="false">IF(Tasks[[#This Row],[_Res4Text]]="","",IF(Tasks[[#This Row],[_Res4Row]]&gt;0,INDEX(res_Name,Tasks[[#This Row],[_Res4Row]]),TRIM(LEFT(Tasks[[#This Row],[_Res4Text]],FIND("[",Tasks[[#This Row],[_Res4Text]]&amp;"[")-1))))</f>
        <v/>
      </c>
      <c r="EI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6" s="43" t="n">
        <f aca="false">IF(OR(NOT(Tasks[[#This Row],[_IsLeaf]]=1),Tasks[[#This Row],[_Res4Row]]=0),0,N(Tasks[[#This Row],[_Days]])*HoursPerDay*IF(Tasks[[#This Row],[_Res4Units]]="",DefaultUnits,Tasks[[#This Row],[_Res4Units]]))</f>
        <v>0</v>
      </c>
      <c r="EK46" s="43" t="n">
        <f aca="false">IF(AND(AND(Tasks[[#This Row],[_IsLeaf]]=1,Tasks[[#This Row],[_LeafTotalWork]]&gt;0),Tasks[[#This Row],[_Res4Work]]&gt;0),Tasks[[#This Row],[_Res4Work]]/(Tasks[[#This Row],[_FinishWorkday]]-Tasks[[#This Row],[_StartWorkday]]+1),0)</f>
        <v>0</v>
      </c>
      <c r="EL46" s="43" t="n">
        <f aca="false">Tasks[[#This Row],[_Res4WorkPerWD]]*MAX(0,Tasks[[#This Row],[_StartWorkday]]-1)</f>
        <v>0</v>
      </c>
      <c r="EM46" s="43" t="n">
        <f aca="false">Tasks[[#This Row],[_Res4Work]]*Tasks[[#This Row],[_LeafProgress]]</f>
        <v>0</v>
      </c>
      <c r="EN46" s="43" t="n">
        <f aca="false">IF(ISNUMBER(Tasks[[#This Row],[% Complete]]),Tasks[[#This Row],[% Complete]],IF(Tasks[[#This Row],[Stage]]="",0,IFERROR(INDEX(stg_Pct,MATCH(Tasks[[#This Row],[Stage]],stg_Name,0)),0)))</f>
        <v>0</v>
      </c>
      <c r="EO46" s="43" t="n">
        <f aca="false">IF(NOT(Tasks[[#This Row],[_IsLeaf]]=1),0,IF(N(Tasks[[#This Row],[Actual Finish]])&gt;0,1,MIN(1,Tasks[[#This Row],[_Pct]])))</f>
        <v>0</v>
      </c>
      <c r="EP46" s="43" t="n">
        <f aca="false">IF(OR(NOT(Tasks[[#This Row],[_IsLeaf]]=1),Tasks[[#This Row],[_Res1Row]]=0),0,N(Tasks[[#This Row],[_Days]])*HoursPerDay*IF(Tasks[[#This Row],[_Units1]]="",DefaultUnits,Tasks[[#This Row],[_Units1]]))</f>
        <v>0</v>
      </c>
      <c r="EQ46" s="43" t="n">
        <f aca="false">Tasks[[#This Row],[_LeafWork]]+Tasks[[#This Row],[_Res2Work]]+Tasks[[#This Row],[_Res3Work]]+Tasks[[#This Row],[_Res4Work]]</f>
        <v>0</v>
      </c>
      <c r="ER4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6" s="43" t="n">
        <f aca="false">IF(NOT(Tasks[[#This Row],[_IsLeaf]]=1),0,MAX(_xlfn.MAXIFS(Tasks[_Row],Tasks[_Pred1UID],Tasks[[#This Row],[UID]]),_xlfn.MAXIFS(Tasks[_Row],Tasks[_Pred2UID],Tasks[[#This Row],[UID]]),_xlfn.MAXIFS(Tasks[_Row],Tasks[_Pred3UID],Tasks[[#This Row],[UID]]),_xlfn.MAXIFS(Tasks[_Row],Tasks[_Pred4UID],Tasks[[#This Row],[UID]])))</f>
        <v>0</v>
      </c>
      <c r="FA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6" s="91" t="str">
        <f aca="false">IF(NOT(Tasks[[#This Row],[_IsLeaf]]=1),"",IF(N(Tasks[[#This Row],[_Days]])&lt;=0,Tasks[[#This Row],[_LeafLateFinish]],WORKDAY.INTL(Tasks[[#This Row],[_LeafLateFinish]],-(Tasks[[#This Row],[_Days]]-1),WorkWeek,Holidays)))</f>
        <v/>
      </c>
      <c r="FD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6" s="90" t="b">
        <f aca="false">AND(Tasks[[#This Row],[_IsLeaf]]=1,Tasks[[#This Row],[_LeafProgress]]&lt;1,N(Tasks[[#This Row],[_LeafTotalSlack]])&lt;=CriticalSlackDays)</f>
        <v>0</v>
      </c>
      <c r="FF46" s="43" t="n">
        <f aca="false">IF(AND(Tasks[[#This Row],[_IsLeaf]]=1,Tasks[[#This Row],[_ConstraintCode]]=1,Tasks[[#This Row],[Mode]]&lt;&gt;"Manual",N(Tasks[[#This Row],[Actual Start]])=0),MAX(0,N(Tasks[[#This Row],[Free Slack]])),0)</f>
        <v>0</v>
      </c>
      <c r="FG46" s="91" t="str">
        <f aca="false">IF(NOT(Tasks[[#This Row],[_IsLeaf]]=1),"",IF(Tasks[[#This Row],[_AlapShift]]=0,Tasks[[#This Row],[_LeafCalcStart]],WORKDAY.INTL(Tasks[[#This Row],[_LeafCalcStart]],Tasks[[#This Row],[_AlapShift]],WorkWeek,Holidays)))</f>
        <v/>
      </c>
      <c r="FH46" s="91" t="str">
        <f aca="false">IF(NOT(Tasks[[#This Row],[_IsLeaf]]=1),"",IF(Tasks[[#This Row],[_AlapShift]]=0,Tasks[[#This Row],[_LeafCalcFinish]],WORKDAY.INTL(Tasks[[#This Row],[_LeafCalcFinish]],Tasks[[#This Row],[_AlapShift]],WorkWeek,Holidays)))</f>
        <v/>
      </c>
      <c r="FI46" s="91" t="str">
        <f aca="false">IF(NOT(Tasks[[#This Row],[_IsLeaf]]=1),"",IF(Tasks[[#This Row],[_AlapShift]]=0,Tasks[[#This Row],[_LeafFcstStart]],WORKDAY.INTL(Tasks[[#This Row],[_LeafFcstStart]],Tasks[[#This Row],[_AlapShift]],WorkWeek,Holidays)))</f>
        <v/>
      </c>
      <c r="FJ46" s="91" t="str">
        <f aca="false">IF(NOT(Tasks[[#This Row],[_IsLeaf]]=1),"",IF(Tasks[[#This Row],[_AlapShift]]=0,Tasks[[#This Row],[_LeafFcstFinish]],WORKDAY.INTL(Tasks[[#This Row],[_LeafFcstFinish]],Tasks[[#This Row],[_AlapShift]],WorkWeek,Holidays)))</f>
        <v/>
      </c>
      <c r="FK46" s="91" t="str">
        <f aca="false">IF(Tasks[[#This Row],[Task Name]]="","",IF(Tasks[[#This Row],[_IsSummary]],MIN(INDEX(Tasks[_ShownCalcStart],Tasks[[#This Row],[_Row]]+1):INDEX(Tasks[_ShownCalcStart],Tasks[[#This Row],[_Row]]+Tasks[[#This Row],[_Descendants]])),Tasks[[#This Row],[_ShownCalcStart]]))</f>
        <v/>
      </c>
      <c r="FL46" s="91" t="str">
        <f aca="false">IF(Tasks[[#This Row],[Task Name]]="","",IF(Tasks[[#This Row],[_IsSummary]],MAX(INDEX(Tasks[_ShownCalcFinish],Tasks[[#This Row],[_Row]]+1):INDEX(Tasks[_ShownCalcFinish],Tasks[[#This Row],[_Row]]+Tasks[[#This Row],[_Descendants]])),Tasks[[#This Row],[_ShownCalcFinish]]))</f>
        <v/>
      </c>
      <c r="FM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6" s="43" t="n">
        <f aca="false">IF(AND(Tasks[[#This Row],[_IsLeaf]]=1,Tasks[[#This Row],[_LeafTotalWork]]&gt;0),NETWORKDAYS.INTL(ProjectStart,Tasks[[#This Row],[_ShownFcstStart]],WorkWeek,Holidays),0)</f>
        <v>0</v>
      </c>
      <c r="FZ46" s="43" t="n">
        <f aca="false">IF(AND(Tasks[[#This Row],[_IsLeaf]]=1,Tasks[[#This Row],[_LeafTotalWork]]&gt;0),MAX(Tasks[[#This Row],[_StartWorkday]],NETWORKDAYS.INTL(ProjectStart,Tasks[[#This Row],[_ShownFcstFinish]],WorkWeek,Holidays)),0)</f>
        <v>0</v>
      </c>
      <c r="GA46" s="43" t="n">
        <f aca="false">IF(AND(Tasks[[#This Row],[_IsLeaf]]=1,Tasks[[#This Row],[_LeafTotalWork]]&gt;0),Tasks[[#This Row],[_LeafWork]]/(Tasks[[#This Row],[_FinishWorkday]]-Tasks[[#This Row],[_StartWorkday]]+1),0)</f>
        <v>0</v>
      </c>
      <c r="GB46" s="43" t="n">
        <f aca="false">Tasks[[#This Row],[_WorkPerWorkday]]*(Tasks[[#This Row],[_StartWorkday]]-1)</f>
        <v>-0</v>
      </c>
      <c r="GC46" s="43" t="n">
        <f aca="false">IF(Tasks[[#This Row],[_IsLeaf]]=1,MAX(N(Tasks[[#This Row],[_Days]]),0.1),0)</f>
        <v>0</v>
      </c>
      <c r="GD46" s="43" t="n">
        <f aca="false">Tasks[[#This Row],[_WeightDur]]*Tasks[[#This Row],[_LeafProgress]]</f>
        <v>0</v>
      </c>
      <c r="GE46" s="43" t="n">
        <f aca="false">Tasks[[#This Row],[_WeightDur]]*Tasks[[#This Row],[_PlannedPct]]</f>
        <v>0</v>
      </c>
      <c r="GF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6" s="43" t="str">
        <f aca="false">IF(AND(Tasks[[#This Row],[_IsLeaf]]=1,N(Tasks[[#This Row],[_Days]])=0,Tasks[[#This Row],[_LeafProgress]]&lt;1),Tasks[[#This Row],[_ShownFcstFinish]]+Tasks[[#This Row],[_Row]]/100000,"")</f>
        <v/>
      </c>
      <c r="GH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6" s="43" t="str">
        <f aca="false">IF(Tasks[[#This Row],[Task Name]]="","",LEFT(Tasks[[#This Row],[WBS]],FIND(".",Tasks[[#This Row],[WBS]]&amp;".")-1))</f>
        <v/>
      </c>
      <c r="GJ46" s="43" t="str">
        <f aca="false">IF(AND(Tasks[[#This Row],[Task Name]]&lt;&gt;"",Tasks[[#This Row],[_Level]]=1),Tasks[[#This Row],[_Row]],"")</f>
        <v/>
      </c>
      <c r="GK46" s="43" t="str">
        <f aca="false">IF(AND(Tasks[[#This Row],[_IsLeaf]]=1,N(Tasks[[#This Row],[_Days]])=0),Tasks[[#This Row],[Planned Finish]]+Tasks[[#This Row],[_Row]]/100000,"")</f>
        <v/>
      </c>
      <c r="GL46" s="43" t="str">
        <f aca="false">IF(AND(Tasks[[#This Row],[_IsLeaf]]=1,Tasks[[#This Row],[_LeafProgress]]&lt;1,OR(N(Tasks[[#This Row],[Finish Var]])&gt;0,Tasks[[#This Row],[Status]]="Late Start")),MAX(0,Tasks[[#This Row],[Finish Var]])+1-Tasks[[#This Row],[_Row]]/1000000,"")</f>
        <v/>
      </c>
      <c r="GM46" s="43" t="str">
        <f aca="false">IF(AND(Tasks[[#This Row],[_IsLeaf]]=1,N(Tasks[[#This Row],[Actual Start]])=0,Tasks[[#This Row],[_ShownFcstStart]]&gt;=StatusDate,Tasks[[#This Row],[_ShownFcstStart]]&lt;=LookaheadEnd),Tasks[[#This Row],[_ShownFcstStart]]+Tasks[[#This Row],[_Row]]/100000,"")</f>
        <v/>
      </c>
      <c r="GN46" s="43" t="str">
        <f aca="false">IF(AND(Tasks[[#This Row],[_IsLeaf]]=1,Tasks[[#This Row],[_LeafProgress]]&lt;1,Tasks[[#This Row],[_ShownFcstFinish]]&gt;=StatusDate,Tasks[[#This Row],[_ShownFcstFinish]]&lt;=LookaheadEnd),Tasks[[#This Row],[_ShownFcstFinish]]+Tasks[[#This Row],[_Row]]/100000,"")</f>
        <v/>
      </c>
      <c r="GO46" s="43" t="str">
        <f aca="false">IF(Tasks[[#This Row],[_LeafCritical]],Tasks[[#This Row],[_ShownFcstStart]]+Tasks[[#This Row],[_Row]]/100000,"")</f>
        <v/>
      </c>
      <c r="GP46" s="43" t="n">
        <f aca="false">Tasks[[#This Row],[_LeafWork]]*Tasks[[#This Row],[_LeafProgress]]</f>
        <v>0</v>
      </c>
      <c r="GQ46" s="91" t="str">
        <f aca="false">IF(AND(Tasks[[#This Row],[_IsLeaf]]=1,Tasks[[#This Row],[_LeafProgress]]&gt;=1),IF(N(Tasks[[#This Row],[Actual Finish]])&gt;0,Tasks[[#This Row],[Actual Finish]],Tasks[[#This Row],[_ShownFcstFinish]]),"")</f>
        <v/>
      </c>
      <c r="GR46" s="43" t="n">
        <f aca="false">IF(Tasks[[#This Row],[_IsLeaf]]=1,N(Tasks[[#This Row],[Story Points]]),0)</f>
        <v>0</v>
      </c>
      <c r="GS46" s="43" t="str">
        <f aca="false">""</f>
        <v/>
      </c>
      <c r="GT46" s="90" t="b">
        <f aca="false">IF(Tasks[[#This Row],[Task Name]]="",FALSE(),AND(Tasks[[#This Row],[_IsLeaf]]=1,N(Tasks[[#This Row],[_Days]])=0))</f>
        <v>0</v>
      </c>
      <c r="GU46" s="91" t="n">
        <f aca="false">IF(Tasks[[#This Row],[Task Name]]="",0,IF(AND(Tasks[[#This Row],[_IsLeaf]]=1,NOT(Tasks[[#This Row],[_IsMilestone]]),N(Tasks[[#This Row],[Progress]])&gt;0),Tasks[[#This Row],[Start]],0))</f>
        <v>0</v>
      </c>
      <c r="GV46" s="91" t="n">
        <f aca="false">IF(Tasks[[#This Row],[_DoneFrom]]=0,0,IF(Tasks[[#This Row],[Progress]]&gt;=1,Tasks[[#This Row],[Finish]],MAX(Tasks[[#This Row],[_DoneFrom]],Tasks[[#This Row],[Start]]+ROUND((Tasks[[#This Row],[Finish]]-Tasks[[#This Row],[Start]]+1)*Tasks[[#This Row],[Progress]],0)-1)))</f>
        <v>0</v>
      </c>
      <c r="GW46" s="91" t="n">
        <f aca="false">IF(Tasks[[#This Row],[Task Name]]="",0,IF(OR(NOT(Tasks[[#This Row],[_IsLeaf]]=1),Tasks[[#This Row],[_IsMilestone]],N(Tasks[[#This Row],[Progress]])&gt;=1),0,IF(Tasks[[#This Row],[_DoneTo]]&gt;0,Tasks[[#This Row],[_DoneTo]]+1,Tasks[[#This Row],[Start]])))</f>
        <v>0</v>
      </c>
      <c r="GX46" s="91" t="n">
        <f aca="false">IF(Tasks[[#This Row],[_RemFrom]]=0,0,Tasks[[#This Row],[Finish]])</f>
        <v>0</v>
      </c>
      <c r="GY46" s="90" t="b">
        <f aca="false">IF(Tasks[[#This Row],[Task Name]]="",FALSE(),OR(NOT(BaselineSet),N(Tasks[[#This Row],[Baseline Start]])&gt;0))</f>
        <v>0</v>
      </c>
      <c r="GZ4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6" s="92" t="str">
        <f aca="false">IF(Tasks[[#This Row],[_IsLeaf]]=1,Tasks[[#This Row],[_Row]],"")</f>
        <v/>
      </c>
      <c r="HD46" s="92" t="str">
        <f aca="false">IFERROR(INDEX(Tasks[UID],SMALL(Tasks[_PickKey],Tasks[[#This Row],[_Row]]))&amp;" "&amp;INDEX(Tasks[Task Name],SMALL(Tasks[_PickKey],Tasks[[#This Row],[_Row]])),"")</f>
        <v/>
      </c>
      <c r="HE46" s="43" t="str">
        <f aca="false">IF(Tasks[[#This Row],[Task Name]]="","",IF(Tasks[[#This Row],[_IsSummary]],NETWORKDAYS.INTL(Tasks[[#This Row],[Start]],Tasks[[#This Row],[Finish]],WorkWeek,Holidays),N(Tasks[[#This Row],[_Days]])))</f>
        <v/>
      </c>
      <c r="HF46" s="43" t="n">
        <f aca="false">IF(Tasks[[#This Row],[Expected]]="",0,((Tasks[[#This Row],[Pessimistic]]-Tasks[[#This Row],[Optimistic]])/6)^2)</f>
        <v>0</v>
      </c>
      <c r="HG46" s="43" t="n">
        <f aca="false">IF(Tasks[[#This Row],[Expected]]="",0,Tasks[[#This Row],[Expected]]-N(Tasks[[#This Row],[_Days]]))</f>
        <v>0</v>
      </c>
    </row>
    <row r="47" customFormat="false" ht="15" hidden="false" customHeight="false" outlineLevel="0" collapsed="false">
      <c r="A47" s="21" t="str">
        <f aca="false">IF(Tasks[[#This Row],[Task Name]]="","",COUNTA(Tasks[[#Headers],[Task Name]]:Tasks[[#This Row],[Task Name]])-1)</f>
        <v/>
      </c>
      <c r="B47" s="22" t="n">
        <v>55</v>
      </c>
      <c r="C47" s="22"/>
      <c r="D47" s="23"/>
      <c r="E47" s="22"/>
      <c r="F47" s="23"/>
      <c r="G47" s="22"/>
      <c r="H47" s="22"/>
      <c r="I47" s="23"/>
      <c r="J47" s="22"/>
      <c r="K47" s="22"/>
      <c r="L47" s="23"/>
      <c r="M47" s="22"/>
      <c r="N47" s="22"/>
      <c r="O47" s="23"/>
      <c r="P47" s="22"/>
      <c r="Q47" s="22"/>
      <c r="R47" s="23"/>
      <c r="S47" s="23"/>
      <c r="T47" s="84"/>
      <c r="U47" s="23"/>
      <c r="V47" s="84"/>
      <c r="W47" s="23"/>
      <c r="X47" s="84"/>
      <c r="Y47" s="23"/>
      <c r="Z47" s="84"/>
      <c r="AA47" s="23"/>
      <c r="AB47" s="23"/>
      <c r="AC47" s="7"/>
      <c r="AD47" s="7"/>
      <c r="AE47" s="63" t="str">
        <f aca="false">IF(Tasks[[#This Row],[Task Name]]="","",IF(Tasks[[#This Row],[_IsSummary]],MIN(INDEX(Tasks[_ShownFcstStart],Tasks[[#This Row],[_Row]]+1):INDEX(Tasks[_ShownFcstStart],Tasks[[#This Row],[_Row]]+Tasks[[#This Row],[_Descendants]])),Tasks[[#This Row],[_ShownFcstStart]]))</f>
        <v/>
      </c>
      <c r="AF47" s="63" t="str">
        <f aca="false">IF(Tasks[[#This Row],[Task Name]]="","",IF(Tasks[[#This Row],[_IsSummary]],MAX(INDEX(Tasks[_ShownFcstFinish],Tasks[[#This Row],[_Row]]+1):INDEX(Tasks[_ShownFcstFinish],Tasks[[#This Row],[_Row]]+Tasks[[#This Row],[_Descendants]])),Tasks[[#This Row],[_ShownFcstFinish]]))</f>
        <v/>
      </c>
      <c r="AG47" s="21" t="str">
        <f aca="false">""</f>
        <v/>
      </c>
      <c r="AH47" s="23"/>
      <c r="AI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7" s="7"/>
      <c r="AK47" s="22"/>
      <c r="AL47" s="23"/>
      <c r="AM47" s="7"/>
      <c r="AN47" s="47" t="str">
        <f aca="false">IF(Tasks[[#This Row],[Task Name]]="","",IF(Tasks[[#This Row],[Finish]]&gt;=Tasks[[#This Row],[Planned Finish]],NETWORKDAYS.INTL(Tasks[[#This Row],[Planned Finish]],Tasks[[#This Row],[Finish]],WorkWeek,Holidays)-1,1-NETWORKDAYS.INTL(Tasks[[#This Row],[Finish]],Tasks[[#This Row],[Planned Finish]],WorkWeek,Holidays)))</f>
        <v/>
      </c>
      <c r="AO47" s="21" t="str">
        <f aca="false">IF(Tasks[[#This Row],[Task Name]]="","",IF(Tasks[[#This Row],[Progress]]&gt;=1,"Complete",IF(OR(N(Tasks[[#This Row],[Actual Start]])&gt;0,Tasks[[#This Row],[Progress]]&gt;0),IF(Tasks[[#This Row],[Finish Var]]&gt;0,"Behind","In Progress"),IF(Tasks[[#This Row],[Planned Start]]&lt;StatusDate,"Late Start","Not Started"))))</f>
        <v/>
      </c>
      <c r="AP47" s="21" t="str">
        <f aca="false">IF(Tasks[[#This Row],[Task Name]]="","",IF(IF(Tasks[[#This Row],[_IsSummary]],COUNTIF(INDEX(Tasks[_LeafCritical],Tasks[[#This Row],[_Row]]+1):INDEX(Tasks[_LeafCritical],Tasks[[#This Row],[_Row]]+Tasks[[#This Row],[_Descendants]]),TRUE())&gt;0,Tasks[[#This Row],[_LeafCritical]]),"Yes",""))</f>
        <v/>
      </c>
      <c r="AQ47" s="63" t="str">
        <f aca="false">IF(Tasks[[#This Row],[Task Name]]="","",IF(N(Tasks[[#This Row],[Baseline Start]])&gt;0,Tasks[[#This Row],[Baseline Start]],Tasks[[#This Row],[_CalcStart]]))</f>
        <v/>
      </c>
      <c r="AR47" s="63" t="str">
        <f aca="false">IF(Tasks[[#This Row],[Task Name]]="","",IF(N(Tasks[[#This Row],[Baseline Finish]])&gt;0,Tasks[[#This Row],[Baseline Finish]],Tasks[[#This Row],[_CalcFinish]]))</f>
        <v/>
      </c>
      <c r="AS47" s="47" t="str">
        <f aca="false">IF(Tasks[[#This Row],[Task Name]]="","",IF(Tasks[[#This Row],[Start]]&gt;=Tasks[[#This Row],[Planned Start]],NETWORKDAYS.INTL(Tasks[[#This Row],[Planned Start]],Tasks[[#This Row],[Start]],WorkWeek,Holidays)-1,1-NETWORKDAYS.INTL(Tasks[[#This Row],[Start]],Tasks[[#This Row],[Planned Start]],WorkWeek,Holidays)))</f>
        <v/>
      </c>
      <c r="AT47" s="63" t="str">
        <f aca="false">IF(Tasks[[#This Row],[Task Name]]="","",IF(Tasks[[#This Row],[_IsSummary]],MIN(INDEX(Tasks[_LeafLateStart],Tasks[[#This Row],[_Row]]+1):INDEX(Tasks[_LeafLateStart],Tasks[[#This Row],[_Row]]+Tasks[[#This Row],[_Descendants]])),Tasks[[#This Row],[_LeafLateStart]]))</f>
        <v/>
      </c>
      <c r="AU47" s="63" t="str">
        <f aca="false">IF(Tasks[[#This Row],[Task Name]]="","",IF(Tasks[[#This Row],[_IsSummary]],MAX(INDEX(Tasks[_LeafLateFinish],Tasks[[#This Row],[_Row]]+1):INDEX(Tasks[_LeafLateFinish],Tasks[[#This Row],[_Row]]+Tasks[[#This Row],[_Descendants]])),Tasks[[#This Row],[_LeafLateFinish]]))</f>
        <v/>
      </c>
      <c r="AV47" s="47" t="str">
        <f aca="false">IF(Tasks[[#This Row],[Task Name]]="","",IF(Tasks[[#This Row],[_IsSummary]],MIN(INDEX(Tasks[_LeafTotalSlack],Tasks[[#This Row],[_Row]]+1):INDEX(Tasks[_LeafTotalSlack],Tasks[[#This Row],[_Row]]+Tasks[[#This Row],[_Descendants]])),Tasks[[#This Row],[_LeafTotalSlack]]))</f>
        <v/>
      </c>
      <c r="AW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5"/>
      <c r="BA4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t="str">
        <f aca="false">IF(Tasks[[#This Row],[Task Name]]="","",IF(Tasks[[#This Row],[_Level]]&lt;=OutlineShowLevel,"Yes","No"))</f>
        <v/>
      </c>
      <c r="BE47" s="86" t="str">
        <f aca="false">IF(Tasks[[#This Row],[Task Name]]="","",IF(Tasks[[#This Row],[_IsSummary]],SUM(INDEX(Tasks[_LeafTotalWork],Tasks[[#This Row],[_Row]]+1):INDEX(Tasks[_LeafTotalWork],Tasks[[#This Row],[_Row]]+Tasks[[#This Row],[_Descendants]])),Tasks[[#This Row],[_LeafTotalWork]]))</f>
        <v/>
      </c>
      <c r="BF47" s="23"/>
      <c r="BG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t="str">
        <f aca="false">""</f>
        <v/>
      </c>
      <c r="BI47" s="87"/>
      <c r="BJ47" s="22"/>
      <c r="BK47" s="47" t="str">
        <f aca="false">IF(OR(Tasks[[#This Row],[Task Name]]="",Tasks[[#This Row],[Baseline Duration]]=""),"",Tasks[[#This Row],[_SpanDays]]-N(Tasks[[#This Row],[Baseline Duration]]))</f>
        <v/>
      </c>
      <c r="BL47" s="86" t="str">
        <f aca="false">IF(OR(Tasks[[#This Row],[Task Name]]="",Tasks[[#This Row],[Baseline Work]]=""),"",Tasks[[#This Row],[Work]]-N(Tasks[[#This Row],[Baseline Work]]))</f>
        <v/>
      </c>
      <c r="BM47" s="63" t="str">
        <f aca="false">IF(Tasks[[#This Row],[Task Name]]="","",IF(OR(TakeBaseline="Yes",N(Tasks[[#This Row],[Baseline Start]])=0),Tasks[[#This Row],[Start]],Tasks[[#This Row],[Baseline Start]]))</f>
        <v/>
      </c>
      <c r="BN47" s="63" t="str">
        <f aca="false">IF(Tasks[[#This Row],[Task Name]]="","",IF(OR(TakeBaseline="Yes",N(Tasks[[#This Row],[Baseline Finish]])=0),Tasks[[#This Row],[Finish]],Tasks[[#This Row],[Baseline Finish]]))</f>
        <v/>
      </c>
      <c r="BO47" s="21" t="str">
        <f aca="false">IF(Tasks[[#This Row],[Task Name]]="","",IF(OR(TakeBaseline="Yes",N(Tasks[[#This Row],[Baseline Duration]])=0),Tasks[[#This Row],[_SpanDays]],Tasks[[#This Row],[Baseline Duration]]))</f>
        <v/>
      </c>
      <c r="BP47" s="86" t="str">
        <f aca="false">IF(Tasks[[#This Row],[Task Name]]="","",IF(OR(TakeBaseline="Yes",N(Tasks[[#This Row],[Baseline Work]])=0),Tasks[[#This Row],[Work]],Tasks[[#This Row],[Baseline Work]]))</f>
        <v/>
      </c>
      <c r="BQ47" s="7"/>
      <c r="BR47" s="7"/>
      <c r="BS47" s="22"/>
      <c r="BT47" s="88"/>
      <c r="BU47" s="23"/>
      <c r="BV47" s="23"/>
      <c r="BW47" s="23"/>
      <c r="BX47" s="89" t="str">
        <f aca="false">IF(AND(Tasks[[#This Row],[_IsLeaf]]=1,ISNUMBER(Tasks[[#This Row],[Optimistic]]),ISNUMBER(Tasks[[#This Row],[Pessimistic]])),ROUND((Tasks[[#This Row],[Optimistic]]+4*N(Tasks[[#This Row],[_Days]])+Tasks[[#This Row],[Pessimistic]])/6,1),"")</f>
        <v/>
      </c>
      <c r="BY47" s="87"/>
      <c r="BZ47" s="87"/>
      <c r="CA47" s="22"/>
      <c r="CB47" s="43" t="str">
        <f aca="false">IF(Tasks[[#This Row],[Task Name]]="","",MAX(1,N(Tasks[[#This Row],[Level]])))</f>
        <v/>
      </c>
      <c r="CC47" s="43" t="n">
        <f aca="false">ROW()-ROW(Tasks[[#Headers],[ID]])</f>
        <v>42</v>
      </c>
      <c r="CD47" s="43" t="n">
        <f aca="false">IF(OR(Tasks[[#This Row],[Task Name]]="",Tasks[[#This Row],[_Level]]&lt;=1),0,IFERROR(LOOKUP(2,1/(Tasks[[#Headers],[_Level]]:Tasks[[#This Row],[_Level]]=Tasks[[#This Row],[_Level]]-1),ROW(Tasks[[#Headers],[_Level]]:Tasks[[#This Row],[_Level]])),0))</f>
        <v>0</v>
      </c>
      <c r="CE47" s="43" t="n">
        <f aca="false">IFERROR(N(INDEX(Tasks[_Level],Tasks[[#This Row],[_Row]]+1)),0)</f>
        <v>0</v>
      </c>
      <c r="CF47" s="90" t="b">
        <f aca="false">AND(Tasks[[#This Row],[Task Name]]&lt;&gt;"",Tasks[[#This Row],[_NextLevel]]&gt;Tasks[[#This Row],[_Level]])</f>
        <v>0</v>
      </c>
      <c r="CG47" s="43" t="n">
        <f aca="false">IF(Tasks[[#This Row],[_IsSummary]],COUNTIF(Tasks[WBS],Tasks[[#This Row],[WBS]]&amp;".*"),0)</f>
        <v>0</v>
      </c>
      <c r="CH47" s="43" t="n">
        <f aca="false">IF(AND(Tasks[[#This Row],[Task Name]]&lt;&gt;"",NOT(Tasks[[#This Row],[_IsSummary]])),1,0)</f>
        <v>0</v>
      </c>
      <c r="CI47" s="43" t="n">
        <f aca="false">IF(N(Tasks[[#This Row],[_Pred1UID]])=0,0,IFERROR(MATCH(Tasks[[#This Row],[_Pred1UID]],Tasks[UID],0),-1))</f>
        <v>0</v>
      </c>
      <c r="CJ47" s="43" t="n">
        <f aca="false">IF(N(Tasks[[#This Row],[_Pred2UID]])=0,0,IFERROR(MATCH(Tasks[[#This Row],[_Pred2UID]],Tasks[UID],0),-1))</f>
        <v>0</v>
      </c>
      <c r="CK47" s="43" t="n">
        <f aca="false">IF(N(Tasks[[#This Row],[_Pred3UID]])=0,0,IFERROR(MATCH(Tasks[[#This Row],[_Pred3UID]],Tasks[UID],0),-1))</f>
        <v>0</v>
      </c>
      <c r="CL47" s="43" t="n">
        <f aca="false">IF(N(Tasks[[#This Row],[_Pred4UID]])=0,0,IFERROR(MATCH(Tasks[[#This Row],[_Pred4UID]],Tasks[UID],0),-1))</f>
        <v>0</v>
      </c>
      <c r="CM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7" s="91" t="n">
        <f aca="false">IF(OR(Tasks[[#This Row],[_ConstraintCode]]=2,Tasks[[#This Row],[_ConstraintCode]]=3,Tasks[[#This Row],[_ConstraintCode]]=4,Tasks[[#This Row],[_ConstraintCode]]=6),Tasks[[#This Row],[_ConstraintStart]],0)</f>
        <v>0</v>
      </c>
      <c r="CP47" s="91" t="n">
        <f aca="false">IF(OR(Tasks[[#This Row],[_ConstraintCode]]=2,Tasks[[#This Row],[_ConstraintCode]]=3,Tasks[[#This Row],[_ConstraintCode]]=5,Tasks[[#This Row],[_ConstraintCode]]=7),Tasks[[#This Row],[_ConstraintStart]],2958465)</f>
        <v>2958465</v>
      </c>
      <c r="CQ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7" s="91" t="str">
        <f aca="false">IF(NOT(Tasks[[#This Row],[_IsLeaf]]=1),"",IF(N(Tasks[[#This Row],[_Days]])&lt;=0,Tasks[[#This Row],[_LeafCalcStart]],WORKDAY.INTL(Tasks[[#This Row],[_LeafCalcStart]],Tasks[[#This Row],[_Days]]-1,WorkWeek,Holidays)))</f>
        <v/>
      </c>
      <c r="CS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7" s="43" t="str">
        <f aca="false">IF(Tasks[[#This Row],[_Predecessors]]="","",TRIM(MID(SUBSTITUTE(SUBSTITUTE(SUBSTITUTE(UPPER(Tasks[[#This Row],[_Predecessors]]),";",",")," ",""),",",REPT(" ",99)),1,99)))</f>
        <v/>
      </c>
      <c r="CV47" s="43" t="str">
        <f aca="false">IF(Tasks[[#This Row],[_Pred1Text]]="","",IFERROR(VALUE(LEFT(Tasks[[#This Row],[_Pred1Text]],MIN(FIND("F",Tasks[[#This Row],[_Pred1Text]]&amp;"F"),FIND("S",Tasks[[#This Row],[_Pred1Text]]&amp;"S"),FIND("+",Tasks[[#This Row],[_Pred1Text]]&amp;"+"),FIND("-",Tasks[[#This Row],[_Pred1Text]]&amp;"-"))-1)),""))</f>
        <v/>
      </c>
      <c r="CW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7" s="43" t="str">
        <f aca="false">IF(Tasks[[#This Row],[_Pred1Text]]="","",TRIM(MID(SUBSTITUTE(SUBSTITUTE(SUBSTITUTE(UPPER(Tasks[[#This Row],[_Predecessors]]),";",",")," ",""),",",REPT(" ",99)),100,99)))</f>
        <v/>
      </c>
      <c r="CZ47" s="43" t="str">
        <f aca="false">IF(Tasks[[#This Row],[_Pred2Text]]="","",IFERROR(VALUE(LEFT(Tasks[[#This Row],[_Pred2Text]],MIN(FIND("F",Tasks[[#This Row],[_Pred2Text]]&amp;"F"),FIND("S",Tasks[[#This Row],[_Pred2Text]]&amp;"S"),FIND("+",Tasks[[#This Row],[_Pred2Text]]&amp;"+"),FIND("-",Tasks[[#This Row],[_Pred2Text]]&amp;"-"))-1)),""))</f>
        <v/>
      </c>
      <c r="DA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7" s="43" t="str">
        <f aca="false">IF(Tasks[[#This Row],[_Pred2Text]]="","",TRIM(MID(SUBSTITUTE(SUBSTITUTE(SUBSTITUTE(UPPER(Tasks[[#This Row],[_Predecessors]]),";",",")," ",""),",",REPT(" ",99)),199,99)))</f>
        <v/>
      </c>
      <c r="DD47" s="43" t="str">
        <f aca="false">IF(Tasks[[#This Row],[_Pred3Text]]="","",IFERROR(VALUE(LEFT(Tasks[[#This Row],[_Pred3Text]],MIN(FIND("F",Tasks[[#This Row],[_Pred3Text]]&amp;"F"),FIND("S",Tasks[[#This Row],[_Pred3Text]]&amp;"S"),FIND("+",Tasks[[#This Row],[_Pred3Text]]&amp;"+"),FIND("-",Tasks[[#This Row],[_Pred3Text]]&amp;"-"))-1)),""))</f>
        <v/>
      </c>
      <c r="DE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7" s="43" t="str">
        <f aca="false">IF(Tasks[[#This Row],[_Pred3Text]]="","",TRIM(MID(SUBSTITUTE(SUBSTITUTE(SUBSTITUTE(UPPER(Tasks[[#This Row],[_Predecessors]]),";",",")," ",""),",",REPT(" ",99)),298,99)))</f>
        <v/>
      </c>
      <c r="DH47" s="43" t="str">
        <f aca="false">IF(Tasks[[#This Row],[_Pred4Text]]="","",IFERROR(VALUE(LEFT(Tasks[[#This Row],[_Pred4Text]],MIN(FIND("F",Tasks[[#This Row],[_Pred4Text]]&amp;"F"),FIND("S",Tasks[[#This Row],[_Pred4Text]]&amp;"S"),FIND("+",Tasks[[#This Row],[_Pred4Text]]&amp;"+"),FIND("-",Tasks[[#This Row],[_Pred4Text]]&amp;"-"))-1)),""))</f>
        <v/>
      </c>
      <c r="DI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7" s="43" t="str">
        <f aca="false">IF(OR(Tasks[[#This Row],[Task Name]]="",Tasks[[#This Row],[_Resources]]=""),"",TRIM(MID(SUBSTITUTE(Tasks[[#This Row],[_Resources]],",",REPT(" ",99)),1,99)))</f>
        <v/>
      </c>
      <c r="DL47" s="43" t="str">
        <f aca="false">IF(Tasks[[#This Row],[_Res1Text]]="","",TRIM(MID(SUBSTITUTE(Tasks[[#This Row],[_Resources]],",",REPT(" ",99)),100,99)))</f>
        <v/>
      </c>
      <c r="DM47" s="43" t="str">
        <f aca="false">IF(Tasks[[#This Row],[_Res2Text]]="","",TRIM(MID(SUBSTITUTE(Tasks[[#This Row],[_Resources]],",",REPT(" ",99)),199,99)))</f>
        <v/>
      </c>
      <c r="DN47" s="43" t="str">
        <f aca="false">IF(Tasks[[#This Row],[_Res3Text]]="","",TRIM(MID(SUBSTITUTE(Tasks[[#This Row],[_Resources]],",",REPT(" ",99)),298,99)))</f>
        <v/>
      </c>
      <c r="DO47" s="43" t="n">
        <f aca="false">IF(Tasks[[#This Row],[_Res1Text]]="",0,IFERROR(MATCH(TRIM(LEFT(Tasks[[#This Row],[_Res1Text]],FIND("[",Tasks[[#This Row],[_Res1Text]]&amp;"[")-1)),res_Name,0),IFERROR(MATCH(TRIM(LEFT(Tasks[[#This Row],[_Res1Text]],FIND("[",Tasks[[#This Row],[_Res1Text]]&amp;"[")-1)),res_Initials,0),0)))</f>
        <v>0</v>
      </c>
      <c r="DP47" s="43" t="n">
        <f aca="false">IF(Tasks[[#This Row],[_Res2Text]]="",0,IFERROR(MATCH(TRIM(LEFT(Tasks[[#This Row],[_Res2Text]],FIND("[",Tasks[[#This Row],[_Res2Text]]&amp;"[")-1)),res_Name,0),IFERROR(MATCH(TRIM(LEFT(Tasks[[#This Row],[_Res2Text]],FIND("[",Tasks[[#This Row],[_Res2Text]]&amp;"[")-1)),res_Initials,0),0)))</f>
        <v>0</v>
      </c>
      <c r="DQ47" s="43" t="n">
        <f aca="false">IF(Tasks[[#This Row],[_Res3Text]]="",0,IFERROR(MATCH(TRIM(LEFT(Tasks[[#This Row],[_Res3Text]],FIND("[",Tasks[[#This Row],[_Res3Text]]&amp;"[")-1)),res_Name,0),IFERROR(MATCH(TRIM(LEFT(Tasks[[#This Row],[_Res3Text]],FIND("[",Tasks[[#This Row],[_Res3Text]]&amp;"[")-1)),res_Initials,0),0)))</f>
        <v>0</v>
      </c>
      <c r="DR47" s="43" t="n">
        <f aca="false">IF(Tasks[[#This Row],[_Res4Text]]="",0,IFERROR(MATCH(TRIM(LEFT(Tasks[[#This Row],[_Res4Text]],FIND("[",Tasks[[#This Row],[_Res4Text]]&amp;"[")-1)),res_Name,0),IFERROR(MATCH(TRIM(LEFT(Tasks[[#This Row],[_Res4Text]],FIND("[",Tasks[[#This Row],[_Res4Text]]&amp;"[")-1)),res_Initials,0),0)))</f>
        <v>0</v>
      </c>
      <c r="DS47" s="43" t="str">
        <f aca="false">IF(Tasks[[#This Row],[_Res1Text]]="","",IF(Tasks[[#This Row],[_Res1Row]]&gt;0,INDEX(res_Name,Tasks[[#This Row],[_Res1Row]]),TRIM(LEFT(Tasks[[#This Row],[_Res1Text]],FIND("[",Tasks[[#This Row],[_Res1Text]]&amp;"[")-1))))</f>
        <v/>
      </c>
      <c r="DT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7" s="43" t="n">
        <f aca="false">IF(NOT(Tasks[[#This Row],[_IsLeaf]]=1),0,(Tasks[[#This Row],[_Resource1]]&lt;&gt;"")+(Tasks[[#This Row],[_Res2]]&lt;&gt;"")+(Tasks[[#This Row],[_Res3]]&lt;&gt;"")+(Tasks[[#This Row],[_Res4]]&lt;&gt;""))</f>
        <v>0</v>
      </c>
      <c r="DV47" s="43" t="str">
        <f aca="false">IF(Tasks[[#This Row],[_Res2Text]]="","",IF(Tasks[[#This Row],[_Res2Row]]&gt;0,INDEX(res_Name,Tasks[[#This Row],[_Res2Row]]),TRIM(LEFT(Tasks[[#This Row],[_Res2Text]],FIND("[",Tasks[[#This Row],[_Res2Text]]&amp;"[")-1))))</f>
        <v/>
      </c>
      <c r="DW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7" s="43" t="n">
        <f aca="false">IF(OR(NOT(Tasks[[#This Row],[_IsLeaf]]=1),Tasks[[#This Row],[_Res2Row]]=0),0,N(Tasks[[#This Row],[_Days]])*HoursPerDay*IF(Tasks[[#This Row],[_Res2Units]]="",DefaultUnits,Tasks[[#This Row],[_Res2Units]]))</f>
        <v>0</v>
      </c>
      <c r="DY47" s="43" t="n">
        <f aca="false">IF(AND(AND(Tasks[[#This Row],[_IsLeaf]]=1,Tasks[[#This Row],[_LeafTotalWork]]&gt;0),Tasks[[#This Row],[_Res2Work]]&gt;0),Tasks[[#This Row],[_Res2Work]]/(Tasks[[#This Row],[_FinishWorkday]]-Tasks[[#This Row],[_StartWorkday]]+1),0)</f>
        <v>0</v>
      </c>
      <c r="DZ47" s="43" t="n">
        <f aca="false">Tasks[[#This Row],[_Res2WorkPerWD]]*MAX(0,Tasks[[#This Row],[_StartWorkday]]-1)</f>
        <v>0</v>
      </c>
      <c r="EA47" s="43" t="n">
        <f aca="false">Tasks[[#This Row],[_Res2Work]]*Tasks[[#This Row],[_LeafProgress]]</f>
        <v>0</v>
      </c>
      <c r="EB47" s="43" t="str">
        <f aca="false">IF(Tasks[[#This Row],[_Res3Text]]="","",IF(Tasks[[#This Row],[_Res3Row]]&gt;0,INDEX(res_Name,Tasks[[#This Row],[_Res3Row]]),TRIM(LEFT(Tasks[[#This Row],[_Res3Text]],FIND("[",Tasks[[#This Row],[_Res3Text]]&amp;"[")-1))))</f>
        <v/>
      </c>
      <c r="EC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7" s="43" t="n">
        <f aca="false">IF(OR(NOT(Tasks[[#This Row],[_IsLeaf]]=1),Tasks[[#This Row],[_Res3Row]]=0),0,N(Tasks[[#This Row],[_Days]])*HoursPerDay*IF(Tasks[[#This Row],[_Res3Units]]="",DefaultUnits,Tasks[[#This Row],[_Res3Units]]))</f>
        <v>0</v>
      </c>
      <c r="EE47" s="43" t="n">
        <f aca="false">IF(AND(AND(Tasks[[#This Row],[_IsLeaf]]=1,Tasks[[#This Row],[_LeafTotalWork]]&gt;0),Tasks[[#This Row],[_Res3Work]]&gt;0),Tasks[[#This Row],[_Res3Work]]/(Tasks[[#This Row],[_FinishWorkday]]-Tasks[[#This Row],[_StartWorkday]]+1),0)</f>
        <v>0</v>
      </c>
      <c r="EF47" s="43" t="n">
        <f aca="false">Tasks[[#This Row],[_Res3WorkPerWD]]*MAX(0,Tasks[[#This Row],[_StartWorkday]]-1)</f>
        <v>0</v>
      </c>
      <c r="EG47" s="43" t="n">
        <f aca="false">Tasks[[#This Row],[_Res3Work]]*Tasks[[#This Row],[_LeafProgress]]</f>
        <v>0</v>
      </c>
      <c r="EH47" s="43" t="str">
        <f aca="false">IF(Tasks[[#This Row],[_Res4Text]]="","",IF(Tasks[[#This Row],[_Res4Row]]&gt;0,INDEX(res_Name,Tasks[[#This Row],[_Res4Row]]),TRIM(LEFT(Tasks[[#This Row],[_Res4Text]],FIND("[",Tasks[[#This Row],[_Res4Text]]&amp;"[")-1))))</f>
        <v/>
      </c>
      <c r="EI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7" s="43" t="n">
        <f aca="false">IF(OR(NOT(Tasks[[#This Row],[_IsLeaf]]=1),Tasks[[#This Row],[_Res4Row]]=0),0,N(Tasks[[#This Row],[_Days]])*HoursPerDay*IF(Tasks[[#This Row],[_Res4Units]]="",DefaultUnits,Tasks[[#This Row],[_Res4Units]]))</f>
        <v>0</v>
      </c>
      <c r="EK47" s="43" t="n">
        <f aca="false">IF(AND(AND(Tasks[[#This Row],[_IsLeaf]]=1,Tasks[[#This Row],[_LeafTotalWork]]&gt;0),Tasks[[#This Row],[_Res4Work]]&gt;0),Tasks[[#This Row],[_Res4Work]]/(Tasks[[#This Row],[_FinishWorkday]]-Tasks[[#This Row],[_StartWorkday]]+1),0)</f>
        <v>0</v>
      </c>
      <c r="EL47" s="43" t="n">
        <f aca="false">Tasks[[#This Row],[_Res4WorkPerWD]]*MAX(0,Tasks[[#This Row],[_StartWorkday]]-1)</f>
        <v>0</v>
      </c>
      <c r="EM47" s="43" t="n">
        <f aca="false">Tasks[[#This Row],[_Res4Work]]*Tasks[[#This Row],[_LeafProgress]]</f>
        <v>0</v>
      </c>
      <c r="EN47" s="43" t="n">
        <f aca="false">IF(ISNUMBER(Tasks[[#This Row],[% Complete]]),Tasks[[#This Row],[% Complete]],IF(Tasks[[#This Row],[Stage]]="",0,IFERROR(INDEX(stg_Pct,MATCH(Tasks[[#This Row],[Stage]],stg_Name,0)),0)))</f>
        <v>0</v>
      </c>
      <c r="EO47" s="43" t="n">
        <f aca="false">IF(NOT(Tasks[[#This Row],[_IsLeaf]]=1),0,IF(N(Tasks[[#This Row],[Actual Finish]])&gt;0,1,MIN(1,Tasks[[#This Row],[_Pct]])))</f>
        <v>0</v>
      </c>
      <c r="EP47" s="43" t="n">
        <f aca="false">IF(OR(NOT(Tasks[[#This Row],[_IsLeaf]]=1),Tasks[[#This Row],[_Res1Row]]=0),0,N(Tasks[[#This Row],[_Days]])*HoursPerDay*IF(Tasks[[#This Row],[_Units1]]="",DefaultUnits,Tasks[[#This Row],[_Units1]]))</f>
        <v>0</v>
      </c>
      <c r="EQ47" s="43" t="n">
        <f aca="false">Tasks[[#This Row],[_LeafWork]]+Tasks[[#This Row],[_Res2Work]]+Tasks[[#This Row],[_Res3Work]]+Tasks[[#This Row],[_Res4Work]]</f>
        <v>0</v>
      </c>
      <c r="ER4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7" s="43" t="n">
        <f aca="false">IF(NOT(Tasks[[#This Row],[_IsLeaf]]=1),0,MAX(_xlfn.MAXIFS(Tasks[_Row],Tasks[_Pred1UID],Tasks[[#This Row],[UID]]),_xlfn.MAXIFS(Tasks[_Row],Tasks[_Pred2UID],Tasks[[#This Row],[UID]]),_xlfn.MAXIFS(Tasks[_Row],Tasks[_Pred3UID],Tasks[[#This Row],[UID]]),_xlfn.MAXIFS(Tasks[_Row],Tasks[_Pred4UID],Tasks[[#This Row],[UID]])))</f>
        <v>0</v>
      </c>
      <c r="FA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7" s="91" t="str">
        <f aca="false">IF(NOT(Tasks[[#This Row],[_IsLeaf]]=1),"",IF(N(Tasks[[#This Row],[_Days]])&lt;=0,Tasks[[#This Row],[_LeafLateFinish]],WORKDAY.INTL(Tasks[[#This Row],[_LeafLateFinish]],-(Tasks[[#This Row],[_Days]]-1),WorkWeek,Holidays)))</f>
        <v/>
      </c>
      <c r="FD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7" s="90" t="b">
        <f aca="false">AND(Tasks[[#This Row],[_IsLeaf]]=1,Tasks[[#This Row],[_LeafProgress]]&lt;1,N(Tasks[[#This Row],[_LeafTotalSlack]])&lt;=CriticalSlackDays)</f>
        <v>0</v>
      </c>
      <c r="FF47" s="43" t="n">
        <f aca="false">IF(AND(Tasks[[#This Row],[_IsLeaf]]=1,Tasks[[#This Row],[_ConstraintCode]]=1,Tasks[[#This Row],[Mode]]&lt;&gt;"Manual",N(Tasks[[#This Row],[Actual Start]])=0),MAX(0,N(Tasks[[#This Row],[Free Slack]])),0)</f>
        <v>0</v>
      </c>
      <c r="FG47" s="91" t="str">
        <f aca="false">IF(NOT(Tasks[[#This Row],[_IsLeaf]]=1),"",IF(Tasks[[#This Row],[_AlapShift]]=0,Tasks[[#This Row],[_LeafCalcStart]],WORKDAY.INTL(Tasks[[#This Row],[_LeafCalcStart]],Tasks[[#This Row],[_AlapShift]],WorkWeek,Holidays)))</f>
        <v/>
      </c>
      <c r="FH47" s="91" t="str">
        <f aca="false">IF(NOT(Tasks[[#This Row],[_IsLeaf]]=1),"",IF(Tasks[[#This Row],[_AlapShift]]=0,Tasks[[#This Row],[_LeafCalcFinish]],WORKDAY.INTL(Tasks[[#This Row],[_LeafCalcFinish]],Tasks[[#This Row],[_AlapShift]],WorkWeek,Holidays)))</f>
        <v/>
      </c>
      <c r="FI47" s="91" t="str">
        <f aca="false">IF(NOT(Tasks[[#This Row],[_IsLeaf]]=1),"",IF(Tasks[[#This Row],[_AlapShift]]=0,Tasks[[#This Row],[_LeafFcstStart]],WORKDAY.INTL(Tasks[[#This Row],[_LeafFcstStart]],Tasks[[#This Row],[_AlapShift]],WorkWeek,Holidays)))</f>
        <v/>
      </c>
      <c r="FJ47" s="91" t="str">
        <f aca="false">IF(NOT(Tasks[[#This Row],[_IsLeaf]]=1),"",IF(Tasks[[#This Row],[_AlapShift]]=0,Tasks[[#This Row],[_LeafFcstFinish]],WORKDAY.INTL(Tasks[[#This Row],[_LeafFcstFinish]],Tasks[[#This Row],[_AlapShift]],WorkWeek,Holidays)))</f>
        <v/>
      </c>
      <c r="FK47" s="91" t="str">
        <f aca="false">IF(Tasks[[#This Row],[Task Name]]="","",IF(Tasks[[#This Row],[_IsSummary]],MIN(INDEX(Tasks[_ShownCalcStart],Tasks[[#This Row],[_Row]]+1):INDEX(Tasks[_ShownCalcStart],Tasks[[#This Row],[_Row]]+Tasks[[#This Row],[_Descendants]])),Tasks[[#This Row],[_ShownCalcStart]]))</f>
        <v/>
      </c>
      <c r="FL47" s="91" t="str">
        <f aca="false">IF(Tasks[[#This Row],[Task Name]]="","",IF(Tasks[[#This Row],[_IsSummary]],MAX(INDEX(Tasks[_ShownCalcFinish],Tasks[[#This Row],[_Row]]+1):INDEX(Tasks[_ShownCalcFinish],Tasks[[#This Row],[_Row]]+Tasks[[#This Row],[_Descendants]])),Tasks[[#This Row],[_ShownCalcFinish]]))</f>
        <v/>
      </c>
      <c r="FM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7" s="43" t="n">
        <f aca="false">IF(AND(Tasks[[#This Row],[_IsLeaf]]=1,Tasks[[#This Row],[_LeafTotalWork]]&gt;0),NETWORKDAYS.INTL(ProjectStart,Tasks[[#This Row],[_ShownFcstStart]],WorkWeek,Holidays),0)</f>
        <v>0</v>
      </c>
      <c r="FZ47" s="43" t="n">
        <f aca="false">IF(AND(Tasks[[#This Row],[_IsLeaf]]=1,Tasks[[#This Row],[_LeafTotalWork]]&gt;0),MAX(Tasks[[#This Row],[_StartWorkday]],NETWORKDAYS.INTL(ProjectStart,Tasks[[#This Row],[_ShownFcstFinish]],WorkWeek,Holidays)),0)</f>
        <v>0</v>
      </c>
      <c r="GA47" s="43" t="n">
        <f aca="false">IF(AND(Tasks[[#This Row],[_IsLeaf]]=1,Tasks[[#This Row],[_LeafTotalWork]]&gt;0),Tasks[[#This Row],[_LeafWork]]/(Tasks[[#This Row],[_FinishWorkday]]-Tasks[[#This Row],[_StartWorkday]]+1),0)</f>
        <v>0</v>
      </c>
      <c r="GB47" s="43" t="n">
        <f aca="false">Tasks[[#This Row],[_WorkPerWorkday]]*(Tasks[[#This Row],[_StartWorkday]]-1)</f>
        <v>-0</v>
      </c>
      <c r="GC47" s="43" t="n">
        <f aca="false">IF(Tasks[[#This Row],[_IsLeaf]]=1,MAX(N(Tasks[[#This Row],[_Days]]),0.1),0)</f>
        <v>0</v>
      </c>
      <c r="GD47" s="43" t="n">
        <f aca="false">Tasks[[#This Row],[_WeightDur]]*Tasks[[#This Row],[_LeafProgress]]</f>
        <v>0</v>
      </c>
      <c r="GE47" s="43" t="n">
        <f aca="false">Tasks[[#This Row],[_WeightDur]]*Tasks[[#This Row],[_PlannedPct]]</f>
        <v>0</v>
      </c>
      <c r="GF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7" s="43" t="str">
        <f aca="false">IF(AND(Tasks[[#This Row],[_IsLeaf]]=1,N(Tasks[[#This Row],[_Days]])=0,Tasks[[#This Row],[_LeafProgress]]&lt;1),Tasks[[#This Row],[_ShownFcstFinish]]+Tasks[[#This Row],[_Row]]/100000,"")</f>
        <v/>
      </c>
      <c r="GH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7" s="43" t="str">
        <f aca="false">IF(Tasks[[#This Row],[Task Name]]="","",LEFT(Tasks[[#This Row],[WBS]],FIND(".",Tasks[[#This Row],[WBS]]&amp;".")-1))</f>
        <v/>
      </c>
      <c r="GJ47" s="43" t="str">
        <f aca="false">IF(AND(Tasks[[#This Row],[Task Name]]&lt;&gt;"",Tasks[[#This Row],[_Level]]=1),Tasks[[#This Row],[_Row]],"")</f>
        <v/>
      </c>
      <c r="GK47" s="43" t="str">
        <f aca="false">IF(AND(Tasks[[#This Row],[_IsLeaf]]=1,N(Tasks[[#This Row],[_Days]])=0),Tasks[[#This Row],[Planned Finish]]+Tasks[[#This Row],[_Row]]/100000,"")</f>
        <v/>
      </c>
      <c r="GL47" s="43" t="str">
        <f aca="false">IF(AND(Tasks[[#This Row],[_IsLeaf]]=1,Tasks[[#This Row],[_LeafProgress]]&lt;1,OR(N(Tasks[[#This Row],[Finish Var]])&gt;0,Tasks[[#This Row],[Status]]="Late Start")),MAX(0,Tasks[[#This Row],[Finish Var]])+1-Tasks[[#This Row],[_Row]]/1000000,"")</f>
        <v/>
      </c>
      <c r="GM47" s="43" t="str">
        <f aca="false">IF(AND(Tasks[[#This Row],[_IsLeaf]]=1,N(Tasks[[#This Row],[Actual Start]])=0,Tasks[[#This Row],[_ShownFcstStart]]&gt;=StatusDate,Tasks[[#This Row],[_ShownFcstStart]]&lt;=LookaheadEnd),Tasks[[#This Row],[_ShownFcstStart]]+Tasks[[#This Row],[_Row]]/100000,"")</f>
        <v/>
      </c>
      <c r="GN47" s="43" t="str">
        <f aca="false">IF(AND(Tasks[[#This Row],[_IsLeaf]]=1,Tasks[[#This Row],[_LeafProgress]]&lt;1,Tasks[[#This Row],[_ShownFcstFinish]]&gt;=StatusDate,Tasks[[#This Row],[_ShownFcstFinish]]&lt;=LookaheadEnd),Tasks[[#This Row],[_ShownFcstFinish]]+Tasks[[#This Row],[_Row]]/100000,"")</f>
        <v/>
      </c>
      <c r="GO47" s="43" t="str">
        <f aca="false">IF(Tasks[[#This Row],[_LeafCritical]],Tasks[[#This Row],[_ShownFcstStart]]+Tasks[[#This Row],[_Row]]/100000,"")</f>
        <v/>
      </c>
      <c r="GP47" s="43" t="n">
        <f aca="false">Tasks[[#This Row],[_LeafWork]]*Tasks[[#This Row],[_LeafProgress]]</f>
        <v>0</v>
      </c>
      <c r="GQ47" s="91" t="str">
        <f aca="false">IF(AND(Tasks[[#This Row],[_IsLeaf]]=1,Tasks[[#This Row],[_LeafProgress]]&gt;=1),IF(N(Tasks[[#This Row],[Actual Finish]])&gt;0,Tasks[[#This Row],[Actual Finish]],Tasks[[#This Row],[_ShownFcstFinish]]),"")</f>
        <v/>
      </c>
      <c r="GR47" s="43" t="n">
        <f aca="false">IF(Tasks[[#This Row],[_IsLeaf]]=1,N(Tasks[[#This Row],[Story Points]]),0)</f>
        <v>0</v>
      </c>
      <c r="GS47" s="43" t="str">
        <f aca="false">""</f>
        <v/>
      </c>
      <c r="GT47" s="90" t="b">
        <f aca="false">IF(Tasks[[#This Row],[Task Name]]="",FALSE(),AND(Tasks[[#This Row],[_IsLeaf]]=1,N(Tasks[[#This Row],[_Days]])=0))</f>
        <v>0</v>
      </c>
      <c r="GU47" s="91" t="n">
        <f aca="false">IF(Tasks[[#This Row],[Task Name]]="",0,IF(AND(Tasks[[#This Row],[_IsLeaf]]=1,NOT(Tasks[[#This Row],[_IsMilestone]]),N(Tasks[[#This Row],[Progress]])&gt;0),Tasks[[#This Row],[Start]],0))</f>
        <v>0</v>
      </c>
      <c r="GV47" s="91" t="n">
        <f aca="false">IF(Tasks[[#This Row],[_DoneFrom]]=0,0,IF(Tasks[[#This Row],[Progress]]&gt;=1,Tasks[[#This Row],[Finish]],MAX(Tasks[[#This Row],[_DoneFrom]],Tasks[[#This Row],[Start]]+ROUND((Tasks[[#This Row],[Finish]]-Tasks[[#This Row],[Start]]+1)*Tasks[[#This Row],[Progress]],0)-1)))</f>
        <v>0</v>
      </c>
      <c r="GW47" s="91" t="n">
        <f aca="false">IF(Tasks[[#This Row],[Task Name]]="",0,IF(OR(NOT(Tasks[[#This Row],[_IsLeaf]]=1),Tasks[[#This Row],[_IsMilestone]],N(Tasks[[#This Row],[Progress]])&gt;=1),0,IF(Tasks[[#This Row],[_DoneTo]]&gt;0,Tasks[[#This Row],[_DoneTo]]+1,Tasks[[#This Row],[Start]])))</f>
        <v>0</v>
      </c>
      <c r="GX47" s="91" t="n">
        <f aca="false">IF(Tasks[[#This Row],[_RemFrom]]=0,0,Tasks[[#This Row],[Finish]])</f>
        <v>0</v>
      </c>
      <c r="GY47" s="90" t="b">
        <f aca="false">IF(Tasks[[#This Row],[Task Name]]="",FALSE(),OR(NOT(BaselineSet),N(Tasks[[#This Row],[Baseline Start]])&gt;0))</f>
        <v>0</v>
      </c>
      <c r="GZ4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7" s="92" t="str">
        <f aca="false">IF(Tasks[[#This Row],[_IsLeaf]]=1,Tasks[[#This Row],[_Row]],"")</f>
        <v/>
      </c>
      <c r="HD47" s="92" t="str">
        <f aca="false">IFERROR(INDEX(Tasks[UID],SMALL(Tasks[_PickKey],Tasks[[#This Row],[_Row]]))&amp;" "&amp;INDEX(Tasks[Task Name],SMALL(Tasks[_PickKey],Tasks[[#This Row],[_Row]])),"")</f>
        <v/>
      </c>
      <c r="HE47" s="43" t="str">
        <f aca="false">IF(Tasks[[#This Row],[Task Name]]="","",IF(Tasks[[#This Row],[_IsSummary]],NETWORKDAYS.INTL(Tasks[[#This Row],[Start]],Tasks[[#This Row],[Finish]],WorkWeek,Holidays),N(Tasks[[#This Row],[_Days]])))</f>
        <v/>
      </c>
      <c r="HF47" s="43" t="n">
        <f aca="false">IF(Tasks[[#This Row],[Expected]]="",0,((Tasks[[#This Row],[Pessimistic]]-Tasks[[#This Row],[Optimistic]])/6)^2)</f>
        <v>0</v>
      </c>
      <c r="HG47" s="43" t="n">
        <f aca="false">IF(Tasks[[#This Row],[Expected]]="",0,Tasks[[#This Row],[Expected]]-N(Tasks[[#This Row],[_Days]]))</f>
        <v>0</v>
      </c>
    </row>
    <row r="48" customFormat="false" ht="15" hidden="false" customHeight="false" outlineLevel="0" collapsed="false">
      <c r="A48" s="21" t="str">
        <f aca="false">IF(Tasks[[#This Row],[Task Name]]="","",COUNTA(Tasks[[#Headers],[Task Name]]:Tasks[[#This Row],[Task Name]])-1)</f>
        <v/>
      </c>
      <c r="B48" s="22" t="n">
        <v>56</v>
      </c>
      <c r="C48" s="22"/>
      <c r="D48" s="23"/>
      <c r="E48" s="22"/>
      <c r="F48" s="23"/>
      <c r="G48" s="22"/>
      <c r="H48" s="22"/>
      <c r="I48" s="23"/>
      <c r="J48" s="22"/>
      <c r="K48" s="22"/>
      <c r="L48" s="23"/>
      <c r="M48" s="22"/>
      <c r="N48" s="22"/>
      <c r="O48" s="23"/>
      <c r="P48" s="22"/>
      <c r="Q48" s="22"/>
      <c r="R48" s="23"/>
      <c r="S48" s="23"/>
      <c r="T48" s="84"/>
      <c r="U48" s="23"/>
      <c r="V48" s="84"/>
      <c r="W48" s="23"/>
      <c r="X48" s="84"/>
      <c r="Y48" s="23"/>
      <c r="Z48" s="84"/>
      <c r="AA48" s="23"/>
      <c r="AB48" s="23"/>
      <c r="AC48" s="7"/>
      <c r="AD48" s="7"/>
      <c r="AE48" s="63" t="str">
        <f aca="false">IF(Tasks[[#This Row],[Task Name]]="","",IF(Tasks[[#This Row],[_IsSummary]],MIN(INDEX(Tasks[_ShownFcstStart],Tasks[[#This Row],[_Row]]+1):INDEX(Tasks[_ShownFcstStart],Tasks[[#This Row],[_Row]]+Tasks[[#This Row],[_Descendants]])),Tasks[[#This Row],[_ShownFcstStart]]))</f>
        <v/>
      </c>
      <c r="AF48" s="63" t="str">
        <f aca="false">IF(Tasks[[#This Row],[Task Name]]="","",IF(Tasks[[#This Row],[_IsSummary]],MAX(INDEX(Tasks[_ShownFcstFinish],Tasks[[#This Row],[_Row]]+1):INDEX(Tasks[_ShownFcstFinish],Tasks[[#This Row],[_Row]]+Tasks[[#This Row],[_Descendants]])),Tasks[[#This Row],[_ShownFcstFinish]]))</f>
        <v/>
      </c>
      <c r="AG48" s="21" t="str">
        <f aca="false">""</f>
        <v/>
      </c>
      <c r="AH48" s="23"/>
      <c r="AI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8" s="7"/>
      <c r="AK48" s="22"/>
      <c r="AL48" s="23"/>
      <c r="AM48" s="7"/>
      <c r="AN48" s="47" t="str">
        <f aca="false">IF(Tasks[[#This Row],[Task Name]]="","",IF(Tasks[[#This Row],[Finish]]&gt;=Tasks[[#This Row],[Planned Finish]],NETWORKDAYS.INTL(Tasks[[#This Row],[Planned Finish]],Tasks[[#This Row],[Finish]],WorkWeek,Holidays)-1,1-NETWORKDAYS.INTL(Tasks[[#This Row],[Finish]],Tasks[[#This Row],[Planned Finish]],WorkWeek,Holidays)))</f>
        <v/>
      </c>
      <c r="AO48" s="21" t="str">
        <f aca="false">IF(Tasks[[#This Row],[Task Name]]="","",IF(Tasks[[#This Row],[Progress]]&gt;=1,"Complete",IF(OR(N(Tasks[[#This Row],[Actual Start]])&gt;0,Tasks[[#This Row],[Progress]]&gt;0),IF(Tasks[[#This Row],[Finish Var]]&gt;0,"Behind","In Progress"),IF(Tasks[[#This Row],[Planned Start]]&lt;StatusDate,"Late Start","Not Started"))))</f>
        <v/>
      </c>
      <c r="AP48" s="21" t="str">
        <f aca="false">IF(Tasks[[#This Row],[Task Name]]="","",IF(IF(Tasks[[#This Row],[_IsSummary]],COUNTIF(INDEX(Tasks[_LeafCritical],Tasks[[#This Row],[_Row]]+1):INDEX(Tasks[_LeafCritical],Tasks[[#This Row],[_Row]]+Tasks[[#This Row],[_Descendants]]),TRUE())&gt;0,Tasks[[#This Row],[_LeafCritical]]),"Yes",""))</f>
        <v/>
      </c>
      <c r="AQ48" s="63" t="str">
        <f aca="false">IF(Tasks[[#This Row],[Task Name]]="","",IF(N(Tasks[[#This Row],[Baseline Start]])&gt;0,Tasks[[#This Row],[Baseline Start]],Tasks[[#This Row],[_CalcStart]]))</f>
        <v/>
      </c>
      <c r="AR48" s="63" t="str">
        <f aca="false">IF(Tasks[[#This Row],[Task Name]]="","",IF(N(Tasks[[#This Row],[Baseline Finish]])&gt;0,Tasks[[#This Row],[Baseline Finish]],Tasks[[#This Row],[_CalcFinish]]))</f>
        <v/>
      </c>
      <c r="AS48" s="47" t="str">
        <f aca="false">IF(Tasks[[#This Row],[Task Name]]="","",IF(Tasks[[#This Row],[Start]]&gt;=Tasks[[#This Row],[Planned Start]],NETWORKDAYS.INTL(Tasks[[#This Row],[Planned Start]],Tasks[[#This Row],[Start]],WorkWeek,Holidays)-1,1-NETWORKDAYS.INTL(Tasks[[#This Row],[Start]],Tasks[[#This Row],[Planned Start]],WorkWeek,Holidays)))</f>
        <v/>
      </c>
      <c r="AT48" s="63" t="str">
        <f aca="false">IF(Tasks[[#This Row],[Task Name]]="","",IF(Tasks[[#This Row],[_IsSummary]],MIN(INDEX(Tasks[_LeafLateStart],Tasks[[#This Row],[_Row]]+1):INDEX(Tasks[_LeafLateStart],Tasks[[#This Row],[_Row]]+Tasks[[#This Row],[_Descendants]])),Tasks[[#This Row],[_LeafLateStart]]))</f>
        <v/>
      </c>
      <c r="AU48" s="63" t="str">
        <f aca="false">IF(Tasks[[#This Row],[Task Name]]="","",IF(Tasks[[#This Row],[_IsSummary]],MAX(INDEX(Tasks[_LeafLateFinish],Tasks[[#This Row],[_Row]]+1):INDEX(Tasks[_LeafLateFinish],Tasks[[#This Row],[_Row]]+Tasks[[#This Row],[_Descendants]])),Tasks[[#This Row],[_LeafLateFinish]]))</f>
        <v/>
      </c>
      <c r="AV48" s="47" t="str">
        <f aca="false">IF(Tasks[[#This Row],[Task Name]]="","",IF(Tasks[[#This Row],[_IsSummary]],MIN(INDEX(Tasks[_LeafTotalSlack],Tasks[[#This Row],[_Row]]+1):INDEX(Tasks[_LeafTotalSlack],Tasks[[#This Row],[_Row]]+Tasks[[#This Row],[_Descendants]])),Tasks[[#This Row],[_LeafTotalSlack]]))</f>
        <v/>
      </c>
      <c r="AW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5"/>
      <c r="BA4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t="str">
        <f aca="false">IF(Tasks[[#This Row],[Task Name]]="","",IF(Tasks[[#This Row],[_Level]]&lt;=OutlineShowLevel,"Yes","No"))</f>
        <v/>
      </c>
      <c r="BE48" s="86" t="str">
        <f aca="false">IF(Tasks[[#This Row],[Task Name]]="","",IF(Tasks[[#This Row],[_IsSummary]],SUM(INDEX(Tasks[_LeafTotalWork],Tasks[[#This Row],[_Row]]+1):INDEX(Tasks[_LeafTotalWork],Tasks[[#This Row],[_Row]]+Tasks[[#This Row],[_Descendants]])),Tasks[[#This Row],[_LeafTotalWork]]))</f>
        <v/>
      </c>
      <c r="BF48" s="23"/>
      <c r="BG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t="str">
        <f aca="false">""</f>
        <v/>
      </c>
      <c r="BI48" s="87"/>
      <c r="BJ48" s="22"/>
      <c r="BK48" s="47" t="str">
        <f aca="false">IF(OR(Tasks[[#This Row],[Task Name]]="",Tasks[[#This Row],[Baseline Duration]]=""),"",Tasks[[#This Row],[_SpanDays]]-N(Tasks[[#This Row],[Baseline Duration]]))</f>
        <v/>
      </c>
      <c r="BL48" s="86" t="str">
        <f aca="false">IF(OR(Tasks[[#This Row],[Task Name]]="",Tasks[[#This Row],[Baseline Work]]=""),"",Tasks[[#This Row],[Work]]-N(Tasks[[#This Row],[Baseline Work]]))</f>
        <v/>
      </c>
      <c r="BM48" s="63" t="str">
        <f aca="false">IF(Tasks[[#This Row],[Task Name]]="","",IF(OR(TakeBaseline="Yes",N(Tasks[[#This Row],[Baseline Start]])=0),Tasks[[#This Row],[Start]],Tasks[[#This Row],[Baseline Start]]))</f>
        <v/>
      </c>
      <c r="BN48" s="63" t="str">
        <f aca="false">IF(Tasks[[#This Row],[Task Name]]="","",IF(OR(TakeBaseline="Yes",N(Tasks[[#This Row],[Baseline Finish]])=0),Tasks[[#This Row],[Finish]],Tasks[[#This Row],[Baseline Finish]]))</f>
        <v/>
      </c>
      <c r="BO48" s="21" t="str">
        <f aca="false">IF(Tasks[[#This Row],[Task Name]]="","",IF(OR(TakeBaseline="Yes",N(Tasks[[#This Row],[Baseline Duration]])=0),Tasks[[#This Row],[_SpanDays]],Tasks[[#This Row],[Baseline Duration]]))</f>
        <v/>
      </c>
      <c r="BP48" s="86" t="str">
        <f aca="false">IF(Tasks[[#This Row],[Task Name]]="","",IF(OR(TakeBaseline="Yes",N(Tasks[[#This Row],[Baseline Work]])=0),Tasks[[#This Row],[Work]],Tasks[[#This Row],[Baseline Work]]))</f>
        <v/>
      </c>
      <c r="BQ48" s="7"/>
      <c r="BR48" s="7"/>
      <c r="BS48" s="22"/>
      <c r="BT48" s="88"/>
      <c r="BU48" s="23"/>
      <c r="BV48" s="23"/>
      <c r="BW48" s="23"/>
      <c r="BX48" s="89" t="str">
        <f aca="false">IF(AND(Tasks[[#This Row],[_IsLeaf]]=1,ISNUMBER(Tasks[[#This Row],[Optimistic]]),ISNUMBER(Tasks[[#This Row],[Pessimistic]])),ROUND((Tasks[[#This Row],[Optimistic]]+4*N(Tasks[[#This Row],[_Days]])+Tasks[[#This Row],[Pessimistic]])/6,1),"")</f>
        <v/>
      </c>
      <c r="BY48" s="87"/>
      <c r="BZ48" s="87"/>
      <c r="CA48" s="22"/>
      <c r="CB48" s="43" t="str">
        <f aca="false">IF(Tasks[[#This Row],[Task Name]]="","",MAX(1,N(Tasks[[#This Row],[Level]])))</f>
        <v/>
      </c>
      <c r="CC48" s="43" t="n">
        <f aca="false">ROW()-ROW(Tasks[[#Headers],[ID]])</f>
        <v>43</v>
      </c>
      <c r="CD48" s="43" t="n">
        <f aca="false">IF(OR(Tasks[[#This Row],[Task Name]]="",Tasks[[#This Row],[_Level]]&lt;=1),0,IFERROR(LOOKUP(2,1/(Tasks[[#Headers],[_Level]]:Tasks[[#This Row],[_Level]]=Tasks[[#This Row],[_Level]]-1),ROW(Tasks[[#Headers],[_Level]]:Tasks[[#This Row],[_Level]])),0))</f>
        <v>0</v>
      </c>
      <c r="CE48" s="43" t="n">
        <f aca="false">IFERROR(N(INDEX(Tasks[_Level],Tasks[[#This Row],[_Row]]+1)),0)</f>
        <v>0</v>
      </c>
      <c r="CF48" s="90" t="b">
        <f aca="false">AND(Tasks[[#This Row],[Task Name]]&lt;&gt;"",Tasks[[#This Row],[_NextLevel]]&gt;Tasks[[#This Row],[_Level]])</f>
        <v>0</v>
      </c>
      <c r="CG48" s="43" t="n">
        <f aca="false">IF(Tasks[[#This Row],[_IsSummary]],COUNTIF(Tasks[WBS],Tasks[[#This Row],[WBS]]&amp;".*"),0)</f>
        <v>0</v>
      </c>
      <c r="CH48" s="43" t="n">
        <f aca="false">IF(AND(Tasks[[#This Row],[Task Name]]&lt;&gt;"",NOT(Tasks[[#This Row],[_IsSummary]])),1,0)</f>
        <v>0</v>
      </c>
      <c r="CI48" s="43" t="n">
        <f aca="false">IF(N(Tasks[[#This Row],[_Pred1UID]])=0,0,IFERROR(MATCH(Tasks[[#This Row],[_Pred1UID]],Tasks[UID],0),-1))</f>
        <v>0</v>
      </c>
      <c r="CJ48" s="43" t="n">
        <f aca="false">IF(N(Tasks[[#This Row],[_Pred2UID]])=0,0,IFERROR(MATCH(Tasks[[#This Row],[_Pred2UID]],Tasks[UID],0),-1))</f>
        <v>0</v>
      </c>
      <c r="CK48" s="43" t="n">
        <f aca="false">IF(N(Tasks[[#This Row],[_Pred3UID]])=0,0,IFERROR(MATCH(Tasks[[#This Row],[_Pred3UID]],Tasks[UID],0),-1))</f>
        <v>0</v>
      </c>
      <c r="CL48" s="43" t="n">
        <f aca="false">IF(N(Tasks[[#This Row],[_Pred4UID]])=0,0,IFERROR(MATCH(Tasks[[#This Row],[_Pred4UID]],Tasks[UID],0),-1))</f>
        <v>0</v>
      </c>
      <c r="CM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8" s="91" t="n">
        <f aca="false">IF(OR(Tasks[[#This Row],[_ConstraintCode]]=2,Tasks[[#This Row],[_ConstraintCode]]=3,Tasks[[#This Row],[_ConstraintCode]]=4,Tasks[[#This Row],[_ConstraintCode]]=6),Tasks[[#This Row],[_ConstraintStart]],0)</f>
        <v>0</v>
      </c>
      <c r="CP48" s="91" t="n">
        <f aca="false">IF(OR(Tasks[[#This Row],[_ConstraintCode]]=2,Tasks[[#This Row],[_ConstraintCode]]=3,Tasks[[#This Row],[_ConstraintCode]]=5,Tasks[[#This Row],[_ConstraintCode]]=7),Tasks[[#This Row],[_ConstraintStart]],2958465)</f>
        <v>2958465</v>
      </c>
      <c r="CQ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8" s="91" t="str">
        <f aca="false">IF(NOT(Tasks[[#This Row],[_IsLeaf]]=1),"",IF(N(Tasks[[#This Row],[_Days]])&lt;=0,Tasks[[#This Row],[_LeafCalcStart]],WORKDAY.INTL(Tasks[[#This Row],[_LeafCalcStart]],Tasks[[#This Row],[_Days]]-1,WorkWeek,Holidays)))</f>
        <v/>
      </c>
      <c r="CS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8" s="43" t="str">
        <f aca="false">IF(Tasks[[#This Row],[_Predecessors]]="","",TRIM(MID(SUBSTITUTE(SUBSTITUTE(SUBSTITUTE(UPPER(Tasks[[#This Row],[_Predecessors]]),";",",")," ",""),",",REPT(" ",99)),1,99)))</f>
        <v/>
      </c>
      <c r="CV48" s="43" t="str">
        <f aca="false">IF(Tasks[[#This Row],[_Pred1Text]]="","",IFERROR(VALUE(LEFT(Tasks[[#This Row],[_Pred1Text]],MIN(FIND("F",Tasks[[#This Row],[_Pred1Text]]&amp;"F"),FIND("S",Tasks[[#This Row],[_Pred1Text]]&amp;"S"),FIND("+",Tasks[[#This Row],[_Pred1Text]]&amp;"+"),FIND("-",Tasks[[#This Row],[_Pred1Text]]&amp;"-"))-1)),""))</f>
        <v/>
      </c>
      <c r="CW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8" s="43" t="str">
        <f aca="false">IF(Tasks[[#This Row],[_Pred1Text]]="","",TRIM(MID(SUBSTITUTE(SUBSTITUTE(SUBSTITUTE(UPPER(Tasks[[#This Row],[_Predecessors]]),";",",")," ",""),",",REPT(" ",99)),100,99)))</f>
        <v/>
      </c>
      <c r="CZ48" s="43" t="str">
        <f aca="false">IF(Tasks[[#This Row],[_Pred2Text]]="","",IFERROR(VALUE(LEFT(Tasks[[#This Row],[_Pred2Text]],MIN(FIND("F",Tasks[[#This Row],[_Pred2Text]]&amp;"F"),FIND("S",Tasks[[#This Row],[_Pred2Text]]&amp;"S"),FIND("+",Tasks[[#This Row],[_Pred2Text]]&amp;"+"),FIND("-",Tasks[[#This Row],[_Pred2Text]]&amp;"-"))-1)),""))</f>
        <v/>
      </c>
      <c r="DA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8" s="43" t="str">
        <f aca="false">IF(Tasks[[#This Row],[_Pred2Text]]="","",TRIM(MID(SUBSTITUTE(SUBSTITUTE(SUBSTITUTE(UPPER(Tasks[[#This Row],[_Predecessors]]),";",",")," ",""),",",REPT(" ",99)),199,99)))</f>
        <v/>
      </c>
      <c r="DD48" s="43" t="str">
        <f aca="false">IF(Tasks[[#This Row],[_Pred3Text]]="","",IFERROR(VALUE(LEFT(Tasks[[#This Row],[_Pred3Text]],MIN(FIND("F",Tasks[[#This Row],[_Pred3Text]]&amp;"F"),FIND("S",Tasks[[#This Row],[_Pred3Text]]&amp;"S"),FIND("+",Tasks[[#This Row],[_Pred3Text]]&amp;"+"),FIND("-",Tasks[[#This Row],[_Pred3Text]]&amp;"-"))-1)),""))</f>
        <v/>
      </c>
      <c r="DE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8" s="43" t="str">
        <f aca="false">IF(Tasks[[#This Row],[_Pred3Text]]="","",TRIM(MID(SUBSTITUTE(SUBSTITUTE(SUBSTITUTE(UPPER(Tasks[[#This Row],[_Predecessors]]),";",",")," ",""),",",REPT(" ",99)),298,99)))</f>
        <v/>
      </c>
      <c r="DH48" s="43" t="str">
        <f aca="false">IF(Tasks[[#This Row],[_Pred4Text]]="","",IFERROR(VALUE(LEFT(Tasks[[#This Row],[_Pred4Text]],MIN(FIND("F",Tasks[[#This Row],[_Pred4Text]]&amp;"F"),FIND("S",Tasks[[#This Row],[_Pred4Text]]&amp;"S"),FIND("+",Tasks[[#This Row],[_Pred4Text]]&amp;"+"),FIND("-",Tasks[[#This Row],[_Pred4Text]]&amp;"-"))-1)),""))</f>
        <v/>
      </c>
      <c r="DI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8" s="43" t="str">
        <f aca="false">IF(OR(Tasks[[#This Row],[Task Name]]="",Tasks[[#This Row],[_Resources]]=""),"",TRIM(MID(SUBSTITUTE(Tasks[[#This Row],[_Resources]],",",REPT(" ",99)),1,99)))</f>
        <v/>
      </c>
      <c r="DL48" s="43" t="str">
        <f aca="false">IF(Tasks[[#This Row],[_Res1Text]]="","",TRIM(MID(SUBSTITUTE(Tasks[[#This Row],[_Resources]],",",REPT(" ",99)),100,99)))</f>
        <v/>
      </c>
      <c r="DM48" s="43" t="str">
        <f aca="false">IF(Tasks[[#This Row],[_Res2Text]]="","",TRIM(MID(SUBSTITUTE(Tasks[[#This Row],[_Resources]],",",REPT(" ",99)),199,99)))</f>
        <v/>
      </c>
      <c r="DN48" s="43" t="str">
        <f aca="false">IF(Tasks[[#This Row],[_Res3Text]]="","",TRIM(MID(SUBSTITUTE(Tasks[[#This Row],[_Resources]],",",REPT(" ",99)),298,99)))</f>
        <v/>
      </c>
      <c r="DO48" s="43" t="n">
        <f aca="false">IF(Tasks[[#This Row],[_Res1Text]]="",0,IFERROR(MATCH(TRIM(LEFT(Tasks[[#This Row],[_Res1Text]],FIND("[",Tasks[[#This Row],[_Res1Text]]&amp;"[")-1)),res_Name,0),IFERROR(MATCH(TRIM(LEFT(Tasks[[#This Row],[_Res1Text]],FIND("[",Tasks[[#This Row],[_Res1Text]]&amp;"[")-1)),res_Initials,0),0)))</f>
        <v>0</v>
      </c>
      <c r="DP48" s="43" t="n">
        <f aca="false">IF(Tasks[[#This Row],[_Res2Text]]="",0,IFERROR(MATCH(TRIM(LEFT(Tasks[[#This Row],[_Res2Text]],FIND("[",Tasks[[#This Row],[_Res2Text]]&amp;"[")-1)),res_Name,0),IFERROR(MATCH(TRIM(LEFT(Tasks[[#This Row],[_Res2Text]],FIND("[",Tasks[[#This Row],[_Res2Text]]&amp;"[")-1)),res_Initials,0),0)))</f>
        <v>0</v>
      </c>
      <c r="DQ48" s="43" t="n">
        <f aca="false">IF(Tasks[[#This Row],[_Res3Text]]="",0,IFERROR(MATCH(TRIM(LEFT(Tasks[[#This Row],[_Res3Text]],FIND("[",Tasks[[#This Row],[_Res3Text]]&amp;"[")-1)),res_Name,0),IFERROR(MATCH(TRIM(LEFT(Tasks[[#This Row],[_Res3Text]],FIND("[",Tasks[[#This Row],[_Res3Text]]&amp;"[")-1)),res_Initials,0),0)))</f>
        <v>0</v>
      </c>
      <c r="DR48" s="43" t="n">
        <f aca="false">IF(Tasks[[#This Row],[_Res4Text]]="",0,IFERROR(MATCH(TRIM(LEFT(Tasks[[#This Row],[_Res4Text]],FIND("[",Tasks[[#This Row],[_Res4Text]]&amp;"[")-1)),res_Name,0),IFERROR(MATCH(TRIM(LEFT(Tasks[[#This Row],[_Res4Text]],FIND("[",Tasks[[#This Row],[_Res4Text]]&amp;"[")-1)),res_Initials,0),0)))</f>
        <v>0</v>
      </c>
      <c r="DS48" s="43" t="str">
        <f aca="false">IF(Tasks[[#This Row],[_Res1Text]]="","",IF(Tasks[[#This Row],[_Res1Row]]&gt;0,INDEX(res_Name,Tasks[[#This Row],[_Res1Row]]),TRIM(LEFT(Tasks[[#This Row],[_Res1Text]],FIND("[",Tasks[[#This Row],[_Res1Text]]&amp;"[")-1))))</f>
        <v/>
      </c>
      <c r="DT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8" s="43" t="n">
        <f aca="false">IF(NOT(Tasks[[#This Row],[_IsLeaf]]=1),0,(Tasks[[#This Row],[_Resource1]]&lt;&gt;"")+(Tasks[[#This Row],[_Res2]]&lt;&gt;"")+(Tasks[[#This Row],[_Res3]]&lt;&gt;"")+(Tasks[[#This Row],[_Res4]]&lt;&gt;""))</f>
        <v>0</v>
      </c>
      <c r="DV48" s="43" t="str">
        <f aca="false">IF(Tasks[[#This Row],[_Res2Text]]="","",IF(Tasks[[#This Row],[_Res2Row]]&gt;0,INDEX(res_Name,Tasks[[#This Row],[_Res2Row]]),TRIM(LEFT(Tasks[[#This Row],[_Res2Text]],FIND("[",Tasks[[#This Row],[_Res2Text]]&amp;"[")-1))))</f>
        <v/>
      </c>
      <c r="DW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8" s="43" t="n">
        <f aca="false">IF(OR(NOT(Tasks[[#This Row],[_IsLeaf]]=1),Tasks[[#This Row],[_Res2Row]]=0),0,N(Tasks[[#This Row],[_Days]])*HoursPerDay*IF(Tasks[[#This Row],[_Res2Units]]="",DefaultUnits,Tasks[[#This Row],[_Res2Units]]))</f>
        <v>0</v>
      </c>
      <c r="DY48" s="43" t="n">
        <f aca="false">IF(AND(AND(Tasks[[#This Row],[_IsLeaf]]=1,Tasks[[#This Row],[_LeafTotalWork]]&gt;0),Tasks[[#This Row],[_Res2Work]]&gt;0),Tasks[[#This Row],[_Res2Work]]/(Tasks[[#This Row],[_FinishWorkday]]-Tasks[[#This Row],[_StartWorkday]]+1),0)</f>
        <v>0</v>
      </c>
      <c r="DZ48" s="43" t="n">
        <f aca="false">Tasks[[#This Row],[_Res2WorkPerWD]]*MAX(0,Tasks[[#This Row],[_StartWorkday]]-1)</f>
        <v>0</v>
      </c>
      <c r="EA48" s="43" t="n">
        <f aca="false">Tasks[[#This Row],[_Res2Work]]*Tasks[[#This Row],[_LeafProgress]]</f>
        <v>0</v>
      </c>
      <c r="EB48" s="43" t="str">
        <f aca="false">IF(Tasks[[#This Row],[_Res3Text]]="","",IF(Tasks[[#This Row],[_Res3Row]]&gt;0,INDEX(res_Name,Tasks[[#This Row],[_Res3Row]]),TRIM(LEFT(Tasks[[#This Row],[_Res3Text]],FIND("[",Tasks[[#This Row],[_Res3Text]]&amp;"[")-1))))</f>
        <v/>
      </c>
      <c r="EC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8" s="43" t="n">
        <f aca="false">IF(OR(NOT(Tasks[[#This Row],[_IsLeaf]]=1),Tasks[[#This Row],[_Res3Row]]=0),0,N(Tasks[[#This Row],[_Days]])*HoursPerDay*IF(Tasks[[#This Row],[_Res3Units]]="",DefaultUnits,Tasks[[#This Row],[_Res3Units]]))</f>
        <v>0</v>
      </c>
      <c r="EE48" s="43" t="n">
        <f aca="false">IF(AND(AND(Tasks[[#This Row],[_IsLeaf]]=1,Tasks[[#This Row],[_LeafTotalWork]]&gt;0),Tasks[[#This Row],[_Res3Work]]&gt;0),Tasks[[#This Row],[_Res3Work]]/(Tasks[[#This Row],[_FinishWorkday]]-Tasks[[#This Row],[_StartWorkday]]+1),0)</f>
        <v>0</v>
      </c>
      <c r="EF48" s="43" t="n">
        <f aca="false">Tasks[[#This Row],[_Res3WorkPerWD]]*MAX(0,Tasks[[#This Row],[_StartWorkday]]-1)</f>
        <v>0</v>
      </c>
      <c r="EG48" s="43" t="n">
        <f aca="false">Tasks[[#This Row],[_Res3Work]]*Tasks[[#This Row],[_LeafProgress]]</f>
        <v>0</v>
      </c>
      <c r="EH48" s="43" t="str">
        <f aca="false">IF(Tasks[[#This Row],[_Res4Text]]="","",IF(Tasks[[#This Row],[_Res4Row]]&gt;0,INDEX(res_Name,Tasks[[#This Row],[_Res4Row]]),TRIM(LEFT(Tasks[[#This Row],[_Res4Text]],FIND("[",Tasks[[#This Row],[_Res4Text]]&amp;"[")-1))))</f>
        <v/>
      </c>
      <c r="EI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8" s="43" t="n">
        <f aca="false">IF(OR(NOT(Tasks[[#This Row],[_IsLeaf]]=1),Tasks[[#This Row],[_Res4Row]]=0),0,N(Tasks[[#This Row],[_Days]])*HoursPerDay*IF(Tasks[[#This Row],[_Res4Units]]="",DefaultUnits,Tasks[[#This Row],[_Res4Units]]))</f>
        <v>0</v>
      </c>
      <c r="EK48" s="43" t="n">
        <f aca="false">IF(AND(AND(Tasks[[#This Row],[_IsLeaf]]=1,Tasks[[#This Row],[_LeafTotalWork]]&gt;0),Tasks[[#This Row],[_Res4Work]]&gt;0),Tasks[[#This Row],[_Res4Work]]/(Tasks[[#This Row],[_FinishWorkday]]-Tasks[[#This Row],[_StartWorkday]]+1),0)</f>
        <v>0</v>
      </c>
      <c r="EL48" s="43" t="n">
        <f aca="false">Tasks[[#This Row],[_Res4WorkPerWD]]*MAX(0,Tasks[[#This Row],[_StartWorkday]]-1)</f>
        <v>0</v>
      </c>
      <c r="EM48" s="43" t="n">
        <f aca="false">Tasks[[#This Row],[_Res4Work]]*Tasks[[#This Row],[_LeafProgress]]</f>
        <v>0</v>
      </c>
      <c r="EN48" s="43" t="n">
        <f aca="false">IF(ISNUMBER(Tasks[[#This Row],[% Complete]]),Tasks[[#This Row],[% Complete]],IF(Tasks[[#This Row],[Stage]]="",0,IFERROR(INDEX(stg_Pct,MATCH(Tasks[[#This Row],[Stage]],stg_Name,0)),0)))</f>
        <v>0</v>
      </c>
      <c r="EO48" s="43" t="n">
        <f aca="false">IF(NOT(Tasks[[#This Row],[_IsLeaf]]=1),0,IF(N(Tasks[[#This Row],[Actual Finish]])&gt;0,1,MIN(1,Tasks[[#This Row],[_Pct]])))</f>
        <v>0</v>
      </c>
      <c r="EP48" s="43" t="n">
        <f aca="false">IF(OR(NOT(Tasks[[#This Row],[_IsLeaf]]=1),Tasks[[#This Row],[_Res1Row]]=0),0,N(Tasks[[#This Row],[_Days]])*HoursPerDay*IF(Tasks[[#This Row],[_Units1]]="",DefaultUnits,Tasks[[#This Row],[_Units1]]))</f>
        <v>0</v>
      </c>
      <c r="EQ48" s="43" t="n">
        <f aca="false">Tasks[[#This Row],[_LeafWork]]+Tasks[[#This Row],[_Res2Work]]+Tasks[[#This Row],[_Res3Work]]+Tasks[[#This Row],[_Res4Work]]</f>
        <v>0</v>
      </c>
      <c r="ER4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8" s="43" t="n">
        <f aca="false">IF(NOT(Tasks[[#This Row],[_IsLeaf]]=1),0,MAX(_xlfn.MAXIFS(Tasks[_Row],Tasks[_Pred1UID],Tasks[[#This Row],[UID]]),_xlfn.MAXIFS(Tasks[_Row],Tasks[_Pred2UID],Tasks[[#This Row],[UID]]),_xlfn.MAXIFS(Tasks[_Row],Tasks[_Pred3UID],Tasks[[#This Row],[UID]]),_xlfn.MAXIFS(Tasks[_Row],Tasks[_Pred4UID],Tasks[[#This Row],[UID]])))</f>
        <v>0</v>
      </c>
      <c r="FA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8" s="91" t="str">
        <f aca="false">IF(NOT(Tasks[[#This Row],[_IsLeaf]]=1),"",IF(N(Tasks[[#This Row],[_Days]])&lt;=0,Tasks[[#This Row],[_LeafLateFinish]],WORKDAY.INTL(Tasks[[#This Row],[_LeafLateFinish]],-(Tasks[[#This Row],[_Days]]-1),WorkWeek,Holidays)))</f>
        <v/>
      </c>
      <c r="FD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8" s="90" t="b">
        <f aca="false">AND(Tasks[[#This Row],[_IsLeaf]]=1,Tasks[[#This Row],[_LeafProgress]]&lt;1,N(Tasks[[#This Row],[_LeafTotalSlack]])&lt;=CriticalSlackDays)</f>
        <v>0</v>
      </c>
      <c r="FF48" s="43" t="n">
        <f aca="false">IF(AND(Tasks[[#This Row],[_IsLeaf]]=1,Tasks[[#This Row],[_ConstraintCode]]=1,Tasks[[#This Row],[Mode]]&lt;&gt;"Manual",N(Tasks[[#This Row],[Actual Start]])=0),MAX(0,N(Tasks[[#This Row],[Free Slack]])),0)</f>
        <v>0</v>
      </c>
      <c r="FG48" s="91" t="str">
        <f aca="false">IF(NOT(Tasks[[#This Row],[_IsLeaf]]=1),"",IF(Tasks[[#This Row],[_AlapShift]]=0,Tasks[[#This Row],[_LeafCalcStart]],WORKDAY.INTL(Tasks[[#This Row],[_LeafCalcStart]],Tasks[[#This Row],[_AlapShift]],WorkWeek,Holidays)))</f>
        <v/>
      </c>
      <c r="FH48" s="91" t="str">
        <f aca="false">IF(NOT(Tasks[[#This Row],[_IsLeaf]]=1),"",IF(Tasks[[#This Row],[_AlapShift]]=0,Tasks[[#This Row],[_LeafCalcFinish]],WORKDAY.INTL(Tasks[[#This Row],[_LeafCalcFinish]],Tasks[[#This Row],[_AlapShift]],WorkWeek,Holidays)))</f>
        <v/>
      </c>
      <c r="FI48" s="91" t="str">
        <f aca="false">IF(NOT(Tasks[[#This Row],[_IsLeaf]]=1),"",IF(Tasks[[#This Row],[_AlapShift]]=0,Tasks[[#This Row],[_LeafFcstStart]],WORKDAY.INTL(Tasks[[#This Row],[_LeafFcstStart]],Tasks[[#This Row],[_AlapShift]],WorkWeek,Holidays)))</f>
        <v/>
      </c>
      <c r="FJ48" s="91" t="str">
        <f aca="false">IF(NOT(Tasks[[#This Row],[_IsLeaf]]=1),"",IF(Tasks[[#This Row],[_AlapShift]]=0,Tasks[[#This Row],[_LeafFcstFinish]],WORKDAY.INTL(Tasks[[#This Row],[_LeafFcstFinish]],Tasks[[#This Row],[_AlapShift]],WorkWeek,Holidays)))</f>
        <v/>
      </c>
      <c r="FK48" s="91" t="str">
        <f aca="false">IF(Tasks[[#This Row],[Task Name]]="","",IF(Tasks[[#This Row],[_IsSummary]],MIN(INDEX(Tasks[_ShownCalcStart],Tasks[[#This Row],[_Row]]+1):INDEX(Tasks[_ShownCalcStart],Tasks[[#This Row],[_Row]]+Tasks[[#This Row],[_Descendants]])),Tasks[[#This Row],[_ShownCalcStart]]))</f>
        <v/>
      </c>
      <c r="FL48" s="91" t="str">
        <f aca="false">IF(Tasks[[#This Row],[Task Name]]="","",IF(Tasks[[#This Row],[_IsSummary]],MAX(INDEX(Tasks[_ShownCalcFinish],Tasks[[#This Row],[_Row]]+1):INDEX(Tasks[_ShownCalcFinish],Tasks[[#This Row],[_Row]]+Tasks[[#This Row],[_Descendants]])),Tasks[[#This Row],[_ShownCalcFinish]]))</f>
        <v/>
      </c>
      <c r="FM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8" s="43" t="n">
        <f aca="false">IF(AND(Tasks[[#This Row],[_IsLeaf]]=1,Tasks[[#This Row],[_LeafTotalWork]]&gt;0),NETWORKDAYS.INTL(ProjectStart,Tasks[[#This Row],[_ShownFcstStart]],WorkWeek,Holidays),0)</f>
        <v>0</v>
      </c>
      <c r="FZ48" s="43" t="n">
        <f aca="false">IF(AND(Tasks[[#This Row],[_IsLeaf]]=1,Tasks[[#This Row],[_LeafTotalWork]]&gt;0),MAX(Tasks[[#This Row],[_StartWorkday]],NETWORKDAYS.INTL(ProjectStart,Tasks[[#This Row],[_ShownFcstFinish]],WorkWeek,Holidays)),0)</f>
        <v>0</v>
      </c>
      <c r="GA48" s="43" t="n">
        <f aca="false">IF(AND(Tasks[[#This Row],[_IsLeaf]]=1,Tasks[[#This Row],[_LeafTotalWork]]&gt;0),Tasks[[#This Row],[_LeafWork]]/(Tasks[[#This Row],[_FinishWorkday]]-Tasks[[#This Row],[_StartWorkday]]+1),0)</f>
        <v>0</v>
      </c>
      <c r="GB48" s="43" t="n">
        <f aca="false">Tasks[[#This Row],[_WorkPerWorkday]]*(Tasks[[#This Row],[_StartWorkday]]-1)</f>
        <v>-0</v>
      </c>
      <c r="GC48" s="43" t="n">
        <f aca="false">IF(Tasks[[#This Row],[_IsLeaf]]=1,MAX(N(Tasks[[#This Row],[_Days]]),0.1),0)</f>
        <v>0</v>
      </c>
      <c r="GD48" s="43" t="n">
        <f aca="false">Tasks[[#This Row],[_WeightDur]]*Tasks[[#This Row],[_LeafProgress]]</f>
        <v>0</v>
      </c>
      <c r="GE48" s="43" t="n">
        <f aca="false">Tasks[[#This Row],[_WeightDur]]*Tasks[[#This Row],[_PlannedPct]]</f>
        <v>0</v>
      </c>
      <c r="GF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8" s="43" t="str">
        <f aca="false">IF(AND(Tasks[[#This Row],[_IsLeaf]]=1,N(Tasks[[#This Row],[_Days]])=0,Tasks[[#This Row],[_LeafProgress]]&lt;1),Tasks[[#This Row],[_ShownFcstFinish]]+Tasks[[#This Row],[_Row]]/100000,"")</f>
        <v/>
      </c>
      <c r="GH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8" s="43" t="str">
        <f aca="false">IF(Tasks[[#This Row],[Task Name]]="","",LEFT(Tasks[[#This Row],[WBS]],FIND(".",Tasks[[#This Row],[WBS]]&amp;".")-1))</f>
        <v/>
      </c>
      <c r="GJ48" s="43" t="str">
        <f aca="false">IF(AND(Tasks[[#This Row],[Task Name]]&lt;&gt;"",Tasks[[#This Row],[_Level]]=1),Tasks[[#This Row],[_Row]],"")</f>
        <v/>
      </c>
      <c r="GK48" s="43" t="str">
        <f aca="false">IF(AND(Tasks[[#This Row],[_IsLeaf]]=1,N(Tasks[[#This Row],[_Days]])=0),Tasks[[#This Row],[Planned Finish]]+Tasks[[#This Row],[_Row]]/100000,"")</f>
        <v/>
      </c>
      <c r="GL48" s="43" t="str">
        <f aca="false">IF(AND(Tasks[[#This Row],[_IsLeaf]]=1,Tasks[[#This Row],[_LeafProgress]]&lt;1,OR(N(Tasks[[#This Row],[Finish Var]])&gt;0,Tasks[[#This Row],[Status]]="Late Start")),MAX(0,Tasks[[#This Row],[Finish Var]])+1-Tasks[[#This Row],[_Row]]/1000000,"")</f>
        <v/>
      </c>
      <c r="GM48" s="43" t="str">
        <f aca="false">IF(AND(Tasks[[#This Row],[_IsLeaf]]=1,N(Tasks[[#This Row],[Actual Start]])=0,Tasks[[#This Row],[_ShownFcstStart]]&gt;=StatusDate,Tasks[[#This Row],[_ShownFcstStart]]&lt;=LookaheadEnd),Tasks[[#This Row],[_ShownFcstStart]]+Tasks[[#This Row],[_Row]]/100000,"")</f>
        <v/>
      </c>
      <c r="GN48" s="43" t="str">
        <f aca="false">IF(AND(Tasks[[#This Row],[_IsLeaf]]=1,Tasks[[#This Row],[_LeafProgress]]&lt;1,Tasks[[#This Row],[_ShownFcstFinish]]&gt;=StatusDate,Tasks[[#This Row],[_ShownFcstFinish]]&lt;=LookaheadEnd),Tasks[[#This Row],[_ShownFcstFinish]]+Tasks[[#This Row],[_Row]]/100000,"")</f>
        <v/>
      </c>
      <c r="GO48" s="43" t="str">
        <f aca="false">IF(Tasks[[#This Row],[_LeafCritical]],Tasks[[#This Row],[_ShownFcstStart]]+Tasks[[#This Row],[_Row]]/100000,"")</f>
        <v/>
      </c>
      <c r="GP48" s="43" t="n">
        <f aca="false">Tasks[[#This Row],[_LeafWork]]*Tasks[[#This Row],[_LeafProgress]]</f>
        <v>0</v>
      </c>
      <c r="GQ48" s="91" t="str">
        <f aca="false">IF(AND(Tasks[[#This Row],[_IsLeaf]]=1,Tasks[[#This Row],[_LeafProgress]]&gt;=1),IF(N(Tasks[[#This Row],[Actual Finish]])&gt;0,Tasks[[#This Row],[Actual Finish]],Tasks[[#This Row],[_ShownFcstFinish]]),"")</f>
        <v/>
      </c>
      <c r="GR48" s="43" t="n">
        <f aca="false">IF(Tasks[[#This Row],[_IsLeaf]]=1,N(Tasks[[#This Row],[Story Points]]),0)</f>
        <v>0</v>
      </c>
      <c r="GS48" s="43" t="str">
        <f aca="false">""</f>
        <v/>
      </c>
      <c r="GT48" s="90" t="b">
        <f aca="false">IF(Tasks[[#This Row],[Task Name]]="",FALSE(),AND(Tasks[[#This Row],[_IsLeaf]]=1,N(Tasks[[#This Row],[_Days]])=0))</f>
        <v>0</v>
      </c>
      <c r="GU48" s="91" t="n">
        <f aca="false">IF(Tasks[[#This Row],[Task Name]]="",0,IF(AND(Tasks[[#This Row],[_IsLeaf]]=1,NOT(Tasks[[#This Row],[_IsMilestone]]),N(Tasks[[#This Row],[Progress]])&gt;0),Tasks[[#This Row],[Start]],0))</f>
        <v>0</v>
      </c>
      <c r="GV48" s="91" t="n">
        <f aca="false">IF(Tasks[[#This Row],[_DoneFrom]]=0,0,IF(Tasks[[#This Row],[Progress]]&gt;=1,Tasks[[#This Row],[Finish]],MAX(Tasks[[#This Row],[_DoneFrom]],Tasks[[#This Row],[Start]]+ROUND((Tasks[[#This Row],[Finish]]-Tasks[[#This Row],[Start]]+1)*Tasks[[#This Row],[Progress]],0)-1)))</f>
        <v>0</v>
      </c>
      <c r="GW48" s="91" t="n">
        <f aca="false">IF(Tasks[[#This Row],[Task Name]]="",0,IF(OR(NOT(Tasks[[#This Row],[_IsLeaf]]=1),Tasks[[#This Row],[_IsMilestone]],N(Tasks[[#This Row],[Progress]])&gt;=1),0,IF(Tasks[[#This Row],[_DoneTo]]&gt;0,Tasks[[#This Row],[_DoneTo]]+1,Tasks[[#This Row],[Start]])))</f>
        <v>0</v>
      </c>
      <c r="GX48" s="91" t="n">
        <f aca="false">IF(Tasks[[#This Row],[_RemFrom]]=0,0,Tasks[[#This Row],[Finish]])</f>
        <v>0</v>
      </c>
      <c r="GY48" s="90" t="b">
        <f aca="false">IF(Tasks[[#This Row],[Task Name]]="",FALSE(),OR(NOT(BaselineSet),N(Tasks[[#This Row],[Baseline Start]])&gt;0))</f>
        <v>0</v>
      </c>
      <c r="GZ4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8" s="92" t="str">
        <f aca="false">IF(Tasks[[#This Row],[_IsLeaf]]=1,Tasks[[#This Row],[_Row]],"")</f>
        <v/>
      </c>
      <c r="HD48" s="92" t="str">
        <f aca="false">IFERROR(INDEX(Tasks[UID],SMALL(Tasks[_PickKey],Tasks[[#This Row],[_Row]]))&amp;" "&amp;INDEX(Tasks[Task Name],SMALL(Tasks[_PickKey],Tasks[[#This Row],[_Row]])),"")</f>
        <v/>
      </c>
      <c r="HE48" s="43" t="str">
        <f aca="false">IF(Tasks[[#This Row],[Task Name]]="","",IF(Tasks[[#This Row],[_IsSummary]],NETWORKDAYS.INTL(Tasks[[#This Row],[Start]],Tasks[[#This Row],[Finish]],WorkWeek,Holidays),N(Tasks[[#This Row],[_Days]])))</f>
        <v/>
      </c>
      <c r="HF48" s="43" t="n">
        <f aca="false">IF(Tasks[[#This Row],[Expected]]="",0,((Tasks[[#This Row],[Pessimistic]]-Tasks[[#This Row],[Optimistic]])/6)^2)</f>
        <v>0</v>
      </c>
      <c r="HG48" s="43" t="n">
        <f aca="false">IF(Tasks[[#This Row],[Expected]]="",0,Tasks[[#This Row],[Expected]]-N(Tasks[[#This Row],[_Days]]))</f>
        <v>0</v>
      </c>
    </row>
    <row r="49" customFormat="false" ht="15" hidden="false" customHeight="false" outlineLevel="0" collapsed="false">
      <c r="A49" s="21" t="str">
        <f aca="false">IF(Tasks[[#This Row],[Task Name]]="","",COUNTA(Tasks[[#Headers],[Task Name]]:Tasks[[#This Row],[Task Name]])-1)</f>
        <v/>
      </c>
      <c r="B49" s="22" t="n">
        <v>57</v>
      </c>
      <c r="C49" s="22"/>
      <c r="D49" s="23"/>
      <c r="E49" s="22"/>
      <c r="F49" s="23"/>
      <c r="G49" s="22"/>
      <c r="H49" s="22"/>
      <c r="I49" s="23"/>
      <c r="J49" s="22"/>
      <c r="K49" s="22"/>
      <c r="L49" s="23"/>
      <c r="M49" s="22"/>
      <c r="N49" s="22"/>
      <c r="O49" s="23"/>
      <c r="P49" s="22"/>
      <c r="Q49" s="22"/>
      <c r="R49" s="23"/>
      <c r="S49" s="23"/>
      <c r="T49" s="84"/>
      <c r="U49" s="23"/>
      <c r="V49" s="84"/>
      <c r="W49" s="23"/>
      <c r="X49" s="84"/>
      <c r="Y49" s="23"/>
      <c r="Z49" s="84"/>
      <c r="AA49" s="23"/>
      <c r="AB49" s="23"/>
      <c r="AC49" s="7"/>
      <c r="AD49" s="7"/>
      <c r="AE49" s="63" t="str">
        <f aca="false">IF(Tasks[[#This Row],[Task Name]]="","",IF(Tasks[[#This Row],[_IsSummary]],MIN(INDEX(Tasks[_ShownFcstStart],Tasks[[#This Row],[_Row]]+1):INDEX(Tasks[_ShownFcstStart],Tasks[[#This Row],[_Row]]+Tasks[[#This Row],[_Descendants]])),Tasks[[#This Row],[_ShownFcstStart]]))</f>
        <v/>
      </c>
      <c r="AF49" s="63" t="str">
        <f aca="false">IF(Tasks[[#This Row],[Task Name]]="","",IF(Tasks[[#This Row],[_IsSummary]],MAX(INDEX(Tasks[_ShownFcstFinish],Tasks[[#This Row],[_Row]]+1):INDEX(Tasks[_ShownFcstFinish],Tasks[[#This Row],[_Row]]+Tasks[[#This Row],[_Descendants]])),Tasks[[#This Row],[_ShownFcstFinish]]))</f>
        <v/>
      </c>
      <c r="AG49" s="21" t="str">
        <f aca="false">""</f>
        <v/>
      </c>
      <c r="AH49" s="23"/>
      <c r="AI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9" s="7"/>
      <c r="AK49" s="22"/>
      <c r="AL49" s="23"/>
      <c r="AM49" s="7"/>
      <c r="AN49" s="47" t="str">
        <f aca="false">IF(Tasks[[#This Row],[Task Name]]="","",IF(Tasks[[#This Row],[Finish]]&gt;=Tasks[[#This Row],[Planned Finish]],NETWORKDAYS.INTL(Tasks[[#This Row],[Planned Finish]],Tasks[[#This Row],[Finish]],WorkWeek,Holidays)-1,1-NETWORKDAYS.INTL(Tasks[[#This Row],[Finish]],Tasks[[#This Row],[Planned Finish]],WorkWeek,Holidays)))</f>
        <v/>
      </c>
      <c r="AO49" s="21" t="str">
        <f aca="false">IF(Tasks[[#This Row],[Task Name]]="","",IF(Tasks[[#This Row],[Progress]]&gt;=1,"Complete",IF(OR(N(Tasks[[#This Row],[Actual Start]])&gt;0,Tasks[[#This Row],[Progress]]&gt;0),IF(Tasks[[#This Row],[Finish Var]]&gt;0,"Behind","In Progress"),IF(Tasks[[#This Row],[Planned Start]]&lt;StatusDate,"Late Start","Not Started"))))</f>
        <v/>
      </c>
      <c r="AP49" s="21" t="str">
        <f aca="false">IF(Tasks[[#This Row],[Task Name]]="","",IF(IF(Tasks[[#This Row],[_IsSummary]],COUNTIF(INDEX(Tasks[_LeafCritical],Tasks[[#This Row],[_Row]]+1):INDEX(Tasks[_LeafCritical],Tasks[[#This Row],[_Row]]+Tasks[[#This Row],[_Descendants]]),TRUE())&gt;0,Tasks[[#This Row],[_LeafCritical]]),"Yes",""))</f>
        <v/>
      </c>
      <c r="AQ49" s="63" t="str">
        <f aca="false">IF(Tasks[[#This Row],[Task Name]]="","",IF(N(Tasks[[#This Row],[Baseline Start]])&gt;0,Tasks[[#This Row],[Baseline Start]],Tasks[[#This Row],[_CalcStart]]))</f>
        <v/>
      </c>
      <c r="AR49" s="63" t="str">
        <f aca="false">IF(Tasks[[#This Row],[Task Name]]="","",IF(N(Tasks[[#This Row],[Baseline Finish]])&gt;0,Tasks[[#This Row],[Baseline Finish]],Tasks[[#This Row],[_CalcFinish]]))</f>
        <v/>
      </c>
      <c r="AS49" s="47" t="str">
        <f aca="false">IF(Tasks[[#This Row],[Task Name]]="","",IF(Tasks[[#This Row],[Start]]&gt;=Tasks[[#This Row],[Planned Start]],NETWORKDAYS.INTL(Tasks[[#This Row],[Planned Start]],Tasks[[#This Row],[Start]],WorkWeek,Holidays)-1,1-NETWORKDAYS.INTL(Tasks[[#This Row],[Start]],Tasks[[#This Row],[Planned Start]],WorkWeek,Holidays)))</f>
        <v/>
      </c>
      <c r="AT49" s="63" t="str">
        <f aca="false">IF(Tasks[[#This Row],[Task Name]]="","",IF(Tasks[[#This Row],[_IsSummary]],MIN(INDEX(Tasks[_LeafLateStart],Tasks[[#This Row],[_Row]]+1):INDEX(Tasks[_LeafLateStart],Tasks[[#This Row],[_Row]]+Tasks[[#This Row],[_Descendants]])),Tasks[[#This Row],[_LeafLateStart]]))</f>
        <v/>
      </c>
      <c r="AU49" s="63" t="str">
        <f aca="false">IF(Tasks[[#This Row],[Task Name]]="","",IF(Tasks[[#This Row],[_IsSummary]],MAX(INDEX(Tasks[_LeafLateFinish],Tasks[[#This Row],[_Row]]+1):INDEX(Tasks[_LeafLateFinish],Tasks[[#This Row],[_Row]]+Tasks[[#This Row],[_Descendants]])),Tasks[[#This Row],[_LeafLateFinish]]))</f>
        <v/>
      </c>
      <c r="AV49" s="47" t="str">
        <f aca="false">IF(Tasks[[#This Row],[Task Name]]="","",IF(Tasks[[#This Row],[_IsSummary]],MIN(INDEX(Tasks[_LeafTotalSlack],Tasks[[#This Row],[_Row]]+1):INDEX(Tasks[_LeafTotalSlack],Tasks[[#This Row],[_Row]]+Tasks[[#This Row],[_Descendants]])),Tasks[[#This Row],[_LeafTotalSlack]]))</f>
        <v/>
      </c>
      <c r="AW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5"/>
      <c r="BA4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t="str">
        <f aca="false">IF(Tasks[[#This Row],[Task Name]]="","",IF(Tasks[[#This Row],[_Level]]&lt;=OutlineShowLevel,"Yes","No"))</f>
        <v/>
      </c>
      <c r="BE49" s="86" t="str">
        <f aca="false">IF(Tasks[[#This Row],[Task Name]]="","",IF(Tasks[[#This Row],[_IsSummary]],SUM(INDEX(Tasks[_LeafTotalWork],Tasks[[#This Row],[_Row]]+1):INDEX(Tasks[_LeafTotalWork],Tasks[[#This Row],[_Row]]+Tasks[[#This Row],[_Descendants]])),Tasks[[#This Row],[_LeafTotalWork]]))</f>
        <v/>
      </c>
      <c r="BF49" s="23"/>
      <c r="BG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t="str">
        <f aca="false">""</f>
        <v/>
      </c>
      <c r="BI49" s="87"/>
      <c r="BJ49" s="22"/>
      <c r="BK49" s="47" t="str">
        <f aca="false">IF(OR(Tasks[[#This Row],[Task Name]]="",Tasks[[#This Row],[Baseline Duration]]=""),"",Tasks[[#This Row],[_SpanDays]]-N(Tasks[[#This Row],[Baseline Duration]]))</f>
        <v/>
      </c>
      <c r="BL49" s="86" t="str">
        <f aca="false">IF(OR(Tasks[[#This Row],[Task Name]]="",Tasks[[#This Row],[Baseline Work]]=""),"",Tasks[[#This Row],[Work]]-N(Tasks[[#This Row],[Baseline Work]]))</f>
        <v/>
      </c>
      <c r="BM49" s="63" t="str">
        <f aca="false">IF(Tasks[[#This Row],[Task Name]]="","",IF(OR(TakeBaseline="Yes",N(Tasks[[#This Row],[Baseline Start]])=0),Tasks[[#This Row],[Start]],Tasks[[#This Row],[Baseline Start]]))</f>
        <v/>
      </c>
      <c r="BN49" s="63" t="str">
        <f aca="false">IF(Tasks[[#This Row],[Task Name]]="","",IF(OR(TakeBaseline="Yes",N(Tasks[[#This Row],[Baseline Finish]])=0),Tasks[[#This Row],[Finish]],Tasks[[#This Row],[Baseline Finish]]))</f>
        <v/>
      </c>
      <c r="BO49" s="21" t="str">
        <f aca="false">IF(Tasks[[#This Row],[Task Name]]="","",IF(OR(TakeBaseline="Yes",N(Tasks[[#This Row],[Baseline Duration]])=0),Tasks[[#This Row],[_SpanDays]],Tasks[[#This Row],[Baseline Duration]]))</f>
        <v/>
      </c>
      <c r="BP49" s="86" t="str">
        <f aca="false">IF(Tasks[[#This Row],[Task Name]]="","",IF(OR(TakeBaseline="Yes",N(Tasks[[#This Row],[Baseline Work]])=0),Tasks[[#This Row],[Work]],Tasks[[#This Row],[Baseline Work]]))</f>
        <v/>
      </c>
      <c r="BQ49" s="7"/>
      <c r="BR49" s="7"/>
      <c r="BS49" s="22"/>
      <c r="BT49" s="88"/>
      <c r="BU49" s="23"/>
      <c r="BV49" s="23"/>
      <c r="BW49" s="23"/>
      <c r="BX49" s="89" t="str">
        <f aca="false">IF(AND(Tasks[[#This Row],[_IsLeaf]]=1,ISNUMBER(Tasks[[#This Row],[Optimistic]]),ISNUMBER(Tasks[[#This Row],[Pessimistic]])),ROUND((Tasks[[#This Row],[Optimistic]]+4*N(Tasks[[#This Row],[_Days]])+Tasks[[#This Row],[Pessimistic]])/6,1),"")</f>
        <v/>
      </c>
      <c r="BY49" s="87"/>
      <c r="BZ49" s="87"/>
      <c r="CA49" s="22"/>
      <c r="CB49" s="43" t="str">
        <f aca="false">IF(Tasks[[#This Row],[Task Name]]="","",MAX(1,N(Tasks[[#This Row],[Level]])))</f>
        <v/>
      </c>
      <c r="CC49" s="43" t="n">
        <f aca="false">ROW()-ROW(Tasks[[#Headers],[ID]])</f>
        <v>44</v>
      </c>
      <c r="CD49" s="43" t="n">
        <f aca="false">IF(OR(Tasks[[#This Row],[Task Name]]="",Tasks[[#This Row],[_Level]]&lt;=1),0,IFERROR(LOOKUP(2,1/(Tasks[[#Headers],[_Level]]:Tasks[[#This Row],[_Level]]=Tasks[[#This Row],[_Level]]-1),ROW(Tasks[[#Headers],[_Level]]:Tasks[[#This Row],[_Level]])),0))</f>
        <v>0</v>
      </c>
      <c r="CE49" s="43" t="n">
        <f aca="false">IFERROR(N(INDEX(Tasks[_Level],Tasks[[#This Row],[_Row]]+1)),0)</f>
        <v>0</v>
      </c>
      <c r="CF49" s="90" t="b">
        <f aca="false">AND(Tasks[[#This Row],[Task Name]]&lt;&gt;"",Tasks[[#This Row],[_NextLevel]]&gt;Tasks[[#This Row],[_Level]])</f>
        <v>0</v>
      </c>
      <c r="CG49" s="43" t="n">
        <f aca="false">IF(Tasks[[#This Row],[_IsSummary]],COUNTIF(Tasks[WBS],Tasks[[#This Row],[WBS]]&amp;".*"),0)</f>
        <v>0</v>
      </c>
      <c r="CH49" s="43" t="n">
        <f aca="false">IF(AND(Tasks[[#This Row],[Task Name]]&lt;&gt;"",NOT(Tasks[[#This Row],[_IsSummary]])),1,0)</f>
        <v>0</v>
      </c>
      <c r="CI49" s="43" t="n">
        <f aca="false">IF(N(Tasks[[#This Row],[_Pred1UID]])=0,0,IFERROR(MATCH(Tasks[[#This Row],[_Pred1UID]],Tasks[UID],0),-1))</f>
        <v>0</v>
      </c>
      <c r="CJ49" s="43" t="n">
        <f aca="false">IF(N(Tasks[[#This Row],[_Pred2UID]])=0,0,IFERROR(MATCH(Tasks[[#This Row],[_Pred2UID]],Tasks[UID],0),-1))</f>
        <v>0</v>
      </c>
      <c r="CK49" s="43" t="n">
        <f aca="false">IF(N(Tasks[[#This Row],[_Pred3UID]])=0,0,IFERROR(MATCH(Tasks[[#This Row],[_Pred3UID]],Tasks[UID],0),-1))</f>
        <v>0</v>
      </c>
      <c r="CL49" s="43" t="n">
        <f aca="false">IF(N(Tasks[[#This Row],[_Pred4UID]])=0,0,IFERROR(MATCH(Tasks[[#This Row],[_Pred4UID]],Tasks[UID],0),-1))</f>
        <v>0</v>
      </c>
      <c r="CM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9" s="91" t="n">
        <f aca="false">IF(OR(Tasks[[#This Row],[_ConstraintCode]]=2,Tasks[[#This Row],[_ConstraintCode]]=3,Tasks[[#This Row],[_ConstraintCode]]=4,Tasks[[#This Row],[_ConstraintCode]]=6),Tasks[[#This Row],[_ConstraintStart]],0)</f>
        <v>0</v>
      </c>
      <c r="CP49" s="91" t="n">
        <f aca="false">IF(OR(Tasks[[#This Row],[_ConstraintCode]]=2,Tasks[[#This Row],[_ConstraintCode]]=3,Tasks[[#This Row],[_ConstraintCode]]=5,Tasks[[#This Row],[_ConstraintCode]]=7),Tasks[[#This Row],[_ConstraintStart]],2958465)</f>
        <v>2958465</v>
      </c>
      <c r="CQ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9" s="91" t="str">
        <f aca="false">IF(NOT(Tasks[[#This Row],[_IsLeaf]]=1),"",IF(N(Tasks[[#This Row],[_Days]])&lt;=0,Tasks[[#This Row],[_LeafCalcStart]],WORKDAY.INTL(Tasks[[#This Row],[_LeafCalcStart]],Tasks[[#This Row],[_Days]]-1,WorkWeek,Holidays)))</f>
        <v/>
      </c>
      <c r="CS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9" s="43" t="str">
        <f aca="false">IF(Tasks[[#This Row],[_Predecessors]]="","",TRIM(MID(SUBSTITUTE(SUBSTITUTE(SUBSTITUTE(UPPER(Tasks[[#This Row],[_Predecessors]]),";",",")," ",""),",",REPT(" ",99)),1,99)))</f>
        <v/>
      </c>
      <c r="CV49" s="43" t="str">
        <f aca="false">IF(Tasks[[#This Row],[_Pred1Text]]="","",IFERROR(VALUE(LEFT(Tasks[[#This Row],[_Pred1Text]],MIN(FIND("F",Tasks[[#This Row],[_Pred1Text]]&amp;"F"),FIND("S",Tasks[[#This Row],[_Pred1Text]]&amp;"S"),FIND("+",Tasks[[#This Row],[_Pred1Text]]&amp;"+"),FIND("-",Tasks[[#This Row],[_Pred1Text]]&amp;"-"))-1)),""))</f>
        <v/>
      </c>
      <c r="CW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9" s="43" t="str">
        <f aca="false">IF(Tasks[[#This Row],[_Pred1Text]]="","",TRIM(MID(SUBSTITUTE(SUBSTITUTE(SUBSTITUTE(UPPER(Tasks[[#This Row],[_Predecessors]]),";",",")," ",""),",",REPT(" ",99)),100,99)))</f>
        <v/>
      </c>
      <c r="CZ49" s="43" t="str">
        <f aca="false">IF(Tasks[[#This Row],[_Pred2Text]]="","",IFERROR(VALUE(LEFT(Tasks[[#This Row],[_Pred2Text]],MIN(FIND("F",Tasks[[#This Row],[_Pred2Text]]&amp;"F"),FIND("S",Tasks[[#This Row],[_Pred2Text]]&amp;"S"),FIND("+",Tasks[[#This Row],[_Pred2Text]]&amp;"+"),FIND("-",Tasks[[#This Row],[_Pred2Text]]&amp;"-"))-1)),""))</f>
        <v/>
      </c>
      <c r="DA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9" s="43" t="str">
        <f aca="false">IF(Tasks[[#This Row],[_Pred2Text]]="","",TRIM(MID(SUBSTITUTE(SUBSTITUTE(SUBSTITUTE(UPPER(Tasks[[#This Row],[_Predecessors]]),";",",")," ",""),",",REPT(" ",99)),199,99)))</f>
        <v/>
      </c>
      <c r="DD49" s="43" t="str">
        <f aca="false">IF(Tasks[[#This Row],[_Pred3Text]]="","",IFERROR(VALUE(LEFT(Tasks[[#This Row],[_Pred3Text]],MIN(FIND("F",Tasks[[#This Row],[_Pred3Text]]&amp;"F"),FIND("S",Tasks[[#This Row],[_Pred3Text]]&amp;"S"),FIND("+",Tasks[[#This Row],[_Pred3Text]]&amp;"+"),FIND("-",Tasks[[#This Row],[_Pred3Text]]&amp;"-"))-1)),""))</f>
        <v/>
      </c>
      <c r="DE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9" s="43" t="str">
        <f aca="false">IF(Tasks[[#This Row],[_Pred3Text]]="","",TRIM(MID(SUBSTITUTE(SUBSTITUTE(SUBSTITUTE(UPPER(Tasks[[#This Row],[_Predecessors]]),";",",")," ",""),",",REPT(" ",99)),298,99)))</f>
        <v/>
      </c>
      <c r="DH49" s="43" t="str">
        <f aca="false">IF(Tasks[[#This Row],[_Pred4Text]]="","",IFERROR(VALUE(LEFT(Tasks[[#This Row],[_Pred4Text]],MIN(FIND("F",Tasks[[#This Row],[_Pred4Text]]&amp;"F"),FIND("S",Tasks[[#This Row],[_Pred4Text]]&amp;"S"),FIND("+",Tasks[[#This Row],[_Pred4Text]]&amp;"+"),FIND("-",Tasks[[#This Row],[_Pred4Text]]&amp;"-"))-1)),""))</f>
        <v/>
      </c>
      <c r="DI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9" s="43" t="str">
        <f aca="false">IF(OR(Tasks[[#This Row],[Task Name]]="",Tasks[[#This Row],[_Resources]]=""),"",TRIM(MID(SUBSTITUTE(Tasks[[#This Row],[_Resources]],",",REPT(" ",99)),1,99)))</f>
        <v/>
      </c>
      <c r="DL49" s="43" t="str">
        <f aca="false">IF(Tasks[[#This Row],[_Res1Text]]="","",TRIM(MID(SUBSTITUTE(Tasks[[#This Row],[_Resources]],",",REPT(" ",99)),100,99)))</f>
        <v/>
      </c>
      <c r="DM49" s="43" t="str">
        <f aca="false">IF(Tasks[[#This Row],[_Res2Text]]="","",TRIM(MID(SUBSTITUTE(Tasks[[#This Row],[_Resources]],",",REPT(" ",99)),199,99)))</f>
        <v/>
      </c>
      <c r="DN49" s="43" t="str">
        <f aca="false">IF(Tasks[[#This Row],[_Res3Text]]="","",TRIM(MID(SUBSTITUTE(Tasks[[#This Row],[_Resources]],",",REPT(" ",99)),298,99)))</f>
        <v/>
      </c>
      <c r="DO49" s="43" t="n">
        <f aca="false">IF(Tasks[[#This Row],[_Res1Text]]="",0,IFERROR(MATCH(TRIM(LEFT(Tasks[[#This Row],[_Res1Text]],FIND("[",Tasks[[#This Row],[_Res1Text]]&amp;"[")-1)),res_Name,0),IFERROR(MATCH(TRIM(LEFT(Tasks[[#This Row],[_Res1Text]],FIND("[",Tasks[[#This Row],[_Res1Text]]&amp;"[")-1)),res_Initials,0),0)))</f>
        <v>0</v>
      </c>
      <c r="DP49" s="43" t="n">
        <f aca="false">IF(Tasks[[#This Row],[_Res2Text]]="",0,IFERROR(MATCH(TRIM(LEFT(Tasks[[#This Row],[_Res2Text]],FIND("[",Tasks[[#This Row],[_Res2Text]]&amp;"[")-1)),res_Name,0),IFERROR(MATCH(TRIM(LEFT(Tasks[[#This Row],[_Res2Text]],FIND("[",Tasks[[#This Row],[_Res2Text]]&amp;"[")-1)),res_Initials,0),0)))</f>
        <v>0</v>
      </c>
      <c r="DQ49" s="43" t="n">
        <f aca="false">IF(Tasks[[#This Row],[_Res3Text]]="",0,IFERROR(MATCH(TRIM(LEFT(Tasks[[#This Row],[_Res3Text]],FIND("[",Tasks[[#This Row],[_Res3Text]]&amp;"[")-1)),res_Name,0),IFERROR(MATCH(TRIM(LEFT(Tasks[[#This Row],[_Res3Text]],FIND("[",Tasks[[#This Row],[_Res3Text]]&amp;"[")-1)),res_Initials,0),0)))</f>
        <v>0</v>
      </c>
      <c r="DR49" s="43" t="n">
        <f aca="false">IF(Tasks[[#This Row],[_Res4Text]]="",0,IFERROR(MATCH(TRIM(LEFT(Tasks[[#This Row],[_Res4Text]],FIND("[",Tasks[[#This Row],[_Res4Text]]&amp;"[")-1)),res_Name,0),IFERROR(MATCH(TRIM(LEFT(Tasks[[#This Row],[_Res4Text]],FIND("[",Tasks[[#This Row],[_Res4Text]]&amp;"[")-1)),res_Initials,0),0)))</f>
        <v>0</v>
      </c>
      <c r="DS49" s="43" t="str">
        <f aca="false">IF(Tasks[[#This Row],[_Res1Text]]="","",IF(Tasks[[#This Row],[_Res1Row]]&gt;0,INDEX(res_Name,Tasks[[#This Row],[_Res1Row]]),TRIM(LEFT(Tasks[[#This Row],[_Res1Text]],FIND("[",Tasks[[#This Row],[_Res1Text]]&amp;"[")-1))))</f>
        <v/>
      </c>
      <c r="DT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9" s="43" t="n">
        <f aca="false">IF(NOT(Tasks[[#This Row],[_IsLeaf]]=1),0,(Tasks[[#This Row],[_Resource1]]&lt;&gt;"")+(Tasks[[#This Row],[_Res2]]&lt;&gt;"")+(Tasks[[#This Row],[_Res3]]&lt;&gt;"")+(Tasks[[#This Row],[_Res4]]&lt;&gt;""))</f>
        <v>0</v>
      </c>
      <c r="DV49" s="43" t="str">
        <f aca="false">IF(Tasks[[#This Row],[_Res2Text]]="","",IF(Tasks[[#This Row],[_Res2Row]]&gt;0,INDEX(res_Name,Tasks[[#This Row],[_Res2Row]]),TRIM(LEFT(Tasks[[#This Row],[_Res2Text]],FIND("[",Tasks[[#This Row],[_Res2Text]]&amp;"[")-1))))</f>
        <v/>
      </c>
      <c r="DW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9" s="43" t="n">
        <f aca="false">IF(OR(NOT(Tasks[[#This Row],[_IsLeaf]]=1),Tasks[[#This Row],[_Res2Row]]=0),0,N(Tasks[[#This Row],[_Days]])*HoursPerDay*IF(Tasks[[#This Row],[_Res2Units]]="",DefaultUnits,Tasks[[#This Row],[_Res2Units]]))</f>
        <v>0</v>
      </c>
      <c r="DY49" s="43" t="n">
        <f aca="false">IF(AND(AND(Tasks[[#This Row],[_IsLeaf]]=1,Tasks[[#This Row],[_LeafTotalWork]]&gt;0),Tasks[[#This Row],[_Res2Work]]&gt;0),Tasks[[#This Row],[_Res2Work]]/(Tasks[[#This Row],[_FinishWorkday]]-Tasks[[#This Row],[_StartWorkday]]+1),0)</f>
        <v>0</v>
      </c>
      <c r="DZ49" s="43" t="n">
        <f aca="false">Tasks[[#This Row],[_Res2WorkPerWD]]*MAX(0,Tasks[[#This Row],[_StartWorkday]]-1)</f>
        <v>0</v>
      </c>
      <c r="EA49" s="43" t="n">
        <f aca="false">Tasks[[#This Row],[_Res2Work]]*Tasks[[#This Row],[_LeafProgress]]</f>
        <v>0</v>
      </c>
      <c r="EB49" s="43" t="str">
        <f aca="false">IF(Tasks[[#This Row],[_Res3Text]]="","",IF(Tasks[[#This Row],[_Res3Row]]&gt;0,INDEX(res_Name,Tasks[[#This Row],[_Res3Row]]),TRIM(LEFT(Tasks[[#This Row],[_Res3Text]],FIND("[",Tasks[[#This Row],[_Res3Text]]&amp;"[")-1))))</f>
        <v/>
      </c>
      <c r="EC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9" s="43" t="n">
        <f aca="false">IF(OR(NOT(Tasks[[#This Row],[_IsLeaf]]=1),Tasks[[#This Row],[_Res3Row]]=0),0,N(Tasks[[#This Row],[_Days]])*HoursPerDay*IF(Tasks[[#This Row],[_Res3Units]]="",DefaultUnits,Tasks[[#This Row],[_Res3Units]]))</f>
        <v>0</v>
      </c>
      <c r="EE49" s="43" t="n">
        <f aca="false">IF(AND(AND(Tasks[[#This Row],[_IsLeaf]]=1,Tasks[[#This Row],[_LeafTotalWork]]&gt;0),Tasks[[#This Row],[_Res3Work]]&gt;0),Tasks[[#This Row],[_Res3Work]]/(Tasks[[#This Row],[_FinishWorkday]]-Tasks[[#This Row],[_StartWorkday]]+1),0)</f>
        <v>0</v>
      </c>
      <c r="EF49" s="43" t="n">
        <f aca="false">Tasks[[#This Row],[_Res3WorkPerWD]]*MAX(0,Tasks[[#This Row],[_StartWorkday]]-1)</f>
        <v>0</v>
      </c>
      <c r="EG49" s="43" t="n">
        <f aca="false">Tasks[[#This Row],[_Res3Work]]*Tasks[[#This Row],[_LeafProgress]]</f>
        <v>0</v>
      </c>
      <c r="EH49" s="43" t="str">
        <f aca="false">IF(Tasks[[#This Row],[_Res4Text]]="","",IF(Tasks[[#This Row],[_Res4Row]]&gt;0,INDEX(res_Name,Tasks[[#This Row],[_Res4Row]]),TRIM(LEFT(Tasks[[#This Row],[_Res4Text]],FIND("[",Tasks[[#This Row],[_Res4Text]]&amp;"[")-1))))</f>
        <v/>
      </c>
      <c r="EI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9" s="43" t="n">
        <f aca="false">IF(OR(NOT(Tasks[[#This Row],[_IsLeaf]]=1),Tasks[[#This Row],[_Res4Row]]=0),0,N(Tasks[[#This Row],[_Days]])*HoursPerDay*IF(Tasks[[#This Row],[_Res4Units]]="",DefaultUnits,Tasks[[#This Row],[_Res4Units]]))</f>
        <v>0</v>
      </c>
      <c r="EK49" s="43" t="n">
        <f aca="false">IF(AND(AND(Tasks[[#This Row],[_IsLeaf]]=1,Tasks[[#This Row],[_LeafTotalWork]]&gt;0),Tasks[[#This Row],[_Res4Work]]&gt;0),Tasks[[#This Row],[_Res4Work]]/(Tasks[[#This Row],[_FinishWorkday]]-Tasks[[#This Row],[_StartWorkday]]+1),0)</f>
        <v>0</v>
      </c>
      <c r="EL49" s="43" t="n">
        <f aca="false">Tasks[[#This Row],[_Res4WorkPerWD]]*MAX(0,Tasks[[#This Row],[_StartWorkday]]-1)</f>
        <v>0</v>
      </c>
      <c r="EM49" s="43" t="n">
        <f aca="false">Tasks[[#This Row],[_Res4Work]]*Tasks[[#This Row],[_LeafProgress]]</f>
        <v>0</v>
      </c>
      <c r="EN49" s="43" t="n">
        <f aca="false">IF(ISNUMBER(Tasks[[#This Row],[% Complete]]),Tasks[[#This Row],[% Complete]],IF(Tasks[[#This Row],[Stage]]="",0,IFERROR(INDEX(stg_Pct,MATCH(Tasks[[#This Row],[Stage]],stg_Name,0)),0)))</f>
        <v>0</v>
      </c>
      <c r="EO49" s="43" t="n">
        <f aca="false">IF(NOT(Tasks[[#This Row],[_IsLeaf]]=1),0,IF(N(Tasks[[#This Row],[Actual Finish]])&gt;0,1,MIN(1,Tasks[[#This Row],[_Pct]])))</f>
        <v>0</v>
      </c>
      <c r="EP49" s="43" t="n">
        <f aca="false">IF(OR(NOT(Tasks[[#This Row],[_IsLeaf]]=1),Tasks[[#This Row],[_Res1Row]]=0),0,N(Tasks[[#This Row],[_Days]])*HoursPerDay*IF(Tasks[[#This Row],[_Units1]]="",DefaultUnits,Tasks[[#This Row],[_Units1]]))</f>
        <v>0</v>
      </c>
      <c r="EQ49" s="43" t="n">
        <f aca="false">Tasks[[#This Row],[_LeafWork]]+Tasks[[#This Row],[_Res2Work]]+Tasks[[#This Row],[_Res3Work]]+Tasks[[#This Row],[_Res4Work]]</f>
        <v>0</v>
      </c>
      <c r="ER4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9" s="43" t="n">
        <f aca="false">IF(NOT(Tasks[[#This Row],[_IsLeaf]]=1),0,MAX(_xlfn.MAXIFS(Tasks[_Row],Tasks[_Pred1UID],Tasks[[#This Row],[UID]]),_xlfn.MAXIFS(Tasks[_Row],Tasks[_Pred2UID],Tasks[[#This Row],[UID]]),_xlfn.MAXIFS(Tasks[_Row],Tasks[_Pred3UID],Tasks[[#This Row],[UID]]),_xlfn.MAXIFS(Tasks[_Row],Tasks[_Pred4UID],Tasks[[#This Row],[UID]])))</f>
        <v>0</v>
      </c>
      <c r="FA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9" s="91" t="str">
        <f aca="false">IF(NOT(Tasks[[#This Row],[_IsLeaf]]=1),"",IF(N(Tasks[[#This Row],[_Days]])&lt;=0,Tasks[[#This Row],[_LeafLateFinish]],WORKDAY.INTL(Tasks[[#This Row],[_LeafLateFinish]],-(Tasks[[#This Row],[_Days]]-1),WorkWeek,Holidays)))</f>
        <v/>
      </c>
      <c r="FD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9" s="90" t="b">
        <f aca="false">AND(Tasks[[#This Row],[_IsLeaf]]=1,Tasks[[#This Row],[_LeafProgress]]&lt;1,N(Tasks[[#This Row],[_LeafTotalSlack]])&lt;=CriticalSlackDays)</f>
        <v>0</v>
      </c>
      <c r="FF49" s="43" t="n">
        <f aca="false">IF(AND(Tasks[[#This Row],[_IsLeaf]]=1,Tasks[[#This Row],[_ConstraintCode]]=1,Tasks[[#This Row],[Mode]]&lt;&gt;"Manual",N(Tasks[[#This Row],[Actual Start]])=0),MAX(0,N(Tasks[[#This Row],[Free Slack]])),0)</f>
        <v>0</v>
      </c>
      <c r="FG49" s="91" t="str">
        <f aca="false">IF(NOT(Tasks[[#This Row],[_IsLeaf]]=1),"",IF(Tasks[[#This Row],[_AlapShift]]=0,Tasks[[#This Row],[_LeafCalcStart]],WORKDAY.INTL(Tasks[[#This Row],[_LeafCalcStart]],Tasks[[#This Row],[_AlapShift]],WorkWeek,Holidays)))</f>
        <v/>
      </c>
      <c r="FH49" s="91" t="str">
        <f aca="false">IF(NOT(Tasks[[#This Row],[_IsLeaf]]=1),"",IF(Tasks[[#This Row],[_AlapShift]]=0,Tasks[[#This Row],[_LeafCalcFinish]],WORKDAY.INTL(Tasks[[#This Row],[_LeafCalcFinish]],Tasks[[#This Row],[_AlapShift]],WorkWeek,Holidays)))</f>
        <v/>
      </c>
      <c r="FI49" s="91" t="str">
        <f aca="false">IF(NOT(Tasks[[#This Row],[_IsLeaf]]=1),"",IF(Tasks[[#This Row],[_AlapShift]]=0,Tasks[[#This Row],[_LeafFcstStart]],WORKDAY.INTL(Tasks[[#This Row],[_LeafFcstStart]],Tasks[[#This Row],[_AlapShift]],WorkWeek,Holidays)))</f>
        <v/>
      </c>
      <c r="FJ49" s="91" t="str">
        <f aca="false">IF(NOT(Tasks[[#This Row],[_IsLeaf]]=1),"",IF(Tasks[[#This Row],[_AlapShift]]=0,Tasks[[#This Row],[_LeafFcstFinish]],WORKDAY.INTL(Tasks[[#This Row],[_LeafFcstFinish]],Tasks[[#This Row],[_AlapShift]],WorkWeek,Holidays)))</f>
        <v/>
      </c>
      <c r="FK49" s="91" t="str">
        <f aca="false">IF(Tasks[[#This Row],[Task Name]]="","",IF(Tasks[[#This Row],[_IsSummary]],MIN(INDEX(Tasks[_ShownCalcStart],Tasks[[#This Row],[_Row]]+1):INDEX(Tasks[_ShownCalcStart],Tasks[[#This Row],[_Row]]+Tasks[[#This Row],[_Descendants]])),Tasks[[#This Row],[_ShownCalcStart]]))</f>
        <v/>
      </c>
      <c r="FL49" s="91" t="str">
        <f aca="false">IF(Tasks[[#This Row],[Task Name]]="","",IF(Tasks[[#This Row],[_IsSummary]],MAX(INDEX(Tasks[_ShownCalcFinish],Tasks[[#This Row],[_Row]]+1):INDEX(Tasks[_ShownCalcFinish],Tasks[[#This Row],[_Row]]+Tasks[[#This Row],[_Descendants]])),Tasks[[#This Row],[_ShownCalcFinish]]))</f>
        <v/>
      </c>
      <c r="FM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9" s="43" t="n">
        <f aca="false">IF(AND(Tasks[[#This Row],[_IsLeaf]]=1,Tasks[[#This Row],[_LeafTotalWork]]&gt;0),NETWORKDAYS.INTL(ProjectStart,Tasks[[#This Row],[_ShownFcstStart]],WorkWeek,Holidays),0)</f>
        <v>0</v>
      </c>
      <c r="FZ49" s="43" t="n">
        <f aca="false">IF(AND(Tasks[[#This Row],[_IsLeaf]]=1,Tasks[[#This Row],[_LeafTotalWork]]&gt;0),MAX(Tasks[[#This Row],[_StartWorkday]],NETWORKDAYS.INTL(ProjectStart,Tasks[[#This Row],[_ShownFcstFinish]],WorkWeek,Holidays)),0)</f>
        <v>0</v>
      </c>
      <c r="GA49" s="43" t="n">
        <f aca="false">IF(AND(Tasks[[#This Row],[_IsLeaf]]=1,Tasks[[#This Row],[_LeafTotalWork]]&gt;0),Tasks[[#This Row],[_LeafWork]]/(Tasks[[#This Row],[_FinishWorkday]]-Tasks[[#This Row],[_StartWorkday]]+1),0)</f>
        <v>0</v>
      </c>
      <c r="GB49" s="43" t="n">
        <f aca="false">Tasks[[#This Row],[_WorkPerWorkday]]*(Tasks[[#This Row],[_StartWorkday]]-1)</f>
        <v>-0</v>
      </c>
      <c r="GC49" s="43" t="n">
        <f aca="false">IF(Tasks[[#This Row],[_IsLeaf]]=1,MAX(N(Tasks[[#This Row],[_Days]]),0.1),0)</f>
        <v>0</v>
      </c>
      <c r="GD49" s="43" t="n">
        <f aca="false">Tasks[[#This Row],[_WeightDur]]*Tasks[[#This Row],[_LeafProgress]]</f>
        <v>0</v>
      </c>
      <c r="GE49" s="43" t="n">
        <f aca="false">Tasks[[#This Row],[_WeightDur]]*Tasks[[#This Row],[_PlannedPct]]</f>
        <v>0</v>
      </c>
      <c r="GF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9" s="43" t="str">
        <f aca="false">IF(AND(Tasks[[#This Row],[_IsLeaf]]=1,N(Tasks[[#This Row],[_Days]])=0,Tasks[[#This Row],[_LeafProgress]]&lt;1),Tasks[[#This Row],[_ShownFcstFinish]]+Tasks[[#This Row],[_Row]]/100000,"")</f>
        <v/>
      </c>
      <c r="GH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9" s="43" t="str">
        <f aca="false">IF(Tasks[[#This Row],[Task Name]]="","",LEFT(Tasks[[#This Row],[WBS]],FIND(".",Tasks[[#This Row],[WBS]]&amp;".")-1))</f>
        <v/>
      </c>
      <c r="GJ49" s="43" t="str">
        <f aca="false">IF(AND(Tasks[[#This Row],[Task Name]]&lt;&gt;"",Tasks[[#This Row],[_Level]]=1),Tasks[[#This Row],[_Row]],"")</f>
        <v/>
      </c>
      <c r="GK49" s="43" t="str">
        <f aca="false">IF(AND(Tasks[[#This Row],[_IsLeaf]]=1,N(Tasks[[#This Row],[_Days]])=0),Tasks[[#This Row],[Planned Finish]]+Tasks[[#This Row],[_Row]]/100000,"")</f>
        <v/>
      </c>
      <c r="GL49" s="43" t="str">
        <f aca="false">IF(AND(Tasks[[#This Row],[_IsLeaf]]=1,Tasks[[#This Row],[_LeafProgress]]&lt;1,OR(N(Tasks[[#This Row],[Finish Var]])&gt;0,Tasks[[#This Row],[Status]]="Late Start")),MAX(0,Tasks[[#This Row],[Finish Var]])+1-Tasks[[#This Row],[_Row]]/1000000,"")</f>
        <v/>
      </c>
      <c r="GM49" s="43" t="str">
        <f aca="false">IF(AND(Tasks[[#This Row],[_IsLeaf]]=1,N(Tasks[[#This Row],[Actual Start]])=0,Tasks[[#This Row],[_ShownFcstStart]]&gt;=StatusDate,Tasks[[#This Row],[_ShownFcstStart]]&lt;=LookaheadEnd),Tasks[[#This Row],[_ShownFcstStart]]+Tasks[[#This Row],[_Row]]/100000,"")</f>
        <v/>
      </c>
      <c r="GN49" s="43" t="str">
        <f aca="false">IF(AND(Tasks[[#This Row],[_IsLeaf]]=1,Tasks[[#This Row],[_LeafProgress]]&lt;1,Tasks[[#This Row],[_ShownFcstFinish]]&gt;=StatusDate,Tasks[[#This Row],[_ShownFcstFinish]]&lt;=LookaheadEnd),Tasks[[#This Row],[_ShownFcstFinish]]+Tasks[[#This Row],[_Row]]/100000,"")</f>
        <v/>
      </c>
      <c r="GO49" s="43" t="str">
        <f aca="false">IF(Tasks[[#This Row],[_LeafCritical]],Tasks[[#This Row],[_ShownFcstStart]]+Tasks[[#This Row],[_Row]]/100000,"")</f>
        <v/>
      </c>
      <c r="GP49" s="43" t="n">
        <f aca="false">Tasks[[#This Row],[_LeafWork]]*Tasks[[#This Row],[_LeafProgress]]</f>
        <v>0</v>
      </c>
      <c r="GQ49" s="91" t="str">
        <f aca="false">IF(AND(Tasks[[#This Row],[_IsLeaf]]=1,Tasks[[#This Row],[_LeafProgress]]&gt;=1),IF(N(Tasks[[#This Row],[Actual Finish]])&gt;0,Tasks[[#This Row],[Actual Finish]],Tasks[[#This Row],[_ShownFcstFinish]]),"")</f>
        <v/>
      </c>
      <c r="GR49" s="43" t="n">
        <f aca="false">IF(Tasks[[#This Row],[_IsLeaf]]=1,N(Tasks[[#This Row],[Story Points]]),0)</f>
        <v>0</v>
      </c>
      <c r="GS49" s="43" t="str">
        <f aca="false">""</f>
        <v/>
      </c>
      <c r="GT49" s="90" t="b">
        <f aca="false">IF(Tasks[[#This Row],[Task Name]]="",FALSE(),AND(Tasks[[#This Row],[_IsLeaf]]=1,N(Tasks[[#This Row],[_Days]])=0))</f>
        <v>0</v>
      </c>
      <c r="GU49" s="91" t="n">
        <f aca="false">IF(Tasks[[#This Row],[Task Name]]="",0,IF(AND(Tasks[[#This Row],[_IsLeaf]]=1,NOT(Tasks[[#This Row],[_IsMilestone]]),N(Tasks[[#This Row],[Progress]])&gt;0),Tasks[[#This Row],[Start]],0))</f>
        <v>0</v>
      </c>
      <c r="GV49" s="91" t="n">
        <f aca="false">IF(Tasks[[#This Row],[_DoneFrom]]=0,0,IF(Tasks[[#This Row],[Progress]]&gt;=1,Tasks[[#This Row],[Finish]],MAX(Tasks[[#This Row],[_DoneFrom]],Tasks[[#This Row],[Start]]+ROUND((Tasks[[#This Row],[Finish]]-Tasks[[#This Row],[Start]]+1)*Tasks[[#This Row],[Progress]],0)-1)))</f>
        <v>0</v>
      </c>
      <c r="GW49" s="91" t="n">
        <f aca="false">IF(Tasks[[#This Row],[Task Name]]="",0,IF(OR(NOT(Tasks[[#This Row],[_IsLeaf]]=1),Tasks[[#This Row],[_IsMilestone]],N(Tasks[[#This Row],[Progress]])&gt;=1),0,IF(Tasks[[#This Row],[_DoneTo]]&gt;0,Tasks[[#This Row],[_DoneTo]]+1,Tasks[[#This Row],[Start]])))</f>
        <v>0</v>
      </c>
      <c r="GX49" s="91" t="n">
        <f aca="false">IF(Tasks[[#This Row],[_RemFrom]]=0,0,Tasks[[#This Row],[Finish]])</f>
        <v>0</v>
      </c>
      <c r="GY49" s="90" t="b">
        <f aca="false">IF(Tasks[[#This Row],[Task Name]]="",FALSE(),OR(NOT(BaselineSet),N(Tasks[[#This Row],[Baseline Start]])&gt;0))</f>
        <v>0</v>
      </c>
      <c r="GZ4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9" s="92" t="str">
        <f aca="false">IF(Tasks[[#This Row],[_IsLeaf]]=1,Tasks[[#This Row],[_Row]],"")</f>
        <v/>
      </c>
      <c r="HD49" s="92" t="str">
        <f aca="false">IFERROR(INDEX(Tasks[UID],SMALL(Tasks[_PickKey],Tasks[[#This Row],[_Row]]))&amp;" "&amp;INDEX(Tasks[Task Name],SMALL(Tasks[_PickKey],Tasks[[#This Row],[_Row]])),"")</f>
        <v/>
      </c>
      <c r="HE49" s="43" t="str">
        <f aca="false">IF(Tasks[[#This Row],[Task Name]]="","",IF(Tasks[[#This Row],[_IsSummary]],NETWORKDAYS.INTL(Tasks[[#This Row],[Start]],Tasks[[#This Row],[Finish]],WorkWeek,Holidays),N(Tasks[[#This Row],[_Days]])))</f>
        <v/>
      </c>
      <c r="HF49" s="43" t="n">
        <f aca="false">IF(Tasks[[#This Row],[Expected]]="",0,((Tasks[[#This Row],[Pessimistic]]-Tasks[[#This Row],[Optimistic]])/6)^2)</f>
        <v>0</v>
      </c>
      <c r="HG49" s="43" t="n">
        <f aca="false">IF(Tasks[[#This Row],[Expected]]="",0,Tasks[[#This Row],[Expected]]-N(Tasks[[#This Row],[_Days]]))</f>
        <v>0</v>
      </c>
    </row>
    <row r="50" customFormat="false" ht="15" hidden="false" customHeight="false" outlineLevel="0" collapsed="false">
      <c r="A50" s="21" t="str">
        <f aca="false">IF(Tasks[[#This Row],[Task Name]]="","",COUNTA(Tasks[[#Headers],[Task Name]]:Tasks[[#This Row],[Task Name]])-1)</f>
        <v/>
      </c>
      <c r="B50" s="22" t="n">
        <v>58</v>
      </c>
      <c r="C50" s="22"/>
      <c r="D50" s="23"/>
      <c r="E50" s="22"/>
      <c r="F50" s="23"/>
      <c r="G50" s="22"/>
      <c r="H50" s="22"/>
      <c r="I50" s="23"/>
      <c r="J50" s="22"/>
      <c r="K50" s="22"/>
      <c r="L50" s="23"/>
      <c r="M50" s="22"/>
      <c r="N50" s="22"/>
      <c r="O50" s="23"/>
      <c r="P50" s="22"/>
      <c r="Q50" s="22"/>
      <c r="R50" s="23"/>
      <c r="S50" s="23"/>
      <c r="T50" s="84"/>
      <c r="U50" s="23"/>
      <c r="V50" s="84"/>
      <c r="W50" s="23"/>
      <c r="X50" s="84"/>
      <c r="Y50" s="23"/>
      <c r="Z50" s="84"/>
      <c r="AA50" s="23"/>
      <c r="AB50" s="23"/>
      <c r="AC50" s="7"/>
      <c r="AD50" s="7"/>
      <c r="AE50" s="63" t="str">
        <f aca="false">IF(Tasks[[#This Row],[Task Name]]="","",IF(Tasks[[#This Row],[_IsSummary]],MIN(INDEX(Tasks[_ShownFcstStart],Tasks[[#This Row],[_Row]]+1):INDEX(Tasks[_ShownFcstStart],Tasks[[#This Row],[_Row]]+Tasks[[#This Row],[_Descendants]])),Tasks[[#This Row],[_ShownFcstStart]]))</f>
        <v/>
      </c>
      <c r="AF50" s="63" t="str">
        <f aca="false">IF(Tasks[[#This Row],[Task Name]]="","",IF(Tasks[[#This Row],[_IsSummary]],MAX(INDEX(Tasks[_ShownFcstFinish],Tasks[[#This Row],[_Row]]+1):INDEX(Tasks[_ShownFcstFinish],Tasks[[#This Row],[_Row]]+Tasks[[#This Row],[_Descendants]])),Tasks[[#This Row],[_ShownFcstFinish]]))</f>
        <v/>
      </c>
      <c r="AG50" s="21" t="str">
        <f aca="false">""</f>
        <v/>
      </c>
      <c r="AH50" s="23"/>
      <c r="AI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0" s="7"/>
      <c r="AK50" s="22"/>
      <c r="AL50" s="23"/>
      <c r="AM50" s="7"/>
      <c r="AN50" s="47" t="str">
        <f aca="false">IF(Tasks[[#This Row],[Task Name]]="","",IF(Tasks[[#This Row],[Finish]]&gt;=Tasks[[#This Row],[Planned Finish]],NETWORKDAYS.INTL(Tasks[[#This Row],[Planned Finish]],Tasks[[#This Row],[Finish]],WorkWeek,Holidays)-1,1-NETWORKDAYS.INTL(Tasks[[#This Row],[Finish]],Tasks[[#This Row],[Planned Finish]],WorkWeek,Holidays)))</f>
        <v/>
      </c>
      <c r="AO50" s="21" t="str">
        <f aca="false">IF(Tasks[[#This Row],[Task Name]]="","",IF(Tasks[[#This Row],[Progress]]&gt;=1,"Complete",IF(OR(N(Tasks[[#This Row],[Actual Start]])&gt;0,Tasks[[#This Row],[Progress]]&gt;0),IF(Tasks[[#This Row],[Finish Var]]&gt;0,"Behind","In Progress"),IF(Tasks[[#This Row],[Planned Start]]&lt;StatusDate,"Late Start","Not Started"))))</f>
        <v/>
      </c>
      <c r="AP50" s="21" t="str">
        <f aca="false">IF(Tasks[[#This Row],[Task Name]]="","",IF(IF(Tasks[[#This Row],[_IsSummary]],COUNTIF(INDEX(Tasks[_LeafCritical],Tasks[[#This Row],[_Row]]+1):INDEX(Tasks[_LeafCritical],Tasks[[#This Row],[_Row]]+Tasks[[#This Row],[_Descendants]]),TRUE())&gt;0,Tasks[[#This Row],[_LeafCritical]]),"Yes",""))</f>
        <v/>
      </c>
      <c r="AQ50" s="63" t="str">
        <f aca="false">IF(Tasks[[#This Row],[Task Name]]="","",IF(N(Tasks[[#This Row],[Baseline Start]])&gt;0,Tasks[[#This Row],[Baseline Start]],Tasks[[#This Row],[_CalcStart]]))</f>
        <v/>
      </c>
      <c r="AR50" s="63" t="str">
        <f aca="false">IF(Tasks[[#This Row],[Task Name]]="","",IF(N(Tasks[[#This Row],[Baseline Finish]])&gt;0,Tasks[[#This Row],[Baseline Finish]],Tasks[[#This Row],[_CalcFinish]]))</f>
        <v/>
      </c>
      <c r="AS50" s="47" t="str">
        <f aca="false">IF(Tasks[[#This Row],[Task Name]]="","",IF(Tasks[[#This Row],[Start]]&gt;=Tasks[[#This Row],[Planned Start]],NETWORKDAYS.INTL(Tasks[[#This Row],[Planned Start]],Tasks[[#This Row],[Start]],WorkWeek,Holidays)-1,1-NETWORKDAYS.INTL(Tasks[[#This Row],[Start]],Tasks[[#This Row],[Planned Start]],WorkWeek,Holidays)))</f>
        <v/>
      </c>
      <c r="AT50" s="63" t="str">
        <f aca="false">IF(Tasks[[#This Row],[Task Name]]="","",IF(Tasks[[#This Row],[_IsSummary]],MIN(INDEX(Tasks[_LeafLateStart],Tasks[[#This Row],[_Row]]+1):INDEX(Tasks[_LeafLateStart],Tasks[[#This Row],[_Row]]+Tasks[[#This Row],[_Descendants]])),Tasks[[#This Row],[_LeafLateStart]]))</f>
        <v/>
      </c>
      <c r="AU50" s="63" t="str">
        <f aca="false">IF(Tasks[[#This Row],[Task Name]]="","",IF(Tasks[[#This Row],[_IsSummary]],MAX(INDEX(Tasks[_LeafLateFinish],Tasks[[#This Row],[_Row]]+1):INDEX(Tasks[_LeafLateFinish],Tasks[[#This Row],[_Row]]+Tasks[[#This Row],[_Descendants]])),Tasks[[#This Row],[_LeafLateFinish]]))</f>
        <v/>
      </c>
      <c r="AV50" s="47" t="str">
        <f aca="false">IF(Tasks[[#This Row],[Task Name]]="","",IF(Tasks[[#This Row],[_IsSummary]],MIN(INDEX(Tasks[_LeafTotalSlack],Tasks[[#This Row],[_Row]]+1):INDEX(Tasks[_LeafTotalSlack],Tasks[[#This Row],[_Row]]+Tasks[[#This Row],[_Descendants]])),Tasks[[#This Row],[_LeafTotalSlack]]))</f>
        <v/>
      </c>
      <c r="AW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5"/>
      <c r="BA5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t="str">
        <f aca="false">IF(Tasks[[#This Row],[Task Name]]="","",IF(Tasks[[#This Row],[_Level]]&lt;=OutlineShowLevel,"Yes","No"))</f>
        <v/>
      </c>
      <c r="BE50" s="86" t="str">
        <f aca="false">IF(Tasks[[#This Row],[Task Name]]="","",IF(Tasks[[#This Row],[_IsSummary]],SUM(INDEX(Tasks[_LeafTotalWork],Tasks[[#This Row],[_Row]]+1):INDEX(Tasks[_LeafTotalWork],Tasks[[#This Row],[_Row]]+Tasks[[#This Row],[_Descendants]])),Tasks[[#This Row],[_LeafTotalWork]]))</f>
        <v/>
      </c>
      <c r="BF50" s="23"/>
      <c r="BG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t="str">
        <f aca="false">""</f>
        <v/>
      </c>
      <c r="BI50" s="87"/>
      <c r="BJ50" s="22"/>
      <c r="BK50" s="47" t="str">
        <f aca="false">IF(OR(Tasks[[#This Row],[Task Name]]="",Tasks[[#This Row],[Baseline Duration]]=""),"",Tasks[[#This Row],[_SpanDays]]-N(Tasks[[#This Row],[Baseline Duration]]))</f>
        <v/>
      </c>
      <c r="BL50" s="86" t="str">
        <f aca="false">IF(OR(Tasks[[#This Row],[Task Name]]="",Tasks[[#This Row],[Baseline Work]]=""),"",Tasks[[#This Row],[Work]]-N(Tasks[[#This Row],[Baseline Work]]))</f>
        <v/>
      </c>
      <c r="BM50" s="63" t="str">
        <f aca="false">IF(Tasks[[#This Row],[Task Name]]="","",IF(OR(TakeBaseline="Yes",N(Tasks[[#This Row],[Baseline Start]])=0),Tasks[[#This Row],[Start]],Tasks[[#This Row],[Baseline Start]]))</f>
        <v/>
      </c>
      <c r="BN50" s="63" t="str">
        <f aca="false">IF(Tasks[[#This Row],[Task Name]]="","",IF(OR(TakeBaseline="Yes",N(Tasks[[#This Row],[Baseline Finish]])=0),Tasks[[#This Row],[Finish]],Tasks[[#This Row],[Baseline Finish]]))</f>
        <v/>
      </c>
      <c r="BO50" s="21" t="str">
        <f aca="false">IF(Tasks[[#This Row],[Task Name]]="","",IF(OR(TakeBaseline="Yes",N(Tasks[[#This Row],[Baseline Duration]])=0),Tasks[[#This Row],[_SpanDays]],Tasks[[#This Row],[Baseline Duration]]))</f>
        <v/>
      </c>
      <c r="BP50" s="86" t="str">
        <f aca="false">IF(Tasks[[#This Row],[Task Name]]="","",IF(OR(TakeBaseline="Yes",N(Tasks[[#This Row],[Baseline Work]])=0),Tasks[[#This Row],[Work]],Tasks[[#This Row],[Baseline Work]]))</f>
        <v/>
      </c>
      <c r="BQ50" s="7"/>
      <c r="BR50" s="7"/>
      <c r="BS50" s="22"/>
      <c r="BT50" s="88"/>
      <c r="BU50" s="23"/>
      <c r="BV50" s="23"/>
      <c r="BW50" s="23"/>
      <c r="BX50" s="89" t="str">
        <f aca="false">IF(AND(Tasks[[#This Row],[_IsLeaf]]=1,ISNUMBER(Tasks[[#This Row],[Optimistic]]),ISNUMBER(Tasks[[#This Row],[Pessimistic]])),ROUND((Tasks[[#This Row],[Optimistic]]+4*N(Tasks[[#This Row],[_Days]])+Tasks[[#This Row],[Pessimistic]])/6,1),"")</f>
        <v/>
      </c>
      <c r="BY50" s="87"/>
      <c r="BZ50" s="87"/>
      <c r="CA50" s="22"/>
      <c r="CB50" s="43" t="str">
        <f aca="false">IF(Tasks[[#This Row],[Task Name]]="","",MAX(1,N(Tasks[[#This Row],[Level]])))</f>
        <v/>
      </c>
      <c r="CC50" s="43" t="n">
        <f aca="false">ROW()-ROW(Tasks[[#Headers],[ID]])</f>
        <v>45</v>
      </c>
      <c r="CD50" s="43" t="n">
        <f aca="false">IF(OR(Tasks[[#This Row],[Task Name]]="",Tasks[[#This Row],[_Level]]&lt;=1),0,IFERROR(LOOKUP(2,1/(Tasks[[#Headers],[_Level]]:Tasks[[#This Row],[_Level]]=Tasks[[#This Row],[_Level]]-1),ROW(Tasks[[#Headers],[_Level]]:Tasks[[#This Row],[_Level]])),0))</f>
        <v>0</v>
      </c>
      <c r="CE50" s="43" t="n">
        <f aca="false">IFERROR(N(INDEX(Tasks[_Level],Tasks[[#This Row],[_Row]]+1)),0)</f>
        <v>0</v>
      </c>
      <c r="CF50" s="90" t="b">
        <f aca="false">AND(Tasks[[#This Row],[Task Name]]&lt;&gt;"",Tasks[[#This Row],[_NextLevel]]&gt;Tasks[[#This Row],[_Level]])</f>
        <v>0</v>
      </c>
      <c r="CG50" s="43" t="n">
        <f aca="false">IF(Tasks[[#This Row],[_IsSummary]],COUNTIF(Tasks[WBS],Tasks[[#This Row],[WBS]]&amp;".*"),0)</f>
        <v>0</v>
      </c>
      <c r="CH50" s="43" t="n">
        <f aca="false">IF(AND(Tasks[[#This Row],[Task Name]]&lt;&gt;"",NOT(Tasks[[#This Row],[_IsSummary]])),1,0)</f>
        <v>0</v>
      </c>
      <c r="CI50" s="43" t="n">
        <f aca="false">IF(N(Tasks[[#This Row],[_Pred1UID]])=0,0,IFERROR(MATCH(Tasks[[#This Row],[_Pred1UID]],Tasks[UID],0),-1))</f>
        <v>0</v>
      </c>
      <c r="CJ50" s="43" t="n">
        <f aca="false">IF(N(Tasks[[#This Row],[_Pred2UID]])=0,0,IFERROR(MATCH(Tasks[[#This Row],[_Pred2UID]],Tasks[UID],0),-1))</f>
        <v>0</v>
      </c>
      <c r="CK50" s="43" t="n">
        <f aca="false">IF(N(Tasks[[#This Row],[_Pred3UID]])=0,0,IFERROR(MATCH(Tasks[[#This Row],[_Pred3UID]],Tasks[UID],0),-1))</f>
        <v>0</v>
      </c>
      <c r="CL50" s="43" t="n">
        <f aca="false">IF(N(Tasks[[#This Row],[_Pred4UID]])=0,0,IFERROR(MATCH(Tasks[[#This Row],[_Pred4UID]],Tasks[UID],0),-1))</f>
        <v>0</v>
      </c>
      <c r="CM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0" s="91" t="n">
        <f aca="false">IF(OR(Tasks[[#This Row],[_ConstraintCode]]=2,Tasks[[#This Row],[_ConstraintCode]]=3,Tasks[[#This Row],[_ConstraintCode]]=4,Tasks[[#This Row],[_ConstraintCode]]=6),Tasks[[#This Row],[_ConstraintStart]],0)</f>
        <v>0</v>
      </c>
      <c r="CP50" s="91" t="n">
        <f aca="false">IF(OR(Tasks[[#This Row],[_ConstraintCode]]=2,Tasks[[#This Row],[_ConstraintCode]]=3,Tasks[[#This Row],[_ConstraintCode]]=5,Tasks[[#This Row],[_ConstraintCode]]=7),Tasks[[#This Row],[_ConstraintStart]],2958465)</f>
        <v>2958465</v>
      </c>
      <c r="CQ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0" s="91" t="str">
        <f aca="false">IF(NOT(Tasks[[#This Row],[_IsLeaf]]=1),"",IF(N(Tasks[[#This Row],[_Days]])&lt;=0,Tasks[[#This Row],[_LeafCalcStart]],WORKDAY.INTL(Tasks[[#This Row],[_LeafCalcStart]],Tasks[[#This Row],[_Days]]-1,WorkWeek,Holidays)))</f>
        <v/>
      </c>
      <c r="CS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0" s="43" t="str">
        <f aca="false">IF(Tasks[[#This Row],[_Predecessors]]="","",TRIM(MID(SUBSTITUTE(SUBSTITUTE(SUBSTITUTE(UPPER(Tasks[[#This Row],[_Predecessors]]),";",",")," ",""),",",REPT(" ",99)),1,99)))</f>
        <v/>
      </c>
      <c r="CV50" s="43" t="str">
        <f aca="false">IF(Tasks[[#This Row],[_Pred1Text]]="","",IFERROR(VALUE(LEFT(Tasks[[#This Row],[_Pred1Text]],MIN(FIND("F",Tasks[[#This Row],[_Pred1Text]]&amp;"F"),FIND("S",Tasks[[#This Row],[_Pred1Text]]&amp;"S"),FIND("+",Tasks[[#This Row],[_Pred1Text]]&amp;"+"),FIND("-",Tasks[[#This Row],[_Pred1Text]]&amp;"-"))-1)),""))</f>
        <v/>
      </c>
      <c r="CW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0" s="43" t="str">
        <f aca="false">IF(Tasks[[#This Row],[_Pred1Text]]="","",TRIM(MID(SUBSTITUTE(SUBSTITUTE(SUBSTITUTE(UPPER(Tasks[[#This Row],[_Predecessors]]),";",",")," ",""),",",REPT(" ",99)),100,99)))</f>
        <v/>
      </c>
      <c r="CZ50" s="43" t="str">
        <f aca="false">IF(Tasks[[#This Row],[_Pred2Text]]="","",IFERROR(VALUE(LEFT(Tasks[[#This Row],[_Pred2Text]],MIN(FIND("F",Tasks[[#This Row],[_Pred2Text]]&amp;"F"),FIND("S",Tasks[[#This Row],[_Pred2Text]]&amp;"S"),FIND("+",Tasks[[#This Row],[_Pred2Text]]&amp;"+"),FIND("-",Tasks[[#This Row],[_Pred2Text]]&amp;"-"))-1)),""))</f>
        <v/>
      </c>
      <c r="DA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0" s="43" t="str">
        <f aca="false">IF(Tasks[[#This Row],[_Pred2Text]]="","",TRIM(MID(SUBSTITUTE(SUBSTITUTE(SUBSTITUTE(UPPER(Tasks[[#This Row],[_Predecessors]]),";",",")," ",""),",",REPT(" ",99)),199,99)))</f>
        <v/>
      </c>
      <c r="DD50" s="43" t="str">
        <f aca="false">IF(Tasks[[#This Row],[_Pred3Text]]="","",IFERROR(VALUE(LEFT(Tasks[[#This Row],[_Pred3Text]],MIN(FIND("F",Tasks[[#This Row],[_Pred3Text]]&amp;"F"),FIND("S",Tasks[[#This Row],[_Pred3Text]]&amp;"S"),FIND("+",Tasks[[#This Row],[_Pred3Text]]&amp;"+"),FIND("-",Tasks[[#This Row],[_Pred3Text]]&amp;"-"))-1)),""))</f>
        <v/>
      </c>
      <c r="DE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0" s="43" t="str">
        <f aca="false">IF(Tasks[[#This Row],[_Pred3Text]]="","",TRIM(MID(SUBSTITUTE(SUBSTITUTE(SUBSTITUTE(UPPER(Tasks[[#This Row],[_Predecessors]]),";",",")," ",""),",",REPT(" ",99)),298,99)))</f>
        <v/>
      </c>
      <c r="DH50" s="43" t="str">
        <f aca="false">IF(Tasks[[#This Row],[_Pred4Text]]="","",IFERROR(VALUE(LEFT(Tasks[[#This Row],[_Pred4Text]],MIN(FIND("F",Tasks[[#This Row],[_Pred4Text]]&amp;"F"),FIND("S",Tasks[[#This Row],[_Pred4Text]]&amp;"S"),FIND("+",Tasks[[#This Row],[_Pred4Text]]&amp;"+"),FIND("-",Tasks[[#This Row],[_Pred4Text]]&amp;"-"))-1)),""))</f>
        <v/>
      </c>
      <c r="DI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0" s="43" t="str">
        <f aca="false">IF(OR(Tasks[[#This Row],[Task Name]]="",Tasks[[#This Row],[_Resources]]=""),"",TRIM(MID(SUBSTITUTE(Tasks[[#This Row],[_Resources]],",",REPT(" ",99)),1,99)))</f>
        <v/>
      </c>
      <c r="DL50" s="43" t="str">
        <f aca="false">IF(Tasks[[#This Row],[_Res1Text]]="","",TRIM(MID(SUBSTITUTE(Tasks[[#This Row],[_Resources]],",",REPT(" ",99)),100,99)))</f>
        <v/>
      </c>
      <c r="DM50" s="43" t="str">
        <f aca="false">IF(Tasks[[#This Row],[_Res2Text]]="","",TRIM(MID(SUBSTITUTE(Tasks[[#This Row],[_Resources]],",",REPT(" ",99)),199,99)))</f>
        <v/>
      </c>
      <c r="DN50" s="43" t="str">
        <f aca="false">IF(Tasks[[#This Row],[_Res3Text]]="","",TRIM(MID(SUBSTITUTE(Tasks[[#This Row],[_Resources]],",",REPT(" ",99)),298,99)))</f>
        <v/>
      </c>
      <c r="DO50" s="43" t="n">
        <f aca="false">IF(Tasks[[#This Row],[_Res1Text]]="",0,IFERROR(MATCH(TRIM(LEFT(Tasks[[#This Row],[_Res1Text]],FIND("[",Tasks[[#This Row],[_Res1Text]]&amp;"[")-1)),res_Name,0),IFERROR(MATCH(TRIM(LEFT(Tasks[[#This Row],[_Res1Text]],FIND("[",Tasks[[#This Row],[_Res1Text]]&amp;"[")-1)),res_Initials,0),0)))</f>
        <v>0</v>
      </c>
      <c r="DP50" s="43" t="n">
        <f aca="false">IF(Tasks[[#This Row],[_Res2Text]]="",0,IFERROR(MATCH(TRIM(LEFT(Tasks[[#This Row],[_Res2Text]],FIND("[",Tasks[[#This Row],[_Res2Text]]&amp;"[")-1)),res_Name,0),IFERROR(MATCH(TRIM(LEFT(Tasks[[#This Row],[_Res2Text]],FIND("[",Tasks[[#This Row],[_Res2Text]]&amp;"[")-1)),res_Initials,0),0)))</f>
        <v>0</v>
      </c>
      <c r="DQ50" s="43" t="n">
        <f aca="false">IF(Tasks[[#This Row],[_Res3Text]]="",0,IFERROR(MATCH(TRIM(LEFT(Tasks[[#This Row],[_Res3Text]],FIND("[",Tasks[[#This Row],[_Res3Text]]&amp;"[")-1)),res_Name,0),IFERROR(MATCH(TRIM(LEFT(Tasks[[#This Row],[_Res3Text]],FIND("[",Tasks[[#This Row],[_Res3Text]]&amp;"[")-1)),res_Initials,0),0)))</f>
        <v>0</v>
      </c>
      <c r="DR50" s="43" t="n">
        <f aca="false">IF(Tasks[[#This Row],[_Res4Text]]="",0,IFERROR(MATCH(TRIM(LEFT(Tasks[[#This Row],[_Res4Text]],FIND("[",Tasks[[#This Row],[_Res4Text]]&amp;"[")-1)),res_Name,0),IFERROR(MATCH(TRIM(LEFT(Tasks[[#This Row],[_Res4Text]],FIND("[",Tasks[[#This Row],[_Res4Text]]&amp;"[")-1)),res_Initials,0),0)))</f>
        <v>0</v>
      </c>
      <c r="DS50" s="43" t="str">
        <f aca="false">IF(Tasks[[#This Row],[_Res1Text]]="","",IF(Tasks[[#This Row],[_Res1Row]]&gt;0,INDEX(res_Name,Tasks[[#This Row],[_Res1Row]]),TRIM(LEFT(Tasks[[#This Row],[_Res1Text]],FIND("[",Tasks[[#This Row],[_Res1Text]]&amp;"[")-1))))</f>
        <v/>
      </c>
      <c r="DT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0" s="43" t="n">
        <f aca="false">IF(NOT(Tasks[[#This Row],[_IsLeaf]]=1),0,(Tasks[[#This Row],[_Resource1]]&lt;&gt;"")+(Tasks[[#This Row],[_Res2]]&lt;&gt;"")+(Tasks[[#This Row],[_Res3]]&lt;&gt;"")+(Tasks[[#This Row],[_Res4]]&lt;&gt;""))</f>
        <v>0</v>
      </c>
      <c r="DV50" s="43" t="str">
        <f aca="false">IF(Tasks[[#This Row],[_Res2Text]]="","",IF(Tasks[[#This Row],[_Res2Row]]&gt;0,INDEX(res_Name,Tasks[[#This Row],[_Res2Row]]),TRIM(LEFT(Tasks[[#This Row],[_Res2Text]],FIND("[",Tasks[[#This Row],[_Res2Text]]&amp;"[")-1))))</f>
        <v/>
      </c>
      <c r="DW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0" s="43" t="n">
        <f aca="false">IF(OR(NOT(Tasks[[#This Row],[_IsLeaf]]=1),Tasks[[#This Row],[_Res2Row]]=0),0,N(Tasks[[#This Row],[_Days]])*HoursPerDay*IF(Tasks[[#This Row],[_Res2Units]]="",DefaultUnits,Tasks[[#This Row],[_Res2Units]]))</f>
        <v>0</v>
      </c>
      <c r="DY50" s="43" t="n">
        <f aca="false">IF(AND(AND(Tasks[[#This Row],[_IsLeaf]]=1,Tasks[[#This Row],[_LeafTotalWork]]&gt;0),Tasks[[#This Row],[_Res2Work]]&gt;0),Tasks[[#This Row],[_Res2Work]]/(Tasks[[#This Row],[_FinishWorkday]]-Tasks[[#This Row],[_StartWorkday]]+1),0)</f>
        <v>0</v>
      </c>
      <c r="DZ50" s="43" t="n">
        <f aca="false">Tasks[[#This Row],[_Res2WorkPerWD]]*MAX(0,Tasks[[#This Row],[_StartWorkday]]-1)</f>
        <v>0</v>
      </c>
      <c r="EA50" s="43" t="n">
        <f aca="false">Tasks[[#This Row],[_Res2Work]]*Tasks[[#This Row],[_LeafProgress]]</f>
        <v>0</v>
      </c>
      <c r="EB50" s="43" t="str">
        <f aca="false">IF(Tasks[[#This Row],[_Res3Text]]="","",IF(Tasks[[#This Row],[_Res3Row]]&gt;0,INDEX(res_Name,Tasks[[#This Row],[_Res3Row]]),TRIM(LEFT(Tasks[[#This Row],[_Res3Text]],FIND("[",Tasks[[#This Row],[_Res3Text]]&amp;"[")-1))))</f>
        <v/>
      </c>
      <c r="EC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0" s="43" t="n">
        <f aca="false">IF(OR(NOT(Tasks[[#This Row],[_IsLeaf]]=1),Tasks[[#This Row],[_Res3Row]]=0),0,N(Tasks[[#This Row],[_Days]])*HoursPerDay*IF(Tasks[[#This Row],[_Res3Units]]="",DefaultUnits,Tasks[[#This Row],[_Res3Units]]))</f>
        <v>0</v>
      </c>
      <c r="EE50" s="43" t="n">
        <f aca="false">IF(AND(AND(Tasks[[#This Row],[_IsLeaf]]=1,Tasks[[#This Row],[_LeafTotalWork]]&gt;0),Tasks[[#This Row],[_Res3Work]]&gt;0),Tasks[[#This Row],[_Res3Work]]/(Tasks[[#This Row],[_FinishWorkday]]-Tasks[[#This Row],[_StartWorkday]]+1),0)</f>
        <v>0</v>
      </c>
      <c r="EF50" s="43" t="n">
        <f aca="false">Tasks[[#This Row],[_Res3WorkPerWD]]*MAX(0,Tasks[[#This Row],[_StartWorkday]]-1)</f>
        <v>0</v>
      </c>
      <c r="EG50" s="43" t="n">
        <f aca="false">Tasks[[#This Row],[_Res3Work]]*Tasks[[#This Row],[_LeafProgress]]</f>
        <v>0</v>
      </c>
      <c r="EH50" s="43" t="str">
        <f aca="false">IF(Tasks[[#This Row],[_Res4Text]]="","",IF(Tasks[[#This Row],[_Res4Row]]&gt;0,INDEX(res_Name,Tasks[[#This Row],[_Res4Row]]),TRIM(LEFT(Tasks[[#This Row],[_Res4Text]],FIND("[",Tasks[[#This Row],[_Res4Text]]&amp;"[")-1))))</f>
        <v/>
      </c>
      <c r="EI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0" s="43" t="n">
        <f aca="false">IF(OR(NOT(Tasks[[#This Row],[_IsLeaf]]=1),Tasks[[#This Row],[_Res4Row]]=0),0,N(Tasks[[#This Row],[_Days]])*HoursPerDay*IF(Tasks[[#This Row],[_Res4Units]]="",DefaultUnits,Tasks[[#This Row],[_Res4Units]]))</f>
        <v>0</v>
      </c>
      <c r="EK50" s="43" t="n">
        <f aca="false">IF(AND(AND(Tasks[[#This Row],[_IsLeaf]]=1,Tasks[[#This Row],[_LeafTotalWork]]&gt;0),Tasks[[#This Row],[_Res4Work]]&gt;0),Tasks[[#This Row],[_Res4Work]]/(Tasks[[#This Row],[_FinishWorkday]]-Tasks[[#This Row],[_StartWorkday]]+1),0)</f>
        <v>0</v>
      </c>
      <c r="EL50" s="43" t="n">
        <f aca="false">Tasks[[#This Row],[_Res4WorkPerWD]]*MAX(0,Tasks[[#This Row],[_StartWorkday]]-1)</f>
        <v>0</v>
      </c>
      <c r="EM50" s="43" t="n">
        <f aca="false">Tasks[[#This Row],[_Res4Work]]*Tasks[[#This Row],[_LeafProgress]]</f>
        <v>0</v>
      </c>
      <c r="EN50" s="43" t="n">
        <f aca="false">IF(ISNUMBER(Tasks[[#This Row],[% Complete]]),Tasks[[#This Row],[% Complete]],IF(Tasks[[#This Row],[Stage]]="",0,IFERROR(INDEX(stg_Pct,MATCH(Tasks[[#This Row],[Stage]],stg_Name,0)),0)))</f>
        <v>0</v>
      </c>
      <c r="EO50" s="43" t="n">
        <f aca="false">IF(NOT(Tasks[[#This Row],[_IsLeaf]]=1),0,IF(N(Tasks[[#This Row],[Actual Finish]])&gt;0,1,MIN(1,Tasks[[#This Row],[_Pct]])))</f>
        <v>0</v>
      </c>
      <c r="EP50" s="43" t="n">
        <f aca="false">IF(OR(NOT(Tasks[[#This Row],[_IsLeaf]]=1),Tasks[[#This Row],[_Res1Row]]=0),0,N(Tasks[[#This Row],[_Days]])*HoursPerDay*IF(Tasks[[#This Row],[_Units1]]="",DefaultUnits,Tasks[[#This Row],[_Units1]]))</f>
        <v>0</v>
      </c>
      <c r="EQ50" s="43" t="n">
        <f aca="false">Tasks[[#This Row],[_LeafWork]]+Tasks[[#This Row],[_Res2Work]]+Tasks[[#This Row],[_Res3Work]]+Tasks[[#This Row],[_Res4Work]]</f>
        <v>0</v>
      </c>
      <c r="ER5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0" s="43" t="n">
        <f aca="false">IF(NOT(Tasks[[#This Row],[_IsLeaf]]=1),0,MAX(_xlfn.MAXIFS(Tasks[_Row],Tasks[_Pred1UID],Tasks[[#This Row],[UID]]),_xlfn.MAXIFS(Tasks[_Row],Tasks[_Pred2UID],Tasks[[#This Row],[UID]]),_xlfn.MAXIFS(Tasks[_Row],Tasks[_Pred3UID],Tasks[[#This Row],[UID]]),_xlfn.MAXIFS(Tasks[_Row],Tasks[_Pred4UID],Tasks[[#This Row],[UID]])))</f>
        <v>0</v>
      </c>
      <c r="FA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0" s="91" t="str">
        <f aca="false">IF(NOT(Tasks[[#This Row],[_IsLeaf]]=1),"",IF(N(Tasks[[#This Row],[_Days]])&lt;=0,Tasks[[#This Row],[_LeafLateFinish]],WORKDAY.INTL(Tasks[[#This Row],[_LeafLateFinish]],-(Tasks[[#This Row],[_Days]]-1),WorkWeek,Holidays)))</f>
        <v/>
      </c>
      <c r="FD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0" s="90" t="b">
        <f aca="false">AND(Tasks[[#This Row],[_IsLeaf]]=1,Tasks[[#This Row],[_LeafProgress]]&lt;1,N(Tasks[[#This Row],[_LeafTotalSlack]])&lt;=CriticalSlackDays)</f>
        <v>0</v>
      </c>
      <c r="FF50" s="43" t="n">
        <f aca="false">IF(AND(Tasks[[#This Row],[_IsLeaf]]=1,Tasks[[#This Row],[_ConstraintCode]]=1,Tasks[[#This Row],[Mode]]&lt;&gt;"Manual",N(Tasks[[#This Row],[Actual Start]])=0),MAX(0,N(Tasks[[#This Row],[Free Slack]])),0)</f>
        <v>0</v>
      </c>
      <c r="FG50" s="91" t="str">
        <f aca="false">IF(NOT(Tasks[[#This Row],[_IsLeaf]]=1),"",IF(Tasks[[#This Row],[_AlapShift]]=0,Tasks[[#This Row],[_LeafCalcStart]],WORKDAY.INTL(Tasks[[#This Row],[_LeafCalcStart]],Tasks[[#This Row],[_AlapShift]],WorkWeek,Holidays)))</f>
        <v/>
      </c>
      <c r="FH50" s="91" t="str">
        <f aca="false">IF(NOT(Tasks[[#This Row],[_IsLeaf]]=1),"",IF(Tasks[[#This Row],[_AlapShift]]=0,Tasks[[#This Row],[_LeafCalcFinish]],WORKDAY.INTL(Tasks[[#This Row],[_LeafCalcFinish]],Tasks[[#This Row],[_AlapShift]],WorkWeek,Holidays)))</f>
        <v/>
      </c>
      <c r="FI50" s="91" t="str">
        <f aca="false">IF(NOT(Tasks[[#This Row],[_IsLeaf]]=1),"",IF(Tasks[[#This Row],[_AlapShift]]=0,Tasks[[#This Row],[_LeafFcstStart]],WORKDAY.INTL(Tasks[[#This Row],[_LeafFcstStart]],Tasks[[#This Row],[_AlapShift]],WorkWeek,Holidays)))</f>
        <v/>
      </c>
      <c r="FJ50" s="91" t="str">
        <f aca="false">IF(NOT(Tasks[[#This Row],[_IsLeaf]]=1),"",IF(Tasks[[#This Row],[_AlapShift]]=0,Tasks[[#This Row],[_LeafFcstFinish]],WORKDAY.INTL(Tasks[[#This Row],[_LeafFcstFinish]],Tasks[[#This Row],[_AlapShift]],WorkWeek,Holidays)))</f>
        <v/>
      </c>
      <c r="FK50" s="91" t="str">
        <f aca="false">IF(Tasks[[#This Row],[Task Name]]="","",IF(Tasks[[#This Row],[_IsSummary]],MIN(INDEX(Tasks[_ShownCalcStart],Tasks[[#This Row],[_Row]]+1):INDEX(Tasks[_ShownCalcStart],Tasks[[#This Row],[_Row]]+Tasks[[#This Row],[_Descendants]])),Tasks[[#This Row],[_ShownCalcStart]]))</f>
        <v/>
      </c>
      <c r="FL50" s="91" t="str">
        <f aca="false">IF(Tasks[[#This Row],[Task Name]]="","",IF(Tasks[[#This Row],[_IsSummary]],MAX(INDEX(Tasks[_ShownCalcFinish],Tasks[[#This Row],[_Row]]+1):INDEX(Tasks[_ShownCalcFinish],Tasks[[#This Row],[_Row]]+Tasks[[#This Row],[_Descendants]])),Tasks[[#This Row],[_ShownCalcFinish]]))</f>
        <v/>
      </c>
      <c r="FM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0" s="43" t="n">
        <f aca="false">IF(AND(Tasks[[#This Row],[_IsLeaf]]=1,Tasks[[#This Row],[_LeafTotalWork]]&gt;0),NETWORKDAYS.INTL(ProjectStart,Tasks[[#This Row],[_ShownFcstStart]],WorkWeek,Holidays),0)</f>
        <v>0</v>
      </c>
      <c r="FZ50" s="43" t="n">
        <f aca="false">IF(AND(Tasks[[#This Row],[_IsLeaf]]=1,Tasks[[#This Row],[_LeafTotalWork]]&gt;0),MAX(Tasks[[#This Row],[_StartWorkday]],NETWORKDAYS.INTL(ProjectStart,Tasks[[#This Row],[_ShownFcstFinish]],WorkWeek,Holidays)),0)</f>
        <v>0</v>
      </c>
      <c r="GA50" s="43" t="n">
        <f aca="false">IF(AND(Tasks[[#This Row],[_IsLeaf]]=1,Tasks[[#This Row],[_LeafTotalWork]]&gt;0),Tasks[[#This Row],[_LeafWork]]/(Tasks[[#This Row],[_FinishWorkday]]-Tasks[[#This Row],[_StartWorkday]]+1),0)</f>
        <v>0</v>
      </c>
      <c r="GB50" s="43" t="n">
        <f aca="false">Tasks[[#This Row],[_WorkPerWorkday]]*(Tasks[[#This Row],[_StartWorkday]]-1)</f>
        <v>-0</v>
      </c>
      <c r="GC50" s="43" t="n">
        <f aca="false">IF(Tasks[[#This Row],[_IsLeaf]]=1,MAX(N(Tasks[[#This Row],[_Days]]),0.1),0)</f>
        <v>0</v>
      </c>
      <c r="GD50" s="43" t="n">
        <f aca="false">Tasks[[#This Row],[_WeightDur]]*Tasks[[#This Row],[_LeafProgress]]</f>
        <v>0</v>
      </c>
      <c r="GE50" s="43" t="n">
        <f aca="false">Tasks[[#This Row],[_WeightDur]]*Tasks[[#This Row],[_PlannedPct]]</f>
        <v>0</v>
      </c>
      <c r="GF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0" s="43" t="str">
        <f aca="false">IF(AND(Tasks[[#This Row],[_IsLeaf]]=1,N(Tasks[[#This Row],[_Days]])=0,Tasks[[#This Row],[_LeafProgress]]&lt;1),Tasks[[#This Row],[_ShownFcstFinish]]+Tasks[[#This Row],[_Row]]/100000,"")</f>
        <v/>
      </c>
      <c r="GH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0" s="43" t="str">
        <f aca="false">IF(Tasks[[#This Row],[Task Name]]="","",LEFT(Tasks[[#This Row],[WBS]],FIND(".",Tasks[[#This Row],[WBS]]&amp;".")-1))</f>
        <v/>
      </c>
      <c r="GJ50" s="43" t="str">
        <f aca="false">IF(AND(Tasks[[#This Row],[Task Name]]&lt;&gt;"",Tasks[[#This Row],[_Level]]=1),Tasks[[#This Row],[_Row]],"")</f>
        <v/>
      </c>
      <c r="GK50" s="43" t="str">
        <f aca="false">IF(AND(Tasks[[#This Row],[_IsLeaf]]=1,N(Tasks[[#This Row],[_Days]])=0),Tasks[[#This Row],[Planned Finish]]+Tasks[[#This Row],[_Row]]/100000,"")</f>
        <v/>
      </c>
      <c r="GL50" s="43" t="str">
        <f aca="false">IF(AND(Tasks[[#This Row],[_IsLeaf]]=1,Tasks[[#This Row],[_LeafProgress]]&lt;1,OR(N(Tasks[[#This Row],[Finish Var]])&gt;0,Tasks[[#This Row],[Status]]="Late Start")),MAX(0,Tasks[[#This Row],[Finish Var]])+1-Tasks[[#This Row],[_Row]]/1000000,"")</f>
        <v/>
      </c>
      <c r="GM50" s="43" t="str">
        <f aca="false">IF(AND(Tasks[[#This Row],[_IsLeaf]]=1,N(Tasks[[#This Row],[Actual Start]])=0,Tasks[[#This Row],[_ShownFcstStart]]&gt;=StatusDate,Tasks[[#This Row],[_ShownFcstStart]]&lt;=LookaheadEnd),Tasks[[#This Row],[_ShownFcstStart]]+Tasks[[#This Row],[_Row]]/100000,"")</f>
        <v/>
      </c>
      <c r="GN50" s="43" t="str">
        <f aca="false">IF(AND(Tasks[[#This Row],[_IsLeaf]]=1,Tasks[[#This Row],[_LeafProgress]]&lt;1,Tasks[[#This Row],[_ShownFcstFinish]]&gt;=StatusDate,Tasks[[#This Row],[_ShownFcstFinish]]&lt;=LookaheadEnd),Tasks[[#This Row],[_ShownFcstFinish]]+Tasks[[#This Row],[_Row]]/100000,"")</f>
        <v/>
      </c>
      <c r="GO50" s="43" t="str">
        <f aca="false">IF(Tasks[[#This Row],[_LeafCritical]],Tasks[[#This Row],[_ShownFcstStart]]+Tasks[[#This Row],[_Row]]/100000,"")</f>
        <v/>
      </c>
      <c r="GP50" s="43" t="n">
        <f aca="false">Tasks[[#This Row],[_LeafWork]]*Tasks[[#This Row],[_LeafProgress]]</f>
        <v>0</v>
      </c>
      <c r="GQ50" s="91" t="str">
        <f aca="false">IF(AND(Tasks[[#This Row],[_IsLeaf]]=1,Tasks[[#This Row],[_LeafProgress]]&gt;=1),IF(N(Tasks[[#This Row],[Actual Finish]])&gt;0,Tasks[[#This Row],[Actual Finish]],Tasks[[#This Row],[_ShownFcstFinish]]),"")</f>
        <v/>
      </c>
      <c r="GR50" s="43" t="n">
        <f aca="false">IF(Tasks[[#This Row],[_IsLeaf]]=1,N(Tasks[[#This Row],[Story Points]]),0)</f>
        <v>0</v>
      </c>
      <c r="GS50" s="43" t="str">
        <f aca="false">""</f>
        <v/>
      </c>
      <c r="GT50" s="90" t="b">
        <f aca="false">IF(Tasks[[#This Row],[Task Name]]="",FALSE(),AND(Tasks[[#This Row],[_IsLeaf]]=1,N(Tasks[[#This Row],[_Days]])=0))</f>
        <v>0</v>
      </c>
      <c r="GU50" s="91" t="n">
        <f aca="false">IF(Tasks[[#This Row],[Task Name]]="",0,IF(AND(Tasks[[#This Row],[_IsLeaf]]=1,NOT(Tasks[[#This Row],[_IsMilestone]]),N(Tasks[[#This Row],[Progress]])&gt;0),Tasks[[#This Row],[Start]],0))</f>
        <v>0</v>
      </c>
      <c r="GV50" s="91" t="n">
        <f aca="false">IF(Tasks[[#This Row],[_DoneFrom]]=0,0,IF(Tasks[[#This Row],[Progress]]&gt;=1,Tasks[[#This Row],[Finish]],MAX(Tasks[[#This Row],[_DoneFrom]],Tasks[[#This Row],[Start]]+ROUND((Tasks[[#This Row],[Finish]]-Tasks[[#This Row],[Start]]+1)*Tasks[[#This Row],[Progress]],0)-1)))</f>
        <v>0</v>
      </c>
      <c r="GW50" s="91" t="n">
        <f aca="false">IF(Tasks[[#This Row],[Task Name]]="",0,IF(OR(NOT(Tasks[[#This Row],[_IsLeaf]]=1),Tasks[[#This Row],[_IsMilestone]],N(Tasks[[#This Row],[Progress]])&gt;=1),0,IF(Tasks[[#This Row],[_DoneTo]]&gt;0,Tasks[[#This Row],[_DoneTo]]+1,Tasks[[#This Row],[Start]])))</f>
        <v>0</v>
      </c>
      <c r="GX50" s="91" t="n">
        <f aca="false">IF(Tasks[[#This Row],[_RemFrom]]=0,0,Tasks[[#This Row],[Finish]])</f>
        <v>0</v>
      </c>
      <c r="GY50" s="90" t="b">
        <f aca="false">IF(Tasks[[#This Row],[Task Name]]="",FALSE(),OR(NOT(BaselineSet),N(Tasks[[#This Row],[Baseline Start]])&gt;0))</f>
        <v>0</v>
      </c>
      <c r="GZ5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0" s="92" t="str">
        <f aca="false">IF(Tasks[[#This Row],[_IsLeaf]]=1,Tasks[[#This Row],[_Row]],"")</f>
        <v/>
      </c>
      <c r="HD50" s="92" t="str">
        <f aca="false">IFERROR(INDEX(Tasks[UID],SMALL(Tasks[_PickKey],Tasks[[#This Row],[_Row]]))&amp;" "&amp;INDEX(Tasks[Task Name],SMALL(Tasks[_PickKey],Tasks[[#This Row],[_Row]])),"")</f>
        <v/>
      </c>
      <c r="HE50" s="43" t="str">
        <f aca="false">IF(Tasks[[#This Row],[Task Name]]="","",IF(Tasks[[#This Row],[_IsSummary]],NETWORKDAYS.INTL(Tasks[[#This Row],[Start]],Tasks[[#This Row],[Finish]],WorkWeek,Holidays),N(Tasks[[#This Row],[_Days]])))</f>
        <v/>
      </c>
      <c r="HF50" s="43" t="n">
        <f aca="false">IF(Tasks[[#This Row],[Expected]]="",0,((Tasks[[#This Row],[Pessimistic]]-Tasks[[#This Row],[Optimistic]])/6)^2)</f>
        <v>0</v>
      </c>
      <c r="HG50" s="43" t="n">
        <f aca="false">IF(Tasks[[#This Row],[Expected]]="",0,Tasks[[#This Row],[Expected]]-N(Tasks[[#This Row],[_Days]]))</f>
        <v>0</v>
      </c>
    </row>
    <row r="51" customFormat="false" ht="15" hidden="false" customHeight="false" outlineLevel="0" collapsed="false">
      <c r="A51" s="21" t="str">
        <f aca="false">IF(Tasks[[#This Row],[Task Name]]="","",COUNTA(Tasks[[#Headers],[Task Name]]:Tasks[[#This Row],[Task Name]])-1)</f>
        <v/>
      </c>
      <c r="B51" s="22" t="n">
        <v>59</v>
      </c>
      <c r="C51" s="22"/>
      <c r="D51" s="23"/>
      <c r="E51" s="22"/>
      <c r="F51" s="23"/>
      <c r="G51" s="22"/>
      <c r="H51" s="22"/>
      <c r="I51" s="23"/>
      <c r="J51" s="22"/>
      <c r="K51" s="22"/>
      <c r="L51" s="23"/>
      <c r="M51" s="22"/>
      <c r="N51" s="22"/>
      <c r="O51" s="23"/>
      <c r="P51" s="22"/>
      <c r="Q51" s="22"/>
      <c r="R51" s="23"/>
      <c r="S51" s="23"/>
      <c r="T51" s="84"/>
      <c r="U51" s="23"/>
      <c r="V51" s="84"/>
      <c r="W51" s="23"/>
      <c r="X51" s="84"/>
      <c r="Y51" s="23"/>
      <c r="Z51" s="84"/>
      <c r="AA51" s="23"/>
      <c r="AB51" s="23"/>
      <c r="AC51" s="7"/>
      <c r="AD51" s="7"/>
      <c r="AE51" s="63" t="str">
        <f aca="false">IF(Tasks[[#This Row],[Task Name]]="","",IF(Tasks[[#This Row],[_IsSummary]],MIN(INDEX(Tasks[_ShownFcstStart],Tasks[[#This Row],[_Row]]+1):INDEX(Tasks[_ShownFcstStart],Tasks[[#This Row],[_Row]]+Tasks[[#This Row],[_Descendants]])),Tasks[[#This Row],[_ShownFcstStart]]))</f>
        <v/>
      </c>
      <c r="AF51" s="63" t="str">
        <f aca="false">IF(Tasks[[#This Row],[Task Name]]="","",IF(Tasks[[#This Row],[_IsSummary]],MAX(INDEX(Tasks[_ShownFcstFinish],Tasks[[#This Row],[_Row]]+1):INDEX(Tasks[_ShownFcstFinish],Tasks[[#This Row],[_Row]]+Tasks[[#This Row],[_Descendants]])),Tasks[[#This Row],[_ShownFcstFinish]]))</f>
        <v/>
      </c>
      <c r="AG51" s="21" t="str">
        <f aca="false">""</f>
        <v/>
      </c>
      <c r="AH51" s="23"/>
      <c r="AI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1" s="7"/>
      <c r="AK51" s="22"/>
      <c r="AL51" s="23"/>
      <c r="AM51" s="7"/>
      <c r="AN51" s="47" t="str">
        <f aca="false">IF(Tasks[[#This Row],[Task Name]]="","",IF(Tasks[[#This Row],[Finish]]&gt;=Tasks[[#This Row],[Planned Finish]],NETWORKDAYS.INTL(Tasks[[#This Row],[Planned Finish]],Tasks[[#This Row],[Finish]],WorkWeek,Holidays)-1,1-NETWORKDAYS.INTL(Tasks[[#This Row],[Finish]],Tasks[[#This Row],[Planned Finish]],WorkWeek,Holidays)))</f>
        <v/>
      </c>
      <c r="AO51" s="21" t="str">
        <f aca="false">IF(Tasks[[#This Row],[Task Name]]="","",IF(Tasks[[#This Row],[Progress]]&gt;=1,"Complete",IF(OR(N(Tasks[[#This Row],[Actual Start]])&gt;0,Tasks[[#This Row],[Progress]]&gt;0),IF(Tasks[[#This Row],[Finish Var]]&gt;0,"Behind","In Progress"),IF(Tasks[[#This Row],[Planned Start]]&lt;StatusDate,"Late Start","Not Started"))))</f>
        <v/>
      </c>
      <c r="AP51" s="21" t="str">
        <f aca="false">IF(Tasks[[#This Row],[Task Name]]="","",IF(IF(Tasks[[#This Row],[_IsSummary]],COUNTIF(INDEX(Tasks[_LeafCritical],Tasks[[#This Row],[_Row]]+1):INDEX(Tasks[_LeafCritical],Tasks[[#This Row],[_Row]]+Tasks[[#This Row],[_Descendants]]),TRUE())&gt;0,Tasks[[#This Row],[_LeafCritical]]),"Yes",""))</f>
        <v/>
      </c>
      <c r="AQ51" s="63" t="str">
        <f aca="false">IF(Tasks[[#This Row],[Task Name]]="","",IF(N(Tasks[[#This Row],[Baseline Start]])&gt;0,Tasks[[#This Row],[Baseline Start]],Tasks[[#This Row],[_CalcStart]]))</f>
        <v/>
      </c>
      <c r="AR51" s="63" t="str">
        <f aca="false">IF(Tasks[[#This Row],[Task Name]]="","",IF(N(Tasks[[#This Row],[Baseline Finish]])&gt;0,Tasks[[#This Row],[Baseline Finish]],Tasks[[#This Row],[_CalcFinish]]))</f>
        <v/>
      </c>
      <c r="AS51" s="47" t="str">
        <f aca="false">IF(Tasks[[#This Row],[Task Name]]="","",IF(Tasks[[#This Row],[Start]]&gt;=Tasks[[#This Row],[Planned Start]],NETWORKDAYS.INTL(Tasks[[#This Row],[Planned Start]],Tasks[[#This Row],[Start]],WorkWeek,Holidays)-1,1-NETWORKDAYS.INTL(Tasks[[#This Row],[Start]],Tasks[[#This Row],[Planned Start]],WorkWeek,Holidays)))</f>
        <v/>
      </c>
      <c r="AT51" s="63" t="str">
        <f aca="false">IF(Tasks[[#This Row],[Task Name]]="","",IF(Tasks[[#This Row],[_IsSummary]],MIN(INDEX(Tasks[_LeafLateStart],Tasks[[#This Row],[_Row]]+1):INDEX(Tasks[_LeafLateStart],Tasks[[#This Row],[_Row]]+Tasks[[#This Row],[_Descendants]])),Tasks[[#This Row],[_LeafLateStart]]))</f>
        <v/>
      </c>
      <c r="AU51" s="63" t="str">
        <f aca="false">IF(Tasks[[#This Row],[Task Name]]="","",IF(Tasks[[#This Row],[_IsSummary]],MAX(INDEX(Tasks[_LeafLateFinish],Tasks[[#This Row],[_Row]]+1):INDEX(Tasks[_LeafLateFinish],Tasks[[#This Row],[_Row]]+Tasks[[#This Row],[_Descendants]])),Tasks[[#This Row],[_LeafLateFinish]]))</f>
        <v/>
      </c>
      <c r="AV51" s="47" t="str">
        <f aca="false">IF(Tasks[[#This Row],[Task Name]]="","",IF(Tasks[[#This Row],[_IsSummary]],MIN(INDEX(Tasks[_LeafTotalSlack],Tasks[[#This Row],[_Row]]+1):INDEX(Tasks[_LeafTotalSlack],Tasks[[#This Row],[_Row]]+Tasks[[#This Row],[_Descendants]])),Tasks[[#This Row],[_LeafTotalSlack]]))</f>
        <v/>
      </c>
      <c r="AW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5"/>
      <c r="BA5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t="str">
        <f aca="false">IF(Tasks[[#This Row],[Task Name]]="","",IF(Tasks[[#This Row],[_Level]]&lt;=OutlineShowLevel,"Yes","No"))</f>
        <v/>
      </c>
      <c r="BE51" s="86" t="str">
        <f aca="false">IF(Tasks[[#This Row],[Task Name]]="","",IF(Tasks[[#This Row],[_IsSummary]],SUM(INDEX(Tasks[_LeafTotalWork],Tasks[[#This Row],[_Row]]+1):INDEX(Tasks[_LeafTotalWork],Tasks[[#This Row],[_Row]]+Tasks[[#This Row],[_Descendants]])),Tasks[[#This Row],[_LeafTotalWork]]))</f>
        <v/>
      </c>
      <c r="BF51" s="23"/>
      <c r="BG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t="str">
        <f aca="false">""</f>
        <v/>
      </c>
      <c r="BI51" s="87"/>
      <c r="BJ51" s="22"/>
      <c r="BK51" s="47" t="str">
        <f aca="false">IF(OR(Tasks[[#This Row],[Task Name]]="",Tasks[[#This Row],[Baseline Duration]]=""),"",Tasks[[#This Row],[_SpanDays]]-N(Tasks[[#This Row],[Baseline Duration]]))</f>
        <v/>
      </c>
      <c r="BL51" s="86" t="str">
        <f aca="false">IF(OR(Tasks[[#This Row],[Task Name]]="",Tasks[[#This Row],[Baseline Work]]=""),"",Tasks[[#This Row],[Work]]-N(Tasks[[#This Row],[Baseline Work]]))</f>
        <v/>
      </c>
      <c r="BM51" s="63" t="str">
        <f aca="false">IF(Tasks[[#This Row],[Task Name]]="","",IF(OR(TakeBaseline="Yes",N(Tasks[[#This Row],[Baseline Start]])=0),Tasks[[#This Row],[Start]],Tasks[[#This Row],[Baseline Start]]))</f>
        <v/>
      </c>
      <c r="BN51" s="63" t="str">
        <f aca="false">IF(Tasks[[#This Row],[Task Name]]="","",IF(OR(TakeBaseline="Yes",N(Tasks[[#This Row],[Baseline Finish]])=0),Tasks[[#This Row],[Finish]],Tasks[[#This Row],[Baseline Finish]]))</f>
        <v/>
      </c>
      <c r="BO51" s="21" t="str">
        <f aca="false">IF(Tasks[[#This Row],[Task Name]]="","",IF(OR(TakeBaseline="Yes",N(Tasks[[#This Row],[Baseline Duration]])=0),Tasks[[#This Row],[_SpanDays]],Tasks[[#This Row],[Baseline Duration]]))</f>
        <v/>
      </c>
      <c r="BP51" s="86" t="str">
        <f aca="false">IF(Tasks[[#This Row],[Task Name]]="","",IF(OR(TakeBaseline="Yes",N(Tasks[[#This Row],[Baseline Work]])=0),Tasks[[#This Row],[Work]],Tasks[[#This Row],[Baseline Work]]))</f>
        <v/>
      </c>
      <c r="BQ51" s="7"/>
      <c r="BR51" s="7"/>
      <c r="BS51" s="22"/>
      <c r="BT51" s="88"/>
      <c r="BU51" s="23"/>
      <c r="BV51" s="23"/>
      <c r="BW51" s="23"/>
      <c r="BX51" s="89" t="str">
        <f aca="false">IF(AND(Tasks[[#This Row],[_IsLeaf]]=1,ISNUMBER(Tasks[[#This Row],[Optimistic]]),ISNUMBER(Tasks[[#This Row],[Pessimistic]])),ROUND((Tasks[[#This Row],[Optimistic]]+4*N(Tasks[[#This Row],[_Days]])+Tasks[[#This Row],[Pessimistic]])/6,1),"")</f>
        <v/>
      </c>
      <c r="BY51" s="87"/>
      <c r="BZ51" s="87"/>
      <c r="CA51" s="22"/>
      <c r="CB51" s="43" t="str">
        <f aca="false">IF(Tasks[[#This Row],[Task Name]]="","",MAX(1,N(Tasks[[#This Row],[Level]])))</f>
        <v/>
      </c>
      <c r="CC51" s="43" t="n">
        <f aca="false">ROW()-ROW(Tasks[[#Headers],[ID]])</f>
        <v>46</v>
      </c>
      <c r="CD51" s="43" t="n">
        <f aca="false">IF(OR(Tasks[[#This Row],[Task Name]]="",Tasks[[#This Row],[_Level]]&lt;=1),0,IFERROR(LOOKUP(2,1/(Tasks[[#Headers],[_Level]]:Tasks[[#This Row],[_Level]]=Tasks[[#This Row],[_Level]]-1),ROW(Tasks[[#Headers],[_Level]]:Tasks[[#This Row],[_Level]])),0))</f>
        <v>0</v>
      </c>
      <c r="CE51" s="43" t="n">
        <f aca="false">IFERROR(N(INDEX(Tasks[_Level],Tasks[[#This Row],[_Row]]+1)),0)</f>
        <v>0</v>
      </c>
      <c r="CF51" s="90" t="b">
        <f aca="false">AND(Tasks[[#This Row],[Task Name]]&lt;&gt;"",Tasks[[#This Row],[_NextLevel]]&gt;Tasks[[#This Row],[_Level]])</f>
        <v>0</v>
      </c>
      <c r="CG51" s="43" t="n">
        <f aca="false">IF(Tasks[[#This Row],[_IsSummary]],COUNTIF(Tasks[WBS],Tasks[[#This Row],[WBS]]&amp;".*"),0)</f>
        <v>0</v>
      </c>
      <c r="CH51" s="43" t="n">
        <f aca="false">IF(AND(Tasks[[#This Row],[Task Name]]&lt;&gt;"",NOT(Tasks[[#This Row],[_IsSummary]])),1,0)</f>
        <v>0</v>
      </c>
      <c r="CI51" s="43" t="n">
        <f aca="false">IF(N(Tasks[[#This Row],[_Pred1UID]])=0,0,IFERROR(MATCH(Tasks[[#This Row],[_Pred1UID]],Tasks[UID],0),-1))</f>
        <v>0</v>
      </c>
      <c r="CJ51" s="43" t="n">
        <f aca="false">IF(N(Tasks[[#This Row],[_Pred2UID]])=0,0,IFERROR(MATCH(Tasks[[#This Row],[_Pred2UID]],Tasks[UID],0),-1))</f>
        <v>0</v>
      </c>
      <c r="CK51" s="43" t="n">
        <f aca="false">IF(N(Tasks[[#This Row],[_Pred3UID]])=0,0,IFERROR(MATCH(Tasks[[#This Row],[_Pred3UID]],Tasks[UID],0),-1))</f>
        <v>0</v>
      </c>
      <c r="CL51" s="43" t="n">
        <f aca="false">IF(N(Tasks[[#This Row],[_Pred4UID]])=0,0,IFERROR(MATCH(Tasks[[#This Row],[_Pred4UID]],Tasks[UID],0),-1))</f>
        <v>0</v>
      </c>
      <c r="CM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1" s="91" t="n">
        <f aca="false">IF(OR(Tasks[[#This Row],[_ConstraintCode]]=2,Tasks[[#This Row],[_ConstraintCode]]=3,Tasks[[#This Row],[_ConstraintCode]]=4,Tasks[[#This Row],[_ConstraintCode]]=6),Tasks[[#This Row],[_ConstraintStart]],0)</f>
        <v>0</v>
      </c>
      <c r="CP51" s="91" t="n">
        <f aca="false">IF(OR(Tasks[[#This Row],[_ConstraintCode]]=2,Tasks[[#This Row],[_ConstraintCode]]=3,Tasks[[#This Row],[_ConstraintCode]]=5,Tasks[[#This Row],[_ConstraintCode]]=7),Tasks[[#This Row],[_ConstraintStart]],2958465)</f>
        <v>2958465</v>
      </c>
      <c r="CQ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1" s="91" t="str">
        <f aca="false">IF(NOT(Tasks[[#This Row],[_IsLeaf]]=1),"",IF(N(Tasks[[#This Row],[_Days]])&lt;=0,Tasks[[#This Row],[_LeafCalcStart]],WORKDAY.INTL(Tasks[[#This Row],[_LeafCalcStart]],Tasks[[#This Row],[_Days]]-1,WorkWeek,Holidays)))</f>
        <v/>
      </c>
      <c r="CS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1" s="43" t="str">
        <f aca="false">IF(Tasks[[#This Row],[_Predecessors]]="","",TRIM(MID(SUBSTITUTE(SUBSTITUTE(SUBSTITUTE(UPPER(Tasks[[#This Row],[_Predecessors]]),";",",")," ",""),",",REPT(" ",99)),1,99)))</f>
        <v/>
      </c>
      <c r="CV51" s="43" t="str">
        <f aca="false">IF(Tasks[[#This Row],[_Pred1Text]]="","",IFERROR(VALUE(LEFT(Tasks[[#This Row],[_Pred1Text]],MIN(FIND("F",Tasks[[#This Row],[_Pred1Text]]&amp;"F"),FIND("S",Tasks[[#This Row],[_Pred1Text]]&amp;"S"),FIND("+",Tasks[[#This Row],[_Pred1Text]]&amp;"+"),FIND("-",Tasks[[#This Row],[_Pred1Text]]&amp;"-"))-1)),""))</f>
        <v/>
      </c>
      <c r="CW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1" s="43" t="str">
        <f aca="false">IF(Tasks[[#This Row],[_Pred1Text]]="","",TRIM(MID(SUBSTITUTE(SUBSTITUTE(SUBSTITUTE(UPPER(Tasks[[#This Row],[_Predecessors]]),";",",")," ",""),",",REPT(" ",99)),100,99)))</f>
        <v/>
      </c>
      <c r="CZ51" s="43" t="str">
        <f aca="false">IF(Tasks[[#This Row],[_Pred2Text]]="","",IFERROR(VALUE(LEFT(Tasks[[#This Row],[_Pred2Text]],MIN(FIND("F",Tasks[[#This Row],[_Pred2Text]]&amp;"F"),FIND("S",Tasks[[#This Row],[_Pred2Text]]&amp;"S"),FIND("+",Tasks[[#This Row],[_Pred2Text]]&amp;"+"),FIND("-",Tasks[[#This Row],[_Pred2Text]]&amp;"-"))-1)),""))</f>
        <v/>
      </c>
      <c r="DA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1" s="43" t="str">
        <f aca="false">IF(Tasks[[#This Row],[_Pred2Text]]="","",TRIM(MID(SUBSTITUTE(SUBSTITUTE(SUBSTITUTE(UPPER(Tasks[[#This Row],[_Predecessors]]),";",",")," ",""),",",REPT(" ",99)),199,99)))</f>
        <v/>
      </c>
      <c r="DD51" s="43" t="str">
        <f aca="false">IF(Tasks[[#This Row],[_Pred3Text]]="","",IFERROR(VALUE(LEFT(Tasks[[#This Row],[_Pred3Text]],MIN(FIND("F",Tasks[[#This Row],[_Pred3Text]]&amp;"F"),FIND("S",Tasks[[#This Row],[_Pred3Text]]&amp;"S"),FIND("+",Tasks[[#This Row],[_Pred3Text]]&amp;"+"),FIND("-",Tasks[[#This Row],[_Pred3Text]]&amp;"-"))-1)),""))</f>
        <v/>
      </c>
      <c r="DE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1" s="43" t="str">
        <f aca="false">IF(Tasks[[#This Row],[_Pred3Text]]="","",TRIM(MID(SUBSTITUTE(SUBSTITUTE(SUBSTITUTE(UPPER(Tasks[[#This Row],[_Predecessors]]),";",",")," ",""),",",REPT(" ",99)),298,99)))</f>
        <v/>
      </c>
      <c r="DH51" s="43" t="str">
        <f aca="false">IF(Tasks[[#This Row],[_Pred4Text]]="","",IFERROR(VALUE(LEFT(Tasks[[#This Row],[_Pred4Text]],MIN(FIND("F",Tasks[[#This Row],[_Pred4Text]]&amp;"F"),FIND("S",Tasks[[#This Row],[_Pred4Text]]&amp;"S"),FIND("+",Tasks[[#This Row],[_Pred4Text]]&amp;"+"),FIND("-",Tasks[[#This Row],[_Pred4Text]]&amp;"-"))-1)),""))</f>
        <v/>
      </c>
      <c r="DI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1" s="43" t="str">
        <f aca="false">IF(OR(Tasks[[#This Row],[Task Name]]="",Tasks[[#This Row],[_Resources]]=""),"",TRIM(MID(SUBSTITUTE(Tasks[[#This Row],[_Resources]],",",REPT(" ",99)),1,99)))</f>
        <v/>
      </c>
      <c r="DL51" s="43" t="str">
        <f aca="false">IF(Tasks[[#This Row],[_Res1Text]]="","",TRIM(MID(SUBSTITUTE(Tasks[[#This Row],[_Resources]],",",REPT(" ",99)),100,99)))</f>
        <v/>
      </c>
      <c r="DM51" s="43" t="str">
        <f aca="false">IF(Tasks[[#This Row],[_Res2Text]]="","",TRIM(MID(SUBSTITUTE(Tasks[[#This Row],[_Resources]],",",REPT(" ",99)),199,99)))</f>
        <v/>
      </c>
      <c r="DN51" s="43" t="str">
        <f aca="false">IF(Tasks[[#This Row],[_Res3Text]]="","",TRIM(MID(SUBSTITUTE(Tasks[[#This Row],[_Resources]],",",REPT(" ",99)),298,99)))</f>
        <v/>
      </c>
      <c r="DO51" s="43" t="n">
        <f aca="false">IF(Tasks[[#This Row],[_Res1Text]]="",0,IFERROR(MATCH(TRIM(LEFT(Tasks[[#This Row],[_Res1Text]],FIND("[",Tasks[[#This Row],[_Res1Text]]&amp;"[")-1)),res_Name,0),IFERROR(MATCH(TRIM(LEFT(Tasks[[#This Row],[_Res1Text]],FIND("[",Tasks[[#This Row],[_Res1Text]]&amp;"[")-1)),res_Initials,0),0)))</f>
        <v>0</v>
      </c>
      <c r="DP51" s="43" t="n">
        <f aca="false">IF(Tasks[[#This Row],[_Res2Text]]="",0,IFERROR(MATCH(TRIM(LEFT(Tasks[[#This Row],[_Res2Text]],FIND("[",Tasks[[#This Row],[_Res2Text]]&amp;"[")-1)),res_Name,0),IFERROR(MATCH(TRIM(LEFT(Tasks[[#This Row],[_Res2Text]],FIND("[",Tasks[[#This Row],[_Res2Text]]&amp;"[")-1)),res_Initials,0),0)))</f>
        <v>0</v>
      </c>
      <c r="DQ51" s="43" t="n">
        <f aca="false">IF(Tasks[[#This Row],[_Res3Text]]="",0,IFERROR(MATCH(TRIM(LEFT(Tasks[[#This Row],[_Res3Text]],FIND("[",Tasks[[#This Row],[_Res3Text]]&amp;"[")-1)),res_Name,0),IFERROR(MATCH(TRIM(LEFT(Tasks[[#This Row],[_Res3Text]],FIND("[",Tasks[[#This Row],[_Res3Text]]&amp;"[")-1)),res_Initials,0),0)))</f>
        <v>0</v>
      </c>
      <c r="DR51" s="43" t="n">
        <f aca="false">IF(Tasks[[#This Row],[_Res4Text]]="",0,IFERROR(MATCH(TRIM(LEFT(Tasks[[#This Row],[_Res4Text]],FIND("[",Tasks[[#This Row],[_Res4Text]]&amp;"[")-1)),res_Name,0),IFERROR(MATCH(TRIM(LEFT(Tasks[[#This Row],[_Res4Text]],FIND("[",Tasks[[#This Row],[_Res4Text]]&amp;"[")-1)),res_Initials,0),0)))</f>
        <v>0</v>
      </c>
      <c r="DS51" s="43" t="str">
        <f aca="false">IF(Tasks[[#This Row],[_Res1Text]]="","",IF(Tasks[[#This Row],[_Res1Row]]&gt;0,INDEX(res_Name,Tasks[[#This Row],[_Res1Row]]),TRIM(LEFT(Tasks[[#This Row],[_Res1Text]],FIND("[",Tasks[[#This Row],[_Res1Text]]&amp;"[")-1))))</f>
        <v/>
      </c>
      <c r="DT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1" s="43" t="n">
        <f aca="false">IF(NOT(Tasks[[#This Row],[_IsLeaf]]=1),0,(Tasks[[#This Row],[_Resource1]]&lt;&gt;"")+(Tasks[[#This Row],[_Res2]]&lt;&gt;"")+(Tasks[[#This Row],[_Res3]]&lt;&gt;"")+(Tasks[[#This Row],[_Res4]]&lt;&gt;""))</f>
        <v>0</v>
      </c>
      <c r="DV51" s="43" t="str">
        <f aca="false">IF(Tasks[[#This Row],[_Res2Text]]="","",IF(Tasks[[#This Row],[_Res2Row]]&gt;0,INDEX(res_Name,Tasks[[#This Row],[_Res2Row]]),TRIM(LEFT(Tasks[[#This Row],[_Res2Text]],FIND("[",Tasks[[#This Row],[_Res2Text]]&amp;"[")-1))))</f>
        <v/>
      </c>
      <c r="DW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1" s="43" t="n">
        <f aca="false">IF(OR(NOT(Tasks[[#This Row],[_IsLeaf]]=1),Tasks[[#This Row],[_Res2Row]]=0),0,N(Tasks[[#This Row],[_Days]])*HoursPerDay*IF(Tasks[[#This Row],[_Res2Units]]="",DefaultUnits,Tasks[[#This Row],[_Res2Units]]))</f>
        <v>0</v>
      </c>
      <c r="DY51" s="43" t="n">
        <f aca="false">IF(AND(AND(Tasks[[#This Row],[_IsLeaf]]=1,Tasks[[#This Row],[_LeafTotalWork]]&gt;0),Tasks[[#This Row],[_Res2Work]]&gt;0),Tasks[[#This Row],[_Res2Work]]/(Tasks[[#This Row],[_FinishWorkday]]-Tasks[[#This Row],[_StartWorkday]]+1),0)</f>
        <v>0</v>
      </c>
      <c r="DZ51" s="43" t="n">
        <f aca="false">Tasks[[#This Row],[_Res2WorkPerWD]]*MAX(0,Tasks[[#This Row],[_StartWorkday]]-1)</f>
        <v>0</v>
      </c>
      <c r="EA51" s="43" t="n">
        <f aca="false">Tasks[[#This Row],[_Res2Work]]*Tasks[[#This Row],[_LeafProgress]]</f>
        <v>0</v>
      </c>
      <c r="EB51" s="43" t="str">
        <f aca="false">IF(Tasks[[#This Row],[_Res3Text]]="","",IF(Tasks[[#This Row],[_Res3Row]]&gt;0,INDEX(res_Name,Tasks[[#This Row],[_Res3Row]]),TRIM(LEFT(Tasks[[#This Row],[_Res3Text]],FIND("[",Tasks[[#This Row],[_Res3Text]]&amp;"[")-1))))</f>
        <v/>
      </c>
      <c r="EC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1" s="43" t="n">
        <f aca="false">IF(OR(NOT(Tasks[[#This Row],[_IsLeaf]]=1),Tasks[[#This Row],[_Res3Row]]=0),0,N(Tasks[[#This Row],[_Days]])*HoursPerDay*IF(Tasks[[#This Row],[_Res3Units]]="",DefaultUnits,Tasks[[#This Row],[_Res3Units]]))</f>
        <v>0</v>
      </c>
      <c r="EE51" s="43" t="n">
        <f aca="false">IF(AND(AND(Tasks[[#This Row],[_IsLeaf]]=1,Tasks[[#This Row],[_LeafTotalWork]]&gt;0),Tasks[[#This Row],[_Res3Work]]&gt;0),Tasks[[#This Row],[_Res3Work]]/(Tasks[[#This Row],[_FinishWorkday]]-Tasks[[#This Row],[_StartWorkday]]+1),0)</f>
        <v>0</v>
      </c>
      <c r="EF51" s="43" t="n">
        <f aca="false">Tasks[[#This Row],[_Res3WorkPerWD]]*MAX(0,Tasks[[#This Row],[_StartWorkday]]-1)</f>
        <v>0</v>
      </c>
      <c r="EG51" s="43" t="n">
        <f aca="false">Tasks[[#This Row],[_Res3Work]]*Tasks[[#This Row],[_LeafProgress]]</f>
        <v>0</v>
      </c>
      <c r="EH51" s="43" t="str">
        <f aca="false">IF(Tasks[[#This Row],[_Res4Text]]="","",IF(Tasks[[#This Row],[_Res4Row]]&gt;0,INDEX(res_Name,Tasks[[#This Row],[_Res4Row]]),TRIM(LEFT(Tasks[[#This Row],[_Res4Text]],FIND("[",Tasks[[#This Row],[_Res4Text]]&amp;"[")-1))))</f>
        <v/>
      </c>
      <c r="EI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1" s="43" t="n">
        <f aca="false">IF(OR(NOT(Tasks[[#This Row],[_IsLeaf]]=1),Tasks[[#This Row],[_Res4Row]]=0),0,N(Tasks[[#This Row],[_Days]])*HoursPerDay*IF(Tasks[[#This Row],[_Res4Units]]="",DefaultUnits,Tasks[[#This Row],[_Res4Units]]))</f>
        <v>0</v>
      </c>
      <c r="EK51" s="43" t="n">
        <f aca="false">IF(AND(AND(Tasks[[#This Row],[_IsLeaf]]=1,Tasks[[#This Row],[_LeafTotalWork]]&gt;0),Tasks[[#This Row],[_Res4Work]]&gt;0),Tasks[[#This Row],[_Res4Work]]/(Tasks[[#This Row],[_FinishWorkday]]-Tasks[[#This Row],[_StartWorkday]]+1),0)</f>
        <v>0</v>
      </c>
      <c r="EL51" s="43" t="n">
        <f aca="false">Tasks[[#This Row],[_Res4WorkPerWD]]*MAX(0,Tasks[[#This Row],[_StartWorkday]]-1)</f>
        <v>0</v>
      </c>
      <c r="EM51" s="43" t="n">
        <f aca="false">Tasks[[#This Row],[_Res4Work]]*Tasks[[#This Row],[_LeafProgress]]</f>
        <v>0</v>
      </c>
      <c r="EN51" s="43" t="n">
        <f aca="false">IF(ISNUMBER(Tasks[[#This Row],[% Complete]]),Tasks[[#This Row],[% Complete]],IF(Tasks[[#This Row],[Stage]]="",0,IFERROR(INDEX(stg_Pct,MATCH(Tasks[[#This Row],[Stage]],stg_Name,0)),0)))</f>
        <v>0</v>
      </c>
      <c r="EO51" s="43" t="n">
        <f aca="false">IF(NOT(Tasks[[#This Row],[_IsLeaf]]=1),0,IF(N(Tasks[[#This Row],[Actual Finish]])&gt;0,1,MIN(1,Tasks[[#This Row],[_Pct]])))</f>
        <v>0</v>
      </c>
      <c r="EP51" s="43" t="n">
        <f aca="false">IF(OR(NOT(Tasks[[#This Row],[_IsLeaf]]=1),Tasks[[#This Row],[_Res1Row]]=0),0,N(Tasks[[#This Row],[_Days]])*HoursPerDay*IF(Tasks[[#This Row],[_Units1]]="",DefaultUnits,Tasks[[#This Row],[_Units1]]))</f>
        <v>0</v>
      </c>
      <c r="EQ51" s="43" t="n">
        <f aca="false">Tasks[[#This Row],[_LeafWork]]+Tasks[[#This Row],[_Res2Work]]+Tasks[[#This Row],[_Res3Work]]+Tasks[[#This Row],[_Res4Work]]</f>
        <v>0</v>
      </c>
      <c r="ER5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1" s="43" t="n">
        <f aca="false">IF(NOT(Tasks[[#This Row],[_IsLeaf]]=1),0,MAX(_xlfn.MAXIFS(Tasks[_Row],Tasks[_Pred1UID],Tasks[[#This Row],[UID]]),_xlfn.MAXIFS(Tasks[_Row],Tasks[_Pred2UID],Tasks[[#This Row],[UID]]),_xlfn.MAXIFS(Tasks[_Row],Tasks[_Pred3UID],Tasks[[#This Row],[UID]]),_xlfn.MAXIFS(Tasks[_Row],Tasks[_Pred4UID],Tasks[[#This Row],[UID]])))</f>
        <v>0</v>
      </c>
      <c r="FA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1" s="91" t="str">
        <f aca="false">IF(NOT(Tasks[[#This Row],[_IsLeaf]]=1),"",IF(N(Tasks[[#This Row],[_Days]])&lt;=0,Tasks[[#This Row],[_LeafLateFinish]],WORKDAY.INTL(Tasks[[#This Row],[_LeafLateFinish]],-(Tasks[[#This Row],[_Days]]-1),WorkWeek,Holidays)))</f>
        <v/>
      </c>
      <c r="FD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1" s="90" t="b">
        <f aca="false">AND(Tasks[[#This Row],[_IsLeaf]]=1,Tasks[[#This Row],[_LeafProgress]]&lt;1,N(Tasks[[#This Row],[_LeafTotalSlack]])&lt;=CriticalSlackDays)</f>
        <v>0</v>
      </c>
      <c r="FF51" s="43" t="n">
        <f aca="false">IF(AND(Tasks[[#This Row],[_IsLeaf]]=1,Tasks[[#This Row],[_ConstraintCode]]=1,Tasks[[#This Row],[Mode]]&lt;&gt;"Manual",N(Tasks[[#This Row],[Actual Start]])=0),MAX(0,N(Tasks[[#This Row],[Free Slack]])),0)</f>
        <v>0</v>
      </c>
      <c r="FG51" s="91" t="str">
        <f aca="false">IF(NOT(Tasks[[#This Row],[_IsLeaf]]=1),"",IF(Tasks[[#This Row],[_AlapShift]]=0,Tasks[[#This Row],[_LeafCalcStart]],WORKDAY.INTL(Tasks[[#This Row],[_LeafCalcStart]],Tasks[[#This Row],[_AlapShift]],WorkWeek,Holidays)))</f>
        <v/>
      </c>
      <c r="FH51" s="91" t="str">
        <f aca="false">IF(NOT(Tasks[[#This Row],[_IsLeaf]]=1),"",IF(Tasks[[#This Row],[_AlapShift]]=0,Tasks[[#This Row],[_LeafCalcFinish]],WORKDAY.INTL(Tasks[[#This Row],[_LeafCalcFinish]],Tasks[[#This Row],[_AlapShift]],WorkWeek,Holidays)))</f>
        <v/>
      </c>
      <c r="FI51" s="91" t="str">
        <f aca="false">IF(NOT(Tasks[[#This Row],[_IsLeaf]]=1),"",IF(Tasks[[#This Row],[_AlapShift]]=0,Tasks[[#This Row],[_LeafFcstStart]],WORKDAY.INTL(Tasks[[#This Row],[_LeafFcstStart]],Tasks[[#This Row],[_AlapShift]],WorkWeek,Holidays)))</f>
        <v/>
      </c>
      <c r="FJ51" s="91" t="str">
        <f aca="false">IF(NOT(Tasks[[#This Row],[_IsLeaf]]=1),"",IF(Tasks[[#This Row],[_AlapShift]]=0,Tasks[[#This Row],[_LeafFcstFinish]],WORKDAY.INTL(Tasks[[#This Row],[_LeafFcstFinish]],Tasks[[#This Row],[_AlapShift]],WorkWeek,Holidays)))</f>
        <v/>
      </c>
      <c r="FK51" s="91" t="str">
        <f aca="false">IF(Tasks[[#This Row],[Task Name]]="","",IF(Tasks[[#This Row],[_IsSummary]],MIN(INDEX(Tasks[_ShownCalcStart],Tasks[[#This Row],[_Row]]+1):INDEX(Tasks[_ShownCalcStart],Tasks[[#This Row],[_Row]]+Tasks[[#This Row],[_Descendants]])),Tasks[[#This Row],[_ShownCalcStart]]))</f>
        <v/>
      </c>
      <c r="FL51" s="91" t="str">
        <f aca="false">IF(Tasks[[#This Row],[Task Name]]="","",IF(Tasks[[#This Row],[_IsSummary]],MAX(INDEX(Tasks[_ShownCalcFinish],Tasks[[#This Row],[_Row]]+1):INDEX(Tasks[_ShownCalcFinish],Tasks[[#This Row],[_Row]]+Tasks[[#This Row],[_Descendants]])),Tasks[[#This Row],[_ShownCalcFinish]]))</f>
        <v/>
      </c>
      <c r="FM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1" s="43" t="n">
        <f aca="false">IF(AND(Tasks[[#This Row],[_IsLeaf]]=1,Tasks[[#This Row],[_LeafTotalWork]]&gt;0),NETWORKDAYS.INTL(ProjectStart,Tasks[[#This Row],[_ShownFcstStart]],WorkWeek,Holidays),0)</f>
        <v>0</v>
      </c>
      <c r="FZ51" s="43" t="n">
        <f aca="false">IF(AND(Tasks[[#This Row],[_IsLeaf]]=1,Tasks[[#This Row],[_LeafTotalWork]]&gt;0),MAX(Tasks[[#This Row],[_StartWorkday]],NETWORKDAYS.INTL(ProjectStart,Tasks[[#This Row],[_ShownFcstFinish]],WorkWeek,Holidays)),0)</f>
        <v>0</v>
      </c>
      <c r="GA51" s="43" t="n">
        <f aca="false">IF(AND(Tasks[[#This Row],[_IsLeaf]]=1,Tasks[[#This Row],[_LeafTotalWork]]&gt;0),Tasks[[#This Row],[_LeafWork]]/(Tasks[[#This Row],[_FinishWorkday]]-Tasks[[#This Row],[_StartWorkday]]+1),0)</f>
        <v>0</v>
      </c>
      <c r="GB51" s="43" t="n">
        <f aca="false">Tasks[[#This Row],[_WorkPerWorkday]]*(Tasks[[#This Row],[_StartWorkday]]-1)</f>
        <v>-0</v>
      </c>
      <c r="GC51" s="43" t="n">
        <f aca="false">IF(Tasks[[#This Row],[_IsLeaf]]=1,MAX(N(Tasks[[#This Row],[_Days]]),0.1),0)</f>
        <v>0</v>
      </c>
      <c r="GD51" s="43" t="n">
        <f aca="false">Tasks[[#This Row],[_WeightDur]]*Tasks[[#This Row],[_LeafProgress]]</f>
        <v>0</v>
      </c>
      <c r="GE51" s="43" t="n">
        <f aca="false">Tasks[[#This Row],[_WeightDur]]*Tasks[[#This Row],[_PlannedPct]]</f>
        <v>0</v>
      </c>
      <c r="GF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1" s="43" t="str">
        <f aca="false">IF(AND(Tasks[[#This Row],[_IsLeaf]]=1,N(Tasks[[#This Row],[_Days]])=0,Tasks[[#This Row],[_LeafProgress]]&lt;1),Tasks[[#This Row],[_ShownFcstFinish]]+Tasks[[#This Row],[_Row]]/100000,"")</f>
        <v/>
      </c>
      <c r="GH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1" s="43" t="str">
        <f aca="false">IF(Tasks[[#This Row],[Task Name]]="","",LEFT(Tasks[[#This Row],[WBS]],FIND(".",Tasks[[#This Row],[WBS]]&amp;".")-1))</f>
        <v/>
      </c>
      <c r="GJ51" s="43" t="str">
        <f aca="false">IF(AND(Tasks[[#This Row],[Task Name]]&lt;&gt;"",Tasks[[#This Row],[_Level]]=1),Tasks[[#This Row],[_Row]],"")</f>
        <v/>
      </c>
      <c r="GK51" s="43" t="str">
        <f aca="false">IF(AND(Tasks[[#This Row],[_IsLeaf]]=1,N(Tasks[[#This Row],[_Days]])=0),Tasks[[#This Row],[Planned Finish]]+Tasks[[#This Row],[_Row]]/100000,"")</f>
        <v/>
      </c>
      <c r="GL51" s="43" t="str">
        <f aca="false">IF(AND(Tasks[[#This Row],[_IsLeaf]]=1,Tasks[[#This Row],[_LeafProgress]]&lt;1,OR(N(Tasks[[#This Row],[Finish Var]])&gt;0,Tasks[[#This Row],[Status]]="Late Start")),MAX(0,Tasks[[#This Row],[Finish Var]])+1-Tasks[[#This Row],[_Row]]/1000000,"")</f>
        <v/>
      </c>
      <c r="GM51" s="43" t="str">
        <f aca="false">IF(AND(Tasks[[#This Row],[_IsLeaf]]=1,N(Tasks[[#This Row],[Actual Start]])=0,Tasks[[#This Row],[_ShownFcstStart]]&gt;=StatusDate,Tasks[[#This Row],[_ShownFcstStart]]&lt;=LookaheadEnd),Tasks[[#This Row],[_ShownFcstStart]]+Tasks[[#This Row],[_Row]]/100000,"")</f>
        <v/>
      </c>
      <c r="GN51" s="43" t="str">
        <f aca="false">IF(AND(Tasks[[#This Row],[_IsLeaf]]=1,Tasks[[#This Row],[_LeafProgress]]&lt;1,Tasks[[#This Row],[_ShownFcstFinish]]&gt;=StatusDate,Tasks[[#This Row],[_ShownFcstFinish]]&lt;=LookaheadEnd),Tasks[[#This Row],[_ShownFcstFinish]]+Tasks[[#This Row],[_Row]]/100000,"")</f>
        <v/>
      </c>
      <c r="GO51" s="43" t="str">
        <f aca="false">IF(Tasks[[#This Row],[_LeafCritical]],Tasks[[#This Row],[_ShownFcstStart]]+Tasks[[#This Row],[_Row]]/100000,"")</f>
        <v/>
      </c>
      <c r="GP51" s="43" t="n">
        <f aca="false">Tasks[[#This Row],[_LeafWork]]*Tasks[[#This Row],[_LeafProgress]]</f>
        <v>0</v>
      </c>
      <c r="GQ51" s="91" t="str">
        <f aca="false">IF(AND(Tasks[[#This Row],[_IsLeaf]]=1,Tasks[[#This Row],[_LeafProgress]]&gt;=1),IF(N(Tasks[[#This Row],[Actual Finish]])&gt;0,Tasks[[#This Row],[Actual Finish]],Tasks[[#This Row],[_ShownFcstFinish]]),"")</f>
        <v/>
      </c>
      <c r="GR51" s="43" t="n">
        <f aca="false">IF(Tasks[[#This Row],[_IsLeaf]]=1,N(Tasks[[#This Row],[Story Points]]),0)</f>
        <v>0</v>
      </c>
      <c r="GS51" s="43" t="str">
        <f aca="false">""</f>
        <v/>
      </c>
      <c r="GT51" s="90" t="b">
        <f aca="false">IF(Tasks[[#This Row],[Task Name]]="",FALSE(),AND(Tasks[[#This Row],[_IsLeaf]]=1,N(Tasks[[#This Row],[_Days]])=0))</f>
        <v>0</v>
      </c>
      <c r="GU51" s="91" t="n">
        <f aca="false">IF(Tasks[[#This Row],[Task Name]]="",0,IF(AND(Tasks[[#This Row],[_IsLeaf]]=1,NOT(Tasks[[#This Row],[_IsMilestone]]),N(Tasks[[#This Row],[Progress]])&gt;0),Tasks[[#This Row],[Start]],0))</f>
        <v>0</v>
      </c>
      <c r="GV51" s="91" t="n">
        <f aca="false">IF(Tasks[[#This Row],[_DoneFrom]]=0,0,IF(Tasks[[#This Row],[Progress]]&gt;=1,Tasks[[#This Row],[Finish]],MAX(Tasks[[#This Row],[_DoneFrom]],Tasks[[#This Row],[Start]]+ROUND((Tasks[[#This Row],[Finish]]-Tasks[[#This Row],[Start]]+1)*Tasks[[#This Row],[Progress]],0)-1)))</f>
        <v>0</v>
      </c>
      <c r="GW51" s="91" t="n">
        <f aca="false">IF(Tasks[[#This Row],[Task Name]]="",0,IF(OR(NOT(Tasks[[#This Row],[_IsLeaf]]=1),Tasks[[#This Row],[_IsMilestone]],N(Tasks[[#This Row],[Progress]])&gt;=1),0,IF(Tasks[[#This Row],[_DoneTo]]&gt;0,Tasks[[#This Row],[_DoneTo]]+1,Tasks[[#This Row],[Start]])))</f>
        <v>0</v>
      </c>
      <c r="GX51" s="91" t="n">
        <f aca="false">IF(Tasks[[#This Row],[_RemFrom]]=0,0,Tasks[[#This Row],[Finish]])</f>
        <v>0</v>
      </c>
      <c r="GY51" s="90" t="b">
        <f aca="false">IF(Tasks[[#This Row],[Task Name]]="",FALSE(),OR(NOT(BaselineSet),N(Tasks[[#This Row],[Baseline Start]])&gt;0))</f>
        <v>0</v>
      </c>
      <c r="GZ5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1" s="92" t="str">
        <f aca="false">IF(Tasks[[#This Row],[_IsLeaf]]=1,Tasks[[#This Row],[_Row]],"")</f>
        <v/>
      </c>
      <c r="HD51" s="92" t="str">
        <f aca="false">IFERROR(INDEX(Tasks[UID],SMALL(Tasks[_PickKey],Tasks[[#This Row],[_Row]]))&amp;" "&amp;INDEX(Tasks[Task Name],SMALL(Tasks[_PickKey],Tasks[[#This Row],[_Row]])),"")</f>
        <v/>
      </c>
      <c r="HE51" s="43" t="str">
        <f aca="false">IF(Tasks[[#This Row],[Task Name]]="","",IF(Tasks[[#This Row],[_IsSummary]],NETWORKDAYS.INTL(Tasks[[#This Row],[Start]],Tasks[[#This Row],[Finish]],WorkWeek,Holidays),N(Tasks[[#This Row],[_Days]])))</f>
        <v/>
      </c>
      <c r="HF51" s="43" t="n">
        <f aca="false">IF(Tasks[[#This Row],[Expected]]="",0,((Tasks[[#This Row],[Pessimistic]]-Tasks[[#This Row],[Optimistic]])/6)^2)</f>
        <v>0</v>
      </c>
      <c r="HG51" s="43" t="n">
        <f aca="false">IF(Tasks[[#This Row],[Expected]]="",0,Tasks[[#This Row],[Expected]]-N(Tasks[[#This Row],[_Days]]))</f>
        <v>0</v>
      </c>
    </row>
    <row r="52" customFormat="false" ht="15" hidden="false" customHeight="false" outlineLevel="0" collapsed="false">
      <c r="A52" s="21" t="str">
        <f aca="false">IF(Tasks[[#This Row],[Task Name]]="","",COUNTA(Tasks[[#Headers],[Task Name]]:Tasks[[#This Row],[Task Name]])-1)</f>
        <v/>
      </c>
      <c r="B52" s="22" t="n">
        <v>60</v>
      </c>
      <c r="C52" s="22"/>
      <c r="D52" s="23"/>
      <c r="E52" s="22"/>
      <c r="F52" s="23"/>
      <c r="G52" s="22"/>
      <c r="H52" s="22"/>
      <c r="I52" s="23"/>
      <c r="J52" s="22"/>
      <c r="K52" s="22"/>
      <c r="L52" s="23"/>
      <c r="M52" s="22"/>
      <c r="N52" s="22"/>
      <c r="O52" s="23"/>
      <c r="P52" s="22"/>
      <c r="Q52" s="22"/>
      <c r="R52" s="23"/>
      <c r="S52" s="23"/>
      <c r="T52" s="84"/>
      <c r="U52" s="23"/>
      <c r="V52" s="84"/>
      <c r="W52" s="23"/>
      <c r="X52" s="84"/>
      <c r="Y52" s="23"/>
      <c r="Z52" s="84"/>
      <c r="AA52" s="23"/>
      <c r="AB52" s="23"/>
      <c r="AC52" s="7"/>
      <c r="AD52" s="7"/>
      <c r="AE52" s="63" t="str">
        <f aca="false">IF(Tasks[[#This Row],[Task Name]]="","",IF(Tasks[[#This Row],[_IsSummary]],MIN(INDEX(Tasks[_ShownFcstStart],Tasks[[#This Row],[_Row]]+1):INDEX(Tasks[_ShownFcstStart],Tasks[[#This Row],[_Row]]+Tasks[[#This Row],[_Descendants]])),Tasks[[#This Row],[_ShownFcstStart]]))</f>
        <v/>
      </c>
      <c r="AF52" s="63" t="str">
        <f aca="false">IF(Tasks[[#This Row],[Task Name]]="","",IF(Tasks[[#This Row],[_IsSummary]],MAX(INDEX(Tasks[_ShownFcstFinish],Tasks[[#This Row],[_Row]]+1):INDEX(Tasks[_ShownFcstFinish],Tasks[[#This Row],[_Row]]+Tasks[[#This Row],[_Descendants]])),Tasks[[#This Row],[_ShownFcstFinish]]))</f>
        <v/>
      </c>
      <c r="AG52" s="21" t="str">
        <f aca="false">""</f>
        <v/>
      </c>
      <c r="AH52" s="23"/>
      <c r="AI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2" s="7"/>
      <c r="AK52" s="22"/>
      <c r="AL52" s="23"/>
      <c r="AM52" s="7"/>
      <c r="AN52" s="47" t="str">
        <f aca="false">IF(Tasks[[#This Row],[Task Name]]="","",IF(Tasks[[#This Row],[Finish]]&gt;=Tasks[[#This Row],[Planned Finish]],NETWORKDAYS.INTL(Tasks[[#This Row],[Planned Finish]],Tasks[[#This Row],[Finish]],WorkWeek,Holidays)-1,1-NETWORKDAYS.INTL(Tasks[[#This Row],[Finish]],Tasks[[#This Row],[Planned Finish]],WorkWeek,Holidays)))</f>
        <v/>
      </c>
      <c r="AO52" s="21" t="str">
        <f aca="false">IF(Tasks[[#This Row],[Task Name]]="","",IF(Tasks[[#This Row],[Progress]]&gt;=1,"Complete",IF(OR(N(Tasks[[#This Row],[Actual Start]])&gt;0,Tasks[[#This Row],[Progress]]&gt;0),IF(Tasks[[#This Row],[Finish Var]]&gt;0,"Behind","In Progress"),IF(Tasks[[#This Row],[Planned Start]]&lt;StatusDate,"Late Start","Not Started"))))</f>
        <v/>
      </c>
      <c r="AP52" s="21" t="str">
        <f aca="false">IF(Tasks[[#This Row],[Task Name]]="","",IF(IF(Tasks[[#This Row],[_IsSummary]],COUNTIF(INDEX(Tasks[_LeafCritical],Tasks[[#This Row],[_Row]]+1):INDEX(Tasks[_LeafCritical],Tasks[[#This Row],[_Row]]+Tasks[[#This Row],[_Descendants]]),TRUE())&gt;0,Tasks[[#This Row],[_LeafCritical]]),"Yes",""))</f>
        <v/>
      </c>
      <c r="AQ52" s="63" t="str">
        <f aca="false">IF(Tasks[[#This Row],[Task Name]]="","",IF(N(Tasks[[#This Row],[Baseline Start]])&gt;0,Tasks[[#This Row],[Baseline Start]],Tasks[[#This Row],[_CalcStart]]))</f>
        <v/>
      </c>
      <c r="AR52" s="63" t="str">
        <f aca="false">IF(Tasks[[#This Row],[Task Name]]="","",IF(N(Tasks[[#This Row],[Baseline Finish]])&gt;0,Tasks[[#This Row],[Baseline Finish]],Tasks[[#This Row],[_CalcFinish]]))</f>
        <v/>
      </c>
      <c r="AS52" s="47" t="str">
        <f aca="false">IF(Tasks[[#This Row],[Task Name]]="","",IF(Tasks[[#This Row],[Start]]&gt;=Tasks[[#This Row],[Planned Start]],NETWORKDAYS.INTL(Tasks[[#This Row],[Planned Start]],Tasks[[#This Row],[Start]],WorkWeek,Holidays)-1,1-NETWORKDAYS.INTL(Tasks[[#This Row],[Start]],Tasks[[#This Row],[Planned Start]],WorkWeek,Holidays)))</f>
        <v/>
      </c>
      <c r="AT52" s="63" t="str">
        <f aca="false">IF(Tasks[[#This Row],[Task Name]]="","",IF(Tasks[[#This Row],[_IsSummary]],MIN(INDEX(Tasks[_LeafLateStart],Tasks[[#This Row],[_Row]]+1):INDEX(Tasks[_LeafLateStart],Tasks[[#This Row],[_Row]]+Tasks[[#This Row],[_Descendants]])),Tasks[[#This Row],[_LeafLateStart]]))</f>
        <v/>
      </c>
      <c r="AU52" s="63" t="str">
        <f aca="false">IF(Tasks[[#This Row],[Task Name]]="","",IF(Tasks[[#This Row],[_IsSummary]],MAX(INDEX(Tasks[_LeafLateFinish],Tasks[[#This Row],[_Row]]+1):INDEX(Tasks[_LeafLateFinish],Tasks[[#This Row],[_Row]]+Tasks[[#This Row],[_Descendants]])),Tasks[[#This Row],[_LeafLateFinish]]))</f>
        <v/>
      </c>
      <c r="AV52" s="47" t="str">
        <f aca="false">IF(Tasks[[#This Row],[Task Name]]="","",IF(Tasks[[#This Row],[_IsSummary]],MIN(INDEX(Tasks[_LeafTotalSlack],Tasks[[#This Row],[_Row]]+1):INDEX(Tasks[_LeafTotalSlack],Tasks[[#This Row],[_Row]]+Tasks[[#This Row],[_Descendants]])),Tasks[[#This Row],[_LeafTotalSlack]]))</f>
        <v/>
      </c>
      <c r="AW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5"/>
      <c r="BA5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t="str">
        <f aca="false">IF(Tasks[[#This Row],[Task Name]]="","",IF(Tasks[[#This Row],[_Level]]&lt;=OutlineShowLevel,"Yes","No"))</f>
        <v/>
      </c>
      <c r="BE52" s="86" t="str">
        <f aca="false">IF(Tasks[[#This Row],[Task Name]]="","",IF(Tasks[[#This Row],[_IsSummary]],SUM(INDEX(Tasks[_LeafTotalWork],Tasks[[#This Row],[_Row]]+1):INDEX(Tasks[_LeafTotalWork],Tasks[[#This Row],[_Row]]+Tasks[[#This Row],[_Descendants]])),Tasks[[#This Row],[_LeafTotalWork]]))</f>
        <v/>
      </c>
      <c r="BF52" s="23"/>
      <c r="BG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t="str">
        <f aca="false">""</f>
        <v/>
      </c>
      <c r="BI52" s="87"/>
      <c r="BJ52" s="22"/>
      <c r="BK52" s="47" t="str">
        <f aca="false">IF(OR(Tasks[[#This Row],[Task Name]]="",Tasks[[#This Row],[Baseline Duration]]=""),"",Tasks[[#This Row],[_SpanDays]]-N(Tasks[[#This Row],[Baseline Duration]]))</f>
        <v/>
      </c>
      <c r="BL52" s="86" t="str">
        <f aca="false">IF(OR(Tasks[[#This Row],[Task Name]]="",Tasks[[#This Row],[Baseline Work]]=""),"",Tasks[[#This Row],[Work]]-N(Tasks[[#This Row],[Baseline Work]]))</f>
        <v/>
      </c>
      <c r="BM52" s="63" t="str">
        <f aca="false">IF(Tasks[[#This Row],[Task Name]]="","",IF(OR(TakeBaseline="Yes",N(Tasks[[#This Row],[Baseline Start]])=0),Tasks[[#This Row],[Start]],Tasks[[#This Row],[Baseline Start]]))</f>
        <v/>
      </c>
      <c r="BN52" s="63" t="str">
        <f aca="false">IF(Tasks[[#This Row],[Task Name]]="","",IF(OR(TakeBaseline="Yes",N(Tasks[[#This Row],[Baseline Finish]])=0),Tasks[[#This Row],[Finish]],Tasks[[#This Row],[Baseline Finish]]))</f>
        <v/>
      </c>
      <c r="BO52" s="21" t="str">
        <f aca="false">IF(Tasks[[#This Row],[Task Name]]="","",IF(OR(TakeBaseline="Yes",N(Tasks[[#This Row],[Baseline Duration]])=0),Tasks[[#This Row],[_SpanDays]],Tasks[[#This Row],[Baseline Duration]]))</f>
        <v/>
      </c>
      <c r="BP52" s="86" t="str">
        <f aca="false">IF(Tasks[[#This Row],[Task Name]]="","",IF(OR(TakeBaseline="Yes",N(Tasks[[#This Row],[Baseline Work]])=0),Tasks[[#This Row],[Work]],Tasks[[#This Row],[Baseline Work]]))</f>
        <v/>
      </c>
      <c r="BQ52" s="7"/>
      <c r="BR52" s="7"/>
      <c r="BS52" s="22"/>
      <c r="BT52" s="88"/>
      <c r="BU52" s="23"/>
      <c r="BV52" s="23"/>
      <c r="BW52" s="23"/>
      <c r="BX52" s="89" t="str">
        <f aca="false">IF(AND(Tasks[[#This Row],[_IsLeaf]]=1,ISNUMBER(Tasks[[#This Row],[Optimistic]]),ISNUMBER(Tasks[[#This Row],[Pessimistic]])),ROUND((Tasks[[#This Row],[Optimistic]]+4*N(Tasks[[#This Row],[_Days]])+Tasks[[#This Row],[Pessimistic]])/6,1),"")</f>
        <v/>
      </c>
      <c r="BY52" s="87"/>
      <c r="BZ52" s="87"/>
      <c r="CA52" s="22"/>
      <c r="CB52" s="43" t="str">
        <f aca="false">IF(Tasks[[#This Row],[Task Name]]="","",MAX(1,N(Tasks[[#This Row],[Level]])))</f>
        <v/>
      </c>
      <c r="CC52" s="43" t="n">
        <f aca="false">ROW()-ROW(Tasks[[#Headers],[ID]])</f>
        <v>47</v>
      </c>
      <c r="CD52" s="43" t="n">
        <f aca="false">IF(OR(Tasks[[#This Row],[Task Name]]="",Tasks[[#This Row],[_Level]]&lt;=1),0,IFERROR(LOOKUP(2,1/(Tasks[[#Headers],[_Level]]:Tasks[[#This Row],[_Level]]=Tasks[[#This Row],[_Level]]-1),ROW(Tasks[[#Headers],[_Level]]:Tasks[[#This Row],[_Level]])),0))</f>
        <v>0</v>
      </c>
      <c r="CE52" s="43" t="n">
        <f aca="false">IFERROR(N(INDEX(Tasks[_Level],Tasks[[#This Row],[_Row]]+1)),0)</f>
        <v>0</v>
      </c>
      <c r="CF52" s="90" t="b">
        <f aca="false">AND(Tasks[[#This Row],[Task Name]]&lt;&gt;"",Tasks[[#This Row],[_NextLevel]]&gt;Tasks[[#This Row],[_Level]])</f>
        <v>0</v>
      </c>
      <c r="CG52" s="43" t="n">
        <f aca="false">IF(Tasks[[#This Row],[_IsSummary]],COUNTIF(Tasks[WBS],Tasks[[#This Row],[WBS]]&amp;".*"),0)</f>
        <v>0</v>
      </c>
      <c r="CH52" s="43" t="n">
        <f aca="false">IF(AND(Tasks[[#This Row],[Task Name]]&lt;&gt;"",NOT(Tasks[[#This Row],[_IsSummary]])),1,0)</f>
        <v>0</v>
      </c>
      <c r="CI52" s="43" t="n">
        <f aca="false">IF(N(Tasks[[#This Row],[_Pred1UID]])=0,0,IFERROR(MATCH(Tasks[[#This Row],[_Pred1UID]],Tasks[UID],0),-1))</f>
        <v>0</v>
      </c>
      <c r="CJ52" s="43" t="n">
        <f aca="false">IF(N(Tasks[[#This Row],[_Pred2UID]])=0,0,IFERROR(MATCH(Tasks[[#This Row],[_Pred2UID]],Tasks[UID],0),-1))</f>
        <v>0</v>
      </c>
      <c r="CK52" s="43" t="n">
        <f aca="false">IF(N(Tasks[[#This Row],[_Pred3UID]])=0,0,IFERROR(MATCH(Tasks[[#This Row],[_Pred3UID]],Tasks[UID],0),-1))</f>
        <v>0</v>
      </c>
      <c r="CL52" s="43" t="n">
        <f aca="false">IF(N(Tasks[[#This Row],[_Pred4UID]])=0,0,IFERROR(MATCH(Tasks[[#This Row],[_Pred4UID]],Tasks[UID],0),-1))</f>
        <v>0</v>
      </c>
      <c r="CM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2" s="91" t="n">
        <f aca="false">IF(OR(Tasks[[#This Row],[_ConstraintCode]]=2,Tasks[[#This Row],[_ConstraintCode]]=3,Tasks[[#This Row],[_ConstraintCode]]=4,Tasks[[#This Row],[_ConstraintCode]]=6),Tasks[[#This Row],[_ConstraintStart]],0)</f>
        <v>0</v>
      </c>
      <c r="CP52" s="91" t="n">
        <f aca="false">IF(OR(Tasks[[#This Row],[_ConstraintCode]]=2,Tasks[[#This Row],[_ConstraintCode]]=3,Tasks[[#This Row],[_ConstraintCode]]=5,Tasks[[#This Row],[_ConstraintCode]]=7),Tasks[[#This Row],[_ConstraintStart]],2958465)</f>
        <v>2958465</v>
      </c>
      <c r="CQ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2" s="91" t="str">
        <f aca="false">IF(NOT(Tasks[[#This Row],[_IsLeaf]]=1),"",IF(N(Tasks[[#This Row],[_Days]])&lt;=0,Tasks[[#This Row],[_LeafCalcStart]],WORKDAY.INTL(Tasks[[#This Row],[_LeafCalcStart]],Tasks[[#This Row],[_Days]]-1,WorkWeek,Holidays)))</f>
        <v/>
      </c>
      <c r="CS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2" s="43" t="str">
        <f aca="false">IF(Tasks[[#This Row],[_Predecessors]]="","",TRIM(MID(SUBSTITUTE(SUBSTITUTE(SUBSTITUTE(UPPER(Tasks[[#This Row],[_Predecessors]]),";",",")," ",""),",",REPT(" ",99)),1,99)))</f>
        <v/>
      </c>
      <c r="CV52" s="43" t="str">
        <f aca="false">IF(Tasks[[#This Row],[_Pred1Text]]="","",IFERROR(VALUE(LEFT(Tasks[[#This Row],[_Pred1Text]],MIN(FIND("F",Tasks[[#This Row],[_Pred1Text]]&amp;"F"),FIND("S",Tasks[[#This Row],[_Pred1Text]]&amp;"S"),FIND("+",Tasks[[#This Row],[_Pred1Text]]&amp;"+"),FIND("-",Tasks[[#This Row],[_Pred1Text]]&amp;"-"))-1)),""))</f>
        <v/>
      </c>
      <c r="CW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2" s="43" t="str">
        <f aca="false">IF(Tasks[[#This Row],[_Pred1Text]]="","",TRIM(MID(SUBSTITUTE(SUBSTITUTE(SUBSTITUTE(UPPER(Tasks[[#This Row],[_Predecessors]]),";",",")," ",""),",",REPT(" ",99)),100,99)))</f>
        <v/>
      </c>
      <c r="CZ52" s="43" t="str">
        <f aca="false">IF(Tasks[[#This Row],[_Pred2Text]]="","",IFERROR(VALUE(LEFT(Tasks[[#This Row],[_Pred2Text]],MIN(FIND("F",Tasks[[#This Row],[_Pred2Text]]&amp;"F"),FIND("S",Tasks[[#This Row],[_Pred2Text]]&amp;"S"),FIND("+",Tasks[[#This Row],[_Pred2Text]]&amp;"+"),FIND("-",Tasks[[#This Row],[_Pred2Text]]&amp;"-"))-1)),""))</f>
        <v/>
      </c>
      <c r="DA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2" s="43" t="str">
        <f aca="false">IF(Tasks[[#This Row],[_Pred2Text]]="","",TRIM(MID(SUBSTITUTE(SUBSTITUTE(SUBSTITUTE(UPPER(Tasks[[#This Row],[_Predecessors]]),";",",")," ",""),",",REPT(" ",99)),199,99)))</f>
        <v/>
      </c>
      <c r="DD52" s="43" t="str">
        <f aca="false">IF(Tasks[[#This Row],[_Pred3Text]]="","",IFERROR(VALUE(LEFT(Tasks[[#This Row],[_Pred3Text]],MIN(FIND("F",Tasks[[#This Row],[_Pred3Text]]&amp;"F"),FIND("S",Tasks[[#This Row],[_Pred3Text]]&amp;"S"),FIND("+",Tasks[[#This Row],[_Pred3Text]]&amp;"+"),FIND("-",Tasks[[#This Row],[_Pred3Text]]&amp;"-"))-1)),""))</f>
        <v/>
      </c>
      <c r="DE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2" s="43" t="str">
        <f aca="false">IF(Tasks[[#This Row],[_Pred3Text]]="","",TRIM(MID(SUBSTITUTE(SUBSTITUTE(SUBSTITUTE(UPPER(Tasks[[#This Row],[_Predecessors]]),";",",")," ",""),",",REPT(" ",99)),298,99)))</f>
        <v/>
      </c>
      <c r="DH52" s="43" t="str">
        <f aca="false">IF(Tasks[[#This Row],[_Pred4Text]]="","",IFERROR(VALUE(LEFT(Tasks[[#This Row],[_Pred4Text]],MIN(FIND("F",Tasks[[#This Row],[_Pred4Text]]&amp;"F"),FIND("S",Tasks[[#This Row],[_Pred4Text]]&amp;"S"),FIND("+",Tasks[[#This Row],[_Pred4Text]]&amp;"+"),FIND("-",Tasks[[#This Row],[_Pred4Text]]&amp;"-"))-1)),""))</f>
        <v/>
      </c>
      <c r="DI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2" s="43" t="str">
        <f aca="false">IF(OR(Tasks[[#This Row],[Task Name]]="",Tasks[[#This Row],[_Resources]]=""),"",TRIM(MID(SUBSTITUTE(Tasks[[#This Row],[_Resources]],",",REPT(" ",99)),1,99)))</f>
        <v/>
      </c>
      <c r="DL52" s="43" t="str">
        <f aca="false">IF(Tasks[[#This Row],[_Res1Text]]="","",TRIM(MID(SUBSTITUTE(Tasks[[#This Row],[_Resources]],",",REPT(" ",99)),100,99)))</f>
        <v/>
      </c>
      <c r="DM52" s="43" t="str">
        <f aca="false">IF(Tasks[[#This Row],[_Res2Text]]="","",TRIM(MID(SUBSTITUTE(Tasks[[#This Row],[_Resources]],",",REPT(" ",99)),199,99)))</f>
        <v/>
      </c>
      <c r="DN52" s="43" t="str">
        <f aca="false">IF(Tasks[[#This Row],[_Res3Text]]="","",TRIM(MID(SUBSTITUTE(Tasks[[#This Row],[_Resources]],",",REPT(" ",99)),298,99)))</f>
        <v/>
      </c>
      <c r="DO52" s="43" t="n">
        <f aca="false">IF(Tasks[[#This Row],[_Res1Text]]="",0,IFERROR(MATCH(TRIM(LEFT(Tasks[[#This Row],[_Res1Text]],FIND("[",Tasks[[#This Row],[_Res1Text]]&amp;"[")-1)),res_Name,0),IFERROR(MATCH(TRIM(LEFT(Tasks[[#This Row],[_Res1Text]],FIND("[",Tasks[[#This Row],[_Res1Text]]&amp;"[")-1)),res_Initials,0),0)))</f>
        <v>0</v>
      </c>
      <c r="DP52" s="43" t="n">
        <f aca="false">IF(Tasks[[#This Row],[_Res2Text]]="",0,IFERROR(MATCH(TRIM(LEFT(Tasks[[#This Row],[_Res2Text]],FIND("[",Tasks[[#This Row],[_Res2Text]]&amp;"[")-1)),res_Name,0),IFERROR(MATCH(TRIM(LEFT(Tasks[[#This Row],[_Res2Text]],FIND("[",Tasks[[#This Row],[_Res2Text]]&amp;"[")-1)),res_Initials,0),0)))</f>
        <v>0</v>
      </c>
      <c r="DQ52" s="43" t="n">
        <f aca="false">IF(Tasks[[#This Row],[_Res3Text]]="",0,IFERROR(MATCH(TRIM(LEFT(Tasks[[#This Row],[_Res3Text]],FIND("[",Tasks[[#This Row],[_Res3Text]]&amp;"[")-1)),res_Name,0),IFERROR(MATCH(TRIM(LEFT(Tasks[[#This Row],[_Res3Text]],FIND("[",Tasks[[#This Row],[_Res3Text]]&amp;"[")-1)),res_Initials,0),0)))</f>
        <v>0</v>
      </c>
      <c r="DR52" s="43" t="n">
        <f aca="false">IF(Tasks[[#This Row],[_Res4Text]]="",0,IFERROR(MATCH(TRIM(LEFT(Tasks[[#This Row],[_Res4Text]],FIND("[",Tasks[[#This Row],[_Res4Text]]&amp;"[")-1)),res_Name,0),IFERROR(MATCH(TRIM(LEFT(Tasks[[#This Row],[_Res4Text]],FIND("[",Tasks[[#This Row],[_Res4Text]]&amp;"[")-1)),res_Initials,0),0)))</f>
        <v>0</v>
      </c>
      <c r="DS52" s="43" t="str">
        <f aca="false">IF(Tasks[[#This Row],[_Res1Text]]="","",IF(Tasks[[#This Row],[_Res1Row]]&gt;0,INDEX(res_Name,Tasks[[#This Row],[_Res1Row]]),TRIM(LEFT(Tasks[[#This Row],[_Res1Text]],FIND("[",Tasks[[#This Row],[_Res1Text]]&amp;"[")-1))))</f>
        <v/>
      </c>
      <c r="DT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2" s="43" t="n">
        <f aca="false">IF(NOT(Tasks[[#This Row],[_IsLeaf]]=1),0,(Tasks[[#This Row],[_Resource1]]&lt;&gt;"")+(Tasks[[#This Row],[_Res2]]&lt;&gt;"")+(Tasks[[#This Row],[_Res3]]&lt;&gt;"")+(Tasks[[#This Row],[_Res4]]&lt;&gt;""))</f>
        <v>0</v>
      </c>
      <c r="DV52" s="43" t="str">
        <f aca="false">IF(Tasks[[#This Row],[_Res2Text]]="","",IF(Tasks[[#This Row],[_Res2Row]]&gt;0,INDEX(res_Name,Tasks[[#This Row],[_Res2Row]]),TRIM(LEFT(Tasks[[#This Row],[_Res2Text]],FIND("[",Tasks[[#This Row],[_Res2Text]]&amp;"[")-1))))</f>
        <v/>
      </c>
      <c r="DW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2" s="43" t="n">
        <f aca="false">IF(OR(NOT(Tasks[[#This Row],[_IsLeaf]]=1),Tasks[[#This Row],[_Res2Row]]=0),0,N(Tasks[[#This Row],[_Days]])*HoursPerDay*IF(Tasks[[#This Row],[_Res2Units]]="",DefaultUnits,Tasks[[#This Row],[_Res2Units]]))</f>
        <v>0</v>
      </c>
      <c r="DY52" s="43" t="n">
        <f aca="false">IF(AND(AND(Tasks[[#This Row],[_IsLeaf]]=1,Tasks[[#This Row],[_LeafTotalWork]]&gt;0),Tasks[[#This Row],[_Res2Work]]&gt;0),Tasks[[#This Row],[_Res2Work]]/(Tasks[[#This Row],[_FinishWorkday]]-Tasks[[#This Row],[_StartWorkday]]+1),0)</f>
        <v>0</v>
      </c>
      <c r="DZ52" s="43" t="n">
        <f aca="false">Tasks[[#This Row],[_Res2WorkPerWD]]*MAX(0,Tasks[[#This Row],[_StartWorkday]]-1)</f>
        <v>0</v>
      </c>
      <c r="EA52" s="43" t="n">
        <f aca="false">Tasks[[#This Row],[_Res2Work]]*Tasks[[#This Row],[_LeafProgress]]</f>
        <v>0</v>
      </c>
      <c r="EB52" s="43" t="str">
        <f aca="false">IF(Tasks[[#This Row],[_Res3Text]]="","",IF(Tasks[[#This Row],[_Res3Row]]&gt;0,INDEX(res_Name,Tasks[[#This Row],[_Res3Row]]),TRIM(LEFT(Tasks[[#This Row],[_Res3Text]],FIND("[",Tasks[[#This Row],[_Res3Text]]&amp;"[")-1))))</f>
        <v/>
      </c>
      <c r="EC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2" s="43" t="n">
        <f aca="false">IF(OR(NOT(Tasks[[#This Row],[_IsLeaf]]=1),Tasks[[#This Row],[_Res3Row]]=0),0,N(Tasks[[#This Row],[_Days]])*HoursPerDay*IF(Tasks[[#This Row],[_Res3Units]]="",DefaultUnits,Tasks[[#This Row],[_Res3Units]]))</f>
        <v>0</v>
      </c>
      <c r="EE52" s="43" t="n">
        <f aca="false">IF(AND(AND(Tasks[[#This Row],[_IsLeaf]]=1,Tasks[[#This Row],[_LeafTotalWork]]&gt;0),Tasks[[#This Row],[_Res3Work]]&gt;0),Tasks[[#This Row],[_Res3Work]]/(Tasks[[#This Row],[_FinishWorkday]]-Tasks[[#This Row],[_StartWorkday]]+1),0)</f>
        <v>0</v>
      </c>
      <c r="EF52" s="43" t="n">
        <f aca="false">Tasks[[#This Row],[_Res3WorkPerWD]]*MAX(0,Tasks[[#This Row],[_StartWorkday]]-1)</f>
        <v>0</v>
      </c>
      <c r="EG52" s="43" t="n">
        <f aca="false">Tasks[[#This Row],[_Res3Work]]*Tasks[[#This Row],[_LeafProgress]]</f>
        <v>0</v>
      </c>
      <c r="EH52" s="43" t="str">
        <f aca="false">IF(Tasks[[#This Row],[_Res4Text]]="","",IF(Tasks[[#This Row],[_Res4Row]]&gt;0,INDEX(res_Name,Tasks[[#This Row],[_Res4Row]]),TRIM(LEFT(Tasks[[#This Row],[_Res4Text]],FIND("[",Tasks[[#This Row],[_Res4Text]]&amp;"[")-1))))</f>
        <v/>
      </c>
      <c r="EI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2" s="43" t="n">
        <f aca="false">IF(OR(NOT(Tasks[[#This Row],[_IsLeaf]]=1),Tasks[[#This Row],[_Res4Row]]=0),0,N(Tasks[[#This Row],[_Days]])*HoursPerDay*IF(Tasks[[#This Row],[_Res4Units]]="",DefaultUnits,Tasks[[#This Row],[_Res4Units]]))</f>
        <v>0</v>
      </c>
      <c r="EK52" s="43" t="n">
        <f aca="false">IF(AND(AND(Tasks[[#This Row],[_IsLeaf]]=1,Tasks[[#This Row],[_LeafTotalWork]]&gt;0),Tasks[[#This Row],[_Res4Work]]&gt;0),Tasks[[#This Row],[_Res4Work]]/(Tasks[[#This Row],[_FinishWorkday]]-Tasks[[#This Row],[_StartWorkday]]+1),0)</f>
        <v>0</v>
      </c>
      <c r="EL52" s="43" t="n">
        <f aca="false">Tasks[[#This Row],[_Res4WorkPerWD]]*MAX(0,Tasks[[#This Row],[_StartWorkday]]-1)</f>
        <v>0</v>
      </c>
      <c r="EM52" s="43" t="n">
        <f aca="false">Tasks[[#This Row],[_Res4Work]]*Tasks[[#This Row],[_LeafProgress]]</f>
        <v>0</v>
      </c>
      <c r="EN52" s="43" t="n">
        <f aca="false">IF(ISNUMBER(Tasks[[#This Row],[% Complete]]),Tasks[[#This Row],[% Complete]],IF(Tasks[[#This Row],[Stage]]="",0,IFERROR(INDEX(stg_Pct,MATCH(Tasks[[#This Row],[Stage]],stg_Name,0)),0)))</f>
        <v>0</v>
      </c>
      <c r="EO52" s="43" t="n">
        <f aca="false">IF(NOT(Tasks[[#This Row],[_IsLeaf]]=1),0,IF(N(Tasks[[#This Row],[Actual Finish]])&gt;0,1,MIN(1,Tasks[[#This Row],[_Pct]])))</f>
        <v>0</v>
      </c>
      <c r="EP52" s="43" t="n">
        <f aca="false">IF(OR(NOT(Tasks[[#This Row],[_IsLeaf]]=1),Tasks[[#This Row],[_Res1Row]]=0),0,N(Tasks[[#This Row],[_Days]])*HoursPerDay*IF(Tasks[[#This Row],[_Units1]]="",DefaultUnits,Tasks[[#This Row],[_Units1]]))</f>
        <v>0</v>
      </c>
      <c r="EQ52" s="43" t="n">
        <f aca="false">Tasks[[#This Row],[_LeafWork]]+Tasks[[#This Row],[_Res2Work]]+Tasks[[#This Row],[_Res3Work]]+Tasks[[#This Row],[_Res4Work]]</f>
        <v>0</v>
      </c>
      <c r="ER5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2" s="43" t="n">
        <f aca="false">IF(NOT(Tasks[[#This Row],[_IsLeaf]]=1),0,MAX(_xlfn.MAXIFS(Tasks[_Row],Tasks[_Pred1UID],Tasks[[#This Row],[UID]]),_xlfn.MAXIFS(Tasks[_Row],Tasks[_Pred2UID],Tasks[[#This Row],[UID]]),_xlfn.MAXIFS(Tasks[_Row],Tasks[_Pred3UID],Tasks[[#This Row],[UID]]),_xlfn.MAXIFS(Tasks[_Row],Tasks[_Pred4UID],Tasks[[#This Row],[UID]])))</f>
        <v>0</v>
      </c>
      <c r="FA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2" s="91" t="str">
        <f aca="false">IF(NOT(Tasks[[#This Row],[_IsLeaf]]=1),"",IF(N(Tasks[[#This Row],[_Days]])&lt;=0,Tasks[[#This Row],[_LeafLateFinish]],WORKDAY.INTL(Tasks[[#This Row],[_LeafLateFinish]],-(Tasks[[#This Row],[_Days]]-1),WorkWeek,Holidays)))</f>
        <v/>
      </c>
      <c r="FD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2" s="90" t="b">
        <f aca="false">AND(Tasks[[#This Row],[_IsLeaf]]=1,Tasks[[#This Row],[_LeafProgress]]&lt;1,N(Tasks[[#This Row],[_LeafTotalSlack]])&lt;=CriticalSlackDays)</f>
        <v>0</v>
      </c>
      <c r="FF52" s="43" t="n">
        <f aca="false">IF(AND(Tasks[[#This Row],[_IsLeaf]]=1,Tasks[[#This Row],[_ConstraintCode]]=1,Tasks[[#This Row],[Mode]]&lt;&gt;"Manual",N(Tasks[[#This Row],[Actual Start]])=0),MAX(0,N(Tasks[[#This Row],[Free Slack]])),0)</f>
        <v>0</v>
      </c>
      <c r="FG52" s="91" t="str">
        <f aca="false">IF(NOT(Tasks[[#This Row],[_IsLeaf]]=1),"",IF(Tasks[[#This Row],[_AlapShift]]=0,Tasks[[#This Row],[_LeafCalcStart]],WORKDAY.INTL(Tasks[[#This Row],[_LeafCalcStart]],Tasks[[#This Row],[_AlapShift]],WorkWeek,Holidays)))</f>
        <v/>
      </c>
      <c r="FH52" s="91" t="str">
        <f aca="false">IF(NOT(Tasks[[#This Row],[_IsLeaf]]=1),"",IF(Tasks[[#This Row],[_AlapShift]]=0,Tasks[[#This Row],[_LeafCalcFinish]],WORKDAY.INTL(Tasks[[#This Row],[_LeafCalcFinish]],Tasks[[#This Row],[_AlapShift]],WorkWeek,Holidays)))</f>
        <v/>
      </c>
      <c r="FI52" s="91" t="str">
        <f aca="false">IF(NOT(Tasks[[#This Row],[_IsLeaf]]=1),"",IF(Tasks[[#This Row],[_AlapShift]]=0,Tasks[[#This Row],[_LeafFcstStart]],WORKDAY.INTL(Tasks[[#This Row],[_LeafFcstStart]],Tasks[[#This Row],[_AlapShift]],WorkWeek,Holidays)))</f>
        <v/>
      </c>
      <c r="FJ52" s="91" t="str">
        <f aca="false">IF(NOT(Tasks[[#This Row],[_IsLeaf]]=1),"",IF(Tasks[[#This Row],[_AlapShift]]=0,Tasks[[#This Row],[_LeafFcstFinish]],WORKDAY.INTL(Tasks[[#This Row],[_LeafFcstFinish]],Tasks[[#This Row],[_AlapShift]],WorkWeek,Holidays)))</f>
        <v/>
      </c>
      <c r="FK52" s="91" t="str">
        <f aca="false">IF(Tasks[[#This Row],[Task Name]]="","",IF(Tasks[[#This Row],[_IsSummary]],MIN(INDEX(Tasks[_ShownCalcStart],Tasks[[#This Row],[_Row]]+1):INDEX(Tasks[_ShownCalcStart],Tasks[[#This Row],[_Row]]+Tasks[[#This Row],[_Descendants]])),Tasks[[#This Row],[_ShownCalcStart]]))</f>
        <v/>
      </c>
      <c r="FL52" s="91" t="str">
        <f aca="false">IF(Tasks[[#This Row],[Task Name]]="","",IF(Tasks[[#This Row],[_IsSummary]],MAX(INDEX(Tasks[_ShownCalcFinish],Tasks[[#This Row],[_Row]]+1):INDEX(Tasks[_ShownCalcFinish],Tasks[[#This Row],[_Row]]+Tasks[[#This Row],[_Descendants]])),Tasks[[#This Row],[_ShownCalcFinish]]))</f>
        <v/>
      </c>
      <c r="FM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2" s="43" t="n">
        <f aca="false">IF(AND(Tasks[[#This Row],[_IsLeaf]]=1,Tasks[[#This Row],[_LeafTotalWork]]&gt;0),NETWORKDAYS.INTL(ProjectStart,Tasks[[#This Row],[_ShownFcstStart]],WorkWeek,Holidays),0)</f>
        <v>0</v>
      </c>
      <c r="FZ52" s="43" t="n">
        <f aca="false">IF(AND(Tasks[[#This Row],[_IsLeaf]]=1,Tasks[[#This Row],[_LeafTotalWork]]&gt;0),MAX(Tasks[[#This Row],[_StartWorkday]],NETWORKDAYS.INTL(ProjectStart,Tasks[[#This Row],[_ShownFcstFinish]],WorkWeek,Holidays)),0)</f>
        <v>0</v>
      </c>
      <c r="GA52" s="43" t="n">
        <f aca="false">IF(AND(Tasks[[#This Row],[_IsLeaf]]=1,Tasks[[#This Row],[_LeafTotalWork]]&gt;0),Tasks[[#This Row],[_LeafWork]]/(Tasks[[#This Row],[_FinishWorkday]]-Tasks[[#This Row],[_StartWorkday]]+1),0)</f>
        <v>0</v>
      </c>
      <c r="GB52" s="43" t="n">
        <f aca="false">Tasks[[#This Row],[_WorkPerWorkday]]*(Tasks[[#This Row],[_StartWorkday]]-1)</f>
        <v>-0</v>
      </c>
      <c r="GC52" s="43" t="n">
        <f aca="false">IF(Tasks[[#This Row],[_IsLeaf]]=1,MAX(N(Tasks[[#This Row],[_Days]]),0.1),0)</f>
        <v>0</v>
      </c>
      <c r="GD52" s="43" t="n">
        <f aca="false">Tasks[[#This Row],[_WeightDur]]*Tasks[[#This Row],[_LeafProgress]]</f>
        <v>0</v>
      </c>
      <c r="GE52" s="43" t="n">
        <f aca="false">Tasks[[#This Row],[_WeightDur]]*Tasks[[#This Row],[_PlannedPct]]</f>
        <v>0</v>
      </c>
      <c r="GF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2" s="43" t="str">
        <f aca="false">IF(AND(Tasks[[#This Row],[_IsLeaf]]=1,N(Tasks[[#This Row],[_Days]])=0,Tasks[[#This Row],[_LeafProgress]]&lt;1),Tasks[[#This Row],[_ShownFcstFinish]]+Tasks[[#This Row],[_Row]]/100000,"")</f>
        <v/>
      </c>
      <c r="GH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2" s="43" t="str">
        <f aca="false">IF(Tasks[[#This Row],[Task Name]]="","",LEFT(Tasks[[#This Row],[WBS]],FIND(".",Tasks[[#This Row],[WBS]]&amp;".")-1))</f>
        <v/>
      </c>
      <c r="GJ52" s="43" t="str">
        <f aca="false">IF(AND(Tasks[[#This Row],[Task Name]]&lt;&gt;"",Tasks[[#This Row],[_Level]]=1),Tasks[[#This Row],[_Row]],"")</f>
        <v/>
      </c>
      <c r="GK52" s="43" t="str">
        <f aca="false">IF(AND(Tasks[[#This Row],[_IsLeaf]]=1,N(Tasks[[#This Row],[_Days]])=0),Tasks[[#This Row],[Planned Finish]]+Tasks[[#This Row],[_Row]]/100000,"")</f>
        <v/>
      </c>
      <c r="GL52" s="43" t="str">
        <f aca="false">IF(AND(Tasks[[#This Row],[_IsLeaf]]=1,Tasks[[#This Row],[_LeafProgress]]&lt;1,OR(N(Tasks[[#This Row],[Finish Var]])&gt;0,Tasks[[#This Row],[Status]]="Late Start")),MAX(0,Tasks[[#This Row],[Finish Var]])+1-Tasks[[#This Row],[_Row]]/1000000,"")</f>
        <v/>
      </c>
      <c r="GM52" s="43" t="str">
        <f aca="false">IF(AND(Tasks[[#This Row],[_IsLeaf]]=1,N(Tasks[[#This Row],[Actual Start]])=0,Tasks[[#This Row],[_ShownFcstStart]]&gt;=StatusDate,Tasks[[#This Row],[_ShownFcstStart]]&lt;=LookaheadEnd),Tasks[[#This Row],[_ShownFcstStart]]+Tasks[[#This Row],[_Row]]/100000,"")</f>
        <v/>
      </c>
      <c r="GN52" s="43" t="str">
        <f aca="false">IF(AND(Tasks[[#This Row],[_IsLeaf]]=1,Tasks[[#This Row],[_LeafProgress]]&lt;1,Tasks[[#This Row],[_ShownFcstFinish]]&gt;=StatusDate,Tasks[[#This Row],[_ShownFcstFinish]]&lt;=LookaheadEnd),Tasks[[#This Row],[_ShownFcstFinish]]+Tasks[[#This Row],[_Row]]/100000,"")</f>
        <v/>
      </c>
      <c r="GO52" s="43" t="str">
        <f aca="false">IF(Tasks[[#This Row],[_LeafCritical]],Tasks[[#This Row],[_ShownFcstStart]]+Tasks[[#This Row],[_Row]]/100000,"")</f>
        <v/>
      </c>
      <c r="GP52" s="43" t="n">
        <f aca="false">Tasks[[#This Row],[_LeafWork]]*Tasks[[#This Row],[_LeafProgress]]</f>
        <v>0</v>
      </c>
      <c r="GQ52" s="91" t="str">
        <f aca="false">IF(AND(Tasks[[#This Row],[_IsLeaf]]=1,Tasks[[#This Row],[_LeafProgress]]&gt;=1),IF(N(Tasks[[#This Row],[Actual Finish]])&gt;0,Tasks[[#This Row],[Actual Finish]],Tasks[[#This Row],[_ShownFcstFinish]]),"")</f>
        <v/>
      </c>
      <c r="GR52" s="43" t="n">
        <f aca="false">IF(Tasks[[#This Row],[_IsLeaf]]=1,N(Tasks[[#This Row],[Story Points]]),0)</f>
        <v>0</v>
      </c>
      <c r="GS52" s="43" t="str">
        <f aca="false">""</f>
        <v/>
      </c>
      <c r="GT52" s="90" t="b">
        <f aca="false">IF(Tasks[[#This Row],[Task Name]]="",FALSE(),AND(Tasks[[#This Row],[_IsLeaf]]=1,N(Tasks[[#This Row],[_Days]])=0))</f>
        <v>0</v>
      </c>
      <c r="GU52" s="91" t="n">
        <f aca="false">IF(Tasks[[#This Row],[Task Name]]="",0,IF(AND(Tasks[[#This Row],[_IsLeaf]]=1,NOT(Tasks[[#This Row],[_IsMilestone]]),N(Tasks[[#This Row],[Progress]])&gt;0),Tasks[[#This Row],[Start]],0))</f>
        <v>0</v>
      </c>
      <c r="GV52" s="91" t="n">
        <f aca="false">IF(Tasks[[#This Row],[_DoneFrom]]=0,0,IF(Tasks[[#This Row],[Progress]]&gt;=1,Tasks[[#This Row],[Finish]],MAX(Tasks[[#This Row],[_DoneFrom]],Tasks[[#This Row],[Start]]+ROUND((Tasks[[#This Row],[Finish]]-Tasks[[#This Row],[Start]]+1)*Tasks[[#This Row],[Progress]],0)-1)))</f>
        <v>0</v>
      </c>
      <c r="GW52" s="91" t="n">
        <f aca="false">IF(Tasks[[#This Row],[Task Name]]="",0,IF(OR(NOT(Tasks[[#This Row],[_IsLeaf]]=1),Tasks[[#This Row],[_IsMilestone]],N(Tasks[[#This Row],[Progress]])&gt;=1),0,IF(Tasks[[#This Row],[_DoneTo]]&gt;0,Tasks[[#This Row],[_DoneTo]]+1,Tasks[[#This Row],[Start]])))</f>
        <v>0</v>
      </c>
      <c r="GX52" s="91" t="n">
        <f aca="false">IF(Tasks[[#This Row],[_RemFrom]]=0,0,Tasks[[#This Row],[Finish]])</f>
        <v>0</v>
      </c>
      <c r="GY52" s="90" t="b">
        <f aca="false">IF(Tasks[[#This Row],[Task Name]]="",FALSE(),OR(NOT(BaselineSet),N(Tasks[[#This Row],[Baseline Start]])&gt;0))</f>
        <v>0</v>
      </c>
      <c r="GZ5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2" s="92" t="str">
        <f aca="false">IF(Tasks[[#This Row],[_IsLeaf]]=1,Tasks[[#This Row],[_Row]],"")</f>
        <v/>
      </c>
      <c r="HD52" s="92" t="str">
        <f aca="false">IFERROR(INDEX(Tasks[UID],SMALL(Tasks[_PickKey],Tasks[[#This Row],[_Row]]))&amp;" "&amp;INDEX(Tasks[Task Name],SMALL(Tasks[_PickKey],Tasks[[#This Row],[_Row]])),"")</f>
        <v/>
      </c>
      <c r="HE52" s="43" t="str">
        <f aca="false">IF(Tasks[[#This Row],[Task Name]]="","",IF(Tasks[[#This Row],[_IsSummary]],NETWORKDAYS.INTL(Tasks[[#This Row],[Start]],Tasks[[#This Row],[Finish]],WorkWeek,Holidays),N(Tasks[[#This Row],[_Days]])))</f>
        <v/>
      </c>
      <c r="HF52" s="43" t="n">
        <f aca="false">IF(Tasks[[#This Row],[Expected]]="",0,((Tasks[[#This Row],[Pessimistic]]-Tasks[[#This Row],[Optimistic]])/6)^2)</f>
        <v>0</v>
      </c>
      <c r="HG52" s="43" t="n">
        <f aca="false">IF(Tasks[[#This Row],[Expected]]="",0,Tasks[[#This Row],[Expected]]-N(Tasks[[#This Row],[_Days]]))</f>
        <v>0</v>
      </c>
    </row>
    <row r="53" customFormat="false" ht="15" hidden="false" customHeight="false" outlineLevel="0" collapsed="false">
      <c r="A53" s="21" t="str">
        <f aca="false">IF(Tasks[[#This Row],[Task Name]]="","",COUNTA(Tasks[[#Headers],[Task Name]]:Tasks[[#This Row],[Task Name]])-1)</f>
        <v/>
      </c>
      <c r="B53" s="22" t="n">
        <v>61</v>
      </c>
      <c r="C53" s="22"/>
      <c r="D53" s="23"/>
      <c r="E53" s="22"/>
      <c r="F53" s="23"/>
      <c r="G53" s="22"/>
      <c r="H53" s="22"/>
      <c r="I53" s="23"/>
      <c r="J53" s="22"/>
      <c r="K53" s="22"/>
      <c r="L53" s="23"/>
      <c r="M53" s="22"/>
      <c r="N53" s="22"/>
      <c r="O53" s="23"/>
      <c r="P53" s="22"/>
      <c r="Q53" s="22"/>
      <c r="R53" s="23"/>
      <c r="S53" s="23"/>
      <c r="T53" s="84"/>
      <c r="U53" s="23"/>
      <c r="V53" s="84"/>
      <c r="W53" s="23"/>
      <c r="X53" s="84"/>
      <c r="Y53" s="23"/>
      <c r="Z53" s="84"/>
      <c r="AA53" s="23"/>
      <c r="AB53" s="23"/>
      <c r="AC53" s="7"/>
      <c r="AD53" s="7"/>
      <c r="AE53" s="63" t="str">
        <f aca="false">IF(Tasks[[#This Row],[Task Name]]="","",IF(Tasks[[#This Row],[_IsSummary]],MIN(INDEX(Tasks[_ShownFcstStart],Tasks[[#This Row],[_Row]]+1):INDEX(Tasks[_ShownFcstStart],Tasks[[#This Row],[_Row]]+Tasks[[#This Row],[_Descendants]])),Tasks[[#This Row],[_ShownFcstStart]]))</f>
        <v/>
      </c>
      <c r="AF53" s="63" t="str">
        <f aca="false">IF(Tasks[[#This Row],[Task Name]]="","",IF(Tasks[[#This Row],[_IsSummary]],MAX(INDEX(Tasks[_ShownFcstFinish],Tasks[[#This Row],[_Row]]+1):INDEX(Tasks[_ShownFcstFinish],Tasks[[#This Row],[_Row]]+Tasks[[#This Row],[_Descendants]])),Tasks[[#This Row],[_ShownFcstFinish]]))</f>
        <v/>
      </c>
      <c r="AG53" s="21" t="str">
        <f aca="false">""</f>
        <v/>
      </c>
      <c r="AH53" s="23"/>
      <c r="AI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3" s="7"/>
      <c r="AK53" s="22"/>
      <c r="AL53" s="23"/>
      <c r="AM53" s="7"/>
      <c r="AN53" s="47" t="str">
        <f aca="false">IF(Tasks[[#This Row],[Task Name]]="","",IF(Tasks[[#This Row],[Finish]]&gt;=Tasks[[#This Row],[Planned Finish]],NETWORKDAYS.INTL(Tasks[[#This Row],[Planned Finish]],Tasks[[#This Row],[Finish]],WorkWeek,Holidays)-1,1-NETWORKDAYS.INTL(Tasks[[#This Row],[Finish]],Tasks[[#This Row],[Planned Finish]],WorkWeek,Holidays)))</f>
        <v/>
      </c>
      <c r="AO53" s="21" t="str">
        <f aca="false">IF(Tasks[[#This Row],[Task Name]]="","",IF(Tasks[[#This Row],[Progress]]&gt;=1,"Complete",IF(OR(N(Tasks[[#This Row],[Actual Start]])&gt;0,Tasks[[#This Row],[Progress]]&gt;0),IF(Tasks[[#This Row],[Finish Var]]&gt;0,"Behind","In Progress"),IF(Tasks[[#This Row],[Planned Start]]&lt;StatusDate,"Late Start","Not Started"))))</f>
        <v/>
      </c>
      <c r="AP53" s="21" t="str">
        <f aca="false">IF(Tasks[[#This Row],[Task Name]]="","",IF(IF(Tasks[[#This Row],[_IsSummary]],COUNTIF(INDEX(Tasks[_LeafCritical],Tasks[[#This Row],[_Row]]+1):INDEX(Tasks[_LeafCritical],Tasks[[#This Row],[_Row]]+Tasks[[#This Row],[_Descendants]]),TRUE())&gt;0,Tasks[[#This Row],[_LeafCritical]]),"Yes",""))</f>
        <v/>
      </c>
      <c r="AQ53" s="63" t="str">
        <f aca="false">IF(Tasks[[#This Row],[Task Name]]="","",IF(N(Tasks[[#This Row],[Baseline Start]])&gt;0,Tasks[[#This Row],[Baseline Start]],Tasks[[#This Row],[_CalcStart]]))</f>
        <v/>
      </c>
      <c r="AR53" s="63" t="str">
        <f aca="false">IF(Tasks[[#This Row],[Task Name]]="","",IF(N(Tasks[[#This Row],[Baseline Finish]])&gt;0,Tasks[[#This Row],[Baseline Finish]],Tasks[[#This Row],[_CalcFinish]]))</f>
        <v/>
      </c>
      <c r="AS53" s="47" t="str">
        <f aca="false">IF(Tasks[[#This Row],[Task Name]]="","",IF(Tasks[[#This Row],[Start]]&gt;=Tasks[[#This Row],[Planned Start]],NETWORKDAYS.INTL(Tasks[[#This Row],[Planned Start]],Tasks[[#This Row],[Start]],WorkWeek,Holidays)-1,1-NETWORKDAYS.INTL(Tasks[[#This Row],[Start]],Tasks[[#This Row],[Planned Start]],WorkWeek,Holidays)))</f>
        <v/>
      </c>
      <c r="AT53" s="63" t="str">
        <f aca="false">IF(Tasks[[#This Row],[Task Name]]="","",IF(Tasks[[#This Row],[_IsSummary]],MIN(INDEX(Tasks[_LeafLateStart],Tasks[[#This Row],[_Row]]+1):INDEX(Tasks[_LeafLateStart],Tasks[[#This Row],[_Row]]+Tasks[[#This Row],[_Descendants]])),Tasks[[#This Row],[_LeafLateStart]]))</f>
        <v/>
      </c>
      <c r="AU53" s="63" t="str">
        <f aca="false">IF(Tasks[[#This Row],[Task Name]]="","",IF(Tasks[[#This Row],[_IsSummary]],MAX(INDEX(Tasks[_LeafLateFinish],Tasks[[#This Row],[_Row]]+1):INDEX(Tasks[_LeafLateFinish],Tasks[[#This Row],[_Row]]+Tasks[[#This Row],[_Descendants]])),Tasks[[#This Row],[_LeafLateFinish]]))</f>
        <v/>
      </c>
      <c r="AV53" s="47" t="str">
        <f aca="false">IF(Tasks[[#This Row],[Task Name]]="","",IF(Tasks[[#This Row],[_IsSummary]],MIN(INDEX(Tasks[_LeafTotalSlack],Tasks[[#This Row],[_Row]]+1):INDEX(Tasks[_LeafTotalSlack],Tasks[[#This Row],[_Row]]+Tasks[[#This Row],[_Descendants]])),Tasks[[#This Row],[_LeafTotalSlack]]))</f>
        <v/>
      </c>
      <c r="AW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5"/>
      <c r="BA5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t="str">
        <f aca="false">IF(Tasks[[#This Row],[Task Name]]="","",IF(Tasks[[#This Row],[_Level]]&lt;=OutlineShowLevel,"Yes","No"))</f>
        <v/>
      </c>
      <c r="BE53" s="86" t="str">
        <f aca="false">IF(Tasks[[#This Row],[Task Name]]="","",IF(Tasks[[#This Row],[_IsSummary]],SUM(INDEX(Tasks[_LeafTotalWork],Tasks[[#This Row],[_Row]]+1):INDEX(Tasks[_LeafTotalWork],Tasks[[#This Row],[_Row]]+Tasks[[#This Row],[_Descendants]])),Tasks[[#This Row],[_LeafTotalWork]]))</f>
        <v/>
      </c>
      <c r="BF53" s="23"/>
      <c r="BG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t="str">
        <f aca="false">""</f>
        <v/>
      </c>
      <c r="BI53" s="87"/>
      <c r="BJ53" s="22"/>
      <c r="BK53" s="47" t="str">
        <f aca="false">IF(OR(Tasks[[#This Row],[Task Name]]="",Tasks[[#This Row],[Baseline Duration]]=""),"",Tasks[[#This Row],[_SpanDays]]-N(Tasks[[#This Row],[Baseline Duration]]))</f>
        <v/>
      </c>
      <c r="BL53" s="86" t="str">
        <f aca="false">IF(OR(Tasks[[#This Row],[Task Name]]="",Tasks[[#This Row],[Baseline Work]]=""),"",Tasks[[#This Row],[Work]]-N(Tasks[[#This Row],[Baseline Work]]))</f>
        <v/>
      </c>
      <c r="BM53" s="63" t="str">
        <f aca="false">IF(Tasks[[#This Row],[Task Name]]="","",IF(OR(TakeBaseline="Yes",N(Tasks[[#This Row],[Baseline Start]])=0),Tasks[[#This Row],[Start]],Tasks[[#This Row],[Baseline Start]]))</f>
        <v/>
      </c>
      <c r="BN53" s="63" t="str">
        <f aca="false">IF(Tasks[[#This Row],[Task Name]]="","",IF(OR(TakeBaseline="Yes",N(Tasks[[#This Row],[Baseline Finish]])=0),Tasks[[#This Row],[Finish]],Tasks[[#This Row],[Baseline Finish]]))</f>
        <v/>
      </c>
      <c r="BO53" s="21" t="str">
        <f aca="false">IF(Tasks[[#This Row],[Task Name]]="","",IF(OR(TakeBaseline="Yes",N(Tasks[[#This Row],[Baseline Duration]])=0),Tasks[[#This Row],[_SpanDays]],Tasks[[#This Row],[Baseline Duration]]))</f>
        <v/>
      </c>
      <c r="BP53" s="86" t="str">
        <f aca="false">IF(Tasks[[#This Row],[Task Name]]="","",IF(OR(TakeBaseline="Yes",N(Tasks[[#This Row],[Baseline Work]])=0),Tasks[[#This Row],[Work]],Tasks[[#This Row],[Baseline Work]]))</f>
        <v/>
      </c>
      <c r="BQ53" s="7"/>
      <c r="BR53" s="7"/>
      <c r="BS53" s="22"/>
      <c r="BT53" s="88"/>
      <c r="BU53" s="23"/>
      <c r="BV53" s="23"/>
      <c r="BW53" s="23"/>
      <c r="BX53" s="89" t="str">
        <f aca="false">IF(AND(Tasks[[#This Row],[_IsLeaf]]=1,ISNUMBER(Tasks[[#This Row],[Optimistic]]),ISNUMBER(Tasks[[#This Row],[Pessimistic]])),ROUND((Tasks[[#This Row],[Optimistic]]+4*N(Tasks[[#This Row],[_Days]])+Tasks[[#This Row],[Pessimistic]])/6,1),"")</f>
        <v/>
      </c>
      <c r="BY53" s="87"/>
      <c r="BZ53" s="87"/>
      <c r="CA53" s="22"/>
      <c r="CB53" s="43" t="str">
        <f aca="false">IF(Tasks[[#This Row],[Task Name]]="","",MAX(1,N(Tasks[[#This Row],[Level]])))</f>
        <v/>
      </c>
      <c r="CC53" s="43" t="n">
        <f aca="false">ROW()-ROW(Tasks[[#Headers],[ID]])</f>
        <v>48</v>
      </c>
      <c r="CD53" s="43" t="n">
        <f aca="false">IF(OR(Tasks[[#This Row],[Task Name]]="",Tasks[[#This Row],[_Level]]&lt;=1),0,IFERROR(LOOKUP(2,1/(Tasks[[#Headers],[_Level]]:Tasks[[#This Row],[_Level]]=Tasks[[#This Row],[_Level]]-1),ROW(Tasks[[#Headers],[_Level]]:Tasks[[#This Row],[_Level]])),0))</f>
        <v>0</v>
      </c>
      <c r="CE53" s="43" t="n">
        <f aca="false">IFERROR(N(INDEX(Tasks[_Level],Tasks[[#This Row],[_Row]]+1)),0)</f>
        <v>0</v>
      </c>
      <c r="CF53" s="90" t="b">
        <f aca="false">AND(Tasks[[#This Row],[Task Name]]&lt;&gt;"",Tasks[[#This Row],[_NextLevel]]&gt;Tasks[[#This Row],[_Level]])</f>
        <v>0</v>
      </c>
      <c r="CG53" s="43" t="n">
        <f aca="false">IF(Tasks[[#This Row],[_IsSummary]],COUNTIF(Tasks[WBS],Tasks[[#This Row],[WBS]]&amp;".*"),0)</f>
        <v>0</v>
      </c>
      <c r="CH53" s="43" t="n">
        <f aca="false">IF(AND(Tasks[[#This Row],[Task Name]]&lt;&gt;"",NOT(Tasks[[#This Row],[_IsSummary]])),1,0)</f>
        <v>0</v>
      </c>
      <c r="CI53" s="43" t="n">
        <f aca="false">IF(N(Tasks[[#This Row],[_Pred1UID]])=0,0,IFERROR(MATCH(Tasks[[#This Row],[_Pred1UID]],Tasks[UID],0),-1))</f>
        <v>0</v>
      </c>
      <c r="CJ53" s="43" t="n">
        <f aca="false">IF(N(Tasks[[#This Row],[_Pred2UID]])=0,0,IFERROR(MATCH(Tasks[[#This Row],[_Pred2UID]],Tasks[UID],0),-1))</f>
        <v>0</v>
      </c>
      <c r="CK53" s="43" t="n">
        <f aca="false">IF(N(Tasks[[#This Row],[_Pred3UID]])=0,0,IFERROR(MATCH(Tasks[[#This Row],[_Pred3UID]],Tasks[UID],0),-1))</f>
        <v>0</v>
      </c>
      <c r="CL53" s="43" t="n">
        <f aca="false">IF(N(Tasks[[#This Row],[_Pred4UID]])=0,0,IFERROR(MATCH(Tasks[[#This Row],[_Pred4UID]],Tasks[UID],0),-1))</f>
        <v>0</v>
      </c>
      <c r="CM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3" s="91" t="n">
        <f aca="false">IF(OR(Tasks[[#This Row],[_ConstraintCode]]=2,Tasks[[#This Row],[_ConstraintCode]]=3,Tasks[[#This Row],[_ConstraintCode]]=4,Tasks[[#This Row],[_ConstraintCode]]=6),Tasks[[#This Row],[_ConstraintStart]],0)</f>
        <v>0</v>
      </c>
      <c r="CP53" s="91" t="n">
        <f aca="false">IF(OR(Tasks[[#This Row],[_ConstraintCode]]=2,Tasks[[#This Row],[_ConstraintCode]]=3,Tasks[[#This Row],[_ConstraintCode]]=5,Tasks[[#This Row],[_ConstraintCode]]=7),Tasks[[#This Row],[_ConstraintStart]],2958465)</f>
        <v>2958465</v>
      </c>
      <c r="CQ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3" s="91" t="str">
        <f aca="false">IF(NOT(Tasks[[#This Row],[_IsLeaf]]=1),"",IF(N(Tasks[[#This Row],[_Days]])&lt;=0,Tasks[[#This Row],[_LeafCalcStart]],WORKDAY.INTL(Tasks[[#This Row],[_LeafCalcStart]],Tasks[[#This Row],[_Days]]-1,WorkWeek,Holidays)))</f>
        <v/>
      </c>
      <c r="CS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3" s="43" t="str">
        <f aca="false">IF(Tasks[[#This Row],[_Predecessors]]="","",TRIM(MID(SUBSTITUTE(SUBSTITUTE(SUBSTITUTE(UPPER(Tasks[[#This Row],[_Predecessors]]),";",",")," ",""),",",REPT(" ",99)),1,99)))</f>
        <v/>
      </c>
      <c r="CV53" s="43" t="str">
        <f aca="false">IF(Tasks[[#This Row],[_Pred1Text]]="","",IFERROR(VALUE(LEFT(Tasks[[#This Row],[_Pred1Text]],MIN(FIND("F",Tasks[[#This Row],[_Pred1Text]]&amp;"F"),FIND("S",Tasks[[#This Row],[_Pred1Text]]&amp;"S"),FIND("+",Tasks[[#This Row],[_Pred1Text]]&amp;"+"),FIND("-",Tasks[[#This Row],[_Pred1Text]]&amp;"-"))-1)),""))</f>
        <v/>
      </c>
      <c r="CW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3" s="43" t="str">
        <f aca="false">IF(Tasks[[#This Row],[_Pred1Text]]="","",TRIM(MID(SUBSTITUTE(SUBSTITUTE(SUBSTITUTE(UPPER(Tasks[[#This Row],[_Predecessors]]),";",",")," ",""),",",REPT(" ",99)),100,99)))</f>
        <v/>
      </c>
      <c r="CZ53" s="43" t="str">
        <f aca="false">IF(Tasks[[#This Row],[_Pred2Text]]="","",IFERROR(VALUE(LEFT(Tasks[[#This Row],[_Pred2Text]],MIN(FIND("F",Tasks[[#This Row],[_Pred2Text]]&amp;"F"),FIND("S",Tasks[[#This Row],[_Pred2Text]]&amp;"S"),FIND("+",Tasks[[#This Row],[_Pred2Text]]&amp;"+"),FIND("-",Tasks[[#This Row],[_Pred2Text]]&amp;"-"))-1)),""))</f>
        <v/>
      </c>
      <c r="DA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3" s="43" t="str">
        <f aca="false">IF(Tasks[[#This Row],[_Pred2Text]]="","",TRIM(MID(SUBSTITUTE(SUBSTITUTE(SUBSTITUTE(UPPER(Tasks[[#This Row],[_Predecessors]]),";",",")," ",""),",",REPT(" ",99)),199,99)))</f>
        <v/>
      </c>
      <c r="DD53" s="43" t="str">
        <f aca="false">IF(Tasks[[#This Row],[_Pred3Text]]="","",IFERROR(VALUE(LEFT(Tasks[[#This Row],[_Pred3Text]],MIN(FIND("F",Tasks[[#This Row],[_Pred3Text]]&amp;"F"),FIND("S",Tasks[[#This Row],[_Pred3Text]]&amp;"S"),FIND("+",Tasks[[#This Row],[_Pred3Text]]&amp;"+"),FIND("-",Tasks[[#This Row],[_Pred3Text]]&amp;"-"))-1)),""))</f>
        <v/>
      </c>
      <c r="DE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3" s="43" t="str">
        <f aca="false">IF(Tasks[[#This Row],[_Pred3Text]]="","",TRIM(MID(SUBSTITUTE(SUBSTITUTE(SUBSTITUTE(UPPER(Tasks[[#This Row],[_Predecessors]]),";",",")," ",""),",",REPT(" ",99)),298,99)))</f>
        <v/>
      </c>
      <c r="DH53" s="43" t="str">
        <f aca="false">IF(Tasks[[#This Row],[_Pred4Text]]="","",IFERROR(VALUE(LEFT(Tasks[[#This Row],[_Pred4Text]],MIN(FIND("F",Tasks[[#This Row],[_Pred4Text]]&amp;"F"),FIND("S",Tasks[[#This Row],[_Pred4Text]]&amp;"S"),FIND("+",Tasks[[#This Row],[_Pred4Text]]&amp;"+"),FIND("-",Tasks[[#This Row],[_Pred4Text]]&amp;"-"))-1)),""))</f>
        <v/>
      </c>
      <c r="DI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3" s="43" t="str">
        <f aca="false">IF(OR(Tasks[[#This Row],[Task Name]]="",Tasks[[#This Row],[_Resources]]=""),"",TRIM(MID(SUBSTITUTE(Tasks[[#This Row],[_Resources]],",",REPT(" ",99)),1,99)))</f>
        <v/>
      </c>
      <c r="DL53" s="43" t="str">
        <f aca="false">IF(Tasks[[#This Row],[_Res1Text]]="","",TRIM(MID(SUBSTITUTE(Tasks[[#This Row],[_Resources]],",",REPT(" ",99)),100,99)))</f>
        <v/>
      </c>
      <c r="DM53" s="43" t="str">
        <f aca="false">IF(Tasks[[#This Row],[_Res2Text]]="","",TRIM(MID(SUBSTITUTE(Tasks[[#This Row],[_Resources]],",",REPT(" ",99)),199,99)))</f>
        <v/>
      </c>
      <c r="DN53" s="43" t="str">
        <f aca="false">IF(Tasks[[#This Row],[_Res3Text]]="","",TRIM(MID(SUBSTITUTE(Tasks[[#This Row],[_Resources]],",",REPT(" ",99)),298,99)))</f>
        <v/>
      </c>
      <c r="DO53" s="43" t="n">
        <f aca="false">IF(Tasks[[#This Row],[_Res1Text]]="",0,IFERROR(MATCH(TRIM(LEFT(Tasks[[#This Row],[_Res1Text]],FIND("[",Tasks[[#This Row],[_Res1Text]]&amp;"[")-1)),res_Name,0),IFERROR(MATCH(TRIM(LEFT(Tasks[[#This Row],[_Res1Text]],FIND("[",Tasks[[#This Row],[_Res1Text]]&amp;"[")-1)),res_Initials,0),0)))</f>
        <v>0</v>
      </c>
      <c r="DP53" s="43" t="n">
        <f aca="false">IF(Tasks[[#This Row],[_Res2Text]]="",0,IFERROR(MATCH(TRIM(LEFT(Tasks[[#This Row],[_Res2Text]],FIND("[",Tasks[[#This Row],[_Res2Text]]&amp;"[")-1)),res_Name,0),IFERROR(MATCH(TRIM(LEFT(Tasks[[#This Row],[_Res2Text]],FIND("[",Tasks[[#This Row],[_Res2Text]]&amp;"[")-1)),res_Initials,0),0)))</f>
        <v>0</v>
      </c>
      <c r="DQ53" s="43" t="n">
        <f aca="false">IF(Tasks[[#This Row],[_Res3Text]]="",0,IFERROR(MATCH(TRIM(LEFT(Tasks[[#This Row],[_Res3Text]],FIND("[",Tasks[[#This Row],[_Res3Text]]&amp;"[")-1)),res_Name,0),IFERROR(MATCH(TRIM(LEFT(Tasks[[#This Row],[_Res3Text]],FIND("[",Tasks[[#This Row],[_Res3Text]]&amp;"[")-1)),res_Initials,0),0)))</f>
        <v>0</v>
      </c>
      <c r="DR53" s="43" t="n">
        <f aca="false">IF(Tasks[[#This Row],[_Res4Text]]="",0,IFERROR(MATCH(TRIM(LEFT(Tasks[[#This Row],[_Res4Text]],FIND("[",Tasks[[#This Row],[_Res4Text]]&amp;"[")-1)),res_Name,0),IFERROR(MATCH(TRIM(LEFT(Tasks[[#This Row],[_Res4Text]],FIND("[",Tasks[[#This Row],[_Res4Text]]&amp;"[")-1)),res_Initials,0),0)))</f>
        <v>0</v>
      </c>
      <c r="DS53" s="43" t="str">
        <f aca="false">IF(Tasks[[#This Row],[_Res1Text]]="","",IF(Tasks[[#This Row],[_Res1Row]]&gt;0,INDEX(res_Name,Tasks[[#This Row],[_Res1Row]]),TRIM(LEFT(Tasks[[#This Row],[_Res1Text]],FIND("[",Tasks[[#This Row],[_Res1Text]]&amp;"[")-1))))</f>
        <v/>
      </c>
      <c r="DT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3" s="43" t="n">
        <f aca="false">IF(NOT(Tasks[[#This Row],[_IsLeaf]]=1),0,(Tasks[[#This Row],[_Resource1]]&lt;&gt;"")+(Tasks[[#This Row],[_Res2]]&lt;&gt;"")+(Tasks[[#This Row],[_Res3]]&lt;&gt;"")+(Tasks[[#This Row],[_Res4]]&lt;&gt;""))</f>
        <v>0</v>
      </c>
      <c r="DV53" s="43" t="str">
        <f aca="false">IF(Tasks[[#This Row],[_Res2Text]]="","",IF(Tasks[[#This Row],[_Res2Row]]&gt;0,INDEX(res_Name,Tasks[[#This Row],[_Res2Row]]),TRIM(LEFT(Tasks[[#This Row],[_Res2Text]],FIND("[",Tasks[[#This Row],[_Res2Text]]&amp;"[")-1))))</f>
        <v/>
      </c>
      <c r="DW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3" s="43" t="n">
        <f aca="false">IF(OR(NOT(Tasks[[#This Row],[_IsLeaf]]=1),Tasks[[#This Row],[_Res2Row]]=0),0,N(Tasks[[#This Row],[_Days]])*HoursPerDay*IF(Tasks[[#This Row],[_Res2Units]]="",DefaultUnits,Tasks[[#This Row],[_Res2Units]]))</f>
        <v>0</v>
      </c>
      <c r="DY53" s="43" t="n">
        <f aca="false">IF(AND(AND(Tasks[[#This Row],[_IsLeaf]]=1,Tasks[[#This Row],[_LeafTotalWork]]&gt;0),Tasks[[#This Row],[_Res2Work]]&gt;0),Tasks[[#This Row],[_Res2Work]]/(Tasks[[#This Row],[_FinishWorkday]]-Tasks[[#This Row],[_StartWorkday]]+1),0)</f>
        <v>0</v>
      </c>
      <c r="DZ53" s="43" t="n">
        <f aca="false">Tasks[[#This Row],[_Res2WorkPerWD]]*MAX(0,Tasks[[#This Row],[_StartWorkday]]-1)</f>
        <v>0</v>
      </c>
      <c r="EA53" s="43" t="n">
        <f aca="false">Tasks[[#This Row],[_Res2Work]]*Tasks[[#This Row],[_LeafProgress]]</f>
        <v>0</v>
      </c>
      <c r="EB53" s="43" t="str">
        <f aca="false">IF(Tasks[[#This Row],[_Res3Text]]="","",IF(Tasks[[#This Row],[_Res3Row]]&gt;0,INDEX(res_Name,Tasks[[#This Row],[_Res3Row]]),TRIM(LEFT(Tasks[[#This Row],[_Res3Text]],FIND("[",Tasks[[#This Row],[_Res3Text]]&amp;"[")-1))))</f>
        <v/>
      </c>
      <c r="EC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3" s="43" t="n">
        <f aca="false">IF(OR(NOT(Tasks[[#This Row],[_IsLeaf]]=1),Tasks[[#This Row],[_Res3Row]]=0),0,N(Tasks[[#This Row],[_Days]])*HoursPerDay*IF(Tasks[[#This Row],[_Res3Units]]="",DefaultUnits,Tasks[[#This Row],[_Res3Units]]))</f>
        <v>0</v>
      </c>
      <c r="EE53" s="43" t="n">
        <f aca="false">IF(AND(AND(Tasks[[#This Row],[_IsLeaf]]=1,Tasks[[#This Row],[_LeafTotalWork]]&gt;0),Tasks[[#This Row],[_Res3Work]]&gt;0),Tasks[[#This Row],[_Res3Work]]/(Tasks[[#This Row],[_FinishWorkday]]-Tasks[[#This Row],[_StartWorkday]]+1),0)</f>
        <v>0</v>
      </c>
      <c r="EF53" s="43" t="n">
        <f aca="false">Tasks[[#This Row],[_Res3WorkPerWD]]*MAX(0,Tasks[[#This Row],[_StartWorkday]]-1)</f>
        <v>0</v>
      </c>
      <c r="EG53" s="43" t="n">
        <f aca="false">Tasks[[#This Row],[_Res3Work]]*Tasks[[#This Row],[_LeafProgress]]</f>
        <v>0</v>
      </c>
      <c r="EH53" s="43" t="str">
        <f aca="false">IF(Tasks[[#This Row],[_Res4Text]]="","",IF(Tasks[[#This Row],[_Res4Row]]&gt;0,INDEX(res_Name,Tasks[[#This Row],[_Res4Row]]),TRIM(LEFT(Tasks[[#This Row],[_Res4Text]],FIND("[",Tasks[[#This Row],[_Res4Text]]&amp;"[")-1))))</f>
        <v/>
      </c>
      <c r="EI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3" s="43" t="n">
        <f aca="false">IF(OR(NOT(Tasks[[#This Row],[_IsLeaf]]=1),Tasks[[#This Row],[_Res4Row]]=0),0,N(Tasks[[#This Row],[_Days]])*HoursPerDay*IF(Tasks[[#This Row],[_Res4Units]]="",DefaultUnits,Tasks[[#This Row],[_Res4Units]]))</f>
        <v>0</v>
      </c>
      <c r="EK53" s="43" t="n">
        <f aca="false">IF(AND(AND(Tasks[[#This Row],[_IsLeaf]]=1,Tasks[[#This Row],[_LeafTotalWork]]&gt;0),Tasks[[#This Row],[_Res4Work]]&gt;0),Tasks[[#This Row],[_Res4Work]]/(Tasks[[#This Row],[_FinishWorkday]]-Tasks[[#This Row],[_StartWorkday]]+1),0)</f>
        <v>0</v>
      </c>
      <c r="EL53" s="43" t="n">
        <f aca="false">Tasks[[#This Row],[_Res4WorkPerWD]]*MAX(0,Tasks[[#This Row],[_StartWorkday]]-1)</f>
        <v>0</v>
      </c>
      <c r="EM53" s="43" t="n">
        <f aca="false">Tasks[[#This Row],[_Res4Work]]*Tasks[[#This Row],[_LeafProgress]]</f>
        <v>0</v>
      </c>
      <c r="EN53" s="43" t="n">
        <f aca="false">IF(ISNUMBER(Tasks[[#This Row],[% Complete]]),Tasks[[#This Row],[% Complete]],IF(Tasks[[#This Row],[Stage]]="",0,IFERROR(INDEX(stg_Pct,MATCH(Tasks[[#This Row],[Stage]],stg_Name,0)),0)))</f>
        <v>0</v>
      </c>
      <c r="EO53" s="43" t="n">
        <f aca="false">IF(NOT(Tasks[[#This Row],[_IsLeaf]]=1),0,IF(N(Tasks[[#This Row],[Actual Finish]])&gt;0,1,MIN(1,Tasks[[#This Row],[_Pct]])))</f>
        <v>0</v>
      </c>
      <c r="EP53" s="43" t="n">
        <f aca="false">IF(OR(NOT(Tasks[[#This Row],[_IsLeaf]]=1),Tasks[[#This Row],[_Res1Row]]=0),0,N(Tasks[[#This Row],[_Days]])*HoursPerDay*IF(Tasks[[#This Row],[_Units1]]="",DefaultUnits,Tasks[[#This Row],[_Units1]]))</f>
        <v>0</v>
      </c>
      <c r="EQ53" s="43" t="n">
        <f aca="false">Tasks[[#This Row],[_LeafWork]]+Tasks[[#This Row],[_Res2Work]]+Tasks[[#This Row],[_Res3Work]]+Tasks[[#This Row],[_Res4Work]]</f>
        <v>0</v>
      </c>
      <c r="ER5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3" s="43" t="n">
        <f aca="false">IF(NOT(Tasks[[#This Row],[_IsLeaf]]=1),0,MAX(_xlfn.MAXIFS(Tasks[_Row],Tasks[_Pred1UID],Tasks[[#This Row],[UID]]),_xlfn.MAXIFS(Tasks[_Row],Tasks[_Pred2UID],Tasks[[#This Row],[UID]]),_xlfn.MAXIFS(Tasks[_Row],Tasks[_Pred3UID],Tasks[[#This Row],[UID]]),_xlfn.MAXIFS(Tasks[_Row],Tasks[_Pred4UID],Tasks[[#This Row],[UID]])))</f>
        <v>0</v>
      </c>
      <c r="FA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3" s="91" t="str">
        <f aca="false">IF(NOT(Tasks[[#This Row],[_IsLeaf]]=1),"",IF(N(Tasks[[#This Row],[_Days]])&lt;=0,Tasks[[#This Row],[_LeafLateFinish]],WORKDAY.INTL(Tasks[[#This Row],[_LeafLateFinish]],-(Tasks[[#This Row],[_Days]]-1),WorkWeek,Holidays)))</f>
        <v/>
      </c>
      <c r="FD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3" s="90" t="b">
        <f aca="false">AND(Tasks[[#This Row],[_IsLeaf]]=1,Tasks[[#This Row],[_LeafProgress]]&lt;1,N(Tasks[[#This Row],[_LeafTotalSlack]])&lt;=CriticalSlackDays)</f>
        <v>0</v>
      </c>
      <c r="FF53" s="43" t="n">
        <f aca="false">IF(AND(Tasks[[#This Row],[_IsLeaf]]=1,Tasks[[#This Row],[_ConstraintCode]]=1,Tasks[[#This Row],[Mode]]&lt;&gt;"Manual",N(Tasks[[#This Row],[Actual Start]])=0),MAX(0,N(Tasks[[#This Row],[Free Slack]])),0)</f>
        <v>0</v>
      </c>
      <c r="FG53" s="91" t="str">
        <f aca="false">IF(NOT(Tasks[[#This Row],[_IsLeaf]]=1),"",IF(Tasks[[#This Row],[_AlapShift]]=0,Tasks[[#This Row],[_LeafCalcStart]],WORKDAY.INTL(Tasks[[#This Row],[_LeafCalcStart]],Tasks[[#This Row],[_AlapShift]],WorkWeek,Holidays)))</f>
        <v/>
      </c>
      <c r="FH53" s="91" t="str">
        <f aca="false">IF(NOT(Tasks[[#This Row],[_IsLeaf]]=1),"",IF(Tasks[[#This Row],[_AlapShift]]=0,Tasks[[#This Row],[_LeafCalcFinish]],WORKDAY.INTL(Tasks[[#This Row],[_LeafCalcFinish]],Tasks[[#This Row],[_AlapShift]],WorkWeek,Holidays)))</f>
        <v/>
      </c>
      <c r="FI53" s="91" t="str">
        <f aca="false">IF(NOT(Tasks[[#This Row],[_IsLeaf]]=1),"",IF(Tasks[[#This Row],[_AlapShift]]=0,Tasks[[#This Row],[_LeafFcstStart]],WORKDAY.INTL(Tasks[[#This Row],[_LeafFcstStart]],Tasks[[#This Row],[_AlapShift]],WorkWeek,Holidays)))</f>
        <v/>
      </c>
      <c r="FJ53" s="91" t="str">
        <f aca="false">IF(NOT(Tasks[[#This Row],[_IsLeaf]]=1),"",IF(Tasks[[#This Row],[_AlapShift]]=0,Tasks[[#This Row],[_LeafFcstFinish]],WORKDAY.INTL(Tasks[[#This Row],[_LeafFcstFinish]],Tasks[[#This Row],[_AlapShift]],WorkWeek,Holidays)))</f>
        <v/>
      </c>
      <c r="FK53" s="91" t="str">
        <f aca="false">IF(Tasks[[#This Row],[Task Name]]="","",IF(Tasks[[#This Row],[_IsSummary]],MIN(INDEX(Tasks[_ShownCalcStart],Tasks[[#This Row],[_Row]]+1):INDEX(Tasks[_ShownCalcStart],Tasks[[#This Row],[_Row]]+Tasks[[#This Row],[_Descendants]])),Tasks[[#This Row],[_ShownCalcStart]]))</f>
        <v/>
      </c>
      <c r="FL53" s="91" t="str">
        <f aca="false">IF(Tasks[[#This Row],[Task Name]]="","",IF(Tasks[[#This Row],[_IsSummary]],MAX(INDEX(Tasks[_ShownCalcFinish],Tasks[[#This Row],[_Row]]+1):INDEX(Tasks[_ShownCalcFinish],Tasks[[#This Row],[_Row]]+Tasks[[#This Row],[_Descendants]])),Tasks[[#This Row],[_ShownCalcFinish]]))</f>
        <v/>
      </c>
      <c r="FM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3" s="43" t="n">
        <f aca="false">IF(AND(Tasks[[#This Row],[_IsLeaf]]=1,Tasks[[#This Row],[_LeafTotalWork]]&gt;0),NETWORKDAYS.INTL(ProjectStart,Tasks[[#This Row],[_ShownFcstStart]],WorkWeek,Holidays),0)</f>
        <v>0</v>
      </c>
      <c r="FZ53" s="43" t="n">
        <f aca="false">IF(AND(Tasks[[#This Row],[_IsLeaf]]=1,Tasks[[#This Row],[_LeafTotalWork]]&gt;0),MAX(Tasks[[#This Row],[_StartWorkday]],NETWORKDAYS.INTL(ProjectStart,Tasks[[#This Row],[_ShownFcstFinish]],WorkWeek,Holidays)),0)</f>
        <v>0</v>
      </c>
      <c r="GA53" s="43" t="n">
        <f aca="false">IF(AND(Tasks[[#This Row],[_IsLeaf]]=1,Tasks[[#This Row],[_LeafTotalWork]]&gt;0),Tasks[[#This Row],[_LeafWork]]/(Tasks[[#This Row],[_FinishWorkday]]-Tasks[[#This Row],[_StartWorkday]]+1),0)</f>
        <v>0</v>
      </c>
      <c r="GB53" s="43" t="n">
        <f aca="false">Tasks[[#This Row],[_WorkPerWorkday]]*(Tasks[[#This Row],[_StartWorkday]]-1)</f>
        <v>-0</v>
      </c>
      <c r="GC53" s="43" t="n">
        <f aca="false">IF(Tasks[[#This Row],[_IsLeaf]]=1,MAX(N(Tasks[[#This Row],[_Days]]),0.1),0)</f>
        <v>0</v>
      </c>
      <c r="GD53" s="43" t="n">
        <f aca="false">Tasks[[#This Row],[_WeightDur]]*Tasks[[#This Row],[_LeafProgress]]</f>
        <v>0</v>
      </c>
      <c r="GE53" s="43" t="n">
        <f aca="false">Tasks[[#This Row],[_WeightDur]]*Tasks[[#This Row],[_PlannedPct]]</f>
        <v>0</v>
      </c>
      <c r="GF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3" s="43" t="str">
        <f aca="false">IF(AND(Tasks[[#This Row],[_IsLeaf]]=1,N(Tasks[[#This Row],[_Days]])=0,Tasks[[#This Row],[_LeafProgress]]&lt;1),Tasks[[#This Row],[_ShownFcstFinish]]+Tasks[[#This Row],[_Row]]/100000,"")</f>
        <v/>
      </c>
      <c r="GH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3" s="43" t="str">
        <f aca="false">IF(Tasks[[#This Row],[Task Name]]="","",LEFT(Tasks[[#This Row],[WBS]],FIND(".",Tasks[[#This Row],[WBS]]&amp;".")-1))</f>
        <v/>
      </c>
      <c r="GJ53" s="43" t="str">
        <f aca="false">IF(AND(Tasks[[#This Row],[Task Name]]&lt;&gt;"",Tasks[[#This Row],[_Level]]=1),Tasks[[#This Row],[_Row]],"")</f>
        <v/>
      </c>
      <c r="GK53" s="43" t="str">
        <f aca="false">IF(AND(Tasks[[#This Row],[_IsLeaf]]=1,N(Tasks[[#This Row],[_Days]])=0),Tasks[[#This Row],[Planned Finish]]+Tasks[[#This Row],[_Row]]/100000,"")</f>
        <v/>
      </c>
      <c r="GL53" s="43" t="str">
        <f aca="false">IF(AND(Tasks[[#This Row],[_IsLeaf]]=1,Tasks[[#This Row],[_LeafProgress]]&lt;1,OR(N(Tasks[[#This Row],[Finish Var]])&gt;0,Tasks[[#This Row],[Status]]="Late Start")),MAX(0,Tasks[[#This Row],[Finish Var]])+1-Tasks[[#This Row],[_Row]]/1000000,"")</f>
        <v/>
      </c>
      <c r="GM53" s="43" t="str">
        <f aca="false">IF(AND(Tasks[[#This Row],[_IsLeaf]]=1,N(Tasks[[#This Row],[Actual Start]])=0,Tasks[[#This Row],[_ShownFcstStart]]&gt;=StatusDate,Tasks[[#This Row],[_ShownFcstStart]]&lt;=LookaheadEnd),Tasks[[#This Row],[_ShownFcstStart]]+Tasks[[#This Row],[_Row]]/100000,"")</f>
        <v/>
      </c>
      <c r="GN53" s="43" t="str">
        <f aca="false">IF(AND(Tasks[[#This Row],[_IsLeaf]]=1,Tasks[[#This Row],[_LeafProgress]]&lt;1,Tasks[[#This Row],[_ShownFcstFinish]]&gt;=StatusDate,Tasks[[#This Row],[_ShownFcstFinish]]&lt;=LookaheadEnd),Tasks[[#This Row],[_ShownFcstFinish]]+Tasks[[#This Row],[_Row]]/100000,"")</f>
        <v/>
      </c>
      <c r="GO53" s="43" t="str">
        <f aca="false">IF(Tasks[[#This Row],[_LeafCritical]],Tasks[[#This Row],[_ShownFcstStart]]+Tasks[[#This Row],[_Row]]/100000,"")</f>
        <v/>
      </c>
      <c r="GP53" s="43" t="n">
        <f aca="false">Tasks[[#This Row],[_LeafWork]]*Tasks[[#This Row],[_LeafProgress]]</f>
        <v>0</v>
      </c>
      <c r="GQ53" s="91" t="str">
        <f aca="false">IF(AND(Tasks[[#This Row],[_IsLeaf]]=1,Tasks[[#This Row],[_LeafProgress]]&gt;=1),IF(N(Tasks[[#This Row],[Actual Finish]])&gt;0,Tasks[[#This Row],[Actual Finish]],Tasks[[#This Row],[_ShownFcstFinish]]),"")</f>
        <v/>
      </c>
      <c r="GR53" s="43" t="n">
        <f aca="false">IF(Tasks[[#This Row],[_IsLeaf]]=1,N(Tasks[[#This Row],[Story Points]]),0)</f>
        <v>0</v>
      </c>
      <c r="GS53" s="43" t="str">
        <f aca="false">""</f>
        <v/>
      </c>
      <c r="GT53" s="90" t="b">
        <f aca="false">IF(Tasks[[#This Row],[Task Name]]="",FALSE(),AND(Tasks[[#This Row],[_IsLeaf]]=1,N(Tasks[[#This Row],[_Days]])=0))</f>
        <v>0</v>
      </c>
      <c r="GU53" s="91" t="n">
        <f aca="false">IF(Tasks[[#This Row],[Task Name]]="",0,IF(AND(Tasks[[#This Row],[_IsLeaf]]=1,NOT(Tasks[[#This Row],[_IsMilestone]]),N(Tasks[[#This Row],[Progress]])&gt;0),Tasks[[#This Row],[Start]],0))</f>
        <v>0</v>
      </c>
      <c r="GV53" s="91" t="n">
        <f aca="false">IF(Tasks[[#This Row],[_DoneFrom]]=0,0,IF(Tasks[[#This Row],[Progress]]&gt;=1,Tasks[[#This Row],[Finish]],MAX(Tasks[[#This Row],[_DoneFrom]],Tasks[[#This Row],[Start]]+ROUND((Tasks[[#This Row],[Finish]]-Tasks[[#This Row],[Start]]+1)*Tasks[[#This Row],[Progress]],0)-1)))</f>
        <v>0</v>
      </c>
      <c r="GW53" s="91" t="n">
        <f aca="false">IF(Tasks[[#This Row],[Task Name]]="",0,IF(OR(NOT(Tasks[[#This Row],[_IsLeaf]]=1),Tasks[[#This Row],[_IsMilestone]],N(Tasks[[#This Row],[Progress]])&gt;=1),0,IF(Tasks[[#This Row],[_DoneTo]]&gt;0,Tasks[[#This Row],[_DoneTo]]+1,Tasks[[#This Row],[Start]])))</f>
        <v>0</v>
      </c>
      <c r="GX53" s="91" t="n">
        <f aca="false">IF(Tasks[[#This Row],[_RemFrom]]=0,0,Tasks[[#This Row],[Finish]])</f>
        <v>0</v>
      </c>
      <c r="GY53" s="90" t="b">
        <f aca="false">IF(Tasks[[#This Row],[Task Name]]="",FALSE(),OR(NOT(BaselineSet),N(Tasks[[#This Row],[Baseline Start]])&gt;0))</f>
        <v>0</v>
      </c>
      <c r="GZ5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3" s="92" t="str">
        <f aca="false">IF(Tasks[[#This Row],[_IsLeaf]]=1,Tasks[[#This Row],[_Row]],"")</f>
        <v/>
      </c>
      <c r="HD53" s="92" t="str">
        <f aca="false">IFERROR(INDEX(Tasks[UID],SMALL(Tasks[_PickKey],Tasks[[#This Row],[_Row]]))&amp;" "&amp;INDEX(Tasks[Task Name],SMALL(Tasks[_PickKey],Tasks[[#This Row],[_Row]])),"")</f>
        <v/>
      </c>
      <c r="HE53" s="43" t="str">
        <f aca="false">IF(Tasks[[#This Row],[Task Name]]="","",IF(Tasks[[#This Row],[_IsSummary]],NETWORKDAYS.INTL(Tasks[[#This Row],[Start]],Tasks[[#This Row],[Finish]],WorkWeek,Holidays),N(Tasks[[#This Row],[_Days]])))</f>
        <v/>
      </c>
      <c r="HF53" s="43" t="n">
        <f aca="false">IF(Tasks[[#This Row],[Expected]]="",0,((Tasks[[#This Row],[Pessimistic]]-Tasks[[#This Row],[Optimistic]])/6)^2)</f>
        <v>0</v>
      </c>
      <c r="HG53" s="43" t="n">
        <f aca="false">IF(Tasks[[#This Row],[Expected]]="",0,Tasks[[#This Row],[Expected]]-N(Tasks[[#This Row],[_Days]]))</f>
        <v>0</v>
      </c>
    </row>
    <row r="54" customFormat="false" ht="15" hidden="false" customHeight="false" outlineLevel="0" collapsed="false">
      <c r="A54" s="21" t="str">
        <f aca="false">IF(Tasks[[#This Row],[Task Name]]="","",COUNTA(Tasks[[#Headers],[Task Name]]:Tasks[[#This Row],[Task Name]])-1)</f>
        <v/>
      </c>
      <c r="B54" s="22" t="n">
        <v>62</v>
      </c>
      <c r="C54" s="22"/>
      <c r="D54" s="23"/>
      <c r="E54" s="22"/>
      <c r="F54" s="23"/>
      <c r="G54" s="22"/>
      <c r="H54" s="22"/>
      <c r="I54" s="23"/>
      <c r="J54" s="22"/>
      <c r="K54" s="22"/>
      <c r="L54" s="23"/>
      <c r="M54" s="22"/>
      <c r="N54" s="22"/>
      <c r="O54" s="23"/>
      <c r="P54" s="22"/>
      <c r="Q54" s="22"/>
      <c r="R54" s="23"/>
      <c r="S54" s="23"/>
      <c r="T54" s="84"/>
      <c r="U54" s="23"/>
      <c r="V54" s="84"/>
      <c r="W54" s="23"/>
      <c r="X54" s="84"/>
      <c r="Y54" s="23"/>
      <c r="Z54" s="84"/>
      <c r="AA54" s="23"/>
      <c r="AB54" s="23"/>
      <c r="AC54" s="7"/>
      <c r="AD54" s="7"/>
      <c r="AE54" s="63" t="str">
        <f aca="false">IF(Tasks[[#This Row],[Task Name]]="","",IF(Tasks[[#This Row],[_IsSummary]],MIN(INDEX(Tasks[_ShownFcstStart],Tasks[[#This Row],[_Row]]+1):INDEX(Tasks[_ShownFcstStart],Tasks[[#This Row],[_Row]]+Tasks[[#This Row],[_Descendants]])),Tasks[[#This Row],[_ShownFcstStart]]))</f>
        <v/>
      </c>
      <c r="AF54" s="63" t="str">
        <f aca="false">IF(Tasks[[#This Row],[Task Name]]="","",IF(Tasks[[#This Row],[_IsSummary]],MAX(INDEX(Tasks[_ShownFcstFinish],Tasks[[#This Row],[_Row]]+1):INDEX(Tasks[_ShownFcstFinish],Tasks[[#This Row],[_Row]]+Tasks[[#This Row],[_Descendants]])),Tasks[[#This Row],[_ShownFcstFinish]]))</f>
        <v/>
      </c>
      <c r="AG54" s="21" t="str">
        <f aca="false">""</f>
        <v/>
      </c>
      <c r="AH54" s="23"/>
      <c r="AI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4" s="7"/>
      <c r="AK54" s="22"/>
      <c r="AL54" s="23"/>
      <c r="AM54" s="7"/>
      <c r="AN54" s="47" t="str">
        <f aca="false">IF(Tasks[[#This Row],[Task Name]]="","",IF(Tasks[[#This Row],[Finish]]&gt;=Tasks[[#This Row],[Planned Finish]],NETWORKDAYS.INTL(Tasks[[#This Row],[Planned Finish]],Tasks[[#This Row],[Finish]],WorkWeek,Holidays)-1,1-NETWORKDAYS.INTL(Tasks[[#This Row],[Finish]],Tasks[[#This Row],[Planned Finish]],WorkWeek,Holidays)))</f>
        <v/>
      </c>
      <c r="AO54" s="21" t="str">
        <f aca="false">IF(Tasks[[#This Row],[Task Name]]="","",IF(Tasks[[#This Row],[Progress]]&gt;=1,"Complete",IF(OR(N(Tasks[[#This Row],[Actual Start]])&gt;0,Tasks[[#This Row],[Progress]]&gt;0),IF(Tasks[[#This Row],[Finish Var]]&gt;0,"Behind","In Progress"),IF(Tasks[[#This Row],[Planned Start]]&lt;StatusDate,"Late Start","Not Started"))))</f>
        <v/>
      </c>
      <c r="AP54" s="21" t="str">
        <f aca="false">IF(Tasks[[#This Row],[Task Name]]="","",IF(IF(Tasks[[#This Row],[_IsSummary]],COUNTIF(INDEX(Tasks[_LeafCritical],Tasks[[#This Row],[_Row]]+1):INDEX(Tasks[_LeafCritical],Tasks[[#This Row],[_Row]]+Tasks[[#This Row],[_Descendants]]),TRUE())&gt;0,Tasks[[#This Row],[_LeafCritical]]),"Yes",""))</f>
        <v/>
      </c>
      <c r="AQ54" s="63" t="str">
        <f aca="false">IF(Tasks[[#This Row],[Task Name]]="","",IF(N(Tasks[[#This Row],[Baseline Start]])&gt;0,Tasks[[#This Row],[Baseline Start]],Tasks[[#This Row],[_CalcStart]]))</f>
        <v/>
      </c>
      <c r="AR54" s="63" t="str">
        <f aca="false">IF(Tasks[[#This Row],[Task Name]]="","",IF(N(Tasks[[#This Row],[Baseline Finish]])&gt;0,Tasks[[#This Row],[Baseline Finish]],Tasks[[#This Row],[_CalcFinish]]))</f>
        <v/>
      </c>
      <c r="AS54" s="47" t="str">
        <f aca="false">IF(Tasks[[#This Row],[Task Name]]="","",IF(Tasks[[#This Row],[Start]]&gt;=Tasks[[#This Row],[Planned Start]],NETWORKDAYS.INTL(Tasks[[#This Row],[Planned Start]],Tasks[[#This Row],[Start]],WorkWeek,Holidays)-1,1-NETWORKDAYS.INTL(Tasks[[#This Row],[Start]],Tasks[[#This Row],[Planned Start]],WorkWeek,Holidays)))</f>
        <v/>
      </c>
      <c r="AT54" s="63" t="str">
        <f aca="false">IF(Tasks[[#This Row],[Task Name]]="","",IF(Tasks[[#This Row],[_IsSummary]],MIN(INDEX(Tasks[_LeafLateStart],Tasks[[#This Row],[_Row]]+1):INDEX(Tasks[_LeafLateStart],Tasks[[#This Row],[_Row]]+Tasks[[#This Row],[_Descendants]])),Tasks[[#This Row],[_LeafLateStart]]))</f>
        <v/>
      </c>
      <c r="AU54" s="63" t="str">
        <f aca="false">IF(Tasks[[#This Row],[Task Name]]="","",IF(Tasks[[#This Row],[_IsSummary]],MAX(INDEX(Tasks[_LeafLateFinish],Tasks[[#This Row],[_Row]]+1):INDEX(Tasks[_LeafLateFinish],Tasks[[#This Row],[_Row]]+Tasks[[#This Row],[_Descendants]])),Tasks[[#This Row],[_LeafLateFinish]]))</f>
        <v/>
      </c>
      <c r="AV54" s="47" t="str">
        <f aca="false">IF(Tasks[[#This Row],[Task Name]]="","",IF(Tasks[[#This Row],[_IsSummary]],MIN(INDEX(Tasks[_LeafTotalSlack],Tasks[[#This Row],[_Row]]+1):INDEX(Tasks[_LeafTotalSlack],Tasks[[#This Row],[_Row]]+Tasks[[#This Row],[_Descendants]])),Tasks[[#This Row],[_LeafTotalSlack]]))</f>
        <v/>
      </c>
      <c r="AW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5"/>
      <c r="BA5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t="str">
        <f aca="false">IF(Tasks[[#This Row],[Task Name]]="","",IF(Tasks[[#This Row],[_Level]]&lt;=OutlineShowLevel,"Yes","No"))</f>
        <v/>
      </c>
      <c r="BE54" s="86" t="str">
        <f aca="false">IF(Tasks[[#This Row],[Task Name]]="","",IF(Tasks[[#This Row],[_IsSummary]],SUM(INDEX(Tasks[_LeafTotalWork],Tasks[[#This Row],[_Row]]+1):INDEX(Tasks[_LeafTotalWork],Tasks[[#This Row],[_Row]]+Tasks[[#This Row],[_Descendants]])),Tasks[[#This Row],[_LeafTotalWork]]))</f>
        <v/>
      </c>
      <c r="BF54" s="23"/>
      <c r="BG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t="str">
        <f aca="false">""</f>
        <v/>
      </c>
      <c r="BI54" s="87"/>
      <c r="BJ54" s="22"/>
      <c r="BK54" s="47" t="str">
        <f aca="false">IF(OR(Tasks[[#This Row],[Task Name]]="",Tasks[[#This Row],[Baseline Duration]]=""),"",Tasks[[#This Row],[_SpanDays]]-N(Tasks[[#This Row],[Baseline Duration]]))</f>
        <v/>
      </c>
      <c r="BL54" s="86" t="str">
        <f aca="false">IF(OR(Tasks[[#This Row],[Task Name]]="",Tasks[[#This Row],[Baseline Work]]=""),"",Tasks[[#This Row],[Work]]-N(Tasks[[#This Row],[Baseline Work]]))</f>
        <v/>
      </c>
      <c r="BM54" s="63" t="str">
        <f aca="false">IF(Tasks[[#This Row],[Task Name]]="","",IF(OR(TakeBaseline="Yes",N(Tasks[[#This Row],[Baseline Start]])=0),Tasks[[#This Row],[Start]],Tasks[[#This Row],[Baseline Start]]))</f>
        <v/>
      </c>
      <c r="BN54" s="63" t="str">
        <f aca="false">IF(Tasks[[#This Row],[Task Name]]="","",IF(OR(TakeBaseline="Yes",N(Tasks[[#This Row],[Baseline Finish]])=0),Tasks[[#This Row],[Finish]],Tasks[[#This Row],[Baseline Finish]]))</f>
        <v/>
      </c>
      <c r="BO54" s="21" t="str">
        <f aca="false">IF(Tasks[[#This Row],[Task Name]]="","",IF(OR(TakeBaseline="Yes",N(Tasks[[#This Row],[Baseline Duration]])=0),Tasks[[#This Row],[_SpanDays]],Tasks[[#This Row],[Baseline Duration]]))</f>
        <v/>
      </c>
      <c r="BP54" s="86" t="str">
        <f aca="false">IF(Tasks[[#This Row],[Task Name]]="","",IF(OR(TakeBaseline="Yes",N(Tasks[[#This Row],[Baseline Work]])=0),Tasks[[#This Row],[Work]],Tasks[[#This Row],[Baseline Work]]))</f>
        <v/>
      </c>
      <c r="BQ54" s="7"/>
      <c r="BR54" s="7"/>
      <c r="BS54" s="22"/>
      <c r="BT54" s="88"/>
      <c r="BU54" s="23"/>
      <c r="BV54" s="23"/>
      <c r="BW54" s="23"/>
      <c r="BX54" s="89" t="str">
        <f aca="false">IF(AND(Tasks[[#This Row],[_IsLeaf]]=1,ISNUMBER(Tasks[[#This Row],[Optimistic]]),ISNUMBER(Tasks[[#This Row],[Pessimistic]])),ROUND((Tasks[[#This Row],[Optimistic]]+4*N(Tasks[[#This Row],[_Days]])+Tasks[[#This Row],[Pessimistic]])/6,1),"")</f>
        <v/>
      </c>
      <c r="BY54" s="87"/>
      <c r="BZ54" s="87"/>
      <c r="CA54" s="22"/>
      <c r="CB54" s="43" t="str">
        <f aca="false">IF(Tasks[[#This Row],[Task Name]]="","",MAX(1,N(Tasks[[#This Row],[Level]])))</f>
        <v/>
      </c>
      <c r="CC54" s="43" t="n">
        <f aca="false">ROW()-ROW(Tasks[[#Headers],[ID]])</f>
        <v>49</v>
      </c>
      <c r="CD54" s="43" t="n">
        <f aca="false">IF(OR(Tasks[[#This Row],[Task Name]]="",Tasks[[#This Row],[_Level]]&lt;=1),0,IFERROR(LOOKUP(2,1/(Tasks[[#Headers],[_Level]]:Tasks[[#This Row],[_Level]]=Tasks[[#This Row],[_Level]]-1),ROW(Tasks[[#Headers],[_Level]]:Tasks[[#This Row],[_Level]])),0))</f>
        <v>0</v>
      </c>
      <c r="CE54" s="43" t="n">
        <f aca="false">IFERROR(N(INDEX(Tasks[_Level],Tasks[[#This Row],[_Row]]+1)),0)</f>
        <v>0</v>
      </c>
      <c r="CF54" s="90" t="b">
        <f aca="false">AND(Tasks[[#This Row],[Task Name]]&lt;&gt;"",Tasks[[#This Row],[_NextLevel]]&gt;Tasks[[#This Row],[_Level]])</f>
        <v>0</v>
      </c>
      <c r="CG54" s="43" t="n">
        <f aca="false">IF(Tasks[[#This Row],[_IsSummary]],COUNTIF(Tasks[WBS],Tasks[[#This Row],[WBS]]&amp;".*"),0)</f>
        <v>0</v>
      </c>
      <c r="CH54" s="43" t="n">
        <f aca="false">IF(AND(Tasks[[#This Row],[Task Name]]&lt;&gt;"",NOT(Tasks[[#This Row],[_IsSummary]])),1,0)</f>
        <v>0</v>
      </c>
      <c r="CI54" s="43" t="n">
        <f aca="false">IF(N(Tasks[[#This Row],[_Pred1UID]])=0,0,IFERROR(MATCH(Tasks[[#This Row],[_Pred1UID]],Tasks[UID],0),-1))</f>
        <v>0</v>
      </c>
      <c r="CJ54" s="43" t="n">
        <f aca="false">IF(N(Tasks[[#This Row],[_Pred2UID]])=0,0,IFERROR(MATCH(Tasks[[#This Row],[_Pred2UID]],Tasks[UID],0),-1))</f>
        <v>0</v>
      </c>
      <c r="CK54" s="43" t="n">
        <f aca="false">IF(N(Tasks[[#This Row],[_Pred3UID]])=0,0,IFERROR(MATCH(Tasks[[#This Row],[_Pred3UID]],Tasks[UID],0),-1))</f>
        <v>0</v>
      </c>
      <c r="CL54" s="43" t="n">
        <f aca="false">IF(N(Tasks[[#This Row],[_Pred4UID]])=0,0,IFERROR(MATCH(Tasks[[#This Row],[_Pred4UID]],Tasks[UID],0),-1))</f>
        <v>0</v>
      </c>
      <c r="CM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4" s="91" t="n">
        <f aca="false">IF(OR(Tasks[[#This Row],[_ConstraintCode]]=2,Tasks[[#This Row],[_ConstraintCode]]=3,Tasks[[#This Row],[_ConstraintCode]]=4,Tasks[[#This Row],[_ConstraintCode]]=6),Tasks[[#This Row],[_ConstraintStart]],0)</f>
        <v>0</v>
      </c>
      <c r="CP54" s="91" t="n">
        <f aca="false">IF(OR(Tasks[[#This Row],[_ConstraintCode]]=2,Tasks[[#This Row],[_ConstraintCode]]=3,Tasks[[#This Row],[_ConstraintCode]]=5,Tasks[[#This Row],[_ConstraintCode]]=7),Tasks[[#This Row],[_ConstraintStart]],2958465)</f>
        <v>2958465</v>
      </c>
      <c r="CQ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4" s="91" t="str">
        <f aca="false">IF(NOT(Tasks[[#This Row],[_IsLeaf]]=1),"",IF(N(Tasks[[#This Row],[_Days]])&lt;=0,Tasks[[#This Row],[_LeafCalcStart]],WORKDAY.INTL(Tasks[[#This Row],[_LeafCalcStart]],Tasks[[#This Row],[_Days]]-1,WorkWeek,Holidays)))</f>
        <v/>
      </c>
      <c r="CS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4" s="43" t="str">
        <f aca="false">IF(Tasks[[#This Row],[_Predecessors]]="","",TRIM(MID(SUBSTITUTE(SUBSTITUTE(SUBSTITUTE(UPPER(Tasks[[#This Row],[_Predecessors]]),";",",")," ",""),",",REPT(" ",99)),1,99)))</f>
        <v/>
      </c>
      <c r="CV54" s="43" t="str">
        <f aca="false">IF(Tasks[[#This Row],[_Pred1Text]]="","",IFERROR(VALUE(LEFT(Tasks[[#This Row],[_Pred1Text]],MIN(FIND("F",Tasks[[#This Row],[_Pred1Text]]&amp;"F"),FIND("S",Tasks[[#This Row],[_Pred1Text]]&amp;"S"),FIND("+",Tasks[[#This Row],[_Pred1Text]]&amp;"+"),FIND("-",Tasks[[#This Row],[_Pred1Text]]&amp;"-"))-1)),""))</f>
        <v/>
      </c>
      <c r="CW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4" s="43" t="str">
        <f aca="false">IF(Tasks[[#This Row],[_Pred1Text]]="","",TRIM(MID(SUBSTITUTE(SUBSTITUTE(SUBSTITUTE(UPPER(Tasks[[#This Row],[_Predecessors]]),";",",")," ",""),",",REPT(" ",99)),100,99)))</f>
        <v/>
      </c>
      <c r="CZ54" s="43" t="str">
        <f aca="false">IF(Tasks[[#This Row],[_Pred2Text]]="","",IFERROR(VALUE(LEFT(Tasks[[#This Row],[_Pred2Text]],MIN(FIND("F",Tasks[[#This Row],[_Pred2Text]]&amp;"F"),FIND("S",Tasks[[#This Row],[_Pred2Text]]&amp;"S"),FIND("+",Tasks[[#This Row],[_Pred2Text]]&amp;"+"),FIND("-",Tasks[[#This Row],[_Pred2Text]]&amp;"-"))-1)),""))</f>
        <v/>
      </c>
      <c r="DA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4" s="43" t="str">
        <f aca="false">IF(Tasks[[#This Row],[_Pred2Text]]="","",TRIM(MID(SUBSTITUTE(SUBSTITUTE(SUBSTITUTE(UPPER(Tasks[[#This Row],[_Predecessors]]),";",",")," ",""),",",REPT(" ",99)),199,99)))</f>
        <v/>
      </c>
      <c r="DD54" s="43" t="str">
        <f aca="false">IF(Tasks[[#This Row],[_Pred3Text]]="","",IFERROR(VALUE(LEFT(Tasks[[#This Row],[_Pred3Text]],MIN(FIND("F",Tasks[[#This Row],[_Pred3Text]]&amp;"F"),FIND("S",Tasks[[#This Row],[_Pred3Text]]&amp;"S"),FIND("+",Tasks[[#This Row],[_Pred3Text]]&amp;"+"),FIND("-",Tasks[[#This Row],[_Pred3Text]]&amp;"-"))-1)),""))</f>
        <v/>
      </c>
      <c r="DE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4" s="43" t="str">
        <f aca="false">IF(Tasks[[#This Row],[_Pred3Text]]="","",TRIM(MID(SUBSTITUTE(SUBSTITUTE(SUBSTITUTE(UPPER(Tasks[[#This Row],[_Predecessors]]),";",",")," ",""),",",REPT(" ",99)),298,99)))</f>
        <v/>
      </c>
      <c r="DH54" s="43" t="str">
        <f aca="false">IF(Tasks[[#This Row],[_Pred4Text]]="","",IFERROR(VALUE(LEFT(Tasks[[#This Row],[_Pred4Text]],MIN(FIND("F",Tasks[[#This Row],[_Pred4Text]]&amp;"F"),FIND("S",Tasks[[#This Row],[_Pred4Text]]&amp;"S"),FIND("+",Tasks[[#This Row],[_Pred4Text]]&amp;"+"),FIND("-",Tasks[[#This Row],[_Pred4Text]]&amp;"-"))-1)),""))</f>
        <v/>
      </c>
      <c r="DI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4" s="43" t="str">
        <f aca="false">IF(OR(Tasks[[#This Row],[Task Name]]="",Tasks[[#This Row],[_Resources]]=""),"",TRIM(MID(SUBSTITUTE(Tasks[[#This Row],[_Resources]],",",REPT(" ",99)),1,99)))</f>
        <v/>
      </c>
      <c r="DL54" s="43" t="str">
        <f aca="false">IF(Tasks[[#This Row],[_Res1Text]]="","",TRIM(MID(SUBSTITUTE(Tasks[[#This Row],[_Resources]],",",REPT(" ",99)),100,99)))</f>
        <v/>
      </c>
      <c r="DM54" s="43" t="str">
        <f aca="false">IF(Tasks[[#This Row],[_Res2Text]]="","",TRIM(MID(SUBSTITUTE(Tasks[[#This Row],[_Resources]],",",REPT(" ",99)),199,99)))</f>
        <v/>
      </c>
      <c r="DN54" s="43" t="str">
        <f aca="false">IF(Tasks[[#This Row],[_Res3Text]]="","",TRIM(MID(SUBSTITUTE(Tasks[[#This Row],[_Resources]],",",REPT(" ",99)),298,99)))</f>
        <v/>
      </c>
      <c r="DO54" s="43" t="n">
        <f aca="false">IF(Tasks[[#This Row],[_Res1Text]]="",0,IFERROR(MATCH(TRIM(LEFT(Tasks[[#This Row],[_Res1Text]],FIND("[",Tasks[[#This Row],[_Res1Text]]&amp;"[")-1)),res_Name,0),IFERROR(MATCH(TRIM(LEFT(Tasks[[#This Row],[_Res1Text]],FIND("[",Tasks[[#This Row],[_Res1Text]]&amp;"[")-1)),res_Initials,0),0)))</f>
        <v>0</v>
      </c>
      <c r="DP54" s="43" t="n">
        <f aca="false">IF(Tasks[[#This Row],[_Res2Text]]="",0,IFERROR(MATCH(TRIM(LEFT(Tasks[[#This Row],[_Res2Text]],FIND("[",Tasks[[#This Row],[_Res2Text]]&amp;"[")-1)),res_Name,0),IFERROR(MATCH(TRIM(LEFT(Tasks[[#This Row],[_Res2Text]],FIND("[",Tasks[[#This Row],[_Res2Text]]&amp;"[")-1)),res_Initials,0),0)))</f>
        <v>0</v>
      </c>
      <c r="DQ54" s="43" t="n">
        <f aca="false">IF(Tasks[[#This Row],[_Res3Text]]="",0,IFERROR(MATCH(TRIM(LEFT(Tasks[[#This Row],[_Res3Text]],FIND("[",Tasks[[#This Row],[_Res3Text]]&amp;"[")-1)),res_Name,0),IFERROR(MATCH(TRIM(LEFT(Tasks[[#This Row],[_Res3Text]],FIND("[",Tasks[[#This Row],[_Res3Text]]&amp;"[")-1)),res_Initials,0),0)))</f>
        <v>0</v>
      </c>
      <c r="DR54" s="43" t="n">
        <f aca="false">IF(Tasks[[#This Row],[_Res4Text]]="",0,IFERROR(MATCH(TRIM(LEFT(Tasks[[#This Row],[_Res4Text]],FIND("[",Tasks[[#This Row],[_Res4Text]]&amp;"[")-1)),res_Name,0),IFERROR(MATCH(TRIM(LEFT(Tasks[[#This Row],[_Res4Text]],FIND("[",Tasks[[#This Row],[_Res4Text]]&amp;"[")-1)),res_Initials,0),0)))</f>
        <v>0</v>
      </c>
      <c r="DS54" s="43" t="str">
        <f aca="false">IF(Tasks[[#This Row],[_Res1Text]]="","",IF(Tasks[[#This Row],[_Res1Row]]&gt;0,INDEX(res_Name,Tasks[[#This Row],[_Res1Row]]),TRIM(LEFT(Tasks[[#This Row],[_Res1Text]],FIND("[",Tasks[[#This Row],[_Res1Text]]&amp;"[")-1))))</f>
        <v/>
      </c>
      <c r="DT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4" s="43" t="n">
        <f aca="false">IF(NOT(Tasks[[#This Row],[_IsLeaf]]=1),0,(Tasks[[#This Row],[_Resource1]]&lt;&gt;"")+(Tasks[[#This Row],[_Res2]]&lt;&gt;"")+(Tasks[[#This Row],[_Res3]]&lt;&gt;"")+(Tasks[[#This Row],[_Res4]]&lt;&gt;""))</f>
        <v>0</v>
      </c>
      <c r="DV54" s="43" t="str">
        <f aca="false">IF(Tasks[[#This Row],[_Res2Text]]="","",IF(Tasks[[#This Row],[_Res2Row]]&gt;0,INDEX(res_Name,Tasks[[#This Row],[_Res2Row]]),TRIM(LEFT(Tasks[[#This Row],[_Res2Text]],FIND("[",Tasks[[#This Row],[_Res2Text]]&amp;"[")-1))))</f>
        <v/>
      </c>
      <c r="DW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4" s="43" t="n">
        <f aca="false">IF(OR(NOT(Tasks[[#This Row],[_IsLeaf]]=1),Tasks[[#This Row],[_Res2Row]]=0),0,N(Tasks[[#This Row],[_Days]])*HoursPerDay*IF(Tasks[[#This Row],[_Res2Units]]="",DefaultUnits,Tasks[[#This Row],[_Res2Units]]))</f>
        <v>0</v>
      </c>
      <c r="DY54" s="43" t="n">
        <f aca="false">IF(AND(AND(Tasks[[#This Row],[_IsLeaf]]=1,Tasks[[#This Row],[_LeafTotalWork]]&gt;0),Tasks[[#This Row],[_Res2Work]]&gt;0),Tasks[[#This Row],[_Res2Work]]/(Tasks[[#This Row],[_FinishWorkday]]-Tasks[[#This Row],[_StartWorkday]]+1),0)</f>
        <v>0</v>
      </c>
      <c r="DZ54" s="43" t="n">
        <f aca="false">Tasks[[#This Row],[_Res2WorkPerWD]]*MAX(0,Tasks[[#This Row],[_StartWorkday]]-1)</f>
        <v>0</v>
      </c>
      <c r="EA54" s="43" t="n">
        <f aca="false">Tasks[[#This Row],[_Res2Work]]*Tasks[[#This Row],[_LeafProgress]]</f>
        <v>0</v>
      </c>
      <c r="EB54" s="43" t="str">
        <f aca="false">IF(Tasks[[#This Row],[_Res3Text]]="","",IF(Tasks[[#This Row],[_Res3Row]]&gt;0,INDEX(res_Name,Tasks[[#This Row],[_Res3Row]]),TRIM(LEFT(Tasks[[#This Row],[_Res3Text]],FIND("[",Tasks[[#This Row],[_Res3Text]]&amp;"[")-1))))</f>
        <v/>
      </c>
      <c r="EC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4" s="43" t="n">
        <f aca="false">IF(OR(NOT(Tasks[[#This Row],[_IsLeaf]]=1),Tasks[[#This Row],[_Res3Row]]=0),0,N(Tasks[[#This Row],[_Days]])*HoursPerDay*IF(Tasks[[#This Row],[_Res3Units]]="",DefaultUnits,Tasks[[#This Row],[_Res3Units]]))</f>
        <v>0</v>
      </c>
      <c r="EE54" s="43" t="n">
        <f aca="false">IF(AND(AND(Tasks[[#This Row],[_IsLeaf]]=1,Tasks[[#This Row],[_LeafTotalWork]]&gt;0),Tasks[[#This Row],[_Res3Work]]&gt;0),Tasks[[#This Row],[_Res3Work]]/(Tasks[[#This Row],[_FinishWorkday]]-Tasks[[#This Row],[_StartWorkday]]+1),0)</f>
        <v>0</v>
      </c>
      <c r="EF54" s="43" t="n">
        <f aca="false">Tasks[[#This Row],[_Res3WorkPerWD]]*MAX(0,Tasks[[#This Row],[_StartWorkday]]-1)</f>
        <v>0</v>
      </c>
      <c r="EG54" s="43" t="n">
        <f aca="false">Tasks[[#This Row],[_Res3Work]]*Tasks[[#This Row],[_LeafProgress]]</f>
        <v>0</v>
      </c>
      <c r="EH54" s="43" t="str">
        <f aca="false">IF(Tasks[[#This Row],[_Res4Text]]="","",IF(Tasks[[#This Row],[_Res4Row]]&gt;0,INDEX(res_Name,Tasks[[#This Row],[_Res4Row]]),TRIM(LEFT(Tasks[[#This Row],[_Res4Text]],FIND("[",Tasks[[#This Row],[_Res4Text]]&amp;"[")-1))))</f>
        <v/>
      </c>
      <c r="EI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4" s="43" t="n">
        <f aca="false">IF(OR(NOT(Tasks[[#This Row],[_IsLeaf]]=1),Tasks[[#This Row],[_Res4Row]]=0),0,N(Tasks[[#This Row],[_Days]])*HoursPerDay*IF(Tasks[[#This Row],[_Res4Units]]="",DefaultUnits,Tasks[[#This Row],[_Res4Units]]))</f>
        <v>0</v>
      </c>
      <c r="EK54" s="43" t="n">
        <f aca="false">IF(AND(AND(Tasks[[#This Row],[_IsLeaf]]=1,Tasks[[#This Row],[_LeafTotalWork]]&gt;0),Tasks[[#This Row],[_Res4Work]]&gt;0),Tasks[[#This Row],[_Res4Work]]/(Tasks[[#This Row],[_FinishWorkday]]-Tasks[[#This Row],[_StartWorkday]]+1),0)</f>
        <v>0</v>
      </c>
      <c r="EL54" s="43" t="n">
        <f aca="false">Tasks[[#This Row],[_Res4WorkPerWD]]*MAX(0,Tasks[[#This Row],[_StartWorkday]]-1)</f>
        <v>0</v>
      </c>
      <c r="EM54" s="43" t="n">
        <f aca="false">Tasks[[#This Row],[_Res4Work]]*Tasks[[#This Row],[_LeafProgress]]</f>
        <v>0</v>
      </c>
      <c r="EN54" s="43" t="n">
        <f aca="false">IF(ISNUMBER(Tasks[[#This Row],[% Complete]]),Tasks[[#This Row],[% Complete]],IF(Tasks[[#This Row],[Stage]]="",0,IFERROR(INDEX(stg_Pct,MATCH(Tasks[[#This Row],[Stage]],stg_Name,0)),0)))</f>
        <v>0</v>
      </c>
      <c r="EO54" s="43" t="n">
        <f aca="false">IF(NOT(Tasks[[#This Row],[_IsLeaf]]=1),0,IF(N(Tasks[[#This Row],[Actual Finish]])&gt;0,1,MIN(1,Tasks[[#This Row],[_Pct]])))</f>
        <v>0</v>
      </c>
      <c r="EP54" s="43" t="n">
        <f aca="false">IF(OR(NOT(Tasks[[#This Row],[_IsLeaf]]=1),Tasks[[#This Row],[_Res1Row]]=0),0,N(Tasks[[#This Row],[_Days]])*HoursPerDay*IF(Tasks[[#This Row],[_Units1]]="",DefaultUnits,Tasks[[#This Row],[_Units1]]))</f>
        <v>0</v>
      </c>
      <c r="EQ54" s="43" t="n">
        <f aca="false">Tasks[[#This Row],[_LeafWork]]+Tasks[[#This Row],[_Res2Work]]+Tasks[[#This Row],[_Res3Work]]+Tasks[[#This Row],[_Res4Work]]</f>
        <v>0</v>
      </c>
      <c r="ER5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4" s="43" t="n">
        <f aca="false">IF(NOT(Tasks[[#This Row],[_IsLeaf]]=1),0,MAX(_xlfn.MAXIFS(Tasks[_Row],Tasks[_Pred1UID],Tasks[[#This Row],[UID]]),_xlfn.MAXIFS(Tasks[_Row],Tasks[_Pred2UID],Tasks[[#This Row],[UID]]),_xlfn.MAXIFS(Tasks[_Row],Tasks[_Pred3UID],Tasks[[#This Row],[UID]]),_xlfn.MAXIFS(Tasks[_Row],Tasks[_Pred4UID],Tasks[[#This Row],[UID]])))</f>
        <v>0</v>
      </c>
      <c r="FA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4" s="91" t="str">
        <f aca="false">IF(NOT(Tasks[[#This Row],[_IsLeaf]]=1),"",IF(N(Tasks[[#This Row],[_Days]])&lt;=0,Tasks[[#This Row],[_LeafLateFinish]],WORKDAY.INTL(Tasks[[#This Row],[_LeafLateFinish]],-(Tasks[[#This Row],[_Days]]-1),WorkWeek,Holidays)))</f>
        <v/>
      </c>
      <c r="FD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4" s="90" t="b">
        <f aca="false">AND(Tasks[[#This Row],[_IsLeaf]]=1,Tasks[[#This Row],[_LeafProgress]]&lt;1,N(Tasks[[#This Row],[_LeafTotalSlack]])&lt;=CriticalSlackDays)</f>
        <v>0</v>
      </c>
      <c r="FF54" s="43" t="n">
        <f aca="false">IF(AND(Tasks[[#This Row],[_IsLeaf]]=1,Tasks[[#This Row],[_ConstraintCode]]=1,Tasks[[#This Row],[Mode]]&lt;&gt;"Manual",N(Tasks[[#This Row],[Actual Start]])=0),MAX(0,N(Tasks[[#This Row],[Free Slack]])),0)</f>
        <v>0</v>
      </c>
      <c r="FG54" s="91" t="str">
        <f aca="false">IF(NOT(Tasks[[#This Row],[_IsLeaf]]=1),"",IF(Tasks[[#This Row],[_AlapShift]]=0,Tasks[[#This Row],[_LeafCalcStart]],WORKDAY.INTL(Tasks[[#This Row],[_LeafCalcStart]],Tasks[[#This Row],[_AlapShift]],WorkWeek,Holidays)))</f>
        <v/>
      </c>
      <c r="FH54" s="91" t="str">
        <f aca="false">IF(NOT(Tasks[[#This Row],[_IsLeaf]]=1),"",IF(Tasks[[#This Row],[_AlapShift]]=0,Tasks[[#This Row],[_LeafCalcFinish]],WORKDAY.INTL(Tasks[[#This Row],[_LeafCalcFinish]],Tasks[[#This Row],[_AlapShift]],WorkWeek,Holidays)))</f>
        <v/>
      </c>
      <c r="FI54" s="91" t="str">
        <f aca="false">IF(NOT(Tasks[[#This Row],[_IsLeaf]]=1),"",IF(Tasks[[#This Row],[_AlapShift]]=0,Tasks[[#This Row],[_LeafFcstStart]],WORKDAY.INTL(Tasks[[#This Row],[_LeafFcstStart]],Tasks[[#This Row],[_AlapShift]],WorkWeek,Holidays)))</f>
        <v/>
      </c>
      <c r="FJ54" s="91" t="str">
        <f aca="false">IF(NOT(Tasks[[#This Row],[_IsLeaf]]=1),"",IF(Tasks[[#This Row],[_AlapShift]]=0,Tasks[[#This Row],[_LeafFcstFinish]],WORKDAY.INTL(Tasks[[#This Row],[_LeafFcstFinish]],Tasks[[#This Row],[_AlapShift]],WorkWeek,Holidays)))</f>
        <v/>
      </c>
      <c r="FK54" s="91" t="str">
        <f aca="false">IF(Tasks[[#This Row],[Task Name]]="","",IF(Tasks[[#This Row],[_IsSummary]],MIN(INDEX(Tasks[_ShownCalcStart],Tasks[[#This Row],[_Row]]+1):INDEX(Tasks[_ShownCalcStart],Tasks[[#This Row],[_Row]]+Tasks[[#This Row],[_Descendants]])),Tasks[[#This Row],[_ShownCalcStart]]))</f>
        <v/>
      </c>
      <c r="FL54" s="91" t="str">
        <f aca="false">IF(Tasks[[#This Row],[Task Name]]="","",IF(Tasks[[#This Row],[_IsSummary]],MAX(INDEX(Tasks[_ShownCalcFinish],Tasks[[#This Row],[_Row]]+1):INDEX(Tasks[_ShownCalcFinish],Tasks[[#This Row],[_Row]]+Tasks[[#This Row],[_Descendants]])),Tasks[[#This Row],[_ShownCalcFinish]]))</f>
        <v/>
      </c>
      <c r="FM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4" s="43" t="n">
        <f aca="false">IF(AND(Tasks[[#This Row],[_IsLeaf]]=1,Tasks[[#This Row],[_LeafTotalWork]]&gt;0),NETWORKDAYS.INTL(ProjectStart,Tasks[[#This Row],[_ShownFcstStart]],WorkWeek,Holidays),0)</f>
        <v>0</v>
      </c>
      <c r="FZ54" s="43" t="n">
        <f aca="false">IF(AND(Tasks[[#This Row],[_IsLeaf]]=1,Tasks[[#This Row],[_LeafTotalWork]]&gt;0),MAX(Tasks[[#This Row],[_StartWorkday]],NETWORKDAYS.INTL(ProjectStart,Tasks[[#This Row],[_ShownFcstFinish]],WorkWeek,Holidays)),0)</f>
        <v>0</v>
      </c>
      <c r="GA54" s="43" t="n">
        <f aca="false">IF(AND(Tasks[[#This Row],[_IsLeaf]]=1,Tasks[[#This Row],[_LeafTotalWork]]&gt;0),Tasks[[#This Row],[_LeafWork]]/(Tasks[[#This Row],[_FinishWorkday]]-Tasks[[#This Row],[_StartWorkday]]+1),0)</f>
        <v>0</v>
      </c>
      <c r="GB54" s="43" t="n">
        <f aca="false">Tasks[[#This Row],[_WorkPerWorkday]]*(Tasks[[#This Row],[_StartWorkday]]-1)</f>
        <v>-0</v>
      </c>
      <c r="GC54" s="43" t="n">
        <f aca="false">IF(Tasks[[#This Row],[_IsLeaf]]=1,MAX(N(Tasks[[#This Row],[_Days]]),0.1),0)</f>
        <v>0</v>
      </c>
      <c r="GD54" s="43" t="n">
        <f aca="false">Tasks[[#This Row],[_WeightDur]]*Tasks[[#This Row],[_LeafProgress]]</f>
        <v>0</v>
      </c>
      <c r="GE54" s="43" t="n">
        <f aca="false">Tasks[[#This Row],[_WeightDur]]*Tasks[[#This Row],[_PlannedPct]]</f>
        <v>0</v>
      </c>
      <c r="GF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4" s="43" t="str">
        <f aca="false">IF(AND(Tasks[[#This Row],[_IsLeaf]]=1,N(Tasks[[#This Row],[_Days]])=0,Tasks[[#This Row],[_LeafProgress]]&lt;1),Tasks[[#This Row],[_ShownFcstFinish]]+Tasks[[#This Row],[_Row]]/100000,"")</f>
        <v/>
      </c>
      <c r="GH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4" s="43" t="str">
        <f aca="false">IF(Tasks[[#This Row],[Task Name]]="","",LEFT(Tasks[[#This Row],[WBS]],FIND(".",Tasks[[#This Row],[WBS]]&amp;".")-1))</f>
        <v/>
      </c>
      <c r="GJ54" s="43" t="str">
        <f aca="false">IF(AND(Tasks[[#This Row],[Task Name]]&lt;&gt;"",Tasks[[#This Row],[_Level]]=1),Tasks[[#This Row],[_Row]],"")</f>
        <v/>
      </c>
      <c r="GK54" s="43" t="str">
        <f aca="false">IF(AND(Tasks[[#This Row],[_IsLeaf]]=1,N(Tasks[[#This Row],[_Days]])=0),Tasks[[#This Row],[Planned Finish]]+Tasks[[#This Row],[_Row]]/100000,"")</f>
        <v/>
      </c>
      <c r="GL54" s="43" t="str">
        <f aca="false">IF(AND(Tasks[[#This Row],[_IsLeaf]]=1,Tasks[[#This Row],[_LeafProgress]]&lt;1,OR(N(Tasks[[#This Row],[Finish Var]])&gt;0,Tasks[[#This Row],[Status]]="Late Start")),MAX(0,Tasks[[#This Row],[Finish Var]])+1-Tasks[[#This Row],[_Row]]/1000000,"")</f>
        <v/>
      </c>
      <c r="GM54" s="43" t="str">
        <f aca="false">IF(AND(Tasks[[#This Row],[_IsLeaf]]=1,N(Tasks[[#This Row],[Actual Start]])=0,Tasks[[#This Row],[_ShownFcstStart]]&gt;=StatusDate,Tasks[[#This Row],[_ShownFcstStart]]&lt;=LookaheadEnd),Tasks[[#This Row],[_ShownFcstStart]]+Tasks[[#This Row],[_Row]]/100000,"")</f>
        <v/>
      </c>
      <c r="GN54" s="43" t="str">
        <f aca="false">IF(AND(Tasks[[#This Row],[_IsLeaf]]=1,Tasks[[#This Row],[_LeafProgress]]&lt;1,Tasks[[#This Row],[_ShownFcstFinish]]&gt;=StatusDate,Tasks[[#This Row],[_ShownFcstFinish]]&lt;=LookaheadEnd),Tasks[[#This Row],[_ShownFcstFinish]]+Tasks[[#This Row],[_Row]]/100000,"")</f>
        <v/>
      </c>
      <c r="GO54" s="43" t="str">
        <f aca="false">IF(Tasks[[#This Row],[_LeafCritical]],Tasks[[#This Row],[_ShownFcstStart]]+Tasks[[#This Row],[_Row]]/100000,"")</f>
        <v/>
      </c>
      <c r="GP54" s="43" t="n">
        <f aca="false">Tasks[[#This Row],[_LeafWork]]*Tasks[[#This Row],[_LeafProgress]]</f>
        <v>0</v>
      </c>
      <c r="GQ54" s="91" t="str">
        <f aca="false">IF(AND(Tasks[[#This Row],[_IsLeaf]]=1,Tasks[[#This Row],[_LeafProgress]]&gt;=1),IF(N(Tasks[[#This Row],[Actual Finish]])&gt;0,Tasks[[#This Row],[Actual Finish]],Tasks[[#This Row],[_ShownFcstFinish]]),"")</f>
        <v/>
      </c>
      <c r="GR54" s="43" t="n">
        <f aca="false">IF(Tasks[[#This Row],[_IsLeaf]]=1,N(Tasks[[#This Row],[Story Points]]),0)</f>
        <v>0</v>
      </c>
      <c r="GS54" s="43" t="str">
        <f aca="false">""</f>
        <v/>
      </c>
      <c r="GT54" s="90" t="b">
        <f aca="false">IF(Tasks[[#This Row],[Task Name]]="",FALSE(),AND(Tasks[[#This Row],[_IsLeaf]]=1,N(Tasks[[#This Row],[_Days]])=0))</f>
        <v>0</v>
      </c>
      <c r="GU54" s="91" t="n">
        <f aca="false">IF(Tasks[[#This Row],[Task Name]]="",0,IF(AND(Tasks[[#This Row],[_IsLeaf]]=1,NOT(Tasks[[#This Row],[_IsMilestone]]),N(Tasks[[#This Row],[Progress]])&gt;0),Tasks[[#This Row],[Start]],0))</f>
        <v>0</v>
      </c>
      <c r="GV54" s="91" t="n">
        <f aca="false">IF(Tasks[[#This Row],[_DoneFrom]]=0,0,IF(Tasks[[#This Row],[Progress]]&gt;=1,Tasks[[#This Row],[Finish]],MAX(Tasks[[#This Row],[_DoneFrom]],Tasks[[#This Row],[Start]]+ROUND((Tasks[[#This Row],[Finish]]-Tasks[[#This Row],[Start]]+1)*Tasks[[#This Row],[Progress]],0)-1)))</f>
        <v>0</v>
      </c>
      <c r="GW54" s="91" t="n">
        <f aca="false">IF(Tasks[[#This Row],[Task Name]]="",0,IF(OR(NOT(Tasks[[#This Row],[_IsLeaf]]=1),Tasks[[#This Row],[_IsMilestone]],N(Tasks[[#This Row],[Progress]])&gt;=1),0,IF(Tasks[[#This Row],[_DoneTo]]&gt;0,Tasks[[#This Row],[_DoneTo]]+1,Tasks[[#This Row],[Start]])))</f>
        <v>0</v>
      </c>
      <c r="GX54" s="91" t="n">
        <f aca="false">IF(Tasks[[#This Row],[_RemFrom]]=0,0,Tasks[[#This Row],[Finish]])</f>
        <v>0</v>
      </c>
      <c r="GY54" s="90" t="b">
        <f aca="false">IF(Tasks[[#This Row],[Task Name]]="",FALSE(),OR(NOT(BaselineSet),N(Tasks[[#This Row],[Baseline Start]])&gt;0))</f>
        <v>0</v>
      </c>
      <c r="GZ5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4" s="92" t="str">
        <f aca="false">IF(Tasks[[#This Row],[_IsLeaf]]=1,Tasks[[#This Row],[_Row]],"")</f>
        <v/>
      </c>
      <c r="HD54" s="92" t="str">
        <f aca="false">IFERROR(INDEX(Tasks[UID],SMALL(Tasks[_PickKey],Tasks[[#This Row],[_Row]]))&amp;" "&amp;INDEX(Tasks[Task Name],SMALL(Tasks[_PickKey],Tasks[[#This Row],[_Row]])),"")</f>
        <v/>
      </c>
      <c r="HE54" s="43" t="str">
        <f aca="false">IF(Tasks[[#This Row],[Task Name]]="","",IF(Tasks[[#This Row],[_IsSummary]],NETWORKDAYS.INTL(Tasks[[#This Row],[Start]],Tasks[[#This Row],[Finish]],WorkWeek,Holidays),N(Tasks[[#This Row],[_Days]])))</f>
        <v/>
      </c>
      <c r="HF54" s="43" t="n">
        <f aca="false">IF(Tasks[[#This Row],[Expected]]="",0,((Tasks[[#This Row],[Pessimistic]]-Tasks[[#This Row],[Optimistic]])/6)^2)</f>
        <v>0</v>
      </c>
      <c r="HG54" s="43" t="n">
        <f aca="false">IF(Tasks[[#This Row],[Expected]]="",0,Tasks[[#This Row],[Expected]]-N(Tasks[[#This Row],[_Days]]))</f>
        <v>0</v>
      </c>
    </row>
    <row r="55" customFormat="false" ht="15" hidden="false" customHeight="false" outlineLevel="0" collapsed="false">
      <c r="A55" s="21" t="str">
        <f aca="false">IF(Tasks[[#This Row],[Task Name]]="","",COUNTA(Tasks[[#Headers],[Task Name]]:Tasks[[#This Row],[Task Name]])-1)</f>
        <v/>
      </c>
      <c r="B55" s="22" t="n">
        <v>63</v>
      </c>
      <c r="C55" s="22"/>
      <c r="D55" s="23"/>
      <c r="E55" s="22"/>
      <c r="F55" s="23"/>
      <c r="G55" s="22"/>
      <c r="H55" s="22"/>
      <c r="I55" s="23"/>
      <c r="J55" s="22"/>
      <c r="K55" s="22"/>
      <c r="L55" s="23"/>
      <c r="M55" s="22"/>
      <c r="N55" s="22"/>
      <c r="O55" s="23"/>
      <c r="P55" s="22"/>
      <c r="Q55" s="22"/>
      <c r="R55" s="23"/>
      <c r="S55" s="23"/>
      <c r="T55" s="84"/>
      <c r="U55" s="23"/>
      <c r="V55" s="84"/>
      <c r="W55" s="23"/>
      <c r="X55" s="84"/>
      <c r="Y55" s="23"/>
      <c r="Z55" s="84"/>
      <c r="AA55" s="23"/>
      <c r="AB55" s="23"/>
      <c r="AC55" s="7"/>
      <c r="AD55" s="7"/>
      <c r="AE55" s="63" t="str">
        <f aca="false">IF(Tasks[[#This Row],[Task Name]]="","",IF(Tasks[[#This Row],[_IsSummary]],MIN(INDEX(Tasks[_ShownFcstStart],Tasks[[#This Row],[_Row]]+1):INDEX(Tasks[_ShownFcstStart],Tasks[[#This Row],[_Row]]+Tasks[[#This Row],[_Descendants]])),Tasks[[#This Row],[_ShownFcstStart]]))</f>
        <v/>
      </c>
      <c r="AF55" s="63" t="str">
        <f aca="false">IF(Tasks[[#This Row],[Task Name]]="","",IF(Tasks[[#This Row],[_IsSummary]],MAX(INDEX(Tasks[_ShownFcstFinish],Tasks[[#This Row],[_Row]]+1):INDEX(Tasks[_ShownFcstFinish],Tasks[[#This Row],[_Row]]+Tasks[[#This Row],[_Descendants]])),Tasks[[#This Row],[_ShownFcstFinish]]))</f>
        <v/>
      </c>
      <c r="AG55" s="21" t="str">
        <f aca="false">""</f>
        <v/>
      </c>
      <c r="AH55" s="23"/>
      <c r="AI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5" s="7"/>
      <c r="AK55" s="22"/>
      <c r="AL55" s="23"/>
      <c r="AM55" s="7"/>
      <c r="AN55" s="47" t="str">
        <f aca="false">IF(Tasks[[#This Row],[Task Name]]="","",IF(Tasks[[#This Row],[Finish]]&gt;=Tasks[[#This Row],[Planned Finish]],NETWORKDAYS.INTL(Tasks[[#This Row],[Planned Finish]],Tasks[[#This Row],[Finish]],WorkWeek,Holidays)-1,1-NETWORKDAYS.INTL(Tasks[[#This Row],[Finish]],Tasks[[#This Row],[Planned Finish]],WorkWeek,Holidays)))</f>
        <v/>
      </c>
      <c r="AO55" s="21" t="str">
        <f aca="false">IF(Tasks[[#This Row],[Task Name]]="","",IF(Tasks[[#This Row],[Progress]]&gt;=1,"Complete",IF(OR(N(Tasks[[#This Row],[Actual Start]])&gt;0,Tasks[[#This Row],[Progress]]&gt;0),IF(Tasks[[#This Row],[Finish Var]]&gt;0,"Behind","In Progress"),IF(Tasks[[#This Row],[Planned Start]]&lt;StatusDate,"Late Start","Not Started"))))</f>
        <v/>
      </c>
      <c r="AP55" s="21" t="str">
        <f aca="false">IF(Tasks[[#This Row],[Task Name]]="","",IF(IF(Tasks[[#This Row],[_IsSummary]],COUNTIF(INDEX(Tasks[_LeafCritical],Tasks[[#This Row],[_Row]]+1):INDEX(Tasks[_LeafCritical],Tasks[[#This Row],[_Row]]+Tasks[[#This Row],[_Descendants]]),TRUE())&gt;0,Tasks[[#This Row],[_LeafCritical]]),"Yes",""))</f>
        <v/>
      </c>
      <c r="AQ55" s="63" t="str">
        <f aca="false">IF(Tasks[[#This Row],[Task Name]]="","",IF(N(Tasks[[#This Row],[Baseline Start]])&gt;0,Tasks[[#This Row],[Baseline Start]],Tasks[[#This Row],[_CalcStart]]))</f>
        <v/>
      </c>
      <c r="AR55" s="63" t="str">
        <f aca="false">IF(Tasks[[#This Row],[Task Name]]="","",IF(N(Tasks[[#This Row],[Baseline Finish]])&gt;0,Tasks[[#This Row],[Baseline Finish]],Tasks[[#This Row],[_CalcFinish]]))</f>
        <v/>
      </c>
      <c r="AS55" s="47" t="str">
        <f aca="false">IF(Tasks[[#This Row],[Task Name]]="","",IF(Tasks[[#This Row],[Start]]&gt;=Tasks[[#This Row],[Planned Start]],NETWORKDAYS.INTL(Tasks[[#This Row],[Planned Start]],Tasks[[#This Row],[Start]],WorkWeek,Holidays)-1,1-NETWORKDAYS.INTL(Tasks[[#This Row],[Start]],Tasks[[#This Row],[Planned Start]],WorkWeek,Holidays)))</f>
        <v/>
      </c>
      <c r="AT55" s="63" t="str">
        <f aca="false">IF(Tasks[[#This Row],[Task Name]]="","",IF(Tasks[[#This Row],[_IsSummary]],MIN(INDEX(Tasks[_LeafLateStart],Tasks[[#This Row],[_Row]]+1):INDEX(Tasks[_LeafLateStart],Tasks[[#This Row],[_Row]]+Tasks[[#This Row],[_Descendants]])),Tasks[[#This Row],[_LeafLateStart]]))</f>
        <v/>
      </c>
      <c r="AU55" s="63" t="str">
        <f aca="false">IF(Tasks[[#This Row],[Task Name]]="","",IF(Tasks[[#This Row],[_IsSummary]],MAX(INDEX(Tasks[_LeafLateFinish],Tasks[[#This Row],[_Row]]+1):INDEX(Tasks[_LeafLateFinish],Tasks[[#This Row],[_Row]]+Tasks[[#This Row],[_Descendants]])),Tasks[[#This Row],[_LeafLateFinish]]))</f>
        <v/>
      </c>
      <c r="AV55" s="47" t="str">
        <f aca="false">IF(Tasks[[#This Row],[Task Name]]="","",IF(Tasks[[#This Row],[_IsSummary]],MIN(INDEX(Tasks[_LeafTotalSlack],Tasks[[#This Row],[_Row]]+1):INDEX(Tasks[_LeafTotalSlack],Tasks[[#This Row],[_Row]]+Tasks[[#This Row],[_Descendants]])),Tasks[[#This Row],[_LeafTotalSlack]]))</f>
        <v/>
      </c>
      <c r="AW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5"/>
      <c r="BA5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t="str">
        <f aca="false">IF(Tasks[[#This Row],[Task Name]]="","",IF(Tasks[[#This Row],[_Level]]&lt;=OutlineShowLevel,"Yes","No"))</f>
        <v/>
      </c>
      <c r="BE55" s="86" t="str">
        <f aca="false">IF(Tasks[[#This Row],[Task Name]]="","",IF(Tasks[[#This Row],[_IsSummary]],SUM(INDEX(Tasks[_LeafTotalWork],Tasks[[#This Row],[_Row]]+1):INDEX(Tasks[_LeafTotalWork],Tasks[[#This Row],[_Row]]+Tasks[[#This Row],[_Descendants]])),Tasks[[#This Row],[_LeafTotalWork]]))</f>
        <v/>
      </c>
      <c r="BF55" s="23"/>
      <c r="BG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t="str">
        <f aca="false">""</f>
        <v/>
      </c>
      <c r="BI55" s="87"/>
      <c r="BJ55" s="22"/>
      <c r="BK55" s="47" t="str">
        <f aca="false">IF(OR(Tasks[[#This Row],[Task Name]]="",Tasks[[#This Row],[Baseline Duration]]=""),"",Tasks[[#This Row],[_SpanDays]]-N(Tasks[[#This Row],[Baseline Duration]]))</f>
        <v/>
      </c>
      <c r="BL55" s="86" t="str">
        <f aca="false">IF(OR(Tasks[[#This Row],[Task Name]]="",Tasks[[#This Row],[Baseline Work]]=""),"",Tasks[[#This Row],[Work]]-N(Tasks[[#This Row],[Baseline Work]]))</f>
        <v/>
      </c>
      <c r="BM55" s="63" t="str">
        <f aca="false">IF(Tasks[[#This Row],[Task Name]]="","",IF(OR(TakeBaseline="Yes",N(Tasks[[#This Row],[Baseline Start]])=0),Tasks[[#This Row],[Start]],Tasks[[#This Row],[Baseline Start]]))</f>
        <v/>
      </c>
      <c r="BN55" s="63" t="str">
        <f aca="false">IF(Tasks[[#This Row],[Task Name]]="","",IF(OR(TakeBaseline="Yes",N(Tasks[[#This Row],[Baseline Finish]])=0),Tasks[[#This Row],[Finish]],Tasks[[#This Row],[Baseline Finish]]))</f>
        <v/>
      </c>
      <c r="BO55" s="21" t="str">
        <f aca="false">IF(Tasks[[#This Row],[Task Name]]="","",IF(OR(TakeBaseline="Yes",N(Tasks[[#This Row],[Baseline Duration]])=0),Tasks[[#This Row],[_SpanDays]],Tasks[[#This Row],[Baseline Duration]]))</f>
        <v/>
      </c>
      <c r="BP55" s="86" t="str">
        <f aca="false">IF(Tasks[[#This Row],[Task Name]]="","",IF(OR(TakeBaseline="Yes",N(Tasks[[#This Row],[Baseline Work]])=0),Tasks[[#This Row],[Work]],Tasks[[#This Row],[Baseline Work]]))</f>
        <v/>
      </c>
      <c r="BQ55" s="7"/>
      <c r="BR55" s="7"/>
      <c r="BS55" s="22"/>
      <c r="BT55" s="88"/>
      <c r="BU55" s="23"/>
      <c r="BV55" s="23"/>
      <c r="BW55" s="23"/>
      <c r="BX55" s="89" t="str">
        <f aca="false">IF(AND(Tasks[[#This Row],[_IsLeaf]]=1,ISNUMBER(Tasks[[#This Row],[Optimistic]]),ISNUMBER(Tasks[[#This Row],[Pessimistic]])),ROUND((Tasks[[#This Row],[Optimistic]]+4*N(Tasks[[#This Row],[_Days]])+Tasks[[#This Row],[Pessimistic]])/6,1),"")</f>
        <v/>
      </c>
      <c r="BY55" s="87"/>
      <c r="BZ55" s="87"/>
      <c r="CA55" s="22"/>
      <c r="CB55" s="43" t="str">
        <f aca="false">IF(Tasks[[#This Row],[Task Name]]="","",MAX(1,N(Tasks[[#This Row],[Level]])))</f>
        <v/>
      </c>
      <c r="CC55" s="43" t="n">
        <f aca="false">ROW()-ROW(Tasks[[#Headers],[ID]])</f>
        <v>50</v>
      </c>
      <c r="CD55" s="43" t="n">
        <f aca="false">IF(OR(Tasks[[#This Row],[Task Name]]="",Tasks[[#This Row],[_Level]]&lt;=1),0,IFERROR(LOOKUP(2,1/(Tasks[[#Headers],[_Level]]:Tasks[[#This Row],[_Level]]=Tasks[[#This Row],[_Level]]-1),ROW(Tasks[[#Headers],[_Level]]:Tasks[[#This Row],[_Level]])),0))</f>
        <v>0</v>
      </c>
      <c r="CE55" s="43" t="n">
        <f aca="false">IFERROR(N(INDEX(Tasks[_Level],Tasks[[#This Row],[_Row]]+1)),0)</f>
        <v>0</v>
      </c>
      <c r="CF55" s="90" t="b">
        <f aca="false">AND(Tasks[[#This Row],[Task Name]]&lt;&gt;"",Tasks[[#This Row],[_NextLevel]]&gt;Tasks[[#This Row],[_Level]])</f>
        <v>0</v>
      </c>
      <c r="CG55" s="43" t="n">
        <f aca="false">IF(Tasks[[#This Row],[_IsSummary]],COUNTIF(Tasks[WBS],Tasks[[#This Row],[WBS]]&amp;".*"),0)</f>
        <v>0</v>
      </c>
      <c r="CH55" s="43" t="n">
        <f aca="false">IF(AND(Tasks[[#This Row],[Task Name]]&lt;&gt;"",NOT(Tasks[[#This Row],[_IsSummary]])),1,0)</f>
        <v>0</v>
      </c>
      <c r="CI55" s="43" t="n">
        <f aca="false">IF(N(Tasks[[#This Row],[_Pred1UID]])=0,0,IFERROR(MATCH(Tasks[[#This Row],[_Pred1UID]],Tasks[UID],0),-1))</f>
        <v>0</v>
      </c>
      <c r="CJ55" s="43" t="n">
        <f aca="false">IF(N(Tasks[[#This Row],[_Pred2UID]])=0,0,IFERROR(MATCH(Tasks[[#This Row],[_Pred2UID]],Tasks[UID],0),-1))</f>
        <v>0</v>
      </c>
      <c r="CK55" s="43" t="n">
        <f aca="false">IF(N(Tasks[[#This Row],[_Pred3UID]])=0,0,IFERROR(MATCH(Tasks[[#This Row],[_Pred3UID]],Tasks[UID],0),-1))</f>
        <v>0</v>
      </c>
      <c r="CL55" s="43" t="n">
        <f aca="false">IF(N(Tasks[[#This Row],[_Pred4UID]])=0,0,IFERROR(MATCH(Tasks[[#This Row],[_Pred4UID]],Tasks[UID],0),-1))</f>
        <v>0</v>
      </c>
      <c r="CM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5" s="91" t="n">
        <f aca="false">IF(OR(Tasks[[#This Row],[_ConstraintCode]]=2,Tasks[[#This Row],[_ConstraintCode]]=3,Tasks[[#This Row],[_ConstraintCode]]=4,Tasks[[#This Row],[_ConstraintCode]]=6),Tasks[[#This Row],[_ConstraintStart]],0)</f>
        <v>0</v>
      </c>
      <c r="CP55" s="91" t="n">
        <f aca="false">IF(OR(Tasks[[#This Row],[_ConstraintCode]]=2,Tasks[[#This Row],[_ConstraintCode]]=3,Tasks[[#This Row],[_ConstraintCode]]=5,Tasks[[#This Row],[_ConstraintCode]]=7),Tasks[[#This Row],[_ConstraintStart]],2958465)</f>
        <v>2958465</v>
      </c>
      <c r="CQ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5" s="91" t="str">
        <f aca="false">IF(NOT(Tasks[[#This Row],[_IsLeaf]]=1),"",IF(N(Tasks[[#This Row],[_Days]])&lt;=0,Tasks[[#This Row],[_LeafCalcStart]],WORKDAY.INTL(Tasks[[#This Row],[_LeafCalcStart]],Tasks[[#This Row],[_Days]]-1,WorkWeek,Holidays)))</f>
        <v/>
      </c>
      <c r="CS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5" s="43" t="str">
        <f aca="false">IF(Tasks[[#This Row],[_Predecessors]]="","",TRIM(MID(SUBSTITUTE(SUBSTITUTE(SUBSTITUTE(UPPER(Tasks[[#This Row],[_Predecessors]]),";",",")," ",""),",",REPT(" ",99)),1,99)))</f>
        <v/>
      </c>
      <c r="CV55" s="43" t="str">
        <f aca="false">IF(Tasks[[#This Row],[_Pred1Text]]="","",IFERROR(VALUE(LEFT(Tasks[[#This Row],[_Pred1Text]],MIN(FIND("F",Tasks[[#This Row],[_Pred1Text]]&amp;"F"),FIND("S",Tasks[[#This Row],[_Pred1Text]]&amp;"S"),FIND("+",Tasks[[#This Row],[_Pred1Text]]&amp;"+"),FIND("-",Tasks[[#This Row],[_Pred1Text]]&amp;"-"))-1)),""))</f>
        <v/>
      </c>
      <c r="CW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5" s="43" t="str">
        <f aca="false">IF(Tasks[[#This Row],[_Pred1Text]]="","",TRIM(MID(SUBSTITUTE(SUBSTITUTE(SUBSTITUTE(UPPER(Tasks[[#This Row],[_Predecessors]]),";",",")," ",""),",",REPT(" ",99)),100,99)))</f>
        <v/>
      </c>
      <c r="CZ55" s="43" t="str">
        <f aca="false">IF(Tasks[[#This Row],[_Pred2Text]]="","",IFERROR(VALUE(LEFT(Tasks[[#This Row],[_Pred2Text]],MIN(FIND("F",Tasks[[#This Row],[_Pred2Text]]&amp;"F"),FIND("S",Tasks[[#This Row],[_Pred2Text]]&amp;"S"),FIND("+",Tasks[[#This Row],[_Pred2Text]]&amp;"+"),FIND("-",Tasks[[#This Row],[_Pred2Text]]&amp;"-"))-1)),""))</f>
        <v/>
      </c>
      <c r="DA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5" s="43" t="str">
        <f aca="false">IF(Tasks[[#This Row],[_Pred2Text]]="","",TRIM(MID(SUBSTITUTE(SUBSTITUTE(SUBSTITUTE(UPPER(Tasks[[#This Row],[_Predecessors]]),";",",")," ",""),",",REPT(" ",99)),199,99)))</f>
        <v/>
      </c>
      <c r="DD55" s="43" t="str">
        <f aca="false">IF(Tasks[[#This Row],[_Pred3Text]]="","",IFERROR(VALUE(LEFT(Tasks[[#This Row],[_Pred3Text]],MIN(FIND("F",Tasks[[#This Row],[_Pred3Text]]&amp;"F"),FIND("S",Tasks[[#This Row],[_Pred3Text]]&amp;"S"),FIND("+",Tasks[[#This Row],[_Pred3Text]]&amp;"+"),FIND("-",Tasks[[#This Row],[_Pred3Text]]&amp;"-"))-1)),""))</f>
        <v/>
      </c>
      <c r="DE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5" s="43" t="str">
        <f aca="false">IF(Tasks[[#This Row],[_Pred3Text]]="","",TRIM(MID(SUBSTITUTE(SUBSTITUTE(SUBSTITUTE(UPPER(Tasks[[#This Row],[_Predecessors]]),";",",")," ",""),",",REPT(" ",99)),298,99)))</f>
        <v/>
      </c>
      <c r="DH55" s="43" t="str">
        <f aca="false">IF(Tasks[[#This Row],[_Pred4Text]]="","",IFERROR(VALUE(LEFT(Tasks[[#This Row],[_Pred4Text]],MIN(FIND("F",Tasks[[#This Row],[_Pred4Text]]&amp;"F"),FIND("S",Tasks[[#This Row],[_Pred4Text]]&amp;"S"),FIND("+",Tasks[[#This Row],[_Pred4Text]]&amp;"+"),FIND("-",Tasks[[#This Row],[_Pred4Text]]&amp;"-"))-1)),""))</f>
        <v/>
      </c>
      <c r="DI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5" s="43" t="str">
        <f aca="false">IF(OR(Tasks[[#This Row],[Task Name]]="",Tasks[[#This Row],[_Resources]]=""),"",TRIM(MID(SUBSTITUTE(Tasks[[#This Row],[_Resources]],",",REPT(" ",99)),1,99)))</f>
        <v/>
      </c>
      <c r="DL55" s="43" t="str">
        <f aca="false">IF(Tasks[[#This Row],[_Res1Text]]="","",TRIM(MID(SUBSTITUTE(Tasks[[#This Row],[_Resources]],",",REPT(" ",99)),100,99)))</f>
        <v/>
      </c>
      <c r="DM55" s="43" t="str">
        <f aca="false">IF(Tasks[[#This Row],[_Res2Text]]="","",TRIM(MID(SUBSTITUTE(Tasks[[#This Row],[_Resources]],",",REPT(" ",99)),199,99)))</f>
        <v/>
      </c>
      <c r="DN55" s="43" t="str">
        <f aca="false">IF(Tasks[[#This Row],[_Res3Text]]="","",TRIM(MID(SUBSTITUTE(Tasks[[#This Row],[_Resources]],",",REPT(" ",99)),298,99)))</f>
        <v/>
      </c>
      <c r="DO55" s="43" t="n">
        <f aca="false">IF(Tasks[[#This Row],[_Res1Text]]="",0,IFERROR(MATCH(TRIM(LEFT(Tasks[[#This Row],[_Res1Text]],FIND("[",Tasks[[#This Row],[_Res1Text]]&amp;"[")-1)),res_Name,0),IFERROR(MATCH(TRIM(LEFT(Tasks[[#This Row],[_Res1Text]],FIND("[",Tasks[[#This Row],[_Res1Text]]&amp;"[")-1)),res_Initials,0),0)))</f>
        <v>0</v>
      </c>
      <c r="DP55" s="43" t="n">
        <f aca="false">IF(Tasks[[#This Row],[_Res2Text]]="",0,IFERROR(MATCH(TRIM(LEFT(Tasks[[#This Row],[_Res2Text]],FIND("[",Tasks[[#This Row],[_Res2Text]]&amp;"[")-1)),res_Name,0),IFERROR(MATCH(TRIM(LEFT(Tasks[[#This Row],[_Res2Text]],FIND("[",Tasks[[#This Row],[_Res2Text]]&amp;"[")-1)),res_Initials,0),0)))</f>
        <v>0</v>
      </c>
      <c r="DQ55" s="43" t="n">
        <f aca="false">IF(Tasks[[#This Row],[_Res3Text]]="",0,IFERROR(MATCH(TRIM(LEFT(Tasks[[#This Row],[_Res3Text]],FIND("[",Tasks[[#This Row],[_Res3Text]]&amp;"[")-1)),res_Name,0),IFERROR(MATCH(TRIM(LEFT(Tasks[[#This Row],[_Res3Text]],FIND("[",Tasks[[#This Row],[_Res3Text]]&amp;"[")-1)),res_Initials,0),0)))</f>
        <v>0</v>
      </c>
      <c r="DR55" s="43" t="n">
        <f aca="false">IF(Tasks[[#This Row],[_Res4Text]]="",0,IFERROR(MATCH(TRIM(LEFT(Tasks[[#This Row],[_Res4Text]],FIND("[",Tasks[[#This Row],[_Res4Text]]&amp;"[")-1)),res_Name,0),IFERROR(MATCH(TRIM(LEFT(Tasks[[#This Row],[_Res4Text]],FIND("[",Tasks[[#This Row],[_Res4Text]]&amp;"[")-1)),res_Initials,0),0)))</f>
        <v>0</v>
      </c>
      <c r="DS55" s="43" t="str">
        <f aca="false">IF(Tasks[[#This Row],[_Res1Text]]="","",IF(Tasks[[#This Row],[_Res1Row]]&gt;0,INDEX(res_Name,Tasks[[#This Row],[_Res1Row]]),TRIM(LEFT(Tasks[[#This Row],[_Res1Text]],FIND("[",Tasks[[#This Row],[_Res1Text]]&amp;"[")-1))))</f>
        <v/>
      </c>
      <c r="DT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5" s="43" t="n">
        <f aca="false">IF(NOT(Tasks[[#This Row],[_IsLeaf]]=1),0,(Tasks[[#This Row],[_Resource1]]&lt;&gt;"")+(Tasks[[#This Row],[_Res2]]&lt;&gt;"")+(Tasks[[#This Row],[_Res3]]&lt;&gt;"")+(Tasks[[#This Row],[_Res4]]&lt;&gt;""))</f>
        <v>0</v>
      </c>
      <c r="DV55" s="43" t="str">
        <f aca="false">IF(Tasks[[#This Row],[_Res2Text]]="","",IF(Tasks[[#This Row],[_Res2Row]]&gt;0,INDEX(res_Name,Tasks[[#This Row],[_Res2Row]]),TRIM(LEFT(Tasks[[#This Row],[_Res2Text]],FIND("[",Tasks[[#This Row],[_Res2Text]]&amp;"[")-1))))</f>
        <v/>
      </c>
      <c r="DW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5" s="43" t="n">
        <f aca="false">IF(OR(NOT(Tasks[[#This Row],[_IsLeaf]]=1),Tasks[[#This Row],[_Res2Row]]=0),0,N(Tasks[[#This Row],[_Days]])*HoursPerDay*IF(Tasks[[#This Row],[_Res2Units]]="",DefaultUnits,Tasks[[#This Row],[_Res2Units]]))</f>
        <v>0</v>
      </c>
      <c r="DY55" s="43" t="n">
        <f aca="false">IF(AND(AND(Tasks[[#This Row],[_IsLeaf]]=1,Tasks[[#This Row],[_LeafTotalWork]]&gt;0),Tasks[[#This Row],[_Res2Work]]&gt;0),Tasks[[#This Row],[_Res2Work]]/(Tasks[[#This Row],[_FinishWorkday]]-Tasks[[#This Row],[_StartWorkday]]+1),0)</f>
        <v>0</v>
      </c>
      <c r="DZ55" s="43" t="n">
        <f aca="false">Tasks[[#This Row],[_Res2WorkPerWD]]*MAX(0,Tasks[[#This Row],[_StartWorkday]]-1)</f>
        <v>0</v>
      </c>
      <c r="EA55" s="43" t="n">
        <f aca="false">Tasks[[#This Row],[_Res2Work]]*Tasks[[#This Row],[_LeafProgress]]</f>
        <v>0</v>
      </c>
      <c r="EB55" s="43" t="str">
        <f aca="false">IF(Tasks[[#This Row],[_Res3Text]]="","",IF(Tasks[[#This Row],[_Res3Row]]&gt;0,INDEX(res_Name,Tasks[[#This Row],[_Res3Row]]),TRIM(LEFT(Tasks[[#This Row],[_Res3Text]],FIND("[",Tasks[[#This Row],[_Res3Text]]&amp;"[")-1))))</f>
        <v/>
      </c>
      <c r="EC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5" s="43" t="n">
        <f aca="false">IF(OR(NOT(Tasks[[#This Row],[_IsLeaf]]=1),Tasks[[#This Row],[_Res3Row]]=0),0,N(Tasks[[#This Row],[_Days]])*HoursPerDay*IF(Tasks[[#This Row],[_Res3Units]]="",DefaultUnits,Tasks[[#This Row],[_Res3Units]]))</f>
        <v>0</v>
      </c>
      <c r="EE55" s="43" t="n">
        <f aca="false">IF(AND(AND(Tasks[[#This Row],[_IsLeaf]]=1,Tasks[[#This Row],[_LeafTotalWork]]&gt;0),Tasks[[#This Row],[_Res3Work]]&gt;0),Tasks[[#This Row],[_Res3Work]]/(Tasks[[#This Row],[_FinishWorkday]]-Tasks[[#This Row],[_StartWorkday]]+1),0)</f>
        <v>0</v>
      </c>
      <c r="EF55" s="43" t="n">
        <f aca="false">Tasks[[#This Row],[_Res3WorkPerWD]]*MAX(0,Tasks[[#This Row],[_StartWorkday]]-1)</f>
        <v>0</v>
      </c>
      <c r="EG55" s="43" t="n">
        <f aca="false">Tasks[[#This Row],[_Res3Work]]*Tasks[[#This Row],[_LeafProgress]]</f>
        <v>0</v>
      </c>
      <c r="EH55" s="43" t="str">
        <f aca="false">IF(Tasks[[#This Row],[_Res4Text]]="","",IF(Tasks[[#This Row],[_Res4Row]]&gt;0,INDEX(res_Name,Tasks[[#This Row],[_Res4Row]]),TRIM(LEFT(Tasks[[#This Row],[_Res4Text]],FIND("[",Tasks[[#This Row],[_Res4Text]]&amp;"[")-1))))</f>
        <v/>
      </c>
      <c r="EI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5" s="43" t="n">
        <f aca="false">IF(OR(NOT(Tasks[[#This Row],[_IsLeaf]]=1),Tasks[[#This Row],[_Res4Row]]=0),0,N(Tasks[[#This Row],[_Days]])*HoursPerDay*IF(Tasks[[#This Row],[_Res4Units]]="",DefaultUnits,Tasks[[#This Row],[_Res4Units]]))</f>
        <v>0</v>
      </c>
      <c r="EK55" s="43" t="n">
        <f aca="false">IF(AND(AND(Tasks[[#This Row],[_IsLeaf]]=1,Tasks[[#This Row],[_LeafTotalWork]]&gt;0),Tasks[[#This Row],[_Res4Work]]&gt;0),Tasks[[#This Row],[_Res4Work]]/(Tasks[[#This Row],[_FinishWorkday]]-Tasks[[#This Row],[_StartWorkday]]+1),0)</f>
        <v>0</v>
      </c>
      <c r="EL55" s="43" t="n">
        <f aca="false">Tasks[[#This Row],[_Res4WorkPerWD]]*MAX(0,Tasks[[#This Row],[_StartWorkday]]-1)</f>
        <v>0</v>
      </c>
      <c r="EM55" s="43" t="n">
        <f aca="false">Tasks[[#This Row],[_Res4Work]]*Tasks[[#This Row],[_LeafProgress]]</f>
        <v>0</v>
      </c>
      <c r="EN55" s="43" t="n">
        <f aca="false">IF(ISNUMBER(Tasks[[#This Row],[% Complete]]),Tasks[[#This Row],[% Complete]],IF(Tasks[[#This Row],[Stage]]="",0,IFERROR(INDEX(stg_Pct,MATCH(Tasks[[#This Row],[Stage]],stg_Name,0)),0)))</f>
        <v>0</v>
      </c>
      <c r="EO55" s="43" t="n">
        <f aca="false">IF(NOT(Tasks[[#This Row],[_IsLeaf]]=1),0,IF(N(Tasks[[#This Row],[Actual Finish]])&gt;0,1,MIN(1,Tasks[[#This Row],[_Pct]])))</f>
        <v>0</v>
      </c>
      <c r="EP55" s="43" t="n">
        <f aca="false">IF(OR(NOT(Tasks[[#This Row],[_IsLeaf]]=1),Tasks[[#This Row],[_Res1Row]]=0),0,N(Tasks[[#This Row],[_Days]])*HoursPerDay*IF(Tasks[[#This Row],[_Units1]]="",DefaultUnits,Tasks[[#This Row],[_Units1]]))</f>
        <v>0</v>
      </c>
      <c r="EQ55" s="43" t="n">
        <f aca="false">Tasks[[#This Row],[_LeafWork]]+Tasks[[#This Row],[_Res2Work]]+Tasks[[#This Row],[_Res3Work]]+Tasks[[#This Row],[_Res4Work]]</f>
        <v>0</v>
      </c>
      <c r="ER5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5" s="43" t="n">
        <f aca="false">IF(NOT(Tasks[[#This Row],[_IsLeaf]]=1),0,MAX(_xlfn.MAXIFS(Tasks[_Row],Tasks[_Pred1UID],Tasks[[#This Row],[UID]]),_xlfn.MAXIFS(Tasks[_Row],Tasks[_Pred2UID],Tasks[[#This Row],[UID]]),_xlfn.MAXIFS(Tasks[_Row],Tasks[_Pred3UID],Tasks[[#This Row],[UID]]),_xlfn.MAXIFS(Tasks[_Row],Tasks[_Pred4UID],Tasks[[#This Row],[UID]])))</f>
        <v>0</v>
      </c>
      <c r="FA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5" s="91" t="str">
        <f aca="false">IF(NOT(Tasks[[#This Row],[_IsLeaf]]=1),"",IF(N(Tasks[[#This Row],[_Days]])&lt;=0,Tasks[[#This Row],[_LeafLateFinish]],WORKDAY.INTL(Tasks[[#This Row],[_LeafLateFinish]],-(Tasks[[#This Row],[_Days]]-1),WorkWeek,Holidays)))</f>
        <v/>
      </c>
      <c r="FD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5" s="90" t="b">
        <f aca="false">AND(Tasks[[#This Row],[_IsLeaf]]=1,Tasks[[#This Row],[_LeafProgress]]&lt;1,N(Tasks[[#This Row],[_LeafTotalSlack]])&lt;=CriticalSlackDays)</f>
        <v>0</v>
      </c>
      <c r="FF55" s="43" t="n">
        <f aca="false">IF(AND(Tasks[[#This Row],[_IsLeaf]]=1,Tasks[[#This Row],[_ConstraintCode]]=1,Tasks[[#This Row],[Mode]]&lt;&gt;"Manual",N(Tasks[[#This Row],[Actual Start]])=0),MAX(0,N(Tasks[[#This Row],[Free Slack]])),0)</f>
        <v>0</v>
      </c>
      <c r="FG55" s="91" t="str">
        <f aca="false">IF(NOT(Tasks[[#This Row],[_IsLeaf]]=1),"",IF(Tasks[[#This Row],[_AlapShift]]=0,Tasks[[#This Row],[_LeafCalcStart]],WORKDAY.INTL(Tasks[[#This Row],[_LeafCalcStart]],Tasks[[#This Row],[_AlapShift]],WorkWeek,Holidays)))</f>
        <v/>
      </c>
      <c r="FH55" s="91" t="str">
        <f aca="false">IF(NOT(Tasks[[#This Row],[_IsLeaf]]=1),"",IF(Tasks[[#This Row],[_AlapShift]]=0,Tasks[[#This Row],[_LeafCalcFinish]],WORKDAY.INTL(Tasks[[#This Row],[_LeafCalcFinish]],Tasks[[#This Row],[_AlapShift]],WorkWeek,Holidays)))</f>
        <v/>
      </c>
      <c r="FI55" s="91" t="str">
        <f aca="false">IF(NOT(Tasks[[#This Row],[_IsLeaf]]=1),"",IF(Tasks[[#This Row],[_AlapShift]]=0,Tasks[[#This Row],[_LeafFcstStart]],WORKDAY.INTL(Tasks[[#This Row],[_LeafFcstStart]],Tasks[[#This Row],[_AlapShift]],WorkWeek,Holidays)))</f>
        <v/>
      </c>
      <c r="FJ55" s="91" t="str">
        <f aca="false">IF(NOT(Tasks[[#This Row],[_IsLeaf]]=1),"",IF(Tasks[[#This Row],[_AlapShift]]=0,Tasks[[#This Row],[_LeafFcstFinish]],WORKDAY.INTL(Tasks[[#This Row],[_LeafFcstFinish]],Tasks[[#This Row],[_AlapShift]],WorkWeek,Holidays)))</f>
        <v/>
      </c>
      <c r="FK55" s="91" t="str">
        <f aca="false">IF(Tasks[[#This Row],[Task Name]]="","",IF(Tasks[[#This Row],[_IsSummary]],MIN(INDEX(Tasks[_ShownCalcStart],Tasks[[#This Row],[_Row]]+1):INDEX(Tasks[_ShownCalcStart],Tasks[[#This Row],[_Row]]+Tasks[[#This Row],[_Descendants]])),Tasks[[#This Row],[_ShownCalcStart]]))</f>
        <v/>
      </c>
      <c r="FL55" s="91" t="str">
        <f aca="false">IF(Tasks[[#This Row],[Task Name]]="","",IF(Tasks[[#This Row],[_IsSummary]],MAX(INDEX(Tasks[_ShownCalcFinish],Tasks[[#This Row],[_Row]]+1):INDEX(Tasks[_ShownCalcFinish],Tasks[[#This Row],[_Row]]+Tasks[[#This Row],[_Descendants]])),Tasks[[#This Row],[_ShownCalcFinish]]))</f>
        <v/>
      </c>
      <c r="FM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5" s="43" t="n">
        <f aca="false">IF(AND(Tasks[[#This Row],[_IsLeaf]]=1,Tasks[[#This Row],[_LeafTotalWork]]&gt;0),NETWORKDAYS.INTL(ProjectStart,Tasks[[#This Row],[_ShownFcstStart]],WorkWeek,Holidays),0)</f>
        <v>0</v>
      </c>
      <c r="FZ55" s="43" t="n">
        <f aca="false">IF(AND(Tasks[[#This Row],[_IsLeaf]]=1,Tasks[[#This Row],[_LeafTotalWork]]&gt;0),MAX(Tasks[[#This Row],[_StartWorkday]],NETWORKDAYS.INTL(ProjectStart,Tasks[[#This Row],[_ShownFcstFinish]],WorkWeek,Holidays)),0)</f>
        <v>0</v>
      </c>
      <c r="GA55" s="43" t="n">
        <f aca="false">IF(AND(Tasks[[#This Row],[_IsLeaf]]=1,Tasks[[#This Row],[_LeafTotalWork]]&gt;0),Tasks[[#This Row],[_LeafWork]]/(Tasks[[#This Row],[_FinishWorkday]]-Tasks[[#This Row],[_StartWorkday]]+1),0)</f>
        <v>0</v>
      </c>
      <c r="GB55" s="43" t="n">
        <f aca="false">Tasks[[#This Row],[_WorkPerWorkday]]*(Tasks[[#This Row],[_StartWorkday]]-1)</f>
        <v>-0</v>
      </c>
      <c r="GC55" s="43" t="n">
        <f aca="false">IF(Tasks[[#This Row],[_IsLeaf]]=1,MAX(N(Tasks[[#This Row],[_Days]]),0.1),0)</f>
        <v>0</v>
      </c>
      <c r="GD55" s="43" t="n">
        <f aca="false">Tasks[[#This Row],[_WeightDur]]*Tasks[[#This Row],[_LeafProgress]]</f>
        <v>0</v>
      </c>
      <c r="GE55" s="43" t="n">
        <f aca="false">Tasks[[#This Row],[_WeightDur]]*Tasks[[#This Row],[_PlannedPct]]</f>
        <v>0</v>
      </c>
      <c r="GF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5" s="43" t="str">
        <f aca="false">IF(AND(Tasks[[#This Row],[_IsLeaf]]=1,N(Tasks[[#This Row],[_Days]])=0,Tasks[[#This Row],[_LeafProgress]]&lt;1),Tasks[[#This Row],[_ShownFcstFinish]]+Tasks[[#This Row],[_Row]]/100000,"")</f>
        <v/>
      </c>
      <c r="GH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5" s="43" t="str">
        <f aca="false">IF(Tasks[[#This Row],[Task Name]]="","",LEFT(Tasks[[#This Row],[WBS]],FIND(".",Tasks[[#This Row],[WBS]]&amp;".")-1))</f>
        <v/>
      </c>
      <c r="GJ55" s="43" t="str">
        <f aca="false">IF(AND(Tasks[[#This Row],[Task Name]]&lt;&gt;"",Tasks[[#This Row],[_Level]]=1),Tasks[[#This Row],[_Row]],"")</f>
        <v/>
      </c>
      <c r="GK55" s="43" t="str">
        <f aca="false">IF(AND(Tasks[[#This Row],[_IsLeaf]]=1,N(Tasks[[#This Row],[_Days]])=0),Tasks[[#This Row],[Planned Finish]]+Tasks[[#This Row],[_Row]]/100000,"")</f>
        <v/>
      </c>
      <c r="GL55" s="43" t="str">
        <f aca="false">IF(AND(Tasks[[#This Row],[_IsLeaf]]=1,Tasks[[#This Row],[_LeafProgress]]&lt;1,OR(N(Tasks[[#This Row],[Finish Var]])&gt;0,Tasks[[#This Row],[Status]]="Late Start")),MAX(0,Tasks[[#This Row],[Finish Var]])+1-Tasks[[#This Row],[_Row]]/1000000,"")</f>
        <v/>
      </c>
      <c r="GM55" s="43" t="str">
        <f aca="false">IF(AND(Tasks[[#This Row],[_IsLeaf]]=1,N(Tasks[[#This Row],[Actual Start]])=0,Tasks[[#This Row],[_ShownFcstStart]]&gt;=StatusDate,Tasks[[#This Row],[_ShownFcstStart]]&lt;=LookaheadEnd),Tasks[[#This Row],[_ShownFcstStart]]+Tasks[[#This Row],[_Row]]/100000,"")</f>
        <v/>
      </c>
      <c r="GN55" s="43" t="str">
        <f aca="false">IF(AND(Tasks[[#This Row],[_IsLeaf]]=1,Tasks[[#This Row],[_LeafProgress]]&lt;1,Tasks[[#This Row],[_ShownFcstFinish]]&gt;=StatusDate,Tasks[[#This Row],[_ShownFcstFinish]]&lt;=LookaheadEnd),Tasks[[#This Row],[_ShownFcstFinish]]+Tasks[[#This Row],[_Row]]/100000,"")</f>
        <v/>
      </c>
      <c r="GO55" s="43" t="str">
        <f aca="false">IF(Tasks[[#This Row],[_LeafCritical]],Tasks[[#This Row],[_ShownFcstStart]]+Tasks[[#This Row],[_Row]]/100000,"")</f>
        <v/>
      </c>
      <c r="GP55" s="43" t="n">
        <f aca="false">Tasks[[#This Row],[_LeafWork]]*Tasks[[#This Row],[_LeafProgress]]</f>
        <v>0</v>
      </c>
      <c r="GQ55" s="91" t="str">
        <f aca="false">IF(AND(Tasks[[#This Row],[_IsLeaf]]=1,Tasks[[#This Row],[_LeafProgress]]&gt;=1),IF(N(Tasks[[#This Row],[Actual Finish]])&gt;0,Tasks[[#This Row],[Actual Finish]],Tasks[[#This Row],[_ShownFcstFinish]]),"")</f>
        <v/>
      </c>
      <c r="GR55" s="43" t="n">
        <f aca="false">IF(Tasks[[#This Row],[_IsLeaf]]=1,N(Tasks[[#This Row],[Story Points]]),0)</f>
        <v>0</v>
      </c>
      <c r="GS55" s="43" t="str">
        <f aca="false">""</f>
        <v/>
      </c>
      <c r="GT55" s="90" t="b">
        <f aca="false">IF(Tasks[[#This Row],[Task Name]]="",FALSE(),AND(Tasks[[#This Row],[_IsLeaf]]=1,N(Tasks[[#This Row],[_Days]])=0))</f>
        <v>0</v>
      </c>
      <c r="GU55" s="91" t="n">
        <f aca="false">IF(Tasks[[#This Row],[Task Name]]="",0,IF(AND(Tasks[[#This Row],[_IsLeaf]]=1,NOT(Tasks[[#This Row],[_IsMilestone]]),N(Tasks[[#This Row],[Progress]])&gt;0),Tasks[[#This Row],[Start]],0))</f>
        <v>0</v>
      </c>
      <c r="GV55" s="91" t="n">
        <f aca="false">IF(Tasks[[#This Row],[_DoneFrom]]=0,0,IF(Tasks[[#This Row],[Progress]]&gt;=1,Tasks[[#This Row],[Finish]],MAX(Tasks[[#This Row],[_DoneFrom]],Tasks[[#This Row],[Start]]+ROUND((Tasks[[#This Row],[Finish]]-Tasks[[#This Row],[Start]]+1)*Tasks[[#This Row],[Progress]],0)-1)))</f>
        <v>0</v>
      </c>
      <c r="GW55" s="91" t="n">
        <f aca="false">IF(Tasks[[#This Row],[Task Name]]="",0,IF(OR(NOT(Tasks[[#This Row],[_IsLeaf]]=1),Tasks[[#This Row],[_IsMilestone]],N(Tasks[[#This Row],[Progress]])&gt;=1),0,IF(Tasks[[#This Row],[_DoneTo]]&gt;0,Tasks[[#This Row],[_DoneTo]]+1,Tasks[[#This Row],[Start]])))</f>
        <v>0</v>
      </c>
      <c r="GX55" s="91" t="n">
        <f aca="false">IF(Tasks[[#This Row],[_RemFrom]]=0,0,Tasks[[#This Row],[Finish]])</f>
        <v>0</v>
      </c>
      <c r="GY55" s="90" t="b">
        <f aca="false">IF(Tasks[[#This Row],[Task Name]]="",FALSE(),OR(NOT(BaselineSet),N(Tasks[[#This Row],[Baseline Start]])&gt;0))</f>
        <v>0</v>
      </c>
      <c r="GZ5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5" s="92" t="str">
        <f aca="false">IF(Tasks[[#This Row],[_IsLeaf]]=1,Tasks[[#This Row],[_Row]],"")</f>
        <v/>
      </c>
      <c r="HD55" s="92" t="str">
        <f aca="false">IFERROR(INDEX(Tasks[UID],SMALL(Tasks[_PickKey],Tasks[[#This Row],[_Row]]))&amp;" "&amp;INDEX(Tasks[Task Name],SMALL(Tasks[_PickKey],Tasks[[#This Row],[_Row]])),"")</f>
        <v/>
      </c>
      <c r="HE55" s="43" t="str">
        <f aca="false">IF(Tasks[[#This Row],[Task Name]]="","",IF(Tasks[[#This Row],[_IsSummary]],NETWORKDAYS.INTL(Tasks[[#This Row],[Start]],Tasks[[#This Row],[Finish]],WorkWeek,Holidays),N(Tasks[[#This Row],[_Days]])))</f>
        <v/>
      </c>
      <c r="HF55" s="43" t="n">
        <f aca="false">IF(Tasks[[#This Row],[Expected]]="",0,((Tasks[[#This Row],[Pessimistic]]-Tasks[[#This Row],[Optimistic]])/6)^2)</f>
        <v>0</v>
      </c>
      <c r="HG55" s="43" t="n">
        <f aca="false">IF(Tasks[[#This Row],[Expected]]="",0,Tasks[[#This Row],[Expected]]-N(Tasks[[#This Row],[_Days]]))</f>
        <v>0</v>
      </c>
    </row>
    <row r="56" customFormat="false" ht="15" hidden="false" customHeight="false" outlineLevel="0" collapsed="false">
      <c r="A56" s="21" t="str">
        <f aca="false">IF(Tasks[[#This Row],[Task Name]]="","",COUNTA(Tasks[[#Headers],[Task Name]]:Tasks[[#This Row],[Task Name]])-1)</f>
        <v/>
      </c>
      <c r="B56" s="22" t="n">
        <v>64</v>
      </c>
      <c r="C56" s="22"/>
      <c r="D56" s="23"/>
      <c r="E56" s="22"/>
      <c r="F56" s="23"/>
      <c r="G56" s="22"/>
      <c r="H56" s="22"/>
      <c r="I56" s="23"/>
      <c r="J56" s="22"/>
      <c r="K56" s="22"/>
      <c r="L56" s="23"/>
      <c r="M56" s="22"/>
      <c r="N56" s="22"/>
      <c r="O56" s="23"/>
      <c r="P56" s="22"/>
      <c r="Q56" s="22"/>
      <c r="R56" s="23"/>
      <c r="S56" s="23"/>
      <c r="T56" s="84"/>
      <c r="U56" s="23"/>
      <c r="V56" s="84"/>
      <c r="W56" s="23"/>
      <c r="X56" s="84"/>
      <c r="Y56" s="23"/>
      <c r="Z56" s="84"/>
      <c r="AA56" s="23"/>
      <c r="AB56" s="23"/>
      <c r="AC56" s="7"/>
      <c r="AD56" s="7"/>
      <c r="AE56" s="63" t="str">
        <f aca="false">IF(Tasks[[#This Row],[Task Name]]="","",IF(Tasks[[#This Row],[_IsSummary]],MIN(INDEX(Tasks[_ShownFcstStart],Tasks[[#This Row],[_Row]]+1):INDEX(Tasks[_ShownFcstStart],Tasks[[#This Row],[_Row]]+Tasks[[#This Row],[_Descendants]])),Tasks[[#This Row],[_ShownFcstStart]]))</f>
        <v/>
      </c>
      <c r="AF56" s="63" t="str">
        <f aca="false">IF(Tasks[[#This Row],[Task Name]]="","",IF(Tasks[[#This Row],[_IsSummary]],MAX(INDEX(Tasks[_ShownFcstFinish],Tasks[[#This Row],[_Row]]+1):INDEX(Tasks[_ShownFcstFinish],Tasks[[#This Row],[_Row]]+Tasks[[#This Row],[_Descendants]])),Tasks[[#This Row],[_ShownFcstFinish]]))</f>
        <v/>
      </c>
      <c r="AG56" s="21" t="str">
        <f aca="false">""</f>
        <v/>
      </c>
      <c r="AH56" s="23"/>
      <c r="AI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6" s="7"/>
      <c r="AK56" s="22"/>
      <c r="AL56" s="23"/>
      <c r="AM56" s="7"/>
      <c r="AN56" s="47" t="str">
        <f aca="false">IF(Tasks[[#This Row],[Task Name]]="","",IF(Tasks[[#This Row],[Finish]]&gt;=Tasks[[#This Row],[Planned Finish]],NETWORKDAYS.INTL(Tasks[[#This Row],[Planned Finish]],Tasks[[#This Row],[Finish]],WorkWeek,Holidays)-1,1-NETWORKDAYS.INTL(Tasks[[#This Row],[Finish]],Tasks[[#This Row],[Planned Finish]],WorkWeek,Holidays)))</f>
        <v/>
      </c>
      <c r="AO56" s="21" t="str">
        <f aca="false">IF(Tasks[[#This Row],[Task Name]]="","",IF(Tasks[[#This Row],[Progress]]&gt;=1,"Complete",IF(OR(N(Tasks[[#This Row],[Actual Start]])&gt;0,Tasks[[#This Row],[Progress]]&gt;0),IF(Tasks[[#This Row],[Finish Var]]&gt;0,"Behind","In Progress"),IF(Tasks[[#This Row],[Planned Start]]&lt;StatusDate,"Late Start","Not Started"))))</f>
        <v/>
      </c>
      <c r="AP56" s="21" t="str">
        <f aca="false">IF(Tasks[[#This Row],[Task Name]]="","",IF(IF(Tasks[[#This Row],[_IsSummary]],COUNTIF(INDEX(Tasks[_LeafCritical],Tasks[[#This Row],[_Row]]+1):INDEX(Tasks[_LeafCritical],Tasks[[#This Row],[_Row]]+Tasks[[#This Row],[_Descendants]]),TRUE())&gt;0,Tasks[[#This Row],[_LeafCritical]]),"Yes",""))</f>
        <v/>
      </c>
      <c r="AQ56" s="63" t="str">
        <f aca="false">IF(Tasks[[#This Row],[Task Name]]="","",IF(N(Tasks[[#This Row],[Baseline Start]])&gt;0,Tasks[[#This Row],[Baseline Start]],Tasks[[#This Row],[_CalcStart]]))</f>
        <v/>
      </c>
      <c r="AR56" s="63" t="str">
        <f aca="false">IF(Tasks[[#This Row],[Task Name]]="","",IF(N(Tasks[[#This Row],[Baseline Finish]])&gt;0,Tasks[[#This Row],[Baseline Finish]],Tasks[[#This Row],[_CalcFinish]]))</f>
        <v/>
      </c>
      <c r="AS56" s="47" t="str">
        <f aca="false">IF(Tasks[[#This Row],[Task Name]]="","",IF(Tasks[[#This Row],[Start]]&gt;=Tasks[[#This Row],[Planned Start]],NETWORKDAYS.INTL(Tasks[[#This Row],[Planned Start]],Tasks[[#This Row],[Start]],WorkWeek,Holidays)-1,1-NETWORKDAYS.INTL(Tasks[[#This Row],[Start]],Tasks[[#This Row],[Planned Start]],WorkWeek,Holidays)))</f>
        <v/>
      </c>
      <c r="AT56" s="63" t="str">
        <f aca="false">IF(Tasks[[#This Row],[Task Name]]="","",IF(Tasks[[#This Row],[_IsSummary]],MIN(INDEX(Tasks[_LeafLateStart],Tasks[[#This Row],[_Row]]+1):INDEX(Tasks[_LeafLateStart],Tasks[[#This Row],[_Row]]+Tasks[[#This Row],[_Descendants]])),Tasks[[#This Row],[_LeafLateStart]]))</f>
        <v/>
      </c>
      <c r="AU56" s="63" t="str">
        <f aca="false">IF(Tasks[[#This Row],[Task Name]]="","",IF(Tasks[[#This Row],[_IsSummary]],MAX(INDEX(Tasks[_LeafLateFinish],Tasks[[#This Row],[_Row]]+1):INDEX(Tasks[_LeafLateFinish],Tasks[[#This Row],[_Row]]+Tasks[[#This Row],[_Descendants]])),Tasks[[#This Row],[_LeafLateFinish]]))</f>
        <v/>
      </c>
      <c r="AV56" s="47" t="str">
        <f aca="false">IF(Tasks[[#This Row],[Task Name]]="","",IF(Tasks[[#This Row],[_IsSummary]],MIN(INDEX(Tasks[_LeafTotalSlack],Tasks[[#This Row],[_Row]]+1):INDEX(Tasks[_LeafTotalSlack],Tasks[[#This Row],[_Row]]+Tasks[[#This Row],[_Descendants]])),Tasks[[#This Row],[_LeafTotalSlack]]))</f>
        <v/>
      </c>
      <c r="AW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5"/>
      <c r="BA5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t="str">
        <f aca="false">IF(Tasks[[#This Row],[Task Name]]="","",IF(Tasks[[#This Row],[_Level]]&lt;=OutlineShowLevel,"Yes","No"))</f>
        <v/>
      </c>
      <c r="BE56" s="86" t="str">
        <f aca="false">IF(Tasks[[#This Row],[Task Name]]="","",IF(Tasks[[#This Row],[_IsSummary]],SUM(INDEX(Tasks[_LeafTotalWork],Tasks[[#This Row],[_Row]]+1):INDEX(Tasks[_LeafTotalWork],Tasks[[#This Row],[_Row]]+Tasks[[#This Row],[_Descendants]])),Tasks[[#This Row],[_LeafTotalWork]]))</f>
        <v/>
      </c>
      <c r="BF56" s="23"/>
      <c r="BG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t="str">
        <f aca="false">""</f>
        <v/>
      </c>
      <c r="BI56" s="87"/>
      <c r="BJ56" s="22"/>
      <c r="BK56" s="47" t="str">
        <f aca="false">IF(OR(Tasks[[#This Row],[Task Name]]="",Tasks[[#This Row],[Baseline Duration]]=""),"",Tasks[[#This Row],[_SpanDays]]-N(Tasks[[#This Row],[Baseline Duration]]))</f>
        <v/>
      </c>
      <c r="BL56" s="86" t="str">
        <f aca="false">IF(OR(Tasks[[#This Row],[Task Name]]="",Tasks[[#This Row],[Baseline Work]]=""),"",Tasks[[#This Row],[Work]]-N(Tasks[[#This Row],[Baseline Work]]))</f>
        <v/>
      </c>
      <c r="BM56" s="63" t="str">
        <f aca="false">IF(Tasks[[#This Row],[Task Name]]="","",IF(OR(TakeBaseline="Yes",N(Tasks[[#This Row],[Baseline Start]])=0),Tasks[[#This Row],[Start]],Tasks[[#This Row],[Baseline Start]]))</f>
        <v/>
      </c>
      <c r="BN56" s="63" t="str">
        <f aca="false">IF(Tasks[[#This Row],[Task Name]]="","",IF(OR(TakeBaseline="Yes",N(Tasks[[#This Row],[Baseline Finish]])=0),Tasks[[#This Row],[Finish]],Tasks[[#This Row],[Baseline Finish]]))</f>
        <v/>
      </c>
      <c r="BO56" s="21" t="str">
        <f aca="false">IF(Tasks[[#This Row],[Task Name]]="","",IF(OR(TakeBaseline="Yes",N(Tasks[[#This Row],[Baseline Duration]])=0),Tasks[[#This Row],[_SpanDays]],Tasks[[#This Row],[Baseline Duration]]))</f>
        <v/>
      </c>
      <c r="BP56" s="86" t="str">
        <f aca="false">IF(Tasks[[#This Row],[Task Name]]="","",IF(OR(TakeBaseline="Yes",N(Tasks[[#This Row],[Baseline Work]])=0),Tasks[[#This Row],[Work]],Tasks[[#This Row],[Baseline Work]]))</f>
        <v/>
      </c>
      <c r="BQ56" s="7"/>
      <c r="BR56" s="7"/>
      <c r="BS56" s="22"/>
      <c r="BT56" s="88"/>
      <c r="BU56" s="23"/>
      <c r="BV56" s="23"/>
      <c r="BW56" s="23"/>
      <c r="BX56" s="89" t="str">
        <f aca="false">IF(AND(Tasks[[#This Row],[_IsLeaf]]=1,ISNUMBER(Tasks[[#This Row],[Optimistic]]),ISNUMBER(Tasks[[#This Row],[Pessimistic]])),ROUND((Tasks[[#This Row],[Optimistic]]+4*N(Tasks[[#This Row],[_Days]])+Tasks[[#This Row],[Pessimistic]])/6,1),"")</f>
        <v/>
      </c>
      <c r="BY56" s="87"/>
      <c r="BZ56" s="87"/>
      <c r="CA56" s="22"/>
      <c r="CB56" s="43" t="str">
        <f aca="false">IF(Tasks[[#This Row],[Task Name]]="","",MAX(1,N(Tasks[[#This Row],[Level]])))</f>
        <v/>
      </c>
      <c r="CC56" s="43" t="n">
        <f aca="false">ROW()-ROW(Tasks[[#Headers],[ID]])</f>
        <v>51</v>
      </c>
      <c r="CD56" s="43" t="n">
        <f aca="false">IF(OR(Tasks[[#This Row],[Task Name]]="",Tasks[[#This Row],[_Level]]&lt;=1),0,IFERROR(LOOKUP(2,1/(Tasks[[#Headers],[_Level]]:Tasks[[#This Row],[_Level]]=Tasks[[#This Row],[_Level]]-1),ROW(Tasks[[#Headers],[_Level]]:Tasks[[#This Row],[_Level]])),0))</f>
        <v>0</v>
      </c>
      <c r="CE56" s="43" t="n">
        <f aca="false">IFERROR(N(INDEX(Tasks[_Level],Tasks[[#This Row],[_Row]]+1)),0)</f>
        <v>0</v>
      </c>
      <c r="CF56" s="90" t="b">
        <f aca="false">AND(Tasks[[#This Row],[Task Name]]&lt;&gt;"",Tasks[[#This Row],[_NextLevel]]&gt;Tasks[[#This Row],[_Level]])</f>
        <v>0</v>
      </c>
      <c r="CG56" s="43" t="n">
        <f aca="false">IF(Tasks[[#This Row],[_IsSummary]],COUNTIF(Tasks[WBS],Tasks[[#This Row],[WBS]]&amp;".*"),0)</f>
        <v>0</v>
      </c>
      <c r="CH56" s="43" t="n">
        <f aca="false">IF(AND(Tasks[[#This Row],[Task Name]]&lt;&gt;"",NOT(Tasks[[#This Row],[_IsSummary]])),1,0)</f>
        <v>0</v>
      </c>
      <c r="CI56" s="43" t="n">
        <f aca="false">IF(N(Tasks[[#This Row],[_Pred1UID]])=0,0,IFERROR(MATCH(Tasks[[#This Row],[_Pred1UID]],Tasks[UID],0),-1))</f>
        <v>0</v>
      </c>
      <c r="CJ56" s="43" t="n">
        <f aca="false">IF(N(Tasks[[#This Row],[_Pred2UID]])=0,0,IFERROR(MATCH(Tasks[[#This Row],[_Pred2UID]],Tasks[UID],0),-1))</f>
        <v>0</v>
      </c>
      <c r="CK56" s="43" t="n">
        <f aca="false">IF(N(Tasks[[#This Row],[_Pred3UID]])=0,0,IFERROR(MATCH(Tasks[[#This Row],[_Pred3UID]],Tasks[UID],0),-1))</f>
        <v>0</v>
      </c>
      <c r="CL56" s="43" t="n">
        <f aca="false">IF(N(Tasks[[#This Row],[_Pred4UID]])=0,0,IFERROR(MATCH(Tasks[[#This Row],[_Pred4UID]],Tasks[UID],0),-1))</f>
        <v>0</v>
      </c>
      <c r="CM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6" s="91" t="n">
        <f aca="false">IF(OR(Tasks[[#This Row],[_ConstraintCode]]=2,Tasks[[#This Row],[_ConstraintCode]]=3,Tasks[[#This Row],[_ConstraintCode]]=4,Tasks[[#This Row],[_ConstraintCode]]=6),Tasks[[#This Row],[_ConstraintStart]],0)</f>
        <v>0</v>
      </c>
      <c r="CP56" s="91" t="n">
        <f aca="false">IF(OR(Tasks[[#This Row],[_ConstraintCode]]=2,Tasks[[#This Row],[_ConstraintCode]]=3,Tasks[[#This Row],[_ConstraintCode]]=5,Tasks[[#This Row],[_ConstraintCode]]=7),Tasks[[#This Row],[_ConstraintStart]],2958465)</f>
        <v>2958465</v>
      </c>
      <c r="CQ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6" s="91" t="str">
        <f aca="false">IF(NOT(Tasks[[#This Row],[_IsLeaf]]=1),"",IF(N(Tasks[[#This Row],[_Days]])&lt;=0,Tasks[[#This Row],[_LeafCalcStart]],WORKDAY.INTL(Tasks[[#This Row],[_LeafCalcStart]],Tasks[[#This Row],[_Days]]-1,WorkWeek,Holidays)))</f>
        <v/>
      </c>
      <c r="CS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6" s="43" t="str">
        <f aca="false">IF(Tasks[[#This Row],[_Predecessors]]="","",TRIM(MID(SUBSTITUTE(SUBSTITUTE(SUBSTITUTE(UPPER(Tasks[[#This Row],[_Predecessors]]),";",",")," ",""),",",REPT(" ",99)),1,99)))</f>
        <v/>
      </c>
      <c r="CV56" s="43" t="str">
        <f aca="false">IF(Tasks[[#This Row],[_Pred1Text]]="","",IFERROR(VALUE(LEFT(Tasks[[#This Row],[_Pred1Text]],MIN(FIND("F",Tasks[[#This Row],[_Pred1Text]]&amp;"F"),FIND("S",Tasks[[#This Row],[_Pred1Text]]&amp;"S"),FIND("+",Tasks[[#This Row],[_Pred1Text]]&amp;"+"),FIND("-",Tasks[[#This Row],[_Pred1Text]]&amp;"-"))-1)),""))</f>
        <v/>
      </c>
      <c r="CW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6" s="43" t="str">
        <f aca="false">IF(Tasks[[#This Row],[_Pred1Text]]="","",TRIM(MID(SUBSTITUTE(SUBSTITUTE(SUBSTITUTE(UPPER(Tasks[[#This Row],[_Predecessors]]),";",",")," ",""),",",REPT(" ",99)),100,99)))</f>
        <v/>
      </c>
      <c r="CZ56" s="43" t="str">
        <f aca="false">IF(Tasks[[#This Row],[_Pred2Text]]="","",IFERROR(VALUE(LEFT(Tasks[[#This Row],[_Pred2Text]],MIN(FIND("F",Tasks[[#This Row],[_Pred2Text]]&amp;"F"),FIND("S",Tasks[[#This Row],[_Pred2Text]]&amp;"S"),FIND("+",Tasks[[#This Row],[_Pred2Text]]&amp;"+"),FIND("-",Tasks[[#This Row],[_Pred2Text]]&amp;"-"))-1)),""))</f>
        <v/>
      </c>
      <c r="DA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6" s="43" t="str">
        <f aca="false">IF(Tasks[[#This Row],[_Pred2Text]]="","",TRIM(MID(SUBSTITUTE(SUBSTITUTE(SUBSTITUTE(UPPER(Tasks[[#This Row],[_Predecessors]]),";",",")," ",""),",",REPT(" ",99)),199,99)))</f>
        <v/>
      </c>
      <c r="DD56" s="43" t="str">
        <f aca="false">IF(Tasks[[#This Row],[_Pred3Text]]="","",IFERROR(VALUE(LEFT(Tasks[[#This Row],[_Pred3Text]],MIN(FIND("F",Tasks[[#This Row],[_Pred3Text]]&amp;"F"),FIND("S",Tasks[[#This Row],[_Pred3Text]]&amp;"S"),FIND("+",Tasks[[#This Row],[_Pred3Text]]&amp;"+"),FIND("-",Tasks[[#This Row],[_Pred3Text]]&amp;"-"))-1)),""))</f>
        <v/>
      </c>
      <c r="DE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6" s="43" t="str">
        <f aca="false">IF(Tasks[[#This Row],[_Pred3Text]]="","",TRIM(MID(SUBSTITUTE(SUBSTITUTE(SUBSTITUTE(UPPER(Tasks[[#This Row],[_Predecessors]]),";",",")," ",""),",",REPT(" ",99)),298,99)))</f>
        <v/>
      </c>
      <c r="DH56" s="43" t="str">
        <f aca="false">IF(Tasks[[#This Row],[_Pred4Text]]="","",IFERROR(VALUE(LEFT(Tasks[[#This Row],[_Pred4Text]],MIN(FIND("F",Tasks[[#This Row],[_Pred4Text]]&amp;"F"),FIND("S",Tasks[[#This Row],[_Pred4Text]]&amp;"S"),FIND("+",Tasks[[#This Row],[_Pred4Text]]&amp;"+"),FIND("-",Tasks[[#This Row],[_Pred4Text]]&amp;"-"))-1)),""))</f>
        <v/>
      </c>
      <c r="DI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6" s="43" t="str">
        <f aca="false">IF(OR(Tasks[[#This Row],[Task Name]]="",Tasks[[#This Row],[_Resources]]=""),"",TRIM(MID(SUBSTITUTE(Tasks[[#This Row],[_Resources]],",",REPT(" ",99)),1,99)))</f>
        <v/>
      </c>
      <c r="DL56" s="43" t="str">
        <f aca="false">IF(Tasks[[#This Row],[_Res1Text]]="","",TRIM(MID(SUBSTITUTE(Tasks[[#This Row],[_Resources]],",",REPT(" ",99)),100,99)))</f>
        <v/>
      </c>
      <c r="DM56" s="43" t="str">
        <f aca="false">IF(Tasks[[#This Row],[_Res2Text]]="","",TRIM(MID(SUBSTITUTE(Tasks[[#This Row],[_Resources]],",",REPT(" ",99)),199,99)))</f>
        <v/>
      </c>
      <c r="DN56" s="43" t="str">
        <f aca="false">IF(Tasks[[#This Row],[_Res3Text]]="","",TRIM(MID(SUBSTITUTE(Tasks[[#This Row],[_Resources]],",",REPT(" ",99)),298,99)))</f>
        <v/>
      </c>
      <c r="DO56" s="43" t="n">
        <f aca="false">IF(Tasks[[#This Row],[_Res1Text]]="",0,IFERROR(MATCH(TRIM(LEFT(Tasks[[#This Row],[_Res1Text]],FIND("[",Tasks[[#This Row],[_Res1Text]]&amp;"[")-1)),res_Name,0),IFERROR(MATCH(TRIM(LEFT(Tasks[[#This Row],[_Res1Text]],FIND("[",Tasks[[#This Row],[_Res1Text]]&amp;"[")-1)),res_Initials,0),0)))</f>
        <v>0</v>
      </c>
      <c r="DP56" s="43" t="n">
        <f aca="false">IF(Tasks[[#This Row],[_Res2Text]]="",0,IFERROR(MATCH(TRIM(LEFT(Tasks[[#This Row],[_Res2Text]],FIND("[",Tasks[[#This Row],[_Res2Text]]&amp;"[")-1)),res_Name,0),IFERROR(MATCH(TRIM(LEFT(Tasks[[#This Row],[_Res2Text]],FIND("[",Tasks[[#This Row],[_Res2Text]]&amp;"[")-1)),res_Initials,0),0)))</f>
        <v>0</v>
      </c>
      <c r="DQ56" s="43" t="n">
        <f aca="false">IF(Tasks[[#This Row],[_Res3Text]]="",0,IFERROR(MATCH(TRIM(LEFT(Tasks[[#This Row],[_Res3Text]],FIND("[",Tasks[[#This Row],[_Res3Text]]&amp;"[")-1)),res_Name,0),IFERROR(MATCH(TRIM(LEFT(Tasks[[#This Row],[_Res3Text]],FIND("[",Tasks[[#This Row],[_Res3Text]]&amp;"[")-1)),res_Initials,0),0)))</f>
        <v>0</v>
      </c>
      <c r="DR56" s="43" t="n">
        <f aca="false">IF(Tasks[[#This Row],[_Res4Text]]="",0,IFERROR(MATCH(TRIM(LEFT(Tasks[[#This Row],[_Res4Text]],FIND("[",Tasks[[#This Row],[_Res4Text]]&amp;"[")-1)),res_Name,0),IFERROR(MATCH(TRIM(LEFT(Tasks[[#This Row],[_Res4Text]],FIND("[",Tasks[[#This Row],[_Res4Text]]&amp;"[")-1)),res_Initials,0),0)))</f>
        <v>0</v>
      </c>
      <c r="DS56" s="43" t="str">
        <f aca="false">IF(Tasks[[#This Row],[_Res1Text]]="","",IF(Tasks[[#This Row],[_Res1Row]]&gt;0,INDEX(res_Name,Tasks[[#This Row],[_Res1Row]]),TRIM(LEFT(Tasks[[#This Row],[_Res1Text]],FIND("[",Tasks[[#This Row],[_Res1Text]]&amp;"[")-1))))</f>
        <v/>
      </c>
      <c r="DT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6" s="43" t="n">
        <f aca="false">IF(NOT(Tasks[[#This Row],[_IsLeaf]]=1),0,(Tasks[[#This Row],[_Resource1]]&lt;&gt;"")+(Tasks[[#This Row],[_Res2]]&lt;&gt;"")+(Tasks[[#This Row],[_Res3]]&lt;&gt;"")+(Tasks[[#This Row],[_Res4]]&lt;&gt;""))</f>
        <v>0</v>
      </c>
      <c r="DV56" s="43" t="str">
        <f aca="false">IF(Tasks[[#This Row],[_Res2Text]]="","",IF(Tasks[[#This Row],[_Res2Row]]&gt;0,INDEX(res_Name,Tasks[[#This Row],[_Res2Row]]),TRIM(LEFT(Tasks[[#This Row],[_Res2Text]],FIND("[",Tasks[[#This Row],[_Res2Text]]&amp;"[")-1))))</f>
        <v/>
      </c>
      <c r="DW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6" s="43" t="n">
        <f aca="false">IF(OR(NOT(Tasks[[#This Row],[_IsLeaf]]=1),Tasks[[#This Row],[_Res2Row]]=0),0,N(Tasks[[#This Row],[_Days]])*HoursPerDay*IF(Tasks[[#This Row],[_Res2Units]]="",DefaultUnits,Tasks[[#This Row],[_Res2Units]]))</f>
        <v>0</v>
      </c>
      <c r="DY56" s="43" t="n">
        <f aca="false">IF(AND(AND(Tasks[[#This Row],[_IsLeaf]]=1,Tasks[[#This Row],[_LeafTotalWork]]&gt;0),Tasks[[#This Row],[_Res2Work]]&gt;0),Tasks[[#This Row],[_Res2Work]]/(Tasks[[#This Row],[_FinishWorkday]]-Tasks[[#This Row],[_StartWorkday]]+1),0)</f>
        <v>0</v>
      </c>
      <c r="DZ56" s="43" t="n">
        <f aca="false">Tasks[[#This Row],[_Res2WorkPerWD]]*MAX(0,Tasks[[#This Row],[_StartWorkday]]-1)</f>
        <v>0</v>
      </c>
      <c r="EA56" s="43" t="n">
        <f aca="false">Tasks[[#This Row],[_Res2Work]]*Tasks[[#This Row],[_LeafProgress]]</f>
        <v>0</v>
      </c>
      <c r="EB56" s="43" t="str">
        <f aca="false">IF(Tasks[[#This Row],[_Res3Text]]="","",IF(Tasks[[#This Row],[_Res3Row]]&gt;0,INDEX(res_Name,Tasks[[#This Row],[_Res3Row]]),TRIM(LEFT(Tasks[[#This Row],[_Res3Text]],FIND("[",Tasks[[#This Row],[_Res3Text]]&amp;"[")-1))))</f>
        <v/>
      </c>
      <c r="EC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6" s="43" t="n">
        <f aca="false">IF(OR(NOT(Tasks[[#This Row],[_IsLeaf]]=1),Tasks[[#This Row],[_Res3Row]]=0),0,N(Tasks[[#This Row],[_Days]])*HoursPerDay*IF(Tasks[[#This Row],[_Res3Units]]="",DefaultUnits,Tasks[[#This Row],[_Res3Units]]))</f>
        <v>0</v>
      </c>
      <c r="EE56" s="43" t="n">
        <f aca="false">IF(AND(AND(Tasks[[#This Row],[_IsLeaf]]=1,Tasks[[#This Row],[_LeafTotalWork]]&gt;0),Tasks[[#This Row],[_Res3Work]]&gt;0),Tasks[[#This Row],[_Res3Work]]/(Tasks[[#This Row],[_FinishWorkday]]-Tasks[[#This Row],[_StartWorkday]]+1),0)</f>
        <v>0</v>
      </c>
      <c r="EF56" s="43" t="n">
        <f aca="false">Tasks[[#This Row],[_Res3WorkPerWD]]*MAX(0,Tasks[[#This Row],[_StartWorkday]]-1)</f>
        <v>0</v>
      </c>
      <c r="EG56" s="43" t="n">
        <f aca="false">Tasks[[#This Row],[_Res3Work]]*Tasks[[#This Row],[_LeafProgress]]</f>
        <v>0</v>
      </c>
      <c r="EH56" s="43" t="str">
        <f aca="false">IF(Tasks[[#This Row],[_Res4Text]]="","",IF(Tasks[[#This Row],[_Res4Row]]&gt;0,INDEX(res_Name,Tasks[[#This Row],[_Res4Row]]),TRIM(LEFT(Tasks[[#This Row],[_Res4Text]],FIND("[",Tasks[[#This Row],[_Res4Text]]&amp;"[")-1))))</f>
        <v/>
      </c>
      <c r="EI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6" s="43" t="n">
        <f aca="false">IF(OR(NOT(Tasks[[#This Row],[_IsLeaf]]=1),Tasks[[#This Row],[_Res4Row]]=0),0,N(Tasks[[#This Row],[_Days]])*HoursPerDay*IF(Tasks[[#This Row],[_Res4Units]]="",DefaultUnits,Tasks[[#This Row],[_Res4Units]]))</f>
        <v>0</v>
      </c>
      <c r="EK56" s="43" t="n">
        <f aca="false">IF(AND(AND(Tasks[[#This Row],[_IsLeaf]]=1,Tasks[[#This Row],[_LeafTotalWork]]&gt;0),Tasks[[#This Row],[_Res4Work]]&gt;0),Tasks[[#This Row],[_Res4Work]]/(Tasks[[#This Row],[_FinishWorkday]]-Tasks[[#This Row],[_StartWorkday]]+1),0)</f>
        <v>0</v>
      </c>
      <c r="EL56" s="43" t="n">
        <f aca="false">Tasks[[#This Row],[_Res4WorkPerWD]]*MAX(0,Tasks[[#This Row],[_StartWorkday]]-1)</f>
        <v>0</v>
      </c>
      <c r="EM56" s="43" t="n">
        <f aca="false">Tasks[[#This Row],[_Res4Work]]*Tasks[[#This Row],[_LeafProgress]]</f>
        <v>0</v>
      </c>
      <c r="EN56" s="43" t="n">
        <f aca="false">IF(ISNUMBER(Tasks[[#This Row],[% Complete]]),Tasks[[#This Row],[% Complete]],IF(Tasks[[#This Row],[Stage]]="",0,IFERROR(INDEX(stg_Pct,MATCH(Tasks[[#This Row],[Stage]],stg_Name,0)),0)))</f>
        <v>0</v>
      </c>
      <c r="EO56" s="43" t="n">
        <f aca="false">IF(NOT(Tasks[[#This Row],[_IsLeaf]]=1),0,IF(N(Tasks[[#This Row],[Actual Finish]])&gt;0,1,MIN(1,Tasks[[#This Row],[_Pct]])))</f>
        <v>0</v>
      </c>
      <c r="EP56" s="43" t="n">
        <f aca="false">IF(OR(NOT(Tasks[[#This Row],[_IsLeaf]]=1),Tasks[[#This Row],[_Res1Row]]=0),0,N(Tasks[[#This Row],[_Days]])*HoursPerDay*IF(Tasks[[#This Row],[_Units1]]="",DefaultUnits,Tasks[[#This Row],[_Units1]]))</f>
        <v>0</v>
      </c>
      <c r="EQ56" s="43" t="n">
        <f aca="false">Tasks[[#This Row],[_LeafWork]]+Tasks[[#This Row],[_Res2Work]]+Tasks[[#This Row],[_Res3Work]]+Tasks[[#This Row],[_Res4Work]]</f>
        <v>0</v>
      </c>
      <c r="ER5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6" s="43" t="n">
        <f aca="false">IF(NOT(Tasks[[#This Row],[_IsLeaf]]=1),0,MAX(_xlfn.MAXIFS(Tasks[_Row],Tasks[_Pred1UID],Tasks[[#This Row],[UID]]),_xlfn.MAXIFS(Tasks[_Row],Tasks[_Pred2UID],Tasks[[#This Row],[UID]]),_xlfn.MAXIFS(Tasks[_Row],Tasks[_Pred3UID],Tasks[[#This Row],[UID]]),_xlfn.MAXIFS(Tasks[_Row],Tasks[_Pred4UID],Tasks[[#This Row],[UID]])))</f>
        <v>0</v>
      </c>
      <c r="FA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6" s="91" t="str">
        <f aca="false">IF(NOT(Tasks[[#This Row],[_IsLeaf]]=1),"",IF(N(Tasks[[#This Row],[_Days]])&lt;=0,Tasks[[#This Row],[_LeafLateFinish]],WORKDAY.INTL(Tasks[[#This Row],[_LeafLateFinish]],-(Tasks[[#This Row],[_Days]]-1),WorkWeek,Holidays)))</f>
        <v/>
      </c>
      <c r="FD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6" s="90" t="b">
        <f aca="false">AND(Tasks[[#This Row],[_IsLeaf]]=1,Tasks[[#This Row],[_LeafProgress]]&lt;1,N(Tasks[[#This Row],[_LeafTotalSlack]])&lt;=CriticalSlackDays)</f>
        <v>0</v>
      </c>
      <c r="FF56" s="43" t="n">
        <f aca="false">IF(AND(Tasks[[#This Row],[_IsLeaf]]=1,Tasks[[#This Row],[_ConstraintCode]]=1,Tasks[[#This Row],[Mode]]&lt;&gt;"Manual",N(Tasks[[#This Row],[Actual Start]])=0),MAX(0,N(Tasks[[#This Row],[Free Slack]])),0)</f>
        <v>0</v>
      </c>
      <c r="FG56" s="91" t="str">
        <f aca="false">IF(NOT(Tasks[[#This Row],[_IsLeaf]]=1),"",IF(Tasks[[#This Row],[_AlapShift]]=0,Tasks[[#This Row],[_LeafCalcStart]],WORKDAY.INTL(Tasks[[#This Row],[_LeafCalcStart]],Tasks[[#This Row],[_AlapShift]],WorkWeek,Holidays)))</f>
        <v/>
      </c>
      <c r="FH56" s="91" t="str">
        <f aca="false">IF(NOT(Tasks[[#This Row],[_IsLeaf]]=1),"",IF(Tasks[[#This Row],[_AlapShift]]=0,Tasks[[#This Row],[_LeafCalcFinish]],WORKDAY.INTL(Tasks[[#This Row],[_LeafCalcFinish]],Tasks[[#This Row],[_AlapShift]],WorkWeek,Holidays)))</f>
        <v/>
      </c>
      <c r="FI56" s="91" t="str">
        <f aca="false">IF(NOT(Tasks[[#This Row],[_IsLeaf]]=1),"",IF(Tasks[[#This Row],[_AlapShift]]=0,Tasks[[#This Row],[_LeafFcstStart]],WORKDAY.INTL(Tasks[[#This Row],[_LeafFcstStart]],Tasks[[#This Row],[_AlapShift]],WorkWeek,Holidays)))</f>
        <v/>
      </c>
      <c r="FJ56" s="91" t="str">
        <f aca="false">IF(NOT(Tasks[[#This Row],[_IsLeaf]]=1),"",IF(Tasks[[#This Row],[_AlapShift]]=0,Tasks[[#This Row],[_LeafFcstFinish]],WORKDAY.INTL(Tasks[[#This Row],[_LeafFcstFinish]],Tasks[[#This Row],[_AlapShift]],WorkWeek,Holidays)))</f>
        <v/>
      </c>
      <c r="FK56" s="91" t="str">
        <f aca="false">IF(Tasks[[#This Row],[Task Name]]="","",IF(Tasks[[#This Row],[_IsSummary]],MIN(INDEX(Tasks[_ShownCalcStart],Tasks[[#This Row],[_Row]]+1):INDEX(Tasks[_ShownCalcStart],Tasks[[#This Row],[_Row]]+Tasks[[#This Row],[_Descendants]])),Tasks[[#This Row],[_ShownCalcStart]]))</f>
        <v/>
      </c>
      <c r="FL56" s="91" t="str">
        <f aca="false">IF(Tasks[[#This Row],[Task Name]]="","",IF(Tasks[[#This Row],[_IsSummary]],MAX(INDEX(Tasks[_ShownCalcFinish],Tasks[[#This Row],[_Row]]+1):INDEX(Tasks[_ShownCalcFinish],Tasks[[#This Row],[_Row]]+Tasks[[#This Row],[_Descendants]])),Tasks[[#This Row],[_ShownCalcFinish]]))</f>
        <v/>
      </c>
      <c r="FM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6" s="43" t="n">
        <f aca="false">IF(AND(Tasks[[#This Row],[_IsLeaf]]=1,Tasks[[#This Row],[_LeafTotalWork]]&gt;0),NETWORKDAYS.INTL(ProjectStart,Tasks[[#This Row],[_ShownFcstStart]],WorkWeek,Holidays),0)</f>
        <v>0</v>
      </c>
      <c r="FZ56" s="43" t="n">
        <f aca="false">IF(AND(Tasks[[#This Row],[_IsLeaf]]=1,Tasks[[#This Row],[_LeafTotalWork]]&gt;0),MAX(Tasks[[#This Row],[_StartWorkday]],NETWORKDAYS.INTL(ProjectStart,Tasks[[#This Row],[_ShownFcstFinish]],WorkWeek,Holidays)),0)</f>
        <v>0</v>
      </c>
      <c r="GA56" s="43" t="n">
        <f aca="false">IF(AND(Tasks[[#This Row],[_IsLeaf]]=1,Tasks[[#This Row],[_LeafTotalWork]]&gt;0),Tasks[[#This Row],[_LeafWork]]/(Tasks[[#This Row],[_FinishWorkday]]-Tasks[[#This Row],[_StartWorkday]]+1),0)</f>
        <v>0</v>
      </c>
      <c r="GB56" s="43" t="n">
        <f aca="false">Tasks[[#This Row],[_WorkPerWorkday]]*(Tasks[[#This Row],[_StartWorkday]]-1)</f>
        <v>-0</v>
      </c>
      <c r="GC56" s="43" t="n">
        <f aca="false">IF(Tasks[[#This Row],[_IsLeaf]]=1,MAX(N(Tasks[[#This Row],[_Days]]),0.1),0)</f>
        <v>0</v>
      </c>
      <c r="GD56" s="43" t="n">
        <f aca="false">Tasks[[#This Row],[_WeightDur]]*Tasks[[#This Row],[_LeafProgress]]</f>
        <v>0</v>
      </c>
      <c r="GE56" s="43" t="n">
        <f aca="false">Tasks[[#This Row],[_WeightDur]]*Tasks[[#This Row],[_PlannedPct]]</f>
        <v>0</v>
      </c>
      <c r="GF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6" s="43" t="str">
        <f aca="false">IF(AND(Tasks[[#This Row],[_IsLeaf]]=1,N(Tasks[[#This Row],[_Days]])=0,Tasks[[#This Row],[_LeafProgress]]&lt;1),Tasks[[#This Row],[_ShownFcstFinish]]+Tasks[[#This Row],[_Row]]/100000,"")</f>
        <v/>
      </c>
      <c r="GH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6" s="43" t="str">
        <f aca="false">IF(Tasks[[#This Row],[Task Name]]="","",LEFT(Tasks[[#This Row],[WBS]],FIND(".",Tasks[[#This Row],[WBS]]&amp;".")-1))</f>
        <v/>
      </c>
      <c r="GJ56" s="43" t="str">
        <f aca="false">IF(AND(Tasks[[#This Row],[Task Name]]&lt;&gt;"",Tasks[[#This Row],[_Level]]=1),Tasks[[#This Row],[_Row]],"")</f>
        <v/>
      </c>
      <c r="GK56" s="43" t="str">
        <f aca="false">IF(AND(Tasks[[#This Row],[_IsLeaf]]=1,N(Tasks[[#This Row],[_Days]])=0),Tasks[[#This Row],[Planned Finish]]+Tasks[[#This Row],[_Row]]/100000,"")</f>
        <v/>
      </c>
      <c r="GL56" s="43" t="str">
        <f aca="false">IF(AND(Tasks[[#This Row],[_IsLeaf]]=1,Tasks[[#This Row],[_LeafProgress]]&lt;1,OR(N(Tasks[[#This Row],[Finish Var]])&gt;0,Tasks[[#This Row],[Status]]="Late Start")),MAX(0,Tasks[[#This Row],[Finish Var]])+1-Tasks[[#This Row],[_Row]]/1000000,"")</f>
        <v/>
      </c>
      <c r="GM56" s="43" t="str">
        <f aca="false">IF(AND(Tasks[[#This Row],[_IsLeaf]]=1,N(Tasks[[#This Row],[Actual Start]])=0,Tasks[[#This Row],[_ShownFcstStart]]&gt;=StatusDate,Tasks[[#This Row],[_ShownFcstStart]]&lt;=LookaheadEnd),Tasks[[#This Row],[_ShownFcstStart]]+Tasks[[#This Row],[_Row]]/100000,"")</f>
        <v/>
      </c>
      <c r="GN56" s="43" t="str">
        <f aca="false">IF(AND(Tasks[[#This Row],[_IsLeaf]]=1,Tasks[[#This Row],[_LeafProgress]]&lt;1,Tasks[[#This Row],[_ShownFcstFinish]]&gt;=StatusDate,Tasks[[#This Row],[_ShownFcstFinish]]&lt;=LookaheadEnd),Tasks[[#This Row],[_ShownFcstFinish]]+Tasks[[#This Row],[_Row]]/100000,"")</f>
        <v/>
      </c>
      <c r="GO56" s="43" t="str">
        <f aca="false">IF(Tasks[[#This Row],[_LeafCritical]],Tasks[[#This Row],[_ShownFcstStart]]+Tasks[[#This Row],[_Row]]/100000,"")</f>
        <v/>
      </c>
      <c r="GP56" s="43" t="n">
        <f aca="false">Tasks[[#This Row],[_LeafWork]]*Tasks[[#This Row],[_LeafProgress]]</f>
        <v>0</v>
      </c>
      <c r="GQ56" s="91" t="str">
        <f aca="false">IF(AND(Tasks[[#This Row],[_IsLeaf]]=1,Tasks[[#This Row],[_LeafProgress]]&gt;=1),IF(N(Tasks[[#This Row],[Actual Finish]])&gt;0,Tasks[[#This Row],[Actual Finish]],Tasks[[#This Row],[_ShownFcstFinish]]),"")</f>
        <v/>
      </c>
      <c r="GR56" s="43" t="n">
        <f aca="false">IF(Tasks[[#This Row],[_IsLeaf]]=1,N(Tasks[[#This Row],[Story Points]]),0)</f>
        <v>0</v>
      </c>
      <c r="GS56" s="43" t="str">
        <f aca="false">""</f>
        <v/>
      </c>
      <c r="GT56" s="90" t="b">
        <f aca="false">IF(Tasks[[#This Row],[Task Name]]="",FALSE(),AND(Tasks[[#This Row],[_IsLeaf]]=1,N(Tasks[[#This Row],[_Days]])=0))</f>
        <v>0</v>
      </c>
      <c r="GU56" s="91" t="n">
        <f aca="false">IF(Tasks[[#This Row],[Task Name]]="",0,IF(AND(Tasks[[#This Row],[_IsLeaf]]=1,NOT(Tasks[[#This Row],[_IsMilestone]]),N(Tasks[[#This Row],[Progress]])&gt;0),Tasks[[#This Row],[Start]],0))</f>
        <v>0</v>
      </c>
      <c r="GV56" s="91" t="n">
        <f aca="false">IF(Tasks[[#This Row],[_DoneFrom]]=0,0,IF(Tasks[[#This Row],[Progress]]&gt;=1,Tasks[[#This Row],[Finish]],MAX(Tasks[[#This Row],[_DoneFrom]],Tasks[[#This Row],[Start]]+ROUND((Tasks[[#This Row],[Finish]]-Tasks[[#This Row],[Start]]+1)*Tasks[[#This Row],[Progress]],0)-1)))</f>
        <v>0</v>
      </c>
      <c r="GW56" s="91" t="n">
        <f aca="false">IF(Tasks[[#This Row],[Task Name]]="",0,IF(OR(NOT(Tasks[[#This Row],[_IsLeaf]]=1),Tasks[[#This Row],[_IsMilestone]],N(Tasks[[#This Row],[Progress]])&gt;=1),0,IF(Tasks[[#This Row],[_DoneTo]]&gt;0,Tasks[[#This Row],[_DoneTo]]+1,Tasks[[#This Row],[Start]])))</f>
        <v>0</v>
      </c>
      <c r="GX56" s="91" t="n">
        <f aca="false">IF(Tasks[[#This Row],[_RemFrom]]=0,0,Tasks[[#This Row],[Finish]])</f>
        <v>0</v>
      </c>
      <c r="GY56" s="90" t="b">
        <f aca="false">IF(Tasks[[#This Row],[Task Name]]="",FALSE(),OR(NOT(BaselineSet),N(Tasks[[#This Row],[Baseline Start]])&gt;0))</f>
        <v>0</v>
      </c>
      <c r="GZ5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6" s="92" t="str">
        <f aca="false">IF(Tasks[[#This Row],[_IsLeaf]]=1,Tasks[[#This Row],[_Row]],"")</f>
        <v/>
      </c>
      <c r="HD56" s="92" t="str">
        <f aca="false">IFERROR(INDEX(Tasks[UID],SMALL(Tasks[_PickKey],Tasks[[#This Row],[_Row]]))&amp;" "&amp;INDEX(Tasks[Task Name],SMALL(Tasks[_PickKey],Tasks[[#This Row],[_Row]])),"")</f>
        <v/>
      </c>
      <c r="HE56" s="43" t="str">
        <f aca="false">IF(Tasks[[#This Row],[Task Name]]="","",IF(Tasks[[#This Row],[_IsSummary]],NETWORKDAYS.INTL(Tasks[[#This Row],[Start]],Tasks[[#This Row],[Finish]],WorkWeek,Holidays),N(Tasks[[#This Row],[_Days]])))</f>
        <v/>
      </c>
      <c r="HF56" s="43" t="n">
        <f aca="false">IF(Tasks[[#This Row],[Expected]]="",0,((Tasks[[#This Row],[Pessimistic]]-Tasks[[#This Row],[Optimistic]])/6)^2)</f>
        <v>0</v>
      </c>
      <c r="HG56" s="43" t="n">
        <f aca="false">IF(Tasks[[#This Row],[Expected]]="",0,Tasks[[#This Row],[Expected]]-N(Tasks[[#This Row],[_Days]]))</f>
        <v>0</v>
      </c>
    </row>
    <row r="57" customFormat="false" ht="15" hidden="false" customHeight="false" outlineLevel="0" collapsed="false">
      <c r="A57" s="21" t="str">
        <f aca="false">IF(Tasks[[#This Row],[Task Name]]="","",COUNTA(Tasks[[#Headers],[Task Name]]:Tasks[[#This Row],[Task Name]])-1)</f>
        <v/>
      </c>
      <c r="B57" s="22" t="n">
        <v>65</v>
      </c>
      <c r="C57" s="22"/>
      <c r="D57" s="23"/>
      <c r="E57" s="22"/>
      <c r="F57" s="23"/>
      <c r="G57" s="22"/>
      <c r="H57" s="22"/>
      <c r="I57" s="23"/>
      <c r="J57" s="22"/>
      <c r="K57" s="22"/>
      <c r="L57" s="23"/>
      <c r="M57" s="22"/>
      <c r="N57" s="22"/>
      <c r="O57" s="23"/>
      <c r="P57" s="22"/>
      <c r="Q57" s="22"/>
      <c r="R57" s="23"/>
      <c r="S57" s="23"/>
      <c r="T57" s="84"/>
      <c r="U57" s="23"/>
      <c r="V57" s="84"/>
      <c r="W57" s="23"/>
      <c r="X57" s="84"/>
      <c r="Y57" s="23"/>
      <c r="Z57" s="84"/>
      <c r="AA57" s="23"/>
      <c r="AB57" s="23"/>
      <c r="AC57" s="7"/>
      <c r="AD57" s="7"/>
      <c r="AE57" s="63" t="str">
        <f aca="false">IF(Tasks[[#This Row],[Task Name]]="","",IF(Tasks[[#This Row],[_IsSummary]],MIN(INDEX(Tasks[_ShownFcstStart],Tasks[[#This Row],[_Row]]+1):INDEX(Tasks[_ShownFcstStart],Tasks[[#This Row],[_Row]]+Tasks[[#This Row],[_Descendants]])),Tasks[[#This Row],[_ShownFcstStart]]))</f>
        <v/>
      </c>
      <c r="AF57" s="63" t="str">
        <f aca="false">IF(Tasks[[#This Row],[Task Name]]="","",IF(Tasks[[#This Row],[_IsSummary]],MAX(INDEX(Tasks[_ShownFcstFinish],Tasks[[#This Row],[_Row]]+1):INDEX(Tasks[_ShownFcstFinish],Tasks[[#This Row],[_Row]]+Tasks[[#This Row],[_Descendants]])),Tasks[[#This Row],[_ShownFcstFinish]]))</f>
        <v/>
      </c>
      <c r="AG57" s="21" t="str">
        <f aca="false">""</f>
        <v/>
      </c>
      <c r="AH57" s="23"/>
      <c r="AI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7" s="7"/>
      <c r="AK57" s="22"/>
      <c r="AL57" s="23"/>
      <c r="AM57" s="7"/>
      <c r="AN57" s="47" t="str">
        <f aca="false">IF(Tasks[[#This Row],[Task Name]]="","",IF(Tasks[[#This Row],[Finish]]&gt;=Tasks[[#This Row],[Planned Finish]],NETWORKDAYS.INTL(Tasks[[#This Row],[Planned Finish]],Tasks[[#This Row],[Finish]],WorkWeek,Holidays)-1,1-NETWORKDAYS.INTL(Tasks[[#This Row],[Finish]],Tasks[[#This Row],[Planned Finish]],WorkWeek,Holidays)))</f>
        <v/>
      </c>
      <c r="AO57" s="21" t="str">
        <f aca="false">IF(Tasks[[#This Row],[Task Name]]="","",IF(Tasks[[#This Row],[Progress]]&gt;=1,"Complete",IF(OR(N(Tasks[[#This Row],[Actual Start]])&gt;0,Tasks[[#This Row],[Progress]]&gt;0),IF(Tasks[[#This Row],[Finish Var]]&gt;0,"Behind","In Progress"),IF(Tasks[[#This Row],[Planned Start]]&lt;StatusDate,"Late Start","Not Started"))))</f>
        <v/>
      </c>
      <c r="AP57" s="21" t="str">
        <f aca="false">IF(Tasks[[#This Row],[Task Name]]="","",IF(IF(Tasks[[#This Row],[_IsSummary]],COUNTIF(INDEX(Tasks[_LeafCritical],Tasks[[#This Row],[_Row]]+1):INDEX(Tasks[_LeafCritical],Tasks[[#This Row],[_Row]]+Tasks[[#This Row],[_Descendants]]),TRUE())&gt;0,Tasks[[#This Row],[_LeafCritical]]),"Yes",""))</f>
        <v/>
      </c>
      <c r="AQ57" s="63" t="str">
        <f aca="false">IF(Tasks[[#This Row],[Task Name]]="","",IF(N(Tasks[[#This Row],[Baseline Start]])&gt;0,Tasks[[#This Row],[Baseline Start]],Tasks[[#This Row],[_CalcStart]]))</f>
        <v/>
      </c>
      <c r="AR57" s="63" t="str">
        <f aca="false">IF(Tasks[[#This Row],[Task Name]]="","",IF(N(Tasks[[#This Row],[Baseline Finish]])&gt;0,Tasks[[#This Row],[Baseline Finish]],Tasks[[#This Row],[_CalcFinish]]))</f>
        <v/>
      </c>
      <c r="AS57" s="47" t="str">
        <f aca="false">IF(Tasks[[#This Row],[Task Name]]="","",IF(Tasks[[#This Row],[Start]]&gt;=Tasks[[#This Row],[Planned Start]],NETWORKDAYS.INTL(Tasks[[#This Row],[Planned Start]],Tasks[[#This Row],[Start]],WorkWeek,Holidays)-1,1-NETWORKDAYS.INTL(Tasks[[#This Row],[Start]],Tasks[[#This Row],[Planned Start]],WorkWeek,Holidays)))</f>
        <v/>
      </c>
      <c r="AT57" s="63" t="str">
        <f aca="false">IF(Tasks[[#This Row],[Task Name]]="","",IF(Tasks[[#This Row],[_IsSummary]],MIN(INDEX(Tasks[_LeafLateStart],Tasks[[#This Row],[_Row]]+1):INDEX(Tasks[_LeafLateStart],Tasks[[#This Row],[_Row]]+Tasks[[#This Row],[_Descendants]])),Tasks[[#This Row],[_LeafLateStart]]))</f>
        <v/>
      </c>
      <c r="AU57" s="63" t="str">
        <f aca="false">IF(Tasks[[#This Row],[Task Name]]="","",IF(Tasks[[#This Row],[_IsSummary]],MAX(INDEX(Tasks[_LeafLateFinish],Tasks[[#This Row],[_Row]]+1):INDEX(Tasks[_LeafLateFinish],Tasks[[#This Row],[_Row]]+Tasks[[#This Row],[_Descendants]])),Tasks[[#This Row],[_LeafLateFinish]]))</f>
        <v/>
      </c>
      <c r="AV57" s="47" t="str">
        <f aca="false">IF(Tasks[[#This Row],[Task Name]]="","",IF(Tasks[[#This Row],[_IsSummary]],MIN(INDEX(Tasks[_LeafTotalSlack],Tasks[[#This Row],[_Row]]+1):INDEX(Tasks[_LeafTotalSlack],Tasks[[#This Row],[_Row]]+Tasks[[#This Row],[_Descendants]])),Tasks[[#This Row],[_LeafTotalSlack]]))</f>
        <v/>
      </c>
      <c r="AW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5"/>
      <c r="BA5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t="str">
        <f aca="false">IF(Tasks[[#This Row],[Task Name]]="","",IF(Tasks[[#This Row],[_Level]]&lt;=OutlineShowLevel,"Yes","No"))</f>
        <v/>
      </c>
      <c r="BE57" s="86" t="str">
        <f aca="false">IF(Tasks[[#This Row],[Task Name]]="","",IF(Tasks[[#This Row],[_IsSummary]],SUM(INDEX(Tasks[_LeafTotalWork],Tasks[[#This Row],[_Row]]+1):INDEX(Tasks[_LeafTotalWork],Tasks[[#This Row],[_Row]]+Tasks[[#This Row],[_Descendants]])),Tasks[[#This Row],[_LeafTotalWork]]))</f>
        <v/>
      </c>
      <c r="BF57" s="23"/>
      <c r="BG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t="str">
        <f aca="false">""</f>
        <v/>
      </c>
      <c r="BI57" s="87"/>
      <c r="BJ57" s="22"/>
      <c r="BK57" s="47" t="str">
        <f aca="false">IF(OR(Tasks[[#This Row],[Task Name]]="",Tasks[[#This Row],[Baseline Duration]]=""),"",Tasks[[#This Row],[_SpanDays]]-N(Tasks[[#This Row],[Baseline Duration]]))</f>
        <v/>
      </c>
      <c r="BL57" s="86" t="str">
        <f aca="false">IF(OR(Tasks[[#This Row],[Task Name]]="",Tasks[[#This Row],[Baseline Work]]=""),"",Tasks[[#This Row],[Work]]-N(Tasks[[#This Row],[Baseline Work]]))</f>
        <v/>
      </c>
      <c r="BM57" s="63" t="str">
        <f aca="false">IF(Tasks[[#This Row],[Task Name]]="","",IF(OR(TakeBaseline="Yes",N(Tasks[[#This Row],[Baseline Start]])=0),Tasks[[#This Row],[Start]],Tasks[[#This Row],[Baseline Start]]))</f>
        <v/>
      </c>
      <c r="BN57" s="63" t="str">
        <f aca="false">IF(Tasks[[#This Row],[Task Name]]="","",IF(OR(TakeBaseline="Yes",N(Tasks[[#This Row],[Baseline Finish]])=0),Tasks[[#This Row],[Finish]],Tasks[[#This Row],[Baseline Finish]]))</f>
        <v/>
      </c>
      <c r="BO57" s="21" t="str">
        <f aca="false">IF(Tasks[[#This Row],[Task Name]]="","",IF(OR(TakeBaseline="Yes",N(Tasks[[#This Row],[Baseline Duration]])=0),Tasks[[#This Row],[_SpanDays]],Tasks[[#This Row],[Baseline Duration]]))</f>
        <v/>
      </c>
      <c r="BP57" s="86" t="str">
        <f aca="false">IF(Tasks[[#This Row],[Task Name]]="","",IF(OR(TakeBaseline="Yes",N(Tasks[[#This Row],[Baseline Work]])=0),Tasks[[#This Row],[Work]],Tasks[[#This Row],[Baseline Work]]))</f>
        <v/>
      </c>
      <c r="BQ57" s="7"/>
      <c r="BR57" s="7"/>
      <c r="BS57" s="22"/>
      <c r="BT57" s="88"/>
      <c r="BU57" s="23"/>
      <c r="BV57" s="23"/>
      <c r="BW57" s="23"/>
      <c r="BX57" s="89" t="str">
        <f aca="false">IF(AND(Tasks[[#This Row],[_IsLeaf]]=1,ISNUMBER(Tasks[[#This Row],[Optimistic]]),ISNUMBER(Tasks[[#This Row],[Pessimistic]])),ROUND((Tasks[[#This Row],[Optimistic]]+4*N(Tasks[[#This Row],[_Days]])+Tasks[[#This Row],[Pessimistic]])/6,1),"")</f>
        <v/>
      </c>
      <c r="BY57" s="87"/>
      <c r="BZ57" s="87"/>
      <c r="CA57" s="22"/>
      <c r="CB57" s="43" t="str">
        <f aca="false">IF(Tasks[[#This Row],[Task Name]]="","",MAX(1,N(Tasks[[#This Row],[Level]])))</f>
        <v/>
      </c>
      <c r="CC57" s="43" t="n">
        <f aca="false">ROW()-ROW(Tasks[[#Headers],[ID]])</f>
        <v>52</v>
      </c>
      <c r="CD57" s="43" t="n">
        <f aca="false">IF(OR(Tasks[[#This Row],[Task Name]]="",Tasks[[#This Row],[_Level]]&lt;=1),0,IFERROR(LOOKUP(2,1/(Tasks[[#Headers],[_Level]]:Tasks[[#This Row],[_Level]]=Tasks[[#This Row],[_Level]]-1),ROW(Tasks[[#Headers],[_Level]]:Tasks[[#This Row],[_Level]])),0))</f>
        <v>0</v>
      </c>
      <c r="CE57" s="43" t="n">
        <f aca="false">IFERROR(N(INDEX(Tasks[_Level],Tasks[[#This Row],[_Row]]+1)),0)</f>
        <v>0</v>
      </c>
      <c r="CF57" s="90" t="b">
        <f aca="false">AND(Tasks[[#This Row],[Task Name]]&lt;&gt;"",Tasks[[#This Row],[_NextLevel]]&gt;Tasks[[#This Row],[_Level]])</f>
        <v>0</v>
      </c>
      <c r="CG57" s="43" t="n">
        <f aca="false">IF(Tasks[[#This Row],[_IsSummary]],COUNTIF(Tasks[WBS],Tasks[[#This Row],[WBS]]&amp;".*"),0)</f>
        <v>0</v>
      </c>
      <c r="CH57" s="43" t="n">
        <f aca="false">IF(AND(Tasks[[#This Row],[Task Name]]&lt;&gt;"",NOT(Tasks[[#This Row],[_IsSummary]])),1,0)</f>
        <v>0</v>
      </c>
      <c r="CI57" s="43" t="n">
        <f aca="false">IF(N(Tasks[[#This Row],[_Pred1UID]])=0,0,IFERROR(MATCH(Tasks[[#This Row],[_Pred1UID]],Tasks[UID],0),-1))</f>
        <v>0</v>
      </c>
      <c r="CJ57" s="43" t="n">
        <f aca="false">IF(N(Tasks[[#This Row],[_Pred2UID]])=0,0,IFERROR(MATCH(Tasks[[#This Row],[_Pred2UID]],Tasks[UID],0),-1))</f>
        <v>0</v>
      </c>
      <c r="CK57" s="43" t="n">
        <f aca="false">IF(N(Tasks[[#This Row],[_Pred3UID]])=0,0,IFERROR(MATCH(Tasks[[#This Row],[_Pred3UID]],Tasks[UID],0),-1))</f>
        <v>0</v>
      </c>
      <c r="CL57" s="43" t="n">
        <f aca="false">IF(N(Tasks[[#This Row],[_Pred4UID]])=0,0,IFERROR(MATCH(Tasks[[#This Row],[_Pred4UID]],Tasks[UID],0),-1))</f>
        <v>0</v>
      </c>
      <c r="CM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7" s="91" t="n">
        <f aca="false">IF(OR(Tasks[[#This Row],[_ConstraintCode]]=2,Tasks[[#This Row],[_ConstraintCode]]=3,Tasks[[#This Row],[_ConstraintCode]]=4,Tasks[[#This Row],[_ConstraintCode]]=6),Tasks[[#This Row],[_ConstraintStart]],0)</f>
        <v>0</v>
      </c>
      <c r="CP57" s="91" t="n">
        <f aca="false">IF(OR(Tasks[[#This Row],[_ConstraintCode]]=2,Tasks[[#This Row],[_ConstraintCode]]=3,Tasks[[#This Row],[_ConstraintCode]]=5,Tasks[[#This Row],[_ConstraintCode]]=7),Tasks[[#This Row],[_ConstraintStart]],2958465)</f>
        <v>2958465</v>
      </c>
      <c r="CQ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7" s="91" t="str">
        <f aca="false">IF(NOT(Tasks[[#This Row],[_IsLeaf]]=1),"",IF(N(Tasks[[#This Row],[_Days]])&lt;=0,Tasks[[#This Row],[_LeafCalcStart]],WORKDAY.INTL(Tasks[[#This Row],[_LeafCalcStart]],Tasks[[#This Row],[_Days]]-1,WorkWeek,Holidays)))</f>
        <v/>
      </c>
      <c r="CS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7" s="43" t="str">
        <f aca="false">IF(Tasks[[#This Row],[_Predecessors]]="","",TRIM(MID(SUBSTITUTE(SUBSTITUTE(SUBSTITUTE(UPPER(Tasks[[#This Row],[_Predecessors]]),";",",")," ",""),",",REPT(" ",99)),1,99)))</f>
        <v/>
      </c>
      <c r="CV57" s="43" t="str">
        <f aca="false">IF(Tasks[[#This Row],[_Pred1Text]]="","",IFERROR(VALUE(LEFT(Tasks[[#This Row],[_Pred1Text]],MIN(FIND("F",Tasks[[#This Row],[_Pred1Text]]&amp;"F"),FIND("S",Tasks[[#This Row],[_Pred1Text]]&amp;"S"),FIND("+",Tasks[[#This Row],[_Pred1Text]]&amp;"+"),FIND("-",Tasks[[#This Row],[_Pred1Text]]&amp;"-"))-1)),""))</f>
        <v/>
      </c>
      <c r="CW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7" s="43" t="str">
        <f aca="false">IF(Tasks[[#This Row],[_Pred1Text]]="","",TRIM(MID(SUBSTITUTE(SUBSTITUTE(SUBSTITUTE(UPPER(Tasks[[#This Row],[_Predecessors]]),";",",")," ",""),",",REPT(" ",99)),100,99)))</f>
        <v/>
      </c>
      <c r="CZ57" s="43" t="str">
        <f aca="false">IF(Tasks[[#This Row],[_Pred2Text]]="","",IFERROR(VALUE(LEFT(Tasks[[#This Row],[_Pred2Text]],MIN(FIND("F",Tasks[[#This Row],[_Pred2Text]]&amp;"F"),FIND("S",Tasks[[#This Row],[_Pred2Text]]&amp;"S"),FIND("+",Tasks[[#This Row],[_Pred2Text]]&amp;"+"),FIND("-",Tasks[[#This Row],[_Pred2Text]]&amp;"-"))-1)),""))</f>
        <v/>
      </c>
      <c r="DA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7" s="43" t="str">
        <f aca="false">IF(Tasks[[#This Row],[_Pred2Text]]="","",TRIM(MID(SUBSTITUTE(SUBSTITUTE(SUBSTITUTE(UPPER(Tasks[[#This Row],[_Predecessors]]),";",",")," ",""),",",REPT(" ",99)),199,99)))</f>
        <v/>
      </c>
      <c r="DD57" s="43" t="str">
        <f aca="false">IF(Tasks[[#This Row],[_Pred3Text]]="","",IFERROR(VALUE(LEFT(Tasks[[#This Row],[_Pred3Text]],MIN(FIND("F",Tasks[[#This Row],[_Pred3Text]]&amp;"F"),FIND("S",Tasks[[#This Row],[_Pred3Text]]&amp;"S"),FIND("+",Tasks[[#This Row],[_Pred3Text]]&amp;"+"),FIND("-",Tasks[[#This Row],[_Pred3Text]]&amp;"-"))-1)),""))</f>
        <v/>
      </c>
      <c r="DE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7" s="43" t="str">
        <f aca="false">IF(Tasks[[#This Row],[_Pred3Text]]="","",TRIM(MID(SUBSTITUTE(SUBSTITUTE(SUBSTITUTE(UPPER(Tasks[[#This Row],[_Predecessors]]),";",",")," ",""),",",REPT(" ",99)),298,99)))</f>
        <v/>
      </c>
      <c r="DH57" s="43" t="str">
        <f aca="false">IF(Tasks[[#This Row],[_Pred4Text]]="","",IFERROR(VALUE(LEFT(Tasks[[#This Row],[_Pred4Text]],MIN(FIND("F",Tasks[[#This Row],[_Pred4Text]]&amp;"F"),FIND("S",Tasks[[#This Row],[_Pred4Text]]&amp;"S"),FIND("+",Tasks[[#This Row],[_Pred4Text]]&amp;"+"),FIND("-",Tasks[[#This Row],[_Pred4Text]]&amp;"-"))-1)),""))</f>
        <v/>
      </c>
      <c r="DI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7" s="43" t="str">
        <f aca="false">IF(OR(Tasks[[#This Row],[Task Name]]="",Tasks[[#This Row],[_Resources]]=""),"",TRIM(MID(SUBSTITUTE(Tasks[[#This Row],[_Resources]],",",REPT(" ",99)),1,99)))</f>
        <v/>
      </c>
      <c r="DL57" s="43" t="str">
        <f aca="false">IF(Tasks[[#This Row],[_Res1Text]]="","",TRIM(MID(SUBSTITUTE(Tasks[[#This Row],[_Resources]],",",REPT(" ",99)),100,99)))</f>
        <v/>
      </c>
      <c r="DM57" s="43" t="str">
        <f aca="false">IF(Tasks[[#This Row],[_Res2Text]]="","",TRIM(MID(SUBSTITUTE(Tasks[[#This Row],[_Resources]],",",REPT(" ",99)),199,99)))</f>
        <v/>
      </c>
      <c r="DN57" s="43" t="str">
        <f aca="false">IF(Tasks[[#This Row],[_Res3Text]]="","",TRIM(MID(SUBSTITUTE(Tasks[[#This Row],[_Resources]],",",REPT(" ",99)),298,99)))</f>
        <v/>
      </c>
      <c r="DO57" s="43" t="n">
        <f aca="false">IF(Tasks[[#This Row],[_Res1Text]]="",0,IFERROR(MATCH(TRIM(LEFT(Tasks[[#This Row],[_Res1Text]],FIND("[",Tasks[[#This Row],[_Res1Text]]&amp;"[")-1)),res_Name,0),IFERROR(MATCH(TRIM(LEFT(Tasks[[#This Row],[_Res1Text]],FIND("[",Tasks[[#This Row],[_Res1Text]]&amp;"[")-1)),res_Initials,0),0)))</f>
        <v>0</v>
      </c>
      <c r="DP57" s="43" t="n">
        <f aca="false">IF(Tasks[[#This Row],[_Res2Text]]="",0,IFERROR(MATCH(TRIM(LEFT(Tasks[[#This Row],[_Res2Text]],FIND("[",Tasks[[#This Row],[_Res2Text]]&amp;"[")-1)),res_Name,0),IFERROR(MATCH(TRIM(LEFT(Tasks[[#This Row],[_Res2Text]],FIND("[",Tasks[[#This Row],[_Res2Text]]&amp;"[")-1)),res_Initials,0),0)))</f>
        <v>0</v>
      </c>
      <c r="DQ57" s="43" t="n">
        <f aca="false">IF(Tasks[[#This Row],[_Res3Text]]="",0,IFERROR(MATCH(TRIM(LEFT(Tasks[[#This Row],[_Res3Text]],FIND("[",Tasks[[#This Row],[_Res3Text]]&amp;"[")-1)),res_Name,0),IFERROR(MATCH(TRIM(LEFT(Tasks[[#This Row],[_Res3Text]],FIND("[",Tasks[[#This Row],[_Res3Text]]&amp;"[")-1)),res_Initials,0),0)))</f>
        <v>0</v>
      </c>
      <c r="DR57" s="43" t="n">
        <f aca="false">IF(Tasks[[#This Row],[_Res4Text]]="",0,IFERROR(MATCH(TRIM(LEFT(Tasks[[#This Row],[_Res4Text]],FIND("[",Tasks[[#This Row],[_Res4Text]]&amp;"[")-1)),res_Name,0),IFERROR(MATCH(TRIM(LEFT(Tasks[[#This Row],[_Res4Text]],FIND("[",Tasks[[#This Row],[_Res4Text]]&amp;"[")-1)),res_Initials,0),0)))</f>
        <v>0</v>
      </c>
      <c r="DS57" s="43" t="str">
        <f aca="false">IF(Tasks[[#This Row],[_Res1Text]]="","",IF(Tasks[[#This Row],[_Res1Row]]&gt;0,INDEX(res_Name,Tasks[[#This Row],[_Res1Row]]),TRIM(LEFT(Tasks[[#This Row],[_Res1Text]],FIND("[",Tasks[[#This Row],[_Res1Text]]&amp;"[")-1))))</f>
        <v/>
      </c>
      <c r="DT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7" s="43" t="n">
        <f aca="false">IF(NOT(Tasks[[#This Row],[_IsLeaf]]=1),0,(Tasks[[#This Row],[_Resource1]]&lt;&gt;"")+(Tasks[[#This Row],[_Res2]]&lt;&gt;"")+(Tasks[[#This Row],[_Res3]]&lt;&gt;"")+(Tasks[[#This Row],[_Res4]]&lt;&gt;""))</f>
        <v>0</v>
      </c>
      <c r="DV57" s="43" t="str">
        <f aca="false">IF(Tasks[[#This Row],[_Res2Text]]="","",IF(Tasks[[#This Row],[_Res2Row]]&gt;0,INDEX(res_Name,Tasks[[#This Row],[_Res2Row]]),TRIM(LEFT(Tasks[[#This Row],[_Res2Text]],FIND("[",Tasks[[#This Row],[_Res2Text]]&amp;"[")-1))))</f>
        <v/>
      </c>
      <c r="DW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7" s="43" t="n">
        <f aca="false">IF(OR(NOT(Tasks[[#This Row],[_IsLeaf]]=1),Tasks[[#This Row],[_Res2Row]]=0),0,N(Tasks[[#This Row],[_Days]])*HoursPerDay*IF(Tasks[[#This Row],[_Res2Units]]="",DefaultUnits,Tasks[[#This Row],[_Res2Units]]))</f>
        <v>0</v>
      </c>
      <c r="DY57" s="43" t="n">
        <f aca="false">IF(AND(AND(Tasks[[#This Row],[_IsLeaf]]=1,Tasks[[#This Row],[_LeafTotalWork]]&gt;0),Tasks[[#This Row],[_Res2Work]]&gt;0),Tasks[[#This Row],[_Res2Work]]/(Tasks[[#This Row],[_FinishWorkday]]-Tasks[[#This Row],[_StartWorkday]]+1),0)</f>
        <v>0</v>
      </c>
      <c r="DZ57" s="43" t="n">
        <f aca="false">Tasks[[#This Row],[_Res2WorkPerWD]]*MAX(0,Tasks[[#This Row],[_StartWorkday]]-1)</f>
        <v>0</v>
      </c>
      <c r="EA57" s="43" t="n">
        <f aca="false">Tasks[[#This Row],[_Res2Work]]*Tasks[[#This Row],[_LeafProgress]]</f>
        <v>0</v>
      </c>
      <c r="EB57" s="43" t="str">
        <f aca="false">IF(Tasks[[#This Row],[_Res3Text]]="","",IF(Tasks[[#This Row],[_Res3Row]]&gt;0,INDEX(res_Name,Tasks[[#This Row],[_Res3Row]]),TRIM(LEFT(Tasks[[#This Row],[_Res3Text]],FIND("[",Tasks[[#This Row],[_Res3Text]]&amp;"[")-1))))</f>
        <v/>
      </c>
      <c r="EC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7" s="43" t="n">
        <f aca="false">IF(OR(NOT(Tasks[[#This Row],[_IsLeaf]]=1),Tasks[[#This Row],[_Res3Row]]=0),0,N(Tasks[[#This Row],[_Days]])*HoursPerDay*IF(Tasks[[#This Row],[_Res3Units]]="",DefaultUnits,Tasks[[#This Row],[_Res3Units]]))</f>
        <v>0</v>
      </c>
      <c r="EE57" s="43" t="n">
        <f aca="false">IF(AND(AND(Tasks[[#This Row],[_IsLeaf]]=1,Tasks[[#This Row],[_LeafTotalWork]]&gt;0),Tasks[[#This Row],[_Res3Work]]&gt;0),Tasks[[#This Row],[_Res3Work]]/(Tasks[[#This Row],[_FinishWorkday]]-Tasks[[#This Row],[_StartWorkday]]+1),0)</f>
        <v>0</v>
      </c>
      <c r="EF57" s="43" t="n">
        <f aca="false">Tasks[[#This Row],[_Res3WorkPerWD]]*MAX(0,Tasks[[#This Row],[_StartWorkday]]-1)</f>
        <v>0</v>
      </c>
      <c r="EG57" s="43" t="n">
        <f aca="false">Tasks[[#This Row],[_Res3Work]]*Tasks[[#This Row],[_LeafProgress]]</f>
        <v>0</v>
      </c>
      <c r="EH57" s="43" t="str">
        <f aca="false">IF(Tasks[[#This Row],[_Res4Text]]="","",IF(Tasks[[#This Row],[_Res4Row]]&gt;0,INDEX(res_Name,Tasks[[#This Row],[_Res4Row]]),TRIM(LEFT(Tasks[[#This Row],[_Res4Text]],FIND("[",Tasks[[#This Row],[_Res4Text]]&amp;"[")-1))))</f>
        <v/>
      </c>
      <c r="EI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7" s="43" t="n">
        <f aca="false">IF(OR(NOT(Tasks[[#This Row],[_IsLeaf]]=1),Tasks[[#This Row],[_Res4Row]]=0),0,N(Tasks[[#This Row],[_Days]])*HoursPerDay*IF(Tasks[[#This Row],[_Res4Units]]="",DefaultUnits,Tasks[[#This Row],[_Res4Units]]))</f>
        <v>0</v>
      </c>
      <c r="EK57" s="43" t="n">
        <f aca="false">IF(AND(AND(Tasks[[#This Row],[_IsLeaf]]=1,Tasks[[#This Row],[_LeafTotalWork]]&gt;0),Tasks[[#This Row],[_Res4Work]]&gt;0),Tasks[[#This Row],[_Res4Work]]/(Tasks[[#This Row],[_FinishWorkday]]-Tasks[[#This Row],[_StartWorkday]]+1),0)</f>
        <v>0</v>
      </c>
      <c r="EL57" s="43" t="n">
        <f aca="false">Tasks[[#This Row],[_Res4WorkPerWD]]*MAX(0,Tasks[[#This Row],[_StartWorkday]]-1)</f>
        <v>0</v>
      </c>
      <c r="EM57" s="43" t="n">
        <f aca="false">Tasks[[#This Row],[_Res4Work]]*Tasks[[#This Row],[_LeafProgress]]</f>
        <v>0</v>
      </c>
      <c r="EN57" s="43" t="n">
        <f aca="false">IF(ISNUMBER(Tasks[[#This Row],[% Complete]]),Tasks[[#This Row],[% Complete]],IF(Tasks[[#This Row],[Stage]]="",0,IFERROR(INDEX(stg_Pct,MATCH(Tasks[[#This Row],[Stage]],stg_Name,0)),0)))</f>
        <v>0</v>
      </c>
      <c r="EO57" s="43" t="n">
        <f aca="false">IF(NOT(Tasks[[#This Row],[_IsLeaf]]=1),0,IF(N(Tasks[[#This Row],[Actual Finish]])&gt;0,1,MIN(1,Tasks[[#This Row],[_Pct]])))</f>
        <v>0</v>
      </c>
      <c r="EP57" s="43" t="n">
        <f aca="false">IF(OR(NOT(Tasks[[#This Row],[_IsLeaf]]=1),Tasks[[#This Row],[_Res1Row]]=0),0,N(Tasks[[#This Row],[_Days]])*HoursPerDay*IF(Tasks[[#This Row],[_Units1]]="",DefaultUnits,Tasks[[#This Row],[_Units1]]))</f>
        <v>0</v>
      </c>
      <c r="EQ57" s="43" t="n">
        <f aca="false">Tasks[[#This Row],[_LeafWork]]+Tasks[[#This Row],[_Res2Work]]+Tasks[[#This Row],[_Res3Work]]+Tasks[[#This Row],[_Res4Work]]</f>
        <v>0</v>
      </c>
      <c r="ER5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7" s="43" t="n">
        <f aca="false">IF(NOT(Tasks[[#This Row],[_IsLeaf]]=1),0,MAX(_xlfn.MAXIFS(Tasks[_Row],Tasks[_Pred1UID],Tasks[[#This Row],[UID]]),_xlfn.MAXIFS(Tasks[_Row],Tasks[_Pred2UID],Tasks[[#This Row],[UID]]),_xlfn.MAXIFS(Tasks[_Row],Tasks[_Pred3UID],Tasks[[#This Row],[UID]]),_xlfn.MAXIFS(Tasks[_Row],Tasks[_Pred4UID],Tasks[[#This Row],[UID]])))</f>
        <v>0</v>
      </c>
      <c r="FA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7" s="91" t="str">
        <f aca="false">IF(NOT(Tasks[[#This Row],[_IsLeaf]]=1),"",IF(N(Tasks[[#This Row],[_Days]])&lt;=0,Tasks[[#This Row],[_LeafLateFinish]],WORKDAY.INTL(Tasks[[#This Row],[_LeafLateFinish]],-(Tasks[[#This Row],[_Days]]-1),WorkWeek,Holidays)))</f>
        <v/>
      </c>
      <c r="FD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7" s="90" t="b">
        <f aca="false">AND(Tasks[[#This Row],[_IsLeaf]]=1,Tasks[[#This Row],[_LeafProgress]]&lt;1,N(Tasks[[#This Row],[_LeafTotalSlack]])&lt;=CriticalSlackDays)</f>
        <v>0</v>
      </c>
      <c r="FF57" s="43" t="n">
        <f aca="false">IF(AND(Tasks[[#This Row],[_IsLeaf]]=1,Tasks[[#This Row],[_ConstraintCode]]=1,Tasks[[#This Row],[Mode]]&lt;&gt;"Manual",N(Tasks[[#This Row],[Actual Start]])=0),MAX(0,N(Tasks[[#This Row],[Free Slack]])),0)</f>
        <v>0</v>
      </c>
      <c r="FG57" s="91" t="str">
        <f aca="false">IF(NOT(Tasks[[#This Row],[_IsLeaf]]=1),"",IF(Tasks[[#This Row],[_AlapShift]]=0,Tasks[[#This Row],[_LeafCalcStart]],WORKDAY.INTL(Tasks[[#This Row],[_LeafCalcStart]],Tasks[[#This Row],[_AlapShift]],WorkWeek,Holidays)))</f>
        <v/>
      </c>
      <c r="FH57" s="91" t="str">
        <f aca="false">IF(NOT(Tasks[[#This Row],[_IsLeaf]]=1),"",IF(Tasks[[#This Row],[_AlapShift]]=0,Tasks[[#This Row],[_LeafCalcFinish]],WORKDAY.INTL(Tasks[[#This Row],[_LeafCalcFinish]],Tasks[[#This Row],[_AlapShift]],WorkWeek,Holidays)))</f>
        <v/>
      </c>
      <c r="FI57" s="91" t="str">
        <f aca="false">IF(NOT(Tasks[[#This Row],[_IsLeaf]]=1),"",IF(Tasks[[#This Row],[_AlapShift]]=0,Tasks[[#This Row],[_LeafFcstStart]],WORKDAY.INTL(Tasks[[#This Row],[_LeafFcstStart]],Tasks[[#This Row],[_AlapShift]],WorkWeek,Holidays)))</f>
        <v/>
      </c>
      <c r="FJ57" s="91" t="str">
        <f aca="false">IF(NOT(Tasks[[#This Row],[_IsLeaf]]=1),"",IF(Tasks[[#This Row],[_AlapShift]]=0,Tasks[[#This Row],[_LeafFcstFinish]],WORKDAY.INTL(Tasks[[#This Row],[_LeafFcstFinish]],Tasks[[#This Row],[_AlapShift]],WorkWeek,Holidays)))</f>
        <v/>
      </c>
      <c r="FK57" s="91" t="str">
        <f aca="false">IF(Tasks[[#This Row],[Task Name]]="","",IF(Tasks[[#This Row],[_IsSummary]],MIN(INDEX(Tasks[_ShownCalcStart],Tasks[[#This Row],[_Row]]+1):INDEX(Tasks[_ShownCalcStart],Tasks[[#This Row],[_Row]]+Tasks[[#This Row],[_Descendants]])),Tasks[[#This Row],[_ShownCalcStart]]))</f>
        <v/>
      </c>
      <c r="FL57" s="91" t="str">
        <f aca="false">IF(Tasks[[#This Row],[Task Name]]="","",IF(Tasks[[#This Row],[_IsSummary]],MAX(INDEX(Tasks[_ShownCalcFinish],Tasks[[#This Row],[_Row]]+1):INDEX(Tasks[_ShownCalcFinish],Tasks[[#This Row],[_Row]]+Tasks[[#This Row],[_Descendants]])),Tasks[[#This Row],[_ShownCalcFinish]]))</f>
        <v/>
      </c>
      <c r="FM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7" s="43" t="n">
        <f aca="false">IF(AND(Tasks[[#This Row],[_IsLeaf]]=1,Tasks[[#This Row],[_LeafTotalWork]]&gt;0),NETWORKDAYS.INTL(ProjectStart,Tasks[[#This Row],[_ShownFcstStart]],WorkWeek,Holidays),0)</f>
        <v>0</v>
      </c>
      <c r="FZ57" s="43" t="n">
        <f aca="false">IF(AND(Tasks[[#This Row],[_IsLeaf]]=1,Tasks[[#This Row],[_LeafTotalWork]]&gt;0),MAX(Tasks[[#This Row],[_StartWorkday]],NETWORKDAYS.INTL(ProjectStart,Tasks[[#This Row],[_ShownFcstFinish]],WorkWeek,Holidays)),0)</f>
        <v>0</v>
      </c>
      <c r="GA57" s="43" t="n">
        <f aca="false">IF(AND(Tasks[[#This Row],[_IsLeaf]]=1,Tasks[[#This Row],[_LeafTotalWork]]&gt;0),Tasks[[#This Row],[_LeafWork]]/(Tasks[[#This Row],[_FinishWorkday]]-Tasks[[#This Row],[_StartWorkday]]+1),0)</f>
        <v>0</v>
      </c>
      <c r="GB57" s="43" t="n">
        <f aca="false">Tasks[[#This Row],[_WorkPerWorkday]]*(Tasks[[#This Row],[_StartWorkday]]-1)</f>
        <v>-0</v>
      </c>
      <c r="GC57" s="43" t="n">
        <f aca="false">IF(Tasks[[#This Row],[_IsLeaf]]=1,MAX(N(Tasks[[#This Row],[_Days]]),0.1),0)</f>
        <v>0</v>
      </c>
      <c r="GD57" s="43" t="n">
        <f aca="false">Tasks[[#This Row],[_WeightDur]]*Tasks[[#This Row],[_LeafProgress]]</f>
        <v>0</v>
      </c>
      <c r="GE57" s="43" t="n">
        <f aca="false">Tasks[[#This Row],[_WeightDur]]*Tasks[[#This Row],[_PlannedPct]]</f>
        <v>0</v>
      </c>
      <c r="GF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7" s="43" t="str">
        <f aca="false">IF(AND(Tasks[[#This Row],[_IsLeaf]]=1,N(Tasks[[#This Row],[_Days]])=0,Tasks[[#This Row],[_LeafProgress]]&lt;1),Tasks[[#This Row],[_ShownFcstFinish]]+Tasks[[#This Row],[_Row]]/100000,"")</f>
        <v/>
      </c>
      <c r="GH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7" s="43" t="str">
        <f aca="false">IF(Tasks[[#This Row],[Task Name]]="","",LEFT(Tasks[[#This Row],[WBS]],FIND(".",Tasks[[#This Row],[WBS]]&amp;".")-1))</f>
        <v/>
      </c>
      <c r="GJ57" s="43" t="str">
        <f aca="false">IF(AND(Tasks[[#This Row],[Task Name]]&lt;&gt;"",Tasks[[#This Row],[_Level]]=1),Tasks[[#This Row],[_Row]],"")</f>
        <v/>
      </c>
      <c r="GK57" s="43" t="str">
        <f aca="false">IF(AND(Tasks[[#This Row],[_IsLeaf]]=1,N(Tasks[[#This Row],[_Days]])=0),Tasks[[#This Row],[Planned Finish]]+Tasks[[#This Row],[_Row]]/100000,"")</f>
        <v/>
      </c>
      <c r="GL57" s="43" t="str">
        <f aca="false">IF(AND(Tasks[[#This Row],[_IsLeaf]]=1,Tasks[[#This Row],[_LeafProgress]]&lt;1,OR(N(Tasks[[#This Row],[Finish Var]])&gt;0,Tasks[[#This Row],[Status]]="Late Start")),MAX(0,Tasks[[#This Row],[Finish Var]])+1-Tasks[[#This Row],[_Row]]/1000000,"")</f>
        <v/>
      </c>
      <c r="GM57" s="43" t="str">
        <f aca="false">IF(AND(Tasks[[#This Row],[_IsLeaf]]=1,N(Tasks[[#This Row],[Actual Start]])=0,Tasks[[#This Row],[_ShownFcstStart]]&gt;=StatusDate,Tasks[[#This Row],[_ShownFcstStart]]&lt;=LookaheadEnd),Tasks[[#This Row],[_ShownFcstStart]]+Tasks[[#This Row],[_Row]]/100000,"")</f>
        <v/>
      </c>
      <c r="GN57" s="43" t="str">
        <f aca="false">IF(AND(Tasks[[#This Row],[_IsLeaf]]=1,Tasks[[#This Row],[_LeafProgress]]&lt;1,Tasks[[#This Row],[_ShownFcstFinish]]&gt;=StatusDate,Tasks[[#This Row],[_ShownFcstFinish]]&lt;=LookaheadEnd),Tasks[[#This Row],[_ShownFcstFinish]]+Tasks[[#This Row],[_Row]]/100000,"")</f>
        <v/>
      </c>
      <c r="GO57" s="43" t="str">
        <f aca="false">IF(Tasks[[#This Row],[_LeafCritical]],Tasks[[#This Row],[_ShownFcstStart]]+Tasks[[#This Row],[_Row]]/100000,"")</f>
        <v/>
      </c>
      <c r="GP57" s="43" t="n">
        <f aca="false">Tasks[[#This Row],[_LeafWork]]*Tasks[[#This Row],[_LeafProgress]]</f>
        <v>0</v>
      </c>
      <c r="GQ57" s="91" t="str">
        <f aca="false">IF(AND(Tasks[[#This Row],[_IsLeaf]]=1,Tasks[[#This Row],[_LeafProgress]]&gt;=1),IF(N(Tasks[[#This Row],[Actual Finish]])&gt;0,Tasks[[#This Row],[Actual Finish]],Tasks[[#This Row],[_ShownFcstFinish]]),"")</f>
        <v/>
      </c>
      <c r="GR57" s="43" t="n">
        <f aca="false">IF(Tasks[[#This Row],[_IsLeaf]]=1,N(Tasks[[#This Row],[Story Points]]),0)</f>
        <v>0</v>
      </c>
      <c r="GS57" s="43" t="str">
        <f aca="false">""</f>
        <v/>
      </c>
      <c r="GT57" s="90" t="b">
        <f aca="false">IF(Tasks[[#This Row],[Task Name]]="",FALSE(),AND(Tasks[[#This Row],[_IsLeaf]]=1,N(Tasks[[#This Row],[_Days]])=0))</f>
        <v>0</v>
      </c>
      <c r="GU57" s="91" t="n">
        <f aca="false">IF(Tasks[[#This Row],[Task Name]]="",0,IF(AND(Tasks[[#This Row],[_IsLeaf]]=1,NOT(Tasks[[#This Row],[_IsMilestone]]),N(Tasks[[#This Row],[Progress]])&gt;0),Tasks[[#This Row],[Start]],0))</f>
        <v>0</v>
      </c>
      <c r="GV57" s="91" t="n">
        <f aca="false">IF(Tasks[[#This Row],[_DoneFrom]]=0,0,IF(Tasks[[#This Row],[Progress]]&gt;=1,Tasks[[#This Row],[Finish]],MAX(Tasks[[#This Row],[_DoneFrom]],Tasks[[#This Row],[Start]]+ROUND((Tasks[[#This Row],[Finish]]-Tasks[[#This Row],[Start]]+1)*Tasks[[#This Row],[Progress]],0)-1)))</f>
        <v>0</v>
      </c>
      <c r="GW57" s="91" t="n">
        <f aca="false">IF(Tasks[[#This Row],[Task Name]]="",0,IF(OR(NOT(Tasks[[#This Row],[_IsLeaf]]=1),Tasks[[#This Row],[_IsMilestone]],N(Tasks[[#This Row],[Progress]])&gt;=1),0,IF(Tasks[[#This Row],[_DoneTo]]&gt;0,Tasks[[#This Row],[_DoneTo]]+1,Tasks[[#This Row],[Start]])))</f>
        <v>0</v>
      </c>
      <c r="GX57" s="91" t="n">
        <f aca="false">IF(Tasks[[#This Row],[_RemFrom]]=0,0,Tasks[[#This Row],[Finish]])</f>
        <v>0</v>
      </c>
      <c r="GY57" s="90" t="b">
        <f aca="false">IF(Tasks[[#This Row],[Task Name]]="",FALSE(),OR(NOT(BaselineSet),N(Tasks[[#This Row],[Baseline Start]])&gt;0))</f>
        <v>0</v>
      </c>
      <c r="GZ5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7" s="92" t="str">
        <f aca="false">IF(Tasks[[#This Row],[_IsLeaf]]=1,Tasks[[#This Row],[_Row]],"")</f>
        <v/>
      </c>
      <c r="HD57" s="92" t="str">
        <f aca="false">IFERROR(INDEX(Tasks[UID],SMALL(Tasks[_PickKey],Tasks[[#This Row],[_Row]]))&amp;" "&amp;INDEX(Tasks[Task Name],SMALL(Tasks[_PickKey],Tasks[[#This Row],[_Row]])),"")</f>
        <v/>
      </c>
      <c r="HE57" s="43" t="str">
        <f aca="false">IF(Tasks[[#This Row],[Task Name]]="","",IF(Tasks[[#This Row],[_IsSummary]],NETWORKDAYS.INTL(Tasks[[#This Row],[Start]],Tasks[[#This Row],[Finish]],WorkWeek,Holidays),N(Tasks[[#This Row],[_Days]])))</f>
        <v/>
      </c>
      <c r="HF57" s="43" t="n">
        <f aca="false">IF(Tasks[[#This Row],[Expected]]="",0,((Tasks[[#This Row],[Pessimistic]]-Tasks[[#This Row],[Optimistic]])/6)^2)</f>
        <v>0</v>
      </c>
      <c r="HG57" s="43" t="n">
        <f aca="false">IF(Tasks[[#This Row],[Expected]]="",0,Tasks[[#This Row],[Expected]]-N(Tasks[[#This Row],[_Days]]))</f>
        <v>0</v>
      </c>
    </row>
    <row r="58" customFormat="false" ht="15" hidden="false" customHeight="false" outlineLevel="0" collapsed="false">
      <c r="A58" s="21" t="str">
        <f aca="false">IF(Tasks[[#This Row],[Task Name]]="","",COUNTA(Tasks[[#Headers],[Task Name]]:Tasks[[#This Row],[Task Name]])-1)</f>
        <v/>
      </c>
      <c r="B58" s="22" t="n">
        <v>66</v>
      </c>
      <c r="C58" s="22"/>
      <c r="D58" s="23"/>
      <c r="E58" s="22"/>
      <c r="F58" s="23"/>
      <c r="G58" s="22"/>
      <c r="H58" s="22"/>
      <c r="I58" s="23"/>
      <c r="J58" s="22"/>
      <c r="K58" s="22"/>
      <c r="L58" s="23"/>
      <c r="M58" s="22"/>
      <c r="N58" s="22"/>
      <c r="O58" s="23"/>
      <c r="P58" s="22"/>
      <c r="Q58" s="22"/>
      <c r="R58" s="23"/>
      <c r="S58" s="23"/>
      <c r="T58" s="84"/>
      <c r="U58" s="23"/>
      <c r="V58" s="84"/>
      <c r="W58" s="23"/>
      <c r="X58" s="84"/>
      <c r="Y58" s="23"/>
      <c r="Z58" s="84"/>
      <c r="AA58" s="23"/>
      <c r="AB58" s="23"/>
      <c r="AC58" s="7"/>
      <c r="AD58" s="7"/>
      <c r="AE58" s="63" t="str">
        <f aca="false">IF(Tasks[[#This Row],[Task Name]]="","",IF(Tasks[[#This Row],[_IsSummary]],MIN(INDEX(Tasks[_ShownFcstStart],Tasks[[#This Row],[_Row]]+1):INDEX(Tasks[_ShownFcstStart],Tasks[[#This Row],[_Row]]+Tasks[[#This Row],[_Descendants]])),Tasks[[#This Row],[_ShownFcstStart]]))</f>
        <v/>
      </c>
      <c r="AF58" s="63" t="str">
        <f aca="false">IF(Tasks[[#This Row],[Task Name]]="","",IF(Tasks[[#This Row],[_IsSummary]],MAX(INDEX(Tasks[_ShownFcstFinish],Tasks[[#This Row],[_Row]]+1):INDEX(Tasks[_ShownFcstFinish],Tasks[[#This Row],[_Row]]+Tasks[[#This Row],[_Descendants]])),Tasks[[#This Row],[_ShownFcstFinish]]))</f>
        <v/>
      </c>
      <c r="AG58" s="21" t="str">
        <f aca="false">""</f>
        <v/>
      </c>
      <c r="AH58" s="23"/>
      <c r="AI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8" s="7"/>
      <c r="AK58" s="22"/>
      <c r="AL58" s="23"/>
      <c r="AM58" s="7"/>
      <c r="AN58" s="47" t="str">
        <f aca="false">IF(Tasks[[#This Row],[Task Name]]="","",IF(Tasks[[#This Row],[Finish]]&gt;=Tasks[[#This Row],[Planned Finish]],NETWORKDAYS.INTL(Tasks[[#This Row],[Planned Finish]],Tasks[[#This Row],[Finish]],WorkWeek,Holidays)-1,1-NETWORKDAYS.INTL(Tasks[[#This Row],[Finish]],Tasks[[#This Row],[Planned Finish]],WorkWeek,Holidays)))</f>
        <v/>
      </c>
      <c r="AO58" s="21" t="str">
        <f aca="false">IF(Tasks[[#This Row],[Task Name]]="","",IF(Tasks[[#This Row],[Progress]]&gt;=1,"Complete",IF(OR(N(Tasks[[#This Row],[Actual Start]])&gt;0,Tasks[[#This Row],[Progress]]&gt;0),IF(Tasks[[#This Row],[Finish Var]]&gt;0,"Behind","In Progress"),IF(Tasks[[#This Row],[Planned Start]]&lt;StatusDate,"Late Start","Not Started"))))</f>
        <v/>
      </c>
      <c r="AP58" s="21" t="str">
        <f aca="false">IF(Tasks[[#This Row],[Task Name]]="","",IF(IF(Tasks[[#This Row],[_IsSummary]],COUNTIF(INDEX(Tasks[_LeafCritical],Tasks[[#This Row],[_Row]]+1):INDEX(Tasks[_LeafCritical],Tasks[[#This Row],[_Row]]+Tasks[[#This Row],[_Descendants]]),TRUE())&gt;0,Tasks[[#This Row],[_LeafCritical]]),"Yes",""))</f>
        <v/>
      </c>
      <c r="AQ58" s="63" t="str">
        <f aca="false">IF(Tasks[[#This Row],[Task Name]]="","",IF(N(Tasks[[#This Row],[Baseline Start]])&gt;0,Tasks[[#This Row],[Baseline Start]],Tasks[[#This Row],[_CalcStart]]))</f>
        <v/>
      </c>
      <c r="AR58" s="63" t="str">
        <f aca="false">IF(Tasks[[#This Row],[Task Name]]="","",IF(N(Tasks[[#This Row],[Baseline Finish]])&gt;0,Tasks[[#This Row],[Baseline Finish]],Tasks[[#This Row],[_CalcFinish]]))</f>
        <v/>
      </c>
      <c r="AS58" s="47" t="str">
        <f aca="false">IF(Tasks[[#This Row],[Task Name]]="","",IF(Tasks[[#This Row],[Start]]&gt;=Tasks[[#This Row],[Planned Start]],NETWORKDAYS.INTL(Tasks[[#This Row],[Planned Start]],Tasks[[#This Row],[Start]],WorkWeek,Holidays)-1,1-NETWORKDAYS.INTL(Tasks[[#This Row],[Start]],Tasks[[#This Row],[Planned Start]],WorkWeek,Holidays)))</f>
        <v/>
      </c>
      <c r="AT58" s="63" t="str">
        <f aca="false">IF(Tasks[[#This Row],[Task Name]]="","",IF(Tasks[[#This Row],[_IsSummary]],MIN(INDEX(Tasks[_LeafLateStart],Tasks[[#This Row],[_Row]]+1):INDEX(Tasks[_LeafLateStart],Tasks[[#This Row],[_Row]]+Tasks[[#This Row],[_Descendants]])),Tasks[[#This Row],[_LeafLateStart]]))</f>
        <v/>
      </c>
      <c r="AU58" s="63" t="str">
        <f aca="false">IF(Tasks[[#This Row],[Task Name]]="","",IF(Tasks[[#This Row],[_IsSummary]],MAX(INDEX(Tasks[_LeafLateFinish],Tasks[[#This Row],[_Row]]+1):INDEX(Tasks[_LeafLateFinish],Tasks[[#This Row],[_Row]]+Tasks[[#This Row],[_Descendants]])),Tasks[[#This Row],[_LeafLateFinish]]))</f>
        <v/>
      </c>
      <c r="AV58" s="47" t="str">
        <f aca="false">IF(Tasks[[#This Row],[Task Name]]="","",IF(Tasks[[#This Row],[_IsSummary]],MIN(INDEX(Tasks[_LeafTotalSlack],Tasks[[#This Row],[_Row]]+1):INDEX(Tasks[_LeafTotalSlack],Tasks[[#This Row],[_Row]]+Tasks[[#This Row],[_Descendants]])),Tasks[[#This Row],[_LeafTotalSlack]]))</f>
        <v/>
      </c>
      <c r="AW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5"/>
      <c r="BA5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t="str">
        <f aca="false">IF(Tasks[[#This Row],[Task Name]]="","",IF(Tasks[[#This Row],[_Level]]&lt;=OutlineShowLevel,"Yes","No"))</f>
        <v/>
      </c>
      <c r="BE58" s="86" t="str">
        <f aca="false">IF(Tasks[[#This Row],[Task Name]]="","",IF(Tasks[[#This Row],[_IsSummary]],SUM(INDEX(Tasks[_LeafTotalWork],Tasks[[#This Row],[_Row]]+1):INDEX(Tasks[_LeafTotalWork],Tasks[[#This Row],[_Row]]+Tasks[[#This Row],[_Descendants]])),Tasks[[#This Row],[_LeafTotalWork]]))</f>
        <v/>
      </c>
      <c r="BF58" s="23"/>
      <c r="BG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t="str">
        <f aca="false">""</f>
        <v/>
      </c>
      <c r="BI58" s="87"/>
      <c r="BJ58" s="22"/>
      <c r="BK58" s="47" t="str">
        <f aca="false">IF(OR(Tasks[[#This Row],[Task Name]]="",Tasks[[#This Row],[Baseline Duration]]=""),"",Tasks[[#This Row],[_SpanDays]]-N(Tasks[[#This Row],[Baseline Duration]]))</f>
        <v/>
      </c>
      <c r="BL58" s="86" t="str">
        <f aca="false">IF(OR(Tasks[[#This Row],[Task Name]]="",Tasks[[#This Row],[Baseline Work]]=""),"",Tasks[[#This Row],[Work]]-N(Tasks[[#This Row],[Baseline Work]]))</f>
        <v/>
      </c>
      <c r="BM58" s="63" t="str">
        <f aca="false">IF(Tasks[[#This Row],[Task Name]]="","",IF(OR(TakeBaseline="Yes",N(Tasks[[#This Row],[Baseline Start]])=0),Tasks[[#This Row],[Start]],Tasks[[#This Row],[Baseline Start]]))</f>
        <v/>
      </c>
      <c r="BN58" s="63" t="str">
        <f aca="false">IF(Tasks[[#This Row],[Task Name]]="","",IF(OR(TakeBaseline="Yes",N(Tasks[[#This Row],[Baseline Finish]])=0),Tasks[[#This Row],[Finish]],Tasks[[#This Row],[Baseline Finish]]))</f>
        <v/>
      </c>
      <c r="BO58" s="21" t="str">
        <f aca="false">IF(Tasks[[#This Row],[Task Name]]="","",IF(OR(TakeBaseline="Yes",N(Tasks[[#This Row],[Baseline Duration]])=0),Tasks[[#This Row],[_SpanDays]],Tasks[[#This Row],[Baseline Duration]]))</f>
        <v/>
      </c>
      <c r="BP58" s="86" t="str">
        <f aca="false">IF(Tasks[[#This Row],[Task Name]]="","",IF(OR(TakeBaseline="Yes",N(Tasks[[#This Row],[Baseline Work]])=0),Tasks[[#This Row],[Work]],Tasks[[#This Row],[Baseline Work]]))</f>
        <v/>
      </c>
      <c r="BQ58" s="7"/>
      <c r="BR58" s="7"/>
      <c r="BS58" s="22"/>
      <c r="BT58" s="88"/>
      <c r="BU58" s="23"/>
      <c r="BV58" s="23"/>
      <c r="BW58" s="23"/>
      <c r="BX58" s="89" t="str">
        <f aca="false">IF(AND(Tasks[[#This Row],[_IsLeaf]]=1,ISNUMBER(Tasks[[#This Row],[Optimistic]]),ISNUMBER(Tasks[[#This Row],[Pessimistic]])),ROUND((Tasks[[#This Row],[Optimistic]]+4*N(Tasks[[#This Row],[_Days]])+Tasks[[#This Row],[Pessimistic]])/6,1),"")</f>
        <v/>
      </c>
      <c r="BY58" s="87"/>
      <c r="BZ58" s="87"/>
      <c r="CA58" s="22"/>
      <c r="CB58" s="43" t="str">
        <f aca="false">IF(Tasks[[#This Row],[Task Name]]="","",MAX(1,N(Tasks[[#This Row],[Level]])))</f>
        <v/>
      </c>
      <c r="CC58" s="43" t="n">
        <f aca="false">ROW()-ROW(Tasks[[#Headers],[ID]])</f>
        <v>53</v>
      </c>
      <c r="CD58" s="43" t="n">
        <f aca="false">IF(OR(Tasks[[#This Row],[Task Name]]="",Tasks[[#This Row],[_Level]]&lt;=1),0,IFERROR(LOOKUP(2,1/(Tasks[[#Headers],[_Level]]:Tasks[[#This Row],[_Level]]=Tasks[[#This Row],[_Level]]-1),ROW(Tasks[[#Headers],[_Level]]:Tasks[[#This Row],[_Level]])),0))</f>
        <v>0</v>
      </c>
      <c r="CE58" s="43" t="n">
        <f aca="false">IFERROR(N(INDEX(Tasks[_Level],Tasks[[#This Row],[_Row]]+1)),0)</f>
        <v>0</v>
      </c>
      <c r="CF58" s="90" t="b">
        <f aca="false">AND(Tasks[[#This Row],[Task Name]]&lt;&gt;"",Tasks[[#This Row],[_NextLevel]]&gt;Tasks[[#This Row],[_Level]])</f>
        <v>0</v>
      </c>
      <c r="CG58" s="43" t="n">
        <f aca="false">IF(Tasks[[#This Row],[_IsSummary]],COUNTIF(Tasks[WBS],Tasks[[#This Row],[WBS]]&amp;".*"),0)</f>
        <v>0</v>
      </c>
      <c r="CH58" s="43" t="n">
        <f aca="false">IF(AND(Tasks[[#This Row],[Task Name]]&lt;&gt;"",NOT(Tasks[[#This Row],[_IsSummary]])),1,0)</f>
        <v>0</v>
      </c>
      <c r="CI58" s="43" t="n">
        <f aca="false">IF(N(Tasks[[#This Row],[_Pred1UID]])=0,0,IFERROR(MATCH(Tasks[[#This Row],[_Pred1UID]],Tasks[UID],0),-1))</f>
        <v>0</v>
      </c>
      <c r="CJ58" s="43" t="n">
        <f aca="false">IF(N(Tasks[[#This Row],[_Pred2UID]])=0,0,IFERROR(MATCH(Tasks[[#This Row],[_Pred2UID]],Tasks[UID],0),-1))</f>
        <v>0</v>
      </c>
      <c r="CK58" s="43" t="n">
        <f aca="false">IF(N(Tasks[[#This Row],[_Pred3UID]])=0,0,IFERROR(MATCH(Tasks[[#This Row],[_Pred3UID]],Tasks[UID],0),-1))</f>
        <v>0</v>
      </c>
      <c r="CL58" s="43" t="n">
        <f aca="false">IF(N(Tasks[[#This Row],[_Pred4UID]])=0,0,IFERROR(MATCH(Tasks[[#This Row],[_Pred4UID]],Tasks[UID],0),-1))</f>
        <v>0</v>
      </c>
      <c r="CM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8" s="91" t="n">
        <f aca="false">IF(OR(Tasks[[#This Row],[_ConstraintCode]]=2,Tasks[[#This Row],[_ConstraintCode]]=3,Tasks[[#This Row],[_ConstraintCode]]=4,Tasks[[#This Row],[_ConstraintCode]]=6),Tasks[[#This Row],[_ConstraintStart]],0)</f>
        <v>0</v>
      </c>
      <c r="CP58" s="91" t="n">
        <f aca="false">IF(OR(Tasks[[#This Row],[_ConstraintCode]]=2,Tasks[[#This Row],[_ConstraintCode]]=3,Tasks[[#This Row],[_ConstraintCode]]=5,Tasks[[#This Row],[_ConstraintCode]]=7),Tasks[[#This Row],[_ConstraintStart]],2958465)</f>
        <v>2958465</v>
      </c>
      <c r="CQ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8" s="91" t="str">
        <f aca="false">IF(NOT(Tasks[[#This Row],[_IsLeaf]]=1),"",IF(N(Tasks[[#This Row],[_Days]])&lt;=0,Tasks[[#This Row],[_LeafCalcStart]],WORKDAY.INTL(Tasks[[#This Row],[_LeafCalcStart]],Tasks[[#This Row],[_Days]]-1,WorkWeek,Holidays)))</f>
        <v/>
      </c>
      <c r="CS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8" s="43" t="str">
        <f aca="false">IF(Tasks[[#This Row],[_Predecessors]]="","",TRIM(MID(SUBSTITUTE(SUBSTITUTE(SUBSTITUTE(UPPER(Tasks[[#This Row],[_Predecessors]]),";",",")," ",""),",",REPT(" ",99)),1,99)))</f>
        <v/>
      </c>
      <c r="CV58" s="43" t="str">
        <f aca="false">IF(Tasks[[#This Row],[_Pred1Text]]="","",IFERROR(VALUE(LEFT(Tasks[[#This Row],[_Pred1Text]],MIN(FIND("F",Tasks[[#This Row],[_Pred1Text]]&amp;"F"),FIND("S",Tasks[[#This Row],[_Pred1Text]]&amp;"S"),FIND("+",Tasks[[#This Row],[_Pred1Text]]&amp;"+"),FIND("-",Tasks[[#This Row],[_Pred1Text]]&amp;"-"))-1)),""))</f>
        <v/>
      </c>
      <c r="CW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8" s="43" t="str">
        <f aca="false">IF(Tasks[[#This Row],[_Pred1Text]]="","",TRIM(MID(SUBSTITUTE(SUBSTITUTE(SUBSTITUTE(UPPER(Tasks[[#This Row],[_Predecessors]]),";",",")," ",""),",",REPT(" ",99)),100,99)))</f>
        <v/>
      </c>
      <c r="CZ58" s="43" t="str">
        <f aca="false">IF(Tasks[[#This Row],[_Pred2Text]]="","",IFERROR(VALUE(LEFT(Tasks[[#This Row],[_Pred2Text]],MIN(FIND("F",Tasks[[#This Row],[_Pred2Text]]&amp;"F"),FIND("S",Tasks[[#This Row],[_Pred2Text]]&amp;"S"),FIND("+",Tasks[[#This Row],[_Pred2Text]]&amp;"+"),FIND("-",Tasks[[#This Row],[_Pred2Text]]&amp;"-"))-1)),""))</f>
        <v/>
      </c>
      <c r="DA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8" s="43" t="str">
        <f aca="false">IF(Tasks[[#This Row],[_Pred2Text]]="","",TRIM(MID(SUBSTITUTE(SUBSTITUTE(SUBSTITUTE(UPPER(Tasks[[#This Row],[_Predecessors]]),";",",")," ",""),",",REPT(" ",99)),199,99)))</f>
        <v/>
      </c>
      <c r="DD58" s="43" t="str">
        <f aca="false">IF(Tasks[[#This Row],[_Pred3Text]]="","",IFERROR(VALUE(LEFT(Tasks[[#This Row],[_Pred3Text]],MIN(FIND("F",Tasks[[#This Row],[_Pred3Text]]&amp;"F"),FIND("S",Tasks[[#This Row],[_Pred3Text]]&amp;"S"),FIND("+",Tasks[[#This Row],[_Pred3Text]]&amp;"+"),FIND("-",Tasks[[#This Row],[_Pred3Text]]&amp;"-"))-1)),""))</f>
        <v/>
      </c>
      <c r="DE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8" s="43" t="str">
        <f aca="false">IF(Tasks[[#This Row],[_Pred3Text]]="","",TRIM(MID(SUBSTITUTE(SUBSTITUTE(SUBSTITUTE(UPPER(Tasks[[#This Row],[_Predecessors]]),";",",")," ",""),",",REPT(" ",99)),298,99)))</f>
        <v/>
      </c>
      <c r="DH58" s="43" t="str">
        <f aca="false">IF(Tasks[[#This Row],[_Pred4Text]]="","",IFERROR(VALUE(LEFT(Tasks[[#This Row],[_Pred4Text]],MIN(FIND("F",Tasks[[#This Row],[_Pred4Text]]&amp;"F"),FIND("S",Tasks[[#This Row],[_Pred4Text]]&amp;"S"),FIND("+",Tasks[[#This Row],[_Pred4Text]]&amp;"+"),FIND("-",Tasks[[#This Row],[_Pred4Text]]&amp;"-"))-1)),""))</f>
        <v/>
      </c>
      <c r="DI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8" s="43" t="str">
        <f aca="false">IF(OR(Tasks[[#This Row],[Task Name]]="",Tasks[[#This Row],[_Resources]]=""),"",TRIM(MID(SUBSTITUTE(Tasks[[#This Row],[_Resources]],",",REPT(" ",99)),1,99)))</f>
        <v/>
      </c>
      <c r="DL58" s="43" t="str">
        <f aca="false">IF(Tasks[[#This Row],[_Res1Text]]="","",TRIM(MID(SUBSTITUTE(Tasks[[#This Row],[_Resources]],",",REPT(" ",99)),100,99)))</f>
        <v/>
      </c>
      <c r="DM58" s="43" t="str">
        <f aca="false">IF(Tasks[[#This Row],[_Res2Text]]="","",TRIM(MID(SUBSTITUTE(Tasks[[#This Row],[_Resources]],",",REPT(" ",99)),199,99)))</f>
        <v/>
      </c>
      <c r="DN58" s="43" t="str">
        <f aca="false">IF(Tasks[[#This Row],[_Res3Text]]="","",TRIM(MID(SUBSTITUTE(Tasks[[#This Row],[_Resources]],",",REPT(" ",99)),298,99)))</f>
        <v/>
      </c>
      <c r="DO58" s="43" t="n">
        <f aca="false">IF(Tasks[[#This Row],[_Res1Text]]="",0,IFERROR(MATCH(TRIM(LEFT(Tasks[[#This Row],[_Res1Text]],FIND("[",Tasks[[#This Row],[_Res1Text]]&amp;"[")-1)),res_Name,0),IFERROR(MATCH(TRIM(LEFT(Tasks[[#This Row],[_Res1Text]],FIND("[",Tasks[[#This Row],[_Res1Text]]&amp;"[")-1)),res_Initials,0),0)))</f>
        <v>0</v>
      </c>
      <c r="DP58" s="43" t="n">
        <f aca="false">IF(Tasks[[#This Row],[_Res2Text]]="",0,IFERROR(MATCH(TRIM(LEFT(Tasks[[#This Row],[_Res2Text]],FIND("[",Tasks[[#This Row],[_Res2Text]]&amp;"[")-1)),res_Name,0),IFERROR(MATCH(TRIM(LEFT(Tasks[[#This Row],[_Res2Text]],FIND("[",Tasks[[#This Row],[_Res2Text]]&amp;"[")-1)),res_Initials,0),0)))</f>
        <v>0</v>
      </c>
      <c r="DQ58" s="43" t="n">
        <f aca="false">IF(Tasks[[#This Row],[_Res3Text]]="",0,IFERROR(MATCH(TRIM(LEFT(Tasks[[#This Row],[_Res3Text]],FIND("[",Tasks[[#This Row],[_Res3Text]]&amp;"[")-1)),res_Name,0),IFERROR(MATCH(TRIM(LEFT(Tasks[[#This Row],[_Res3Text]],FIND("[",Tasks[[#This Row],[_Res3Text]]&amp;"[")-1)),res_Initials,0),0)))</f>
        <v>0</v>
      </c>
      <c r="DR58" s="43" t="n">
        <f aca="false">IF(Tasks[[#This Row],[_Res4Text]]="",0,IFERROR(MATCH(TRIM(LEFT(Tasks[[#This Row],[_Res4Text]],FIND("[",Tasks[[#This Row],[_Res4Text]]&amp;"[")-1)),res_Name,0),IFERROR(MATCH(TRIM(LEFT(Tasks[[#This Row],[_Res4Text]],FIND("[",Tasks[[#This Row],[_Res4Text]]&amp;"[")-1)),res_Initials,0),0)))</f>
        <v>0</v>
      </c>
      <c r="DS58" s="43" t="str">
        <f aca="false">IF(Tasks[[#This Row],[_Res1Text]]="","",IF(Tasks[[#This Row],[_Res1Row]]&gt;0,INDEX(res_Name,Tasks[[#This Row],[_Res1Row]]),TRIM(LEFT(Tasks[[#This Row],[_Res1Text]],FIND("[",Tasks[[#This Row],[_Res1Text]]&amp;"[")-1))))</f>
        <v/>
      </c>
      <c r="DT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8" s="43" t="n">
        <f aca="false">IF(NOT(Tasks[[#This Row],[_IsLeaf]]=1),0,(Tasks[[#This Row],[_Resource1]]&lt;&gt;"")+(Tasks[[#This Row],[_Res2]]&lt;&gt;"")+(Tasks[[#This Row],[_Res3]]&lt;&gt;"")+(Tasks[[#This Row],[_Res4]]&lt;&gt;""))</f>
        <v>0</v>
      </c>
      <c r="DV58" s="43" t="str">
        <f aca="false">IF(Tasks[[#This Row],[_Res2Text]]="","",IF(Tasks[[#This Row],[_Res2Row]]&gt;0,INDEX(res_Name,Tasks[[#This Row],[_Res2Row]]),TRIM(LEFT(Tasks[[#This Row],[_Res2Text]],FIND("[",Tasks[[#This Row],[_Res2Text]]&amp;"[")-1))))</f>
        <v/>
      </c>
      <c r="DW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8" s="43" t="n">
        <f aca="false">IF(OR(NOT(Tasks[[#This Row],[_IsLeaf]]=1),Tasks[[#This Row],[_Res2Row]]=0),0,N(Tasks[[#This Row],[_Days]])*HoursPerDay*IF(Tasks[[#This Row],[_Res2Units]]="",DefaultUnits,Tasks[[#This Row],[_Res2Units]]))</f>
        <v>0</v>
      </c>
      <c r="DY58" s="43" t="n">
        <f aca="false">IF(AND(AND(Tasks[[#This Row],[_IsLeaf]]=1,Tasks[[#This Row],[_LeafTotalWork]]&gt;0),Tasks[[#This Row],[_Res2Work]]&gt;0),Tasks[[#This Row],[_Res2Work]]/(Tasks[[#This Row],[_FinishWorkday]]-Tasks[[#This Row],[_StartWorkday]]+1),0)</f>
        <v>0</v>
      </c>
      <c r="DZ58" s="43" t="n">
        <f aca="false">Tasks[[#This Row],[_Res2WorkPerWD]]*MAX(0,Tasks[[#This Row],[_StartWorkday]]-1)</f>
        <v>0</v>
      </c>
      <c r="EA58" s="43" t="n">
        <f aca="false">Tasks[[#This Row],[_Res2Work]]*Tasks[[#This Row],[_LeafProgress]]</f>
        <v>0</v>
      </c>
      <c r="EB58" s="43" t="str">
        <f aca="false">IF(Tasks[[#This Row],[_Res3Text]]="","",IF(Tasks[[#This Row],[_Res3Row]]&gt;0,INDEX(res_Name,Tasks[[#This Row],[_Res3Row]]),TRIM(LEFT(Tasks[[#This Row],[_Res3Text]],FIND("[",Tasks[[#This Row],[_Res3Text]]&amp;"[")-1))))</f>
        <v/>
      </c>
      <c r="EC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8" s="43" t="n">
        <f aca="false">IF(OR(NOT(Tasks[[#This Row],[_IsLeaf]]=1),Tasks[[#This Row],[_Res3Row]]=0),0,N(Tasks[[#This Row],[_Days]])*HoursPerDay*IF(Tasks[[#This Row],[_Res3Units]]="",DefaultUnits,Tasks[[#This Row],[_Res3Units]]))</f>
        <v>0</v>
      </c>
      <c r="EE58" s="43" t="n">
        <f aca="false">IF(AND(AND(Tasks[[#This Row],[_IsLeaf]]=1,Tasks[[#This Row],[_LeafTotalWork]]&gt;0),Tasks[[#This Row],[_Res3Work]]&gt;0),Tasks[[#This Row],[_Res3Work]]/(Tasks[[#This Row],[_FinishWorkday]]-Tasks[[#This Row],[_StartWorkday]]+1),0)</f>
        <v>0</v>
      </c>
      <c r="EF58" s="43" t="n">
        <f aca="false">Tasks[[#This Row],[_Res3WorkPerWD]]*MAX(0,Tasks[[#This Row],[_StartWorkday]]-1)</f>
        <v>0</v>
      </c>
      <c r="EG58" s="43" t="n">
        <f aca="false">Tasks[[#This Row],[_Res3Work]]*Tasks[[#This Row],[_LeafProgress]]</f>
        <v>0</v>
      </c>
      <c r="EH58" s="43" t="str">
        <f aca="false">IF(Tasks[[#This Row],[_Res4Text]]="","",IF(Tasks[[#This Row],[_Res4Row]]&gt;0,INDEX(res_Name,Tasks[[#This Row],[_Res4Row]]),TRIM(LEFT(Tasks[[#This Row],[_Res4Text]],FIND("[",Tasks[[#This Row],[_Res4Text]]&amp;"[")-1))))</f>
        <v/>
      </c>
      <c r="EI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8" s="43" t="n">
        <f aca="false">IF(OR(NOT(Tasks[[#This Row],[_IsLeaf]]=1),Tasks[[#This Row],[_Res4Row]]=0),0,N(Tasks[[#This Row],[_Days]])*HoursPerDay*IF(Tasks[[#This Row],[_Res4Units]]="",DefaultUnits,Tasks[[#This Row],[_Res4Units]]))</f>
        <v>0</v>
      </c>
      <c r="EK58" s="43" t="n">
        <f aca="false">IF(AND(AND(Tasks[[#This Row],[_IsLeaf]]=1,Tasks[[#This Row],[_LeafTotalWork]]&gt;0),Tasks[[#This Row],[_Res4Work]]&gt;0),Tasks[[#This Row],[_Res4Work]]/(Tasks[[#This Row],[_FinishWorkday]]-Tasks[[#This Row],[_StartWorkday]]+1),0)</f>
        <v>0</v>
      </c>
      <c r="EL58" s="43" t="n">
        <f aca="false">Tasks[[#This Row],[_Res4WorkPerWD]]*MAX(0,Tasks[[#This Row],[_StartWorkday]]-1)</f>
        <v>0</v>
      </c>
      <c r="EM58" s="43" t="n">
        <f aca="false">Tasks[[#This Row],[_Res4Work]]*Tasks[[#This Row],[_LeafProgress]]</f>
        <v>0</v>
      </c>
      <c r="EN58" s="43" t="n">
        <f aca="false">IF(ISNUMBER(Tasks[[#This Row],[% Complete]]),Tasks[[#This Row],[% Complete]],IF(Tasks[[#This Row],[Stage]]="",0,IFERROR(INDEX(stg_Pct,MATCH(Tasks[[#This Row],[Stage]],stg_Name,0)),0)))</f>
        <v>0</v>
      </c>
      <c r="EO58" s="43" t="n">
        <f aca="false">IF(NOT(Tasks[[#This Row],[_IsLeaf]]=1),0,IF(N(Tasks[[#This Row],[Actual Finish]])&gt;0,1,MIN(1,Tasks[[#This Row],[_Pct]])))</f>
        <v>0</v>
      </c>
      <c r="EP58" s="43" t="n">
        <f aca="false">IF(OR(NOT(Tasks[[#This Row],[_IsLeaf]]=1),Tasks[[#This Row],[_Res1Row]]=0),0,N(Tasks[[#This Row],[_Days]])*HoursPerDay*IF(Tasks[[#This Row],[_Units1]]="",DefaultUnits,Tasks[[#This Row],[_Units1]]))</f>
        <v>0</v>
      </c>
      <c r="EQ58" s="43" t="n">
        <f aca="false">Tasks[[#This Row],[_LeafWork]]+Tasks[[#This Row],[_Res2Work]]+Tasks[[#This Row],[_Res3Work]]+Tasks[[#This Row],[_Res4Work]]</f>
        <v>0</v>
      </c>
      <c r="ER5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8" s="43" t="n">
        <f aca="false">IF(NOT(Tasks[[#This Row],[_IsLeaf]]=1),0,MAX(_xlfn.MAXIFS(Tasks[_Row],Tasks[_Pred1UID],Tasks[[#This Row],[UID]]),_xlfn.MAXIFS(Tasks[_Row],Tasks[_Pred2UID],Tasks[[#This Row],[UID]]),_xlfn.MAXIFS(Tasks[_Row],Tasks[_Pred3UID],Tasks[[#This Row],[UID]]),_xlfn.MAXIFS(Tasks[_Row],Tasks[_Pred4UID],Tasks[[#This Row],[UID]])))</f>
        <v>0</v>
      </c>
      <c r="FA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8" s="91" t="str">
        <f aca="false">IF(NOT(Tasks[[#This Row],[_IsLeaf]]=1),"",IF(N(Tasks[[#This Row],[_Days]])&lt;=0,Tasks[[#This Row],[_LeafLateFinish]],WORKDAY.INTL(Tasks[[#This Row],[_LeafLateFinish]],-(Tasks[[#This Row],[_Days]]-1),WorkWeek,Holidays)))</f>
        <v/>
      </c>
      <c r="FD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8" s="90" t="b">
        <f aca="false">AND(Tasks[[#This Row],[_IsLeaf]]=1,Tasks[[#This Row],[_LeafProgress]]&lt;1,N(Tasks[[#This Row],[_LeafTotalSlack]])&lt;=CriticalSlackDays)</f>
        <v>0</v>
      </c>
      <c r="FF58" s="43" t="n">
        <f aca="false">IF(AND(Tasks[[#This Row],[_IsLeaf]]=1,Tasks[[#This Row],[_ConstraintCode]]=1,Tasks[[#This Row],[Mode]]&lt;&gt;"Manual",N(Tasks[[#This Row],[Actual Start]])=0),MAX(0,N(Tasks[[#This Row],[Free Slack]])),0)</f>
        <v>0</v>
      </c>
      <c r="FG58" s="91" t="str">
        <f aca="false">IF(NOT(Tasks[[#This Row],[_IsLeaf]]=1),"",IF(Tasks[[#This Row],[_AlapShift]]=0,Tasks[[#This Row],[_LeafCalcStart]],WORKDAY.INTL(Tasks[[#This Row],[_LeafCalcStart]],Tasks[[#This Row],[_AlapShift]],WorkWeek,Holidays)))</f>
        <v/>
      </c>
      <c r="FH58" s="91" t="str">
        <f aca="false">IF(NOT(Tasks[[#This Row],[_IsLeaf]]=1),"",IF(Tasks[[#This Row],[_AlapShift]]=0,Tasks[[#This Row],[_LeafCalcFinish]],WORKDAY.INTL(Tasks[[#This Row],[_LeafCalcFinish]],Tasks[[#This Row],[_AlapShift]],WorkWeek,Holidays)))</f>
        <v/>
      </c>
      <c r="FI58" s="91" t="str">
        <f aca="false">IF(NOT(Tasks[[#This Row],[_IsLeaf]]=1),"",IF(Tasks[[#This Row],[_AlapShift]]=0,Tasks[[#This Row],[_LeafFcstStart]],WORKDAY.INTL(Tasks[[#This Row],[_LeafFcstStart]],Tasks[[#This Row],[_AlapShift]],WorkWeek,Holidays)))</f>
        <v/>
      </c>
      <c r="FJ58" s="91" t="str">
        <f aca="false">IF(NOT(Tasks[[#This Row],[_IsLeaf]]=1),"",IF(Tasks[[#This Row],[_AlapShift]]=0,Tasks[[#This Row],[_LeafFcstFinish]],WORKDAY.INTL(Tasks[[#This Row],[_LeafFcstFinish]],Tasks[[#This Row],[_AlapShift]],WorkWeek,Holidays)))</f>
        <v/>
      </c>
      <c r="FK58" s="91" t="str">
        <f aca="false">IF(Tasks[[#This Row],[Task Name]]="","",IF(Tasks[[#This Row],[_IsSummary]],MIN(INDEX(Tasks[_ShownCalcStart],Tasks[[#This Row],[_Row]]+1):INDEX(Tasks[_ShownCalcStart],Tasks[[#This Row],[_Row]]+Tasks[[#This Row],[_Descendants]])),Tasks[[#This Row],[_ShownCalcStart]]))</f>
        <v/>
      </c>
      <c r="FL58" s="91" t="str">
        <f aca="false">IF(Tasks[[#This Row],[Task Name]]="","",IF(Tasks[[#This Row],[_IsSummary]],MAX(INDEX(Tasks[_ShownCalcFinish],Tasks[[#This Row],[_Row]]+1):INDEX(Tasks[_ShownCalcFinish],Tasks[[#This Row],[_Row]]+Tasks[[#This Row],[_Descendants]])),Tasks[[#This Row],[_ShownCalcFinish]]))</f>
        <v/>
      </c>
      <c r="FM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8" s="43" t="n">
        <f aca="false">IF(AND(Tasks[[#This Row],[_IsLeaf]]=1,Tasks[[#This Row],[_LeafTotalWork]]&gt;0),NETWORKDAYS.INTL(ProjectStart,Tasks[[#This Row],[_ShownFcstStart]],WorkWeek,Holidays),0)</f>
        <v>0</v>
      </c>
      <c r="FZ58" s="43" t="n">
        <f aca="false">IF(AND(Tasks[[#This Row],[_IsLeaf]]=1,Tasks[[#This Row],[_LeafTotalWork]]&gt;0),MAX(Tasks[[#This Row],[_StartWorkday]],NETWORKDAYS.INTL(ProjectStart,Tasks[[#This Row],[_ShownFcstFinish]],WorkWeek,Holidays)),0)</f>
        <v>0</v>
      </c>
      <c r="GA58" s="43" t="n">
        <f aca="false">IF(AND(Tasks[[#This Row],[_IsLeaf]]=1,Tasks[[#This Row],[_LeafTotalWork]]&gt;0),Tasks[[#This Row],[_LeafWork]]/(Tasks[[#This Row],[_FinishWorkday]]-Tasks[[#This Row],[_StartWorkday]]+1),0)</f>
        <v>0</v>
      </c>
      <c r="GB58" s="43" t="n">
        <f aca="false">Tasks[[#This Row],[_WorkPerWorkday]]*(Tasks[[#This Row],[_StartWorkday]]-1)</f>
        <v>-0</v>
      </c>
      <c r="GC58" s="43" t="n">
        <f aca="false">IF(Tasks[[#This Row],[_IsLeaf]]=1,MAX(N(Tasks[[#This Row],[_Days]]),0.1),0)</f>
        <v>0</v>
      </c>
      <c r="GD58" s="43" t="n">
        <f aca="false">Tasks[[#This Row],[_WeightDur]]*Tasks[[#This Row],[_LeafProgress]]</f>
        <v>0</v>
      </c>
      <c r="GE58" s="43" t="n">
        <f aca="false">Tasks[[#This Row],[_WeightDur]]*Tasks[[#This Row],[_PlannedPct]]</f>
        <v>0</v>
      </c>
      <c r="GF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8" s="43" t="str">
        <f aca="false">IF(AND(Tasks[[#This Row],[_IsLeaf]]=1,N(Tasks[[#This Row],[_Days]])=0,Tasks[[#This Row],[_LeafProgress]]&lt;1),Tasks[[#This Row],[_ShownFcstFinish]]+Tasks[[#This Row],[_Row]]/100000,"")</f>
        <v/>
      </c>
      <c r="GH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8" s="43" t="str">
        <f aca="false">IF(Tasks[[#This Row],[Task Name]]="","",LEFT(Tasks[[#This Row],[WBS]],FIND(".",Tasks[[#This Row],[WBS]]&amp;".")-1))</f>
        <v/>
      </c>
      <c r="GJ58" s="43" t="str">
        <f aca="false">IF(AND(Tasks[[#This Row],[Task Name]]&lt;&gt;"",Tasks[[#This Row],[_Level]]=1),Tasks[[#This Row],[_Row]],"")</f>
        <v/>
      </c>
      <c r="GK58" s="43" t="str">
        <f aca="false">IF(AND(Tasks[[#This Row],[_IsLeaf]]=1,N(Tasks[[#This Row],[_Days]])=0),Tasks[[#This Row],[Planned Finish]]+Tasks[[#This Row],[_Row]]/100000,"")</f>
        <v/>
      </c>
      <c r="GL58" s="43" t="str">
        <f aca="false">IF(AND(Tasks[[#This Row],[_IsLeaf]]=1,Tasks[[#This Row],[_LeafProgress]]&lt;1,OR(N(Tasks[[#This Row],[Finish Var]])&gt;0,Tasks[[#This Row],[Status]]="Late Start")),MAX(0,Tasks[[#This Row],[Finish Var]])+1-Tasks[[#This Row],[_Row]]/1000000,"")</f>
        <v/>
      </c>
      <c r="GM58" s="43" t="str">
        <f aca="false">IF(AND(Tasks[[#This Row],[_IsLeaf]]=1,N(Tasks[[#This Row],[Actual Start]])=0,Tasks[[#This Row],[_ShownFcstStart]]&gt;=StatusDate,Tasks[[#This Row],[_ShownFcstStart]]&lt;=LookaheadEnd),Tasks[[#This Row],[_ShownFcstStart]]+Tasks[[#This Row],[_Row]]/100000,"")</f>
        <v/>
      </c>
      <c r="GN58" s="43" t="str">
        <f aca="false">IF(AND(Tasks[[#This Row],[_IsLeaf]]=1,Tasks[[#This Row],[_LeafProgress]]&lt;1,Tasks[[#This Row],[_ShownFcstFinish]]&gt;=StatusDate,Tasks[[#This Row],[_ShownFcstFinish]]&lt;=LookaheadEnd),Tasks[[#This Row],[_ShownFcstFinish]]+Tasks[[#This Row],[_Row]]/100000,"")</f>
        <v/>
      </c>
      <c r="GO58" s="43" t="str">
        <f aca="false">IF(Tasks[[#This Row],[_LeafCritical]],Tasks[[#This Row],[_ShownFcstStart]]+Tasks[[#This Row],[_Row]]/100000,"")</f>
        <v/>
      </c>
      <c r="GP58" s="43" t="n">
        <f aca="false">Tasks[[#This Row],[_LeafWork]]*Tasks[[#This Row],[_LeafProgress]]</f>
        <v>0</v>
      </c>
      <c r="GQ58" s="91" t="str">
        <f aca="false">IF(AND(Tasks[[#This Row],[_IsLeaf]]=1,Tasks[[#This Row],[_LeafProgress]]&gt;=1),IF(N(Tasks[[#This Row],[Actual Finish]])&gt;0,Tasks[[#This Row],[Actual Finish]],Tasks[[#This Row],[_ShownFcstFinish]]),"")</f>
        <v/>
      </c>
      <c r="GR58" s="43" t="n">
        <f aca="false">IF(Tasks[[#This Row],[_IsLeaf]]=1,N(Tasks[[#This Row],[Story Points]]),0)</f>
        <v>0</v>
      </c>
      <c r="GS58" s="43" t="str">
        <f aca="false">""</f>
        <v/>
      </c>
      <c r="GT58" s="90" t="b">
        <f aca="false">IF(Tasks[[#This Row],[Task Name]]="",FALSE(),AND(Tasks[[#This Row],[_IsLeaf]]=1,N(Tasks[[#This Row],[_Days]])=0))</f>
        <v>0</v>
      </c>
      <c r="GU58" s="91" t="n">
        <f aca="false">IF(Tasks[[#This Row],[Task Name]]="",0,IF(AND(Tasks[[#This Row],[_IsLeaf]]=1,NOT(Tasks[[#This Row],[_IsMilestone]]),N(Tasks[[#This Row],[Progress]])&gt;0),Tasks[[#This Row],[Start]],0))</f>
        <v>0</v>
      </c>
      <c r="GV58" s="91" t="n">
        <f aca="false">IF(Tasks[[#This Row],[_DoneFrom]]=0,0,IF(Tasks[[#This Row],[Progress]]&gt;=1,Tasks[[#This Row],[Finish]],MAX(Tasks[[#This Row],[_DoneFrom]],Tasks[[#This Row],[Start]]+ROUND((Tasks[[#This Row],[Finish]]-Tasks[[#This Row],[Start]]+1)*Tasks[[#This Row],[Progress]],0)-1)))</f>
        <v>0</v>
      </c>
      <c r="GW58" s="91" t="n">
        <f aca="false">IF(Tasks[[#This Row],[Task Name]]="",0,IF(OR(NOT(Tasks[[#This Row],[_IsLeaf]]=1),Tasks[[#This Row],[_IsMilestone]],N(Tasks[[#This Row],[Progress]])&gt;=1),0,IF(Tasks[[#This Row],[_DoneTo]]&gt;0,Tasks[[#This Row],[_DoneTo]]+1,Tasks[[#This Row],[Start]])))</f>
        <v>0</v>
      </c>
      <c r="GX58" s="91" t="n">
        <f aca="false">IF(Tasks[[#This Row],[_RemFrom]]=0,0,Tasks[[#This Row],[Finish]])</f>
        <v>0</v>
      </c>
      <c r="GY58" s="90" t="b">
        <f aca="false">IF(Tasks[[#This Row],[Task Name]]="",FALSE(),OR(NOT(BaselineSet),N(Tasks[[#This Row],[Baseline Start]])&gt;0))</f>
        <v>0</v>
      </c>
      <c r="GZ5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8" s="92" t="str">
        <f aca="false">IF(Tasks[[#This Row],[_IsLeaf]]=1,Tasks[[#This Row],[_Row]],"")</f>
        <v/>
      </c>
      <c r="HD58" s="92" t="str">
        <f aca="false">IFERROR(INDEX(Tasks[UID],SMALL(Tasks[_PickKey],Tasks[[#This Row],[_Row]]))&amp;" "&amp;INDEX(Tasks[Task Name],SMALL(Tasks[_PickKey],Tasks[[#This Row],[_Row]])),"")</f>
        <v/>
      </c>
      <c r="HE58" s="43" t="str">
        <f aca="false">IF(Tasks[[#This Row],[Task Name]]="","",IF(Tasks[[#This Row],[_IsSummary]],NETWORKDAYS.INTL(Tasks[[#This Row],[Start]],Tasks[[#This Row],[Finish]],WorkWeek,Holidays),N(Tasks[[#This Row],[_Days]])))</f>
        <v/>
      </c>
      <c r="HF58" s="43" t="n">
        <f aca="false">IF(Tasks[[#This Row],[Expected]]="",0,((Tasks[[#This Row],[Pessimistic]]-Tasks[[#This Row],[Optimistic]])/6)^2)</f>
        <v>0</v>
      </c>
      <c r="HG58" s="43" t="n">
        <f aca="false">IF(Tasks[[#This Row],[Expected]]="",0,Tasks[[#This Row],[Expected]]-N(Tasks[[#This Row],[_Days]]))</f>
        <v>0</v>
      </c>
    </row>
    <row r="59" customFormat="false" ht="15" hidden="false" customHeight="false" outlineLevel="0" collapsed="false">
      <c r="A59" s="21" t="str">
        <f aca="false">IF(Tasks[[#This Row],[Task Name]]="","",COUNTA(Tasks[[#Headers],[Task Name]]:Tasks[[#This Row],[Task Name]])-1)</f>
        <v/>
      </c>
      <c r="B59" s="22" t="n">
        <v>67</v>
      </c>
      <c r="C59" s="22"/>
      <c r="D59" s="23"/>
      <c r="E59" s="22"/>
      <c r="F59" s="23"/>
      <c r="G59" s="22"/>
      <c r="H59" s="22"/>
      <c r="I59" s="23"/>
      <c r="J59" s="22"/>
      <c r="K59" s="22"/>
      <c r="L59" s="23"/>
      <c r="M59" s="22"/>
      <c r="N59" s="22"/>
      <c r="O59" s="23"/>
      <c r="P59" s="22"/>
      <c r="Q59" s="22"/>
      <c r="R59" s="23"/>
      <c r="S59" s="23"/>
      <c r="T59" s="84"/>
      <c r="U59" s="23"/>
      <c r="V59" s="84"/>
      <c r="W59" s="23"/>
      <c r="X59" s="84"/>
      <c r="Y59" s="23"/>
      <c r="Z59" s="84"/>
      <c r="AA59" s="23"/>
      <c r="AB59" s="23"/>
      <c r="AC59" s="7"/>
      <c r="AD59" s="7"/>
      <c r="AE59" s="63" t="str">
        <f aca="false">IF(Tasks[[#This Row],[Task Name]]="","",IF(Tasks[[#This Row],[_IsSummary]],MIN(INDEX(Tasks[_ShownFcstStart],Tasks[[#This Row],[_Row]]+1):INDEX(Tasks[_ShownFcstStart],Tasks[[#This Row],[_Row]]+Tasks[[#This Row],[_Descendants]])),Tasks[[#This Row],[_ShownFcstStart]]))</f>
        <v/>
      </c>
      <c r="AF59" s="63" t="str">
        <f aca="false">IF(Tasks[[#This Row],[Task Name]]="","",IF(Tasks[[#This Row],[_IsSummary]],MAX(INDEX(Tasks[_ShownFcstFinish],Tasks[[#This Row],[_Row]]+1):INDEX(Tasks[_ShownFcstFinish],Tasks[[#This Row],[_Row]]+Tasks[[#This Row],[_Descendants]])),Tasks[[#This Row],[_ShownFcstFinish]]))</f>
        <v/>
      </c>
      <c r="AG59" s="21" t="str">
        <f aca="false">""</f>
        <v/>
      </c>
      <c r="AH59" s="23"/>
      <c r="AI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9" s="7"/>
      <c r="AK59" s="22"/>
      <c r="AL59" s="23"/>
      <c r="AM59" s="7"/>
      <c r="AN59" s="47" t="str">
        <f aca="false">IF(Tasks[[#This Row],[Task Name]]="","",IF(Tasks[[#This Row],[Finish]]&gt;=Tasks[[#This Row],[Planned Finish]],NETWORKDAYS.INTL(Tasks[[#This Row],[Planned Finish]],Tasks[[#This Row],[Finish]],WorkWeek,Holidays)-1,1-NETWORKDAYS.INTL(Tasks[[#This Row],[Finish]],Tasks[[#This Row],[Planned Finish]],WorkWeek,Holidays)))</f>
        <v/>
      </c>
      <c r="AO59" s="21" t="str">
        <f aca="false">IF(Tasks[[#This Row],[Task Name]]="","",IF(Tasks[[#This Row],[Progress]]&gt;=1,"Complete",IF(OR(N(Tasks[[#This Row],[Actual Start]])&gt;0,Tasks[[#This Row],[Progress]]&gt;0),IF(Tasks[[#This Row],[Finish Var]]&gt;0,"Behind","In Progress"),IF(Tasks[[#This Row],[Planned Start]]&lt;StatusDate,"Late Start","Not Started"))))</f>
        <v/>
      </c>
      <c r="AP59" s="21" t="str">
        <f aca="false">IF(Tasks[[#This Row],[Task Name]]="","",IF(IF(Tasks[[#This Row],[_IsSummary]],COUNTIF(INDEX(Tasks[_LeafCritical],Tasks[[#This Row],[_Row]]+1):INDEX(Tasks[_LeafCritical],Tasks[[#This Row],[_Row]]+Tasks[[#This Row],[_Descendants]]),TRUE())&gt;0,Tasks[[#This Row],[_LeafCritical]]),"Yes",""))</f>
        <v/>
      </c>
      <c r="AQ59" s="63" t="str">
        <f aca="false">IF(Tasks[[#This Row],[Task Name]]="","",IF(N(Tasks[[#This Row],[Baseline Start]])&gt;0,Tasks[[#This Row],[Baseline Start]],Tasks[[#This Row],[_CalcStart]]))</f>
        <v/>
      </c>
      <c r="AR59" s="63" t="str">
        <f aca="false">IF(Tasks[[#This Row],[Task Name]]="","",IF(N(Tasks[[#This Row],[Baseline Finish]])&gt;0,Tasks[[#This Row],[Baseline Finish]],Tasks[[#This Row],[_CalcFinish]]))</f>
        <v/>
      </c>
      <c r="AS59" s="47" t="str">
        <f aca="false">IF(Tasks[[#This Row],[Task Name]]="","",IF(Tasks[[#This Row],[Start]]&gt;=Tasks[[#This Row],[Planned Start]],NETWORKDAYS.INTL(Tasks[[#This Row],[Planned Start]],Tasks[[#This Row],[Start]],WorkWeek,Holidays)-1,1-NETWORKDAYS.INTL(Tasks[[#This Row],[Start]],Tasks[[#This Row],[Planned Start]],WorkWeek,Holidays)))</f>
        <v/>
      </c>
      <c r="AT59" s="63" t="str">
        <f aca="false">IF(Tasks[[#This Row],[Task Name]]="","",IF(Tasks[[#This Row],[_IsSummary]],MIN(INDEX(Tasks[_LeafLateStart],Tasks[[#This Row],[_Row]]+1):INDEX(Tasks[_LeafLateStart],Tasks[[#This Row],[_Row]]+Tasks[[#This Row],[_Descendants]])),Tasks[[#This Row],[_LeafLateStart]]))</f>
        <v/>
      </c>
      <c r="AU59" s="63" t="str">
        <f aca="false">IF(Tasks[[#This Row],[Task Name]]="","",IF(Tasks[[#This Row],[_IsSummary]],MAX(INDEX(Tasks[_LeafLateFinish],Tasks[[#This Row],[_Row]]+1):INDEX(Tasks[_LeafLateFinish],Tasks[[#This Row],[_Row]]+Tasks[[#This Row],[_Descendants]])),Tasks[[#This Row],[_LeafLateFinish]]))</f>
        <v/>
      </c>
      <c r="AV59" s="47" t="str">
        <f aca="false">IF(Tasks[[#This Row],[Task Name]]="","",IF(Tasks[[#This Row],[_IsSummary]],MIN(INDEX(Tasks[_LeafTotalSlack],Tasks[[#This Row],[_Row]]+1):INDEX(Tasks[_LeafTotalSlack],Tasks[[#This Row],[_Row]]+Tasks[[#This Row],[_Descendants]])),Tasks[[#This Row],[_LeafTotalSlack]]))</f>
        <v/>
      </c>
      <c r="AW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5"/>
      <c r="BA5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t="str">
        <f aca="false">IF(Tasks[[#This Row],[Task Name]]="","",IF(Tasks[[#This Row],[_Level]]&lt;=OutlineShowLevel,"Yes","No"))</f>
        <v/>
      </c>
      <c r="BE59" s="86" t="str">
        <f aca="false">IF(Tasks[[#This Row],[Task Name]]="","",IF(Tasks[[#This Row],[_IsSummary]],SUM(INDEX(Tasks[_LeafTotalWork],Tasks[[#This Row],[_Row]]+1):INDEX(Tasks[_LeafTotalWork],Tasks[[#This Row],[_Row]]+Tasks[[#This Row],[_Descendants]])),Tasks[[#This Row],[_LeafTotalWork]]))</f>
        <v/>
      </c>
      <c r="BF59" s="23"/>
      <c r="BG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t="str">
        <f aca="false">""</f>
        <v/>
      </c>
      <c r="BI59" s="87"/>
      <c r="BJ59" s="22"/>
      <c r="BK59" s="47" t="str">
        <f aca="false">IF(OR(Tasks[[#This Row],[Task Name]]="",Tasks[[#This Row],[Baseline Duration]]=""),"",Tasks[[#This Row],[_SpanDays]]-N(Tasks[[#This Row],[Baseline Duration]]))</f>
        <v/>
      </c>
      <c r="BL59" s="86" t="str">
        <f aca="false">IF(OR(Tasks[[#This Row],[Task Name]]="",Tasks[[#This Row],[Baseline Work]]=""),"",Tasks[[#This Row],[Work]]-N(Tasks[[#This Row],[Baseline Work]]))</f>
        <v/>
      </c>
      <c r="BM59" s="63" t="str">
        <f aca="false">IF(Tasks[[#This Row],[Task Name]]="","",IF(OR(TakeBaseline="Yes",N(Tasks[[#This Row],[Baseline Start]])=0),Tasks[[#This Row],[Start]],Tasks[[#This Row],[Baseline Start]]))</f>
        <v/>
      </c>
      <c r="BN59" s="63" t="str">
        <f aca="false">IF(Tasks[[#This Row],[Task Name]]="","",IF(OR(TakeBaseline="Yes",N(Tasks[[#This Row],[Baseline Finish]])=0),Tasks[[#This Row],[Finish]],Tasks[[#This Row],[Baseline Finish]]))</f>
        <v/>
      </c>
      <c r="BO59" s="21" t="str">
        <f aca="false">IF(Tasks[[#This Row],[Task Name]]="","",IF(OR(TakeBaseline="Yes",N(Tasks[[#This Row],[Baseline Duration]])=0),Tasks[[#This Row],[_SpanDays]],Tasks[[#This Row],[Baseline Duration]]))</f>
        <v/>
      </c>
      <c r="BP59" s="86" t="str">
        <f aca="false">IF(Tasks[[#This Row],[Task Name]]="","",IF(OR(TakeBaseline="Yes",N(Tasks[[#This Row],[Baseline Work]])=0),Tasks[[#This Row],[Work]],Tasks[[#This Row],[Baseline Work]]))</f>
        <v/>
      </c>
      <c r="BQ59" s="7"/>
      <c r="BR59" s="7"/>
      <c r="BS59" s="22"/>
      <c r="BT59" s="88"/>
      <c r="BU59" s="23"/>
      <c r="BV59" s="23"/>
      <c r="BW59" s="23"/>
      <c r="BX59" s="89" t="str">
        <f aca="false">IF(AND(Tasks[[#This Row],[_IsLeaf]]=1,ISNUMBER(Tasks[[#This Row],[Optimistic]]),ISNUMBER(Tasks[[#This Row],[Pessimistic]])),ROUND((Tasks[[#This Row],[Optimistic]]+4*N(Tasks[[#This Row],[_Days]])+Tasks[[#This Row],[Pessimistic]])/6,1),"")</f>
        <v/>
      </c>
      <c r="BY59" s="87"/>
      <c r="BZ59" s="87"/>
      <c r="CA59" s="22"/>
      <c r="CB59" s="43" t="str">
        <f aca="false">IF(Tasks[[#This Row],[Task Name]]="","",MAX(1,N(Tasks[[#This Row],[Level]])))</f>
        <v/>
      </c>
      <c r="CC59" s="43" t="n">
        <f aca="false">ROW()-ROW(Tasks[[#Headers],[ID]])</f>
        <v>54</v>
      </c>
      <c r="CD59" s="43" t="n">
        <f aca="false">IF(OR(Tasks[[#This Row],[Task Name]]="",Tasks[[#This Row],[_Level]]&lt;=1),0,IFERROR(LOOKUP(2,1/(Tasks[[#Headers],[_Level]]:Tasks[[#This Row],[_Level]]=Tasks[[#This Row],[_Level]]-1),ROW(Tasks[[#Headers],[_Level]]:Tasks[[#This Row],[_Level]])),0))</f>
        <v>0</v>
      </c>
      <c r="CE59" s="43" t="n">
        <f aca="false">IFERROR(N(INDEX(Tasks[_Level],Tasks[[#This Row],[_Row]]+1)),0)</f>
        <v>0</v>
      </c>
      <c r="CF59" s="90" t="b">
        <f aca="false">AND(Tasks[[#This Row],[Task Name]]&lt;&gt;"",Tasks[[#This Row],[_NextLevel]]&gt;Tasks[[#This Row],[_Level]])</f>
        <v>0</v>
      </c>
      <c r="CG59" s="43" t="n">
        <f aca="false">IF(Tasks[[#This Row],[_IsSummary]],COUNTIF(Tasks[WBS],Tasks[[#This Row],[WBS]]&amp;".*"),0)</f>
        <v>0</v>
      </c>
      <c r="CH59" s="43" t="n">
        <f aca="false">IF(AND(Tasks[[#This Row],[Task Name]]&lt;&gt;"",NOT(Tasks[[#This Row],[_IsSummary]])),1,0)</f>
        <v>0</v>
      </c>
      <c r="CI59" s="43" t="n">
        <f aca="false">IF(N(Tasks[[#This Row],[_Pred1UID]])=0,0,IFERROR(MATCH(Tasks[[#This Row],[_Pred1UID]],Tasks[UID],0),-1))</f>
        <v>0</v>
      </c>
      <c r="CJ59" s="43" t="n">
        <f aca="false">IF(N(Tasks[[#This Row],[_Pred2UID]])=0,0,IFERROR(MATCH(Tasks[[#This Row],[_Pred2UID]],Tasks[UID],0),-1))</f>
        <v>0</v>
      </c>
      <c r="CK59" s="43" t="n">
        <f aca="false">IF(N(Tasks[[#This Row],[_Pred3UID]])=0,0,IFERROR(MATCH(Tasks[[#This Row],[_Pred3UID]],Tasks[UID],0),-1))</f>
        <v>0</v>
      </c>
      <c r="CL59" s="43" t="n">
        <f aca="false">IF(N(Tasks[[#This Row],[_Pred4UID]])=0,0,IFERROR(MATCH(Tasks[[#This Row],[_Pred4UID]],Tasks[UID],0),-1))</f>
        <v>0</v>
      </c>
      <c r="CM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9" s="91" t="n">
        <f aca="false">IF(OR(Tasks[[#This Row],[_ConstraintCode]]=2,Tasks[[#This Row],[_ConstraintCode]]=3,Tasks[[#This Row],[_ConstraintCode]]=4,Tasks[[#This Row],[_ConstraintCode]]=6),Tasks[[#This Row],[_ConstraintStart]],0)</f>
        <v>0</v>
      </c>
      <c r="CP59" s="91" t="n">
        <f aca="false">IF(OR(Tasks[[#This Row],[_ConstraintCode]]=2,Tasks[[#This Row],[_ConstraintCode]]=3,Tasks[[#This Row],[_ConstraintCode]]=5,Tasks[[#This Row],[_ConstraintCode]]=7),Tasks[[#This Row],[_ConstraintStart]],2958465)</f>
        <v>2958465</v>
      </c>
      <c r="CQ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9" s="91" t="str">
        <f aca="false">IF(NOT(Tasks[[#This Row],[_IsLeaf]]=1),"",IF(N(Tasks[[#This Row],[_Days]])&lt;=0,Tasks[[#This Row],[_LeafCalcStart]],WORKDAY.INTL(Tasks[[#This Row],[_LeafCalcStart]],Tasks[[#This Row],[_Days]]-1,WorkWeek,Holidays)))</f>
        <v/>
      </c>
      <c r="CS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9" s="43" t="str">
        <f aca="false">IF(Tasks[[#This Row],[_Predecessors]]="","",TRIM(MID(SUBSTITUTE(SUBSTITUTE(SUBSTITUTE(UPPER(Tasks[[#This Row],[_Predecessors]]),";",",")," ",""),",",REPT(" ",99)),1,99)))</f>
        <v/>
      </c>
      <c r="CV59" s="43" t="str">
        <f aca="false">IF(Tasks[[#This Row],[_Pred1Text]]="","",IFERROR(VALUE(LEFT(Tasks[[#This Row],[_Pred1Text]],MIN(FIND("F",Tasks[[#This Row],[_Pred1Text]]&amp;"F"),FIND("S",Tasks[[#This Row],[_Pred1Text]]&amp;"S"),FIND("+",Tasks[[#This Row],[_Pred1Text]]&amp;"+"),FIND("-",Tasks[[#This Row],[_Pred1Text]]&amp;"-"))-1)),""))</f>
        <v/>
      </c>
      <c r="CW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9" s="43" t="str">
        <f aca="false">IF(Tasks[[#This Row],[_Pred1Text]]="","",TRIM(MID(SUBSTITUTE(SUBSTITUTE(SUBSTITUTE(UPPER(Tasks[[#This Row],[_Predecessors]]),";",",")," ",""),",",REPT(" ",99)),100,99)))</f>
        <v/>
      </c>
      <c r="CZ59" s="43" t="str">
        <f aca="false">IF(Tasks[[#This Row],[_Pred2Text]]="","",IFERROR(VALUE(LEFT(Tasks[[#This Row],[_Pred2Text]],MIN(FIND("F",Tasks[[#This Row],[_Pred2Text]]&amp;"F"),FIND("S",Tasks[[#This Row],[_Pred2Text]]&amp;"S"),FIND("+",Tasks[[#This Row],[_Pred2Text]]&amp;"+"),FIND("-",Tasks[[#This Row],[_Pred2Text]]&amp;"-"))-1)),""))</f>
        <v/>
      </c>
      <c r="DA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9" s="43" t="str">
        <f aca="false">IF(Tasks[[#This Row],[_Pred2Text]]="","",TRIM(MID(SUBSTITUTE(SUBSTITUTE(SUBSTITUTE(UPPER(Tasks[[#This Row],[_Predecessors]]),";",",")," ",""),",",REPT(" ",99)),199,99)))</f>
        <v/>
      </c>
      <c r="DD59" s="43" t="str">
        <f aca="false">IF(Tasks[[#This Row],[_Pred3Text]]="","",IFERROR(VALUE(LEFT(Tasks[[#This Row],[_Pred3Text]],MIN(FIND("F",Tasks[[#This Row],[_Pred3Text]]&amp;"F"),FIND("S",Tasks[[#This Row],[_Pred3Text]]&amp;"S"),FIND("+",Tasks[[#This Row],[_Pred3Text]]&amp;"+"),FIND("-",Tasks[[#This Row],[_Pred3Text]]&amp;"-"))-1)),""))</f>
        <v/>
      </c>
      <c r="DE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9" s="43" t="str">
        <f aca="false">IF(Tasks[[#This Row],[_Pred3Text]]="","",TRIM(MID(SUBSTITUTE(SUBSTITUTE(SUBSTITUTE(UPPER(Tasks[[#This Row],[_Predecessors]]),";",",")," ",""),",",REPT(" ",99)),298,99)))</f>
        <v/>
      </c>
      <c r="DH59" s="43" t="str">
        <f aca="false">IF(Tasks[[#This Row],[_Pred4Text]]="","",IFERROR(VALUE(LEFT(Tasks[[#This Row],[_Pred4Text]],MIN(FIND("F",Tasks[[#This Row],[_Pred4Text]]&amp;"F"),FIND("S",Tasks[[#This Row],[_Pred4Text]]&amp;"S"),FIND("+",Tasks[[#This Row],[_Pred4Text]]&amp;"+"),FIND("-",Tasks[[#This Row],[_Pred4Text]]&amp;"-"))-1)),""))</f>
        <v/>
      </c>
      <c r="DI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9" s="43" t="str">
        <f aca="false">IF(OR(Tasks[[#This Row],[Task Name]]="",Tasks[[#This Row],[_Resources]]=""),"",TRIM(MID(SUBSTITUTE(Tasks[[#This Row],[_Resources]],",",REPT(" ",99)),1,99)))</f>
        <v/>
      </c>
      <c r="DL59" s="43" t="str">
        <f aca="false">IF(Tasks[[#This Row],[_Res1Text]]="","",TRIM(MID(SUBSTITUTE(Tasks[[#This Row],[_Resources]],",",REPT(" ",99)),100,99)))</f>
        <v/>
      </c>
      <c r="DM59" s="43" t="str">
        <f aca="false">IF(Tasks[[#This Row],[_Res2Text]]="","",TRIM(MID(SUBSTITUTE(Tasks[[#This Row],[_Resources]],",",REPT(" ",99)),199,99)))</f>
        <v/>
      </c>
      <c r="DN59" s="43" t="str">
        <f aca="false">IF(Tasks[[#This Row],[_Res3Text]]="","",TRIM(MID(SUBSTITUTE(Tasks[[#This Row],[_Resources]],",",REPT(" ",99)),298,99)))</f>
        <v/>
      </c>
      <c r="DO59" s="43" t="n">
        <f aca="false">IF(Tasks[[#This Row],[_Res1Text]]="",0,IFERROR(MATCH(TRIM(LEFT(Tasks[[#This Row],[_Res1Text]],FIND("[",Tasks[[#This Row],[_Res1Text]]&amp;"[")-1)),res_Name,0),IFERROR(MATCH(TRIM(LEFT(Tasks[[#This Row],[_Res1Text]],FIND("[",Tasks[[#This Row],[_Res1Text]]&amp;"[")-1)),res_Initials,0),0)))</f>
        <v>0</v>
      </c>
      <c r="DP59" s="43" t="n">
        <f aca="false">IF(Tasks[[#This Row],[_Res2Text]]="",0,IFERROR(MATCH(TRIM(LEFT(Tasks[[#This Row],[_Res2Text]],FIND("[",Tasks[[#This Row],[_Res2Text]]&amp;"[")-1)),res_Name,0),IFERROR(MATCH(TRIM(LEFT(Tasks[[#This Row],[_Res2Text]],FIND("[",Tasks[[#This Row],[_Res2Text]]&amp;"[")-1)),res_Initials,0),0)))</f>
        <v>0</v>
      </c>
      <c r="DQ59" s="43" t="n">
        <f aca="false">IF(Tasks[[#This Row],[_Res3Text]]="",0,IFERROR(MATCH(TRIM(LEFT(Tasks[[#This Row],[_Res3Text]],FIND("[",Tasks[[#This Row],[_Res3Text]]&amp;"[")-1)),res_Name,0),IFERROR(MATCH(TRIM(LEFT(Tasks[[#This Row],[_Res3Text]],FIND("[",Tasks[[#This Row],[_Res3Text]]&amp;"[")-1)),res_Initials,0),0)))</f>
        <v>0</v>
      </c>
      <c r="DR59" s="43" t="n">
        <f aca="false">IF(Tasks[[#This Row],[_Res4Text]]="",0,IFERROR(MATCH(TRIM(LEFT(Tasks[[#This Row],[_Res4Text]],FIND("[",Tasks[[#This Row],[_Res4Text]]&amp;"[")-1)),res_Name,0),IFERROR(MATCH(TRIM(LEFT(Tasks[[#This Row],[_Res4Text]],FIND("[",Tasks[[#This Row],[_Res4Text]]&amp;"[")-1)),res_Initials,0),0)))</f>
        <v>0</v>
      </c>
      <c r="DS59" s="43" t="str">
        <f aca="false">IF(Tasks[[#This Row],[_Res1Text]]="","",IF(Tasks[[#This Row],[_Res1Row]]&gt;0,INDEX(res_Name,Tasks[[#This Row],[_Res1Row]]),TRIM(LEFT(Tasks[[#This Row],[_Res1Text]],FIND("[",Tasks[[#This Row],[_Res1Text]]&amp;"[")-1))))</f>
        <v/>
      </c>
      <c r="DT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9" s="43" t="n">
        <f aca="false">IF(NOT(Tasks[[#This Row],[_IsLeaf]]=1),0,(Tasks[[#This Row],[_Resource1]]&lt;&gt;"")+(Tasks[[#This Row],[_Res2]]&lt;&gt;"")+(Tasks[[#This Row],[_Res3]]&lt;&gt;"")+(Tasks[[#This Row],[_Res4]]&lt;&gt;""))</f>
        <v>0</v>
      </c>
      <c r="DV59" s="43" t="str">
        <f aca="false">IF(Tasks[[#This Row],[_Res2Text]]="","",IF(Tasks[[#This Row],[_Res2Row]]&gt;0,INDEX(res_Name,Tasks[[#This Row],[_Res2Row]]),TRIM(LEFT(Tasks[[#This Row],[_Res2Text]],FIND("[",Tasks[[#This Row],[_Res2Text]]&amp;"[")-1))))</f>
        <v/>
      </c>
      <c r="DW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9" s="43" t="n">
        <f aca="false">IF(OR(NOT(Tasks[[#This Row],[_IsLeaf]]=1),Tasks[[#This Row],[_Res2Row]]=0),0,N(Tasks[[#This Row],[_Days]])*HoursPerDay*IF(Tasks[[#This Row],[_Res2Units]]="",DefaultUnits,Tasks[[#This Row],[_Res2Units]]))</f>
        <v>0</v>
      </c>
      <c r="DY59" s="43" t="n">
        <f aca="false">IF(AND(AND(Tasks[[#This Row],[_IsLeaf]]=1,Tasks[[#This Row],[_LeafTotalWork]]&gt;0),Tasks[[#This Row],[_Res2Work]]&gt;0),Tasks[[#This Row],[_Res2Work]]/(Tasks[[#This Row],[_FinishWorkday]]-Tasks[[#This Row],[_StartWorkday]]+1),0)</f>
        <v>0</v>
      </c>
      <c r="DZ59" s="43" t="n">
        <f aca="false">Tasks[[#This Row],[_Res2WorkPerWD]]*MAX(0,Tasks[[#This Row],[_StartWorkday]]-1)</f>
        <v>0</v>
      </c>
      <c r="EA59" s="43" t="n">
        <f aca="false">Tasks[[#This Row],[_Res2Work]]*Tasks[[#This Row],[_LeafProgress]]</f>
        <v>0</v>
      </c>
      <c r="EB59" s="43" t="str">
        <f aca="false">IF(Tasks[[#This Row],[_Res3Text]]="","",IF(Tasks[[#This Row],[_Res3Row]]&gt;0,INDEX(res_Name,Tasks[[#This Row],[_Res3Row]]),TRIM(LEFT(Tasks[[#This Row],[_Res3Text]],FIND("[",Tasks[[#This Row],[_Res3Text]]&amp;"[")-1))))</f>
        <v/>
      </c>
      <c r="EC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9" s="43" t="n">
        <f aca="false">IF(OR(NOT(Tasks[[#This Row],[_IsLeaf]]=1),Tasks[[#This Row],[_Res3Row]]=0),0,N(Tasks[[#This Row],[_Days]])*HoursPerDay*IF(Tasks[[#This Row],[_Res3Units]]="",DefaultUnits,Tasks[[#This Row],[_Res3Units]]))</f>
        <v>0</v>
      </c>
      <c r="EE59" s="43" t="n">
        <f aca="false">IF(AND(AND(Tasks[[#This Row],[_IsLeaf]]=1,Tasks[[#This Row],[_LeafTotalWork]]&gt;0),Tasks[[#This Row],[_Res3Work]]&gt;0),Tasks[[#This Row],[_Res3Work]]/(Tasks[[#This Row],[_FinishWorkday]]-Tasks[[#This Row],[_StartWorkday]]+1),0)</f>
        <v>0</v>
      </c>
      <c r="EF59" s="43" t="n">
        <f aca="false">Tasks[[#This Row],[_Res3WorkPerWD]]*MAX(0,Tasks[[#This Row],[_StartWorkday]]-1)</f>
        <v>0</v>
      </c>
      <c r="EG59" s="43" t="n">
        <f aca="false">Tasks[[#This Row],[_Res3Work]]*Tasks[[#This Row],[_LeafProgress]]</f>
        <v>0</v>
      </c>
      <c r="EH59" s="43" t="str">
        <f aca="false">IF(Tasks[[#This Row],[_Res4Text]]="","",IF(Tasks[[#This Row],[_Res4Row]]&gt;0,INDEX(res_Name,Tasks[[#This Row],[_Res4Row]]),TRIM(LEFT(Tasks[[#This Row],[_Res4Text]],FIND("[",Tasks[[#This Row],[_Res4Text]]&amp;"[")-1))))</f>
        <v/>
      </c>
      <c r="EI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9" s="43" t="n">
        <f aca="false">IF(OR(NOT(Tasks[[#This Row],[_IsLeaf]]=1),Tasks[[#This Row],[_Res4Row]]=0),0,N(Tasks[[#This Row],[_Days]])*HoursPerDay*IF(Tasks[[#This Row],[_Res4Units]]="",DefaultUnits,Tasks[[#This Row],[_Res4Units]]))</f>
        <v>0</v>
      </c>
      <c r="EK59" s="43" t="n">
        <f aca="false">IF(AND(AND(Tasks[[#This Row],[_IsLeaf]]=1,Tasks[[#This Row],[_LeafTotalWork]]&gt;0),Tasks[[#This Row],[_Res4Work]]&gt;0),Tasks[[#This Row],[_Res4Work]]/(Tasks[[#This Row],[_FinishWorkday]]-Tasks[[#This Row],[_StartWorkday]]+1),0)</f>
        <v>0</v>
      </c>
      <c r="EL59" s="43" t="n">
        <f aca="false">Tasks[[#This Row],[_Res4WorkPerWD]]*MAX(0,Tasks[[#This Row],[_StartWorkday]]-1)</f>
        <v>0</v>
      </c>
      <c r="EM59" s="43" t="n">
        <f aca="false">Tasks[[#This Row],[_Res4Work]]*Tasks[[#This Row],[_LeafProgress]]</f>
        <v>0</v>
      </c>
      <c r="EN59" s="43" t="n">
        <f aca="false">IF(ISNUMBER(Tasks[[#This Row],[% Complete]]),Tasks[[#This Row],[% Complete]],IF(Tasks[[#This Row],[Stage]]="",0,IFERROR(INDEX(stg_Pct,MATCH(Tasks[[#This Row],[Stage]],stg_Name,0)),0)))</f>
        <v>0</v>
      </c>
      <c r="EO59" s="43" t="n">
        <f aca="false">IF(NOT(Tasks[[#This Row],[_IsLeaf]]=1),0,IF(N(Tasks[[#This Row],[Actual Finish]])&gt;0,1,MIN(1,Tasks[[#This Row],[_Pct]])))</f>
        <v>0</v>
      </c>
      <c r="EP59" s="43" t="n">
        <f aca="false">IF(OR(NOT(Tasks[[#This Row],[_IsLeaf]]=1),Tasks[[#This Row],[_Res1Row]]=0),0,N(Tasks[[#This Row],[_Days]])*HoursPerDay*IF(Tasks[[#This Row],[_Units1]]="",DefaultUnits,Tasks[[#This Row],[_Units1]]))</f>
        <v>0</v>
      </c>
      <c r="EQ59" s="43" t="n">
        <f aca="false">Tasks[[#This Row],[_LeafWork]]+Tasks[[#This Row],[_Res2Work]]+Tasks[[#This Row],[_Res3Work]]+Tasks[[#This Row],[_Res4Work]]</f>
        <v>0</v>
      </c>
      <c r="ER5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9" s="43" t="n">
        <f aca="false">IF(NOT(Tasks[[#This Row],[_IsLeaf]]=1),0,MAX(_xlfn.MAXIFS(Tasks[_Row],Tasks[_Pred1UID],Tasks[[#This Row],[UID]]),_xlfn.MAXIFS(Tasks[_Row],Tasks[_Pred2UID],Tasks[[#This Row],[UID]]),_xlfn.MAXIFS(Tasks[_Row],Tasks[_Pred3UID],Tasks[[#This Row],[UID]]),_xlfn.MAXIFS(Tasks[_Row],Tasks[_Pred4UID],Tasks[[#This Row],[UID]])))</f>
        <v>0</v>
      </c>
      <c r="FA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9" s="91" t="str">
        <f aca="false">IF(NOT(Tasks[[#This Row],[_IsLeaf]]=1),"",IF(N(Tasks[[#This Row],[_Days]])&lt;=0,Tasks[[#This Row],[_LeafLateFinish]],WORKDAY.INTL(Tasks[[#This Row],[_LeafLateFinish]],-(Tasks[[#This Row],[_Days]]-1),WorkWeek,Holidays)))</f>
        <v/>
      </c>
      <c r="FD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9" s="90" t="b">
        <f aca="false">AND(Tasks[[#This Row],[_IsLeaf]]=1,Tasks[[#This Row],[_LeafProgress]]&lt;1,N(Tasks[[#This Row],[_LeafTotalSlack]])&lt;=CriticalSlackDays)</f>
        <v>0</v>
      </c>
      <c r="FF59" s="43" t="n">
        <f aca="false">IF(AND(Tasks[[#This Row],[_IsLeaf]]=1,Tasks[[#This Row],[_ConstraintCode]]=1,Tasks[[#This Row],[Mode]]&lt;&gt;"Manual",N(Tasks[[#This Row],[Actual Start]])=0),MAX(0,N(Tasks[[#This Row],[Free Slack]])),0)</f>
        <v>0</v>
      </c>
      <c r="FG59" s="91" t="str">
        <f aca="false">IF(NOT(Tasks[[#This Row],[_IsLeaf]]=1),"",IF(Tasks[[#This Row],[_AlapShift]]=0,Tasks[[#This Row],[_LeafCalcStart]],WORKDAY.INTL(Tasks[[#This Row],[_LeafCalcStart]],Tasks[[#This Row],[_AlapShift]],WorkWeek,Holidays)))</f>
        <v/>
      </c>
      <c r="FH59" s="91" t="str">
        <f aca="false">IF(NOT(Tasks[[#This Row],[_IsLeaf]]=1),"",IF(Tasks[[#This Row],[_AlapShift]]=0,Tasks[[#This Row],[_LeafCalcFinish]],WORKDAY.INTL(Tasks[[#This Row],[_LeafCalcFinish]],Tasks[[#This Row],[_AlapShift]],WorkWeek,Holidays)))</f>
        <v/>
      </c>
      <c r="FI59" s="91" t="str">
        <f aca="false">IF(NOT(Tasks[[#This Row],[_IsLeaf]]=1),"",IF(Tasks[[#This Row],[_AlapShift]]=0,Tasks[[#This Row],[_LeafFcstStart]],WORKDAY.INTL(Tasks[[#This Row],[_LeafFcstStart]],Tasks[[#This Row],[_AlapShift]],WorkWeek,Holidays)))</f>
        <v/>
      </c>
      <c r="FJ59" s="91" t="str">
        <f aca="false">IF(NOT(Tasks[[#This Row],[_IsLeaf]]=1),"",IF(Tasks[[#This Row],[_AlapShift]]=0,Tasks[[#This Row],[_LeafFcstFinish]],WORKDAY.INTL(Tasks[[#This Row],[_LeafFcstFinish]],Tasks[[#This Row],[_AlapShift]],WorkWeek,Holidays)))</f>
        <v/>
      </c>
      <c r="FK59" s="91" t="str">
        <f aca="false">IF(Tasks[[#This Row],[Task Name]]="","",IF(Tasks[[#This Row],[_IsSummary]],MIN(INDEX(Tasks[_ShownCalcStart],Tasks[[#This Row],[_Row]]+1):INDEX(Tasks[_ShownCalcStart],Tasks[[#This Row],[_Row]]+Tasks[[#This Row],[_Descendants]])),Tasks[[#This Row],[_ShownCalcStart]]))</f>
        <v/>
      </c>
      <c r="FL59" s="91" t="str">
        <f aca="false">IF(Tasks[[#This Row],[Task Name]]="","",IF(Tasks[[#This Row],[_IsSummary]],MAX(INDEX(Tasks[_ShownCalcFinish],Tasks[[#This Row],[_Row]]+1):INDEX(Tasks[_ShownCalcFinish],Tasks[[#This Row],[_Row]]+Tasks[[#This Row],[_Descendants]])),Tasks[[#This Row],[_ShownCalcFinish]]))</f>
        <v/>
      </c>
      <c r="FM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9" s="43" t="n">
        <f aca="false">IF(AND(Tasks[[#This Row],[_IsLeaf]]=1,Tasks[[#This Row],[_LeafTotalWork]]&gt;0),NETWORKDAYS.INTL(ProjectStart,Tasks[[#This Row],[_ShownFcstStart]],WorkWeek,Holidays),0)</f>
        <v>0</v>
      </c>
      <c r="FZ59" s="43" t="n">
        <f aca="false">IF(AND(Tasks[[#This Row],[_IsLeaf]]=1,Tasks[[#This Row],[_LeafTotalWork]]&gt;0),MAX(Tasks[[#This Row],[_StartWorkday]],NETWORKDAYS.INTL(ProjectStart,Tasks[[#This Row],[_ShownFcstFinish]],WorkWeek,Holidays)),0)</f>
        <v>0</v>
      </c>
      <c r="GA59" s="43" t="n">
        <f aca="false">IF(AND(Tasks[[#This Row],[_IsLeaf]]=1,Tasks[[#This Row],[_LeafTotalWork]]&gt;0),Tasks[[#This Row],[_LeafWork]]/(Tasks[[#This Row],[_FinishWorkday]]-Tasks[[#This Row],[_StartWorkday]]+1),0)</f>
        <v>0</v>
      </c>
      <c r="GB59" s="43" t="n">
        <f aca="false">Tasks[[#This Row],[_WorkPerWorkday]]*(Tasks[[#This Row],[_StartWorkday]]-1)</f>
        <v>-0</v>
      </c>
      <c r="GC59" s="43" t="n">
        <f aca="false">IF(Tasks[[#This Row],[_IsLeaf]]=1,MAX(N(Tasks[[#This Row],[_Days]]),0.1),0)</f>
        <v>0</v>
      </c>
      <c r="GD59" s="43" t="n">
        <f aca="false">Tasks[[#This Row],[_WeightDur]]*Tasks[[#This Row],[_LeafProgress]]</f>
        <v>0</v>
      </c>
      <c r="GE59" s="43" t="n">
        <f aca="false">Tasks[[#This Row],[_WeightDur]]*Tasks[[#This Row],[_PlannedPct]]</f>
        <v>0</v>
      </c>
      <c r="GF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9" s="43" t="str">
        <f aca="false">IF(AND(Tasks[[#This Row],[_IsLeaf]]=1,N(Tasks[[#This Row],[_Days]])=0,Tasks[[#This Row],[_LeafProgress]]&lt;1),Tasks[[#This Row],[_ShownFcstFinish]]+Tasks[[#This Row],[_Row]]/100000,"")</f>
        <v/>
      </c>
      <c r="GH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9" s="43" t="str">
        <f aca="false">IF(Tasks[[#This Row],[Task Name]]="","",LEFT(Tasks[[#This Row],[WBS]],FIND(".",Tasks[[#This Row],[WBS]]&amp;".")-1))</f>
        <v/>
      </c>
      <c r="GJ59" s="43" t="str">
        <f aca="false">IF(AND(Tasks[[#This Row],[Task Name]]&lt;&gt;"",Tasks[[#This Row],[_Level]]=1),Tasks[[#This Row],[_Row]],"")</f>
        <v/>
      </c>
      <c r="GK59" s="43" t="str">
        <f aca="false">IF(AND(Tasks[[#This Row],[_IsLeaf]]=1,N(Tasks[[#This Row],[_Days]])=0),Tasks[[#This Row],[Planned Finish]]+Tasks[[#This Row],[_Row]]/100000,"")</f>
        <v/>
      </c>
      <c r="GL59" s="43" t="str">
        <f aca="false">IF(AND(Tasks[[#This Row],[_IsLeaf]]=1,Tasks[[#This Row],[_LeafProgress]]&lt;1,OR(N(Tasks[[#This Row],[Finish Var]])&gt;0,Tasks[[#This Row],[Status]]="Late Start")),MAX(0,Tasks[[#This Row],[Finish Var]])+1-Tasks[[#This Row],[_Row]]/1000000,"")</f>
        <v/>
      </c>
      <c r="GM59" s="43" t="str">
        <f aca="false">IF(AND(Tasks[[#This Row],[_IsLeaf]]=1,N(Tasks[[#This Row],[Actual Start]])=0,Tasks[[#This Row],[_ShownFcstStart]]&gt;=StatusDate,Tasks[[#This Row],[_ShownFcstStart]]&lt;=LookaheadEnd),Tasks[[#This Row],[_ShownFcstStart]]+Tasks[[#This Row],[_Row]]/100000,"")</f>
        <v/>
      </c>
      <c r="GN59" s="43" t="str">
        <f aca="false">IF(AND(Tasks[[#This Row],[_IsLeaf]]=1,Tasks[[#This Row],[_LeafProgress]]&lt;1,Tasks[[#This Row],[_ShownFcstFinish]]&gt;=StatusDate,Tasks[[#This Row],[_ShownFcstFinish]]&lt;=LookaheadEnd),Tasks[[#This Row],[_ShownFcstFinish]]+Tasks[[#This Row],[_Row]]/100000,"")</f>
        <v/>
      </c>
      <c r="GO59" s="43" t="str">
        <f aca="false">IF(Tasks[[#This Row],[_LeafCritical]],Tasks[[#This Row],[_ShownFcstStart]]+Tasks[[#This Row],[_Row]]/100000,"")</f>
        <v/>
      </c>
      <c r="GP59" s="43" t="n">
        <f aca="false">Tasks[[#This Row],[_LeafWork]]*Tasks[[#This Row],[_LeafProgress]]</f>
        <v>0</v>
      </c>
      <c r="GQ59" s="91" t="str">
        <f aca="false">IF(AND(Tasks[[#This Row],[_IsLeaf]]=1,Tasks[[#This Row],[_LeafProgress]]&gt;=1),IF(N(Tasks[[#This Row],[Actual Finish]])&gt;0,Tasks[[#This Row],[Actual Finish]],Tasks[[#This Row],[_ShownFcstFinish]]),"")</f>
        <v/>
      </c>
      <c r="GR59" s="43" t="n">
        <f aca="false">IF(Tasks[[#This Row],[_IsLeaf]]=1,N(Tasks[[#This Row],[Story Points]]),0)</f>
        <v>0</v>
      </c>
      <c r="GS59" s="43" t="str">
        <f aca="false">""</f>
        <v/>
      </c>
      <c r="GT59" s="90" t="b">
        <f aca="false">IF(Tasks[[#This Row],[Task Name]]="",FALSE(),AND(Tasks[[#This Row],[_IsLeaf]]=1,N(Tasks[[#This Row],[_Days]])=0))</f>
        <v>0</v>
      </c>
      <c r="GU59" s="91" t="n">
        <f aca="false">IF(Tasks[[#This Row],[Task Name]]="",0,IF(AND(Tasks[[#This Row],[_IsLeaf]]=1,NOT(Tasks[[#This Row],[_IsMilestone]]),N(Tasks[[#This Row],[Progress]])&gt;0),Tasks[[#This Row],[Start]],0))</f>
        <v>0</v>
      </c>
      <c r="GV59" s="91" t="n">
        <f aca="false">IF(Tasks[[#This Row],[_DoneFrom]]=0,0,IF(Tasks[[#This Row],[Progress]]&gt;=1,Tasks[[#This Row],[Finish]],MAX(Tasks[[#This Row],[_DoneFrom]],Tasks[[#This Row],[Start]]+ROUND((Tasks[[#This Row],[Finish]]-Tasks[[#This Row],[Start]]+1)*Tasks[[#This Row],[Progress]],0)-1)))</f>
        <v>0</v>
      </c>
      <c r="GW59" s="91" t="n">
        <f aca="false">IF(Tasks[[#This Row],[Task Name]]="",0,IF(OR(NOT(Tasks[[#This Row],[_IsLeaf]]=1),Tasks[[#This Row],[_IsMilestone]],N(Tasks[[#This Row],[Progress]])&gt;=1),0,IF(Tasks[[#This Row],[_DoneTo]]&gt;0,Tasks[[#This Row],[_DoneTo]]+1,Tasks[[#This Row],[Start]])))</f>
        <v>0</v>
      </c>
      <c r="GX59" s="91" t="n">
        <f aca="false">IF(Tasks[[#This Row],[_RemFrom]]=0,0,Tasks[[#This Row],[Finish]])</f>
        <v>0</v>
      </c>
      <c r="GY59" s="90" t="b">
        <f aca="false">IF(Tasks[[#This Row],[Task Name]]="",FALSE(),OR(NOT(BaselineSet),N(Tasks[[#This Row],[Baseline Start]])&gt;0))</f>
        <v>0</v>
      </c>
      <c r="GZ5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9" s="92" t="str">
        <f aca="false">IF(Tasks[[#This Row],[_IsLeaf]]=1,Tasks[[#This Row],[_Row]],"")</f>
        <v/>
      </c>
      <c r="HD59" s="92" t="str">
        <f aca="false">IFERROR(INDEX(Tasks[UID],SMALL(Tasks[_PickKey],Tasks[[#This Row],[_Row]]))&amp;" "&amp;INDEX(Tasks[Task Name],SMALL(Tasks[_PickKey],Tasks[[#This Row],[_Row]])),"")</f>
        <v/>
      </c>
      <c r="HE59" s="43" t="str">
        <f aca="false">IF(Tasks[[#This Row],[Task Name]]="","",IF(Tasks[[#This Row],[_IsSummary]],NETWORKDAYS.INTL(Tasks[[#This Row],[Start]],Tasks[[#This Row],[Finish]],WorkWeek,Holidays),N(Tasks[[#This Row],[_Days]])))</f>
        <v/>
      </c>
      <c r="HF59" s="43" t="n">
        <f aca="false">IF(Tasks[[#This Row],[Expected]]="",0,((Tasks[[#This Row],[Pessimistic]]-Tasks[[#This Row],[Optimistic]])/6)^2)</f>
        <v>0</v>
      </c>
      <c r="HG59" s="43" t="n">
        <f aca="false">IF(Tasks[[#This Row],[Expected]]="",0,Tasks[[#This Row],[Expected]]-N(Tasks[[#This Row],[_Days]]))</f>
        <v>0</v>
      </c>
    </row>
    <row r="60" customFormat="false" ht="15" hidden="false" customHeight="false" outlineLevel="0" collapsed="false">
      <c r="A60" s="21" t="str">
        <f aca="false">IF(Tasks[[#This Row],[Task Name]]="","",COUNTA(Tasks[[#Headers],[Task Name]]:Tasks[[#This Row],[Task Name]])-1)</f>
        <v/>
      </c>
      <c r="B60" s="22" t="n">
        <v>68</v>
      </c>
      <c r="C60" s="22"/>
      <c r="D60" s="23"/>
      <c r="E60" s="22"/>
      <c r="F60" s="23"/>
      <c r="G60" s="22"/>
      <c r="H60" s="22"/>
      <c r="I60" s="23"/>
      <c r="J60" s="22"/>
      <c r="K60" s="22"/>
      <c r="L60" s="23"/>
      <c r="M60" s="22"/>
      <c r="N60" s="22"/>
      <c r="O60" s="23"/>
      <c r="P60" s="22"/>
      <c r="Q60" s="22"/>
      <c r="R60" s="23"/>
      <c r="S60" s="23"/>
      <c r="T60" s="84"/>
      <c r="U60" s="23"/>
      <c r="V60" s="84"/>
      <c r="W60" s="23"/>
      <c r="X60" s="84"/>
      <c r="Y60" s="23"/>
      <c r="Z60" s="84"/>
      <c r="AA60" s="23"/>
      <c r="AB60" s="23"/>
      <c r="AC60" s="7"/>
      <c r="AD60" s="7"/>
      <c r="AE60" s="63" t="str">
        <f aca="false">IF(Tasks[[#This Row],[Task Name]]="","",IF(Tasks[[#This Row],[_IsSummary]],MIN(INDEX(Tasks[_ShownFcstStart],Tasks[[#This Row],[_Row]]+1):INDEX(Tasks[_ShownFcstStart],Tasks[[#This Row],[_Row]]+Tasks[[#This Row],[_Descendants]])),Tasks[[#This Row],[_ShownFcstStart]]))</f>
        <v/>
      </c>
      <c r="AF60" s="63" t="str">
        <f aca="false">IF(Tasks[[#This Row],[Task Name]]="","",IF(Tasks[[#This Row],[_IsSummary]],MAX(INDEX(Tasks[_ShownFcstFinish],Tasks[[#This Row],[_Row]]+1):INDEX(Tasks[_ShownFcstFinish],Tasks[[#This Row],[_Row]]+Tasks[[#This Row],[_Descendants]])),Tasks[[#This Row],[_ShownFcstFinish]]))</f>
        <v/>
      </c>
      <c r="AG60" s="21" t="str">
        <f aca="false">""</f>
        <v/>
      </c>
      <c r="AH60" s="23"/>
      <c r="AI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0" s="7"/>
      <c r="AK60" s="22"/>
      <c r="AL60" s="23"/>
      <c r="AM60" s="7"/>
      <c r="AN60" s="47" t="str">
        <f aca="false">IF(Tasks[[#This Row],[Task Name]]="","",IF(Tasks[[#This Row],[Finish]]&gt;=Tasks[[#This Row],[Planned Finish]],NETWORKDAYS.INTL(Tasks[[#This Row],[Planned Finish]],Tasks[[#This Row],[Finish]],WorkWeek,Holidays)-1,1-NETWORKDAYS.INTL(Tasks[[#This Row],[Finish]],Tasks[[#This Row],[Planned Finish]],WorkWeek,Holidays)))</f>
        <v/>
      </c>
      <c r="AO60" s="21" t="str">
        <f aca="false">IF(Tasks[[#This Row],[Task Name]]="","",IF(Tasks[[#This Row],[Progress]]&gt;=1,"Complete",IF(OR(N(Tasks[[#This Row],[Actual Start]])&gt;0,Tasks[[#This Row],[Progress]]&gt;0),IF(Tasks[[#This Row],[Finish Var]]&gt;0,"Behind","In Progress"),IF(Tasks[[#This Row],[Planned Start]]&lt;StatusDate,"Late Start","Not Started"))))</f>
        <v/>
      </c>
      <c r="AP60" s="21" t="str">
        <f aca="false">IF(Tasks[[#This Row],[Task Name]]="","",IF(IF(Tasks[[#This Row],[_IsSummary]],COUNTIF(INDEX(Tasks[_LeafCritical],Tasks[[#This Row],[_Row]]+1):INDEX(Tasks[_LeafCritical],Tasks[[#This Row],[_Row]]+Tasks[[#This Row],[_Descendants]]),TRUE())&gt;0,Tasks[[#This Row],[_LeafCritical]]),"Yes",""))</f>
        <v/>
      </c>
      <c r="AQ60" s="63" t="str">
        <f aca="false">IF(Tasks[[#This Row],[Task Name]]="","",IF(N(Tasks[[#This Row],[Baseline Start]])&gt;0,Tasks[[#This Row],[Baseline Start]],Tasks[[#This Row],[_CalcStart]]))</f>
        <v/>
      </c>
      <c r="AR60" s="63" t="str">
        <f aca="false">IF(Tasks[[#This Row],[Task Name]]="","",IF(N(Tasks[[#This Row],[Baseline Finish]])&gt;0,Tasks[[#This Row],[Baseline Finish]],Tasks[[#This Row],[_CalcFinish]]))</f>
        <v/>
      </c>
      <c r="AS60" s="47" t="str">
        <f aca="false">IF(Tasks[[#This Row],[Task Name]]="","",IF(Tasks[[#This Row],[Start]]&gt;=Tasks[[#This Row],[Planned Start]],NETWORKDAYS.INTL(Tasks[[#This Row],[Planned Start]],Tasks[[#This Row],[Start]],WorkWeek,Holidays)-1,1-NETWORKDAYS.INTL(Tasks[[#This Row],[Start]],Tasks[[#This Row],[Planned Start]],WorkWeek,Holidays)))</f>
        <v/>
      </c>
      <c r="AT60" s="63" t="str">
        <f aca="false">IF(Tasks[[#This Row],[Task Name]]="","",IF(Tasks[[#This Row],[_IsSummary]],MIN(INDEX(Tasks[_LeafLateStart],Tasks[[#This Row],[_Row]]+1):INDEX(Tasks[_LeafLateStart],Tasks[[#This Row],[_Row]]+Tasks[[#This Row],[_Descendants]])),Tasks[[#This Row],[_LeafLateStart]]))</f>
        <v/>
      </c>
      <c r="AU60" s="63" t="str">
        <f aca="false">IF(Tasks[[#This Row],[Task Name]]="","",IF(Tasks[[#This Row],[_IsSummary]],MAX(INDEX(Tasks[_LeafLateFinish],Tasks[[#This Row],[_Row]]+1):INDEX(Tasks[_LeafLateFinish],Tasks[[#This Row],[_Row]]+Tasks[[#This Row],[_Descendants]])),Tasks[[#This Row],[_LeafLateFinish]]))</f>
        <v/>
      </c>
      <c r="AV60" s="47" t="str">
        <f aca="false">IF(Tasks[[#This Row],[Task Name]]="","",IF(Tasks[[#This Row],[_IsSummary]],MIN(INDEX(Tasks[_LeafTotalSlack],Tasks[[#This Row],[_Row]]+1):INDEX(Tasks[_LeafTotalSlack],Tasks[[#This Row],[_Row]]+Tasks[[#This Row],[_Descendants]])),Tasks[[#This Row],[_LeafTotalSlack]]))</f>
        <v/>
      </c>
      <c r="AW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5"/>
      <c r="BA6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t="str">
        <f aca="false">IF(Tasks[[#This Row],[Task Name]]="","",IF(Tasks[[#This Row],[_Level]]&lt;=OutlineShowLevel,"Yes","No"))</f>
        <v/>
      </c>
      <c r="BE60" s="86" t="str">
        <f aca="false">IF(Tasks[[#This Row],[Task Name]]="","",IF(Tasks[[#This Row],[_IsSummary]],SUM(INDEX(Tasks[_LeafTotalWork],Tasks[[#This Row],[_Row]]+1):INDEX(Tasks[_LeafTotalWork],Tasks[[#This Row],[_Row]]+Tasks[[#This Row],[_Descendants]])),Tasks[[#This Row],[_LeafTotalWork]]))</f>
        <v/>
      </c>
      <c r="BF60" s="23"/>
      <c r="BG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t="str">
        <f aca="false">""</f>
        <v/>
      </c>
      <c r="BI60" s="87"/>
      <c r="BJ60" s="22"/>
      <c r="BK60" s="47" t="str">
        <f aca="false">IF(OR(Tasks[[#This Row],[Task Name]]="",Tasks[[#This Row],[Baseline Duration]]=""),"",Tasks[[#This Row],[_SpanDays]]-N(Tasks[[#This Row],[Baseline Duration]]))</f>
        <v/>
      </c>
      <c r="BL60" s="86" t="str">
        <f aca="false">IF(OR(Tasks[[#This Row],[Task Name]]="",Tasks[[#This Row],[Baseline Work]]=""),"",Tasks[[#This Row],[Work]]-N(Tasks[[#This Row],[Baseline Work]]))</f>
        <v/>
      </c>
      <c r="BM60" s="63" t="str">
        <f aca="false">IF(Tasks[[#This Row],[Task Name]]="","",IF(OR(TakeBaseline="Yes",N(Tasks[[#This Row],[Baseline Start]])=0),Tasks[[#This Row],[Start]],Tasks[[#This Row],[Baseline Start]]))</f>
        <v/>
      </c>
      <c r="BN60" s="63" t="str">
        <f aca="false">IF(Tasks[[#This Row],[Task Name]]="","",IF(OR(TakeBaseline="Yes",N(Tasks[[#This Row],[Baseline Finish]])=0),Tasks[[#This Row],[Finish]],Tasks[[#This Row],[Baseline Finish]]))</f>
        <v/>
      </c>
      <c r="BO60" s="21" t="str">
        <f aca="false">IF(Tasks[[#This Row],[Task Name]]="","",IF(OR(TakeBaseline="Yes",N(Tasks[[#This Row],[Baseline Duration]])=0),Tasks[[#This Row],[_SpanDays]],Tasks[[#This Row],[Baseline Duration]]))</f>
        <v/>
      </c>
      <c r="BP60" s="86" t="str">
        <f aca="false">IF(Tasks[[#This Row],[Task Name]]="","",IF(OR(TakeBaseline="Yes",N(Tasks[[#This Row],[Baseline Work]])=0),Tasks[[#This Row],[Work]],Tasks[[#This Row],[Baseline Work]]))</f>
        <v/>
      </c>
      <c r="BQ60" s="7"/>
      <c r="BR60" s="7"/>
      <c r="BS60" s="22"/>
      <c r="BT60" s="88"/>
      <c r="BU60" s="23"/>
      <c r="BV60" s="23"/>
      <c r="BW60" s="23"/>
      <c r="BX60" s="89" t="str">
        <f aca="false">IF(AND(Tasks[[#This Row],[_IsLeaf]]=1,ISNUMBER(Tasks[[#This Row],[Optimistic]]),ISNUMBER(Tasks[[#This Row],[Pessimistic]])),ROUND((Tasks[[#This Row],[Optimistic]]+4*N(Tasks[[#This Row],[_Days]])+Tasks[[#This Row],[Pessimistic]])/6,1),"")</f>
        <v/>
      </c>
      <c r="BY60" s="87"/>
      <c r="BZ60" s="87"/>
      <c r="CA60" s="22"/>
      <c r="CB60" s="43" t="str">
        <f aca="false">IF(Tasks[[#This Row],[Task Name]]="","",MAX(1,N(Tasks[[#This Row],[Level]])))</f>
        <v/>
      </c>
      <c r="CC60" s="43" t="n">
        <f aca="false">ROW()-ROW(Tasks[[#Headers],[ID]])</f>
        <v>55</v>
      </c>
      <c r="CD60" s="43" t="n">
        <f aca="false">IF(OR(Tasks[[#This Row],[Task Name]]="",Tasks[[#This Row],[_Level]]&lt;=1),0,IFERROR(LOOKUP(2,1/(Tasks[[#Headers],[_Level]]:Tasks[[#This Row],[_Level]]=Tasks[[#This Row],[_Level]]-1),ROW(Tasks[[#Headers],[_Level]]:Tasks[[#This Row],[_Level]])),0))</f>
        <v>0</v>
      </c>
      <c r="CE60" s="43" t="n">
        <f aca="false">IFERROR(N(INDEX(Tasks[_Level],Tasks[[#This Row],[_Row]]+1)),0)</f>
        <v>0</v>
      </c>
      <c r="CF60" s="90" t="b">
        <f aca="false">AND(Tasks[[#This Row],[Task Name]]&lt;&gt;"",Tasks[[#This Row],[_NextLevel]]&gt;Tasks[[#This Row],[_Level]])</f>
        <v>0</v>
      </c>
      <c r="CG60" s="43" t="n">
        <f aca="false">IF(Tasks[[#This Row],[_IsSummary]],COUNTIF(Tasks[WBS],Tasks[[#This Row],[WBS]]&amp;".*"),0)</f>
        <v>0</v>
      </c>
      <c r="CH60" s="43" t="n">
        <f aca="false">IF(AND(Tasks[[#This Row],[Task Name]]&lt;&gt;"",NOT(Tasks[[#This Row],[_IsSummary]])),1,0)</f>
        <v>0</v>
      </c>
      <c r="CI60" s="43" t="n">
        <f aca="false">IF(N(Tasks[[#This Row],[_Pred1UID]])=0,0,IFERROR(MATCH(Tasks[[#This Row],[_Pred1UID]],Tasks[UID],0),-1))</f>
        <v>0</v>
      </c>
      <c r="CJ60" s="43" t="n">
        <f aca="false">IF(N(Tasks[[#This Row],[_Pred2UID]])=0,0,IFERROR(MATCH(Tasks[[#This Row],[_Pred2UID]],Tasks[UID],0),-1))</f>
        <v>0</v>
      </c>
      <c r="CK60" s="43" t="n">
        <f aca="false">IF(N(Tasks[[#This Row],[_Pred3UID]])=0,0,IFERROR(MATCH(Tasks[[#This Row],[_Pred3UID]],Tasks[UID],0),-1))</f>
        <v>0</v>
      </c>
      <c r="CL60" s="43" t="n">
        <f aca="false">IF(N(Tasks[[#This Row],[_Pred4UID]])=0,0,IFERROR(MATCH(Tasks[[#This Row],[_Pred4UID]],Tasks[UID],0),-1))</f>
        <v>0</v>
      </c>
      <c r="CM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0" s="91" t="n">
        <f aca="false">IF(OR(Tasks[[#This Row],[_ConstraintCode]]=2,Tasks[[#This Row],[_ConstraintCode]]=3,Tasks[[#This Row],[_ConstraintCode]]=4,Tasks[[#This Row],[_ConstraintCode]]=6),Tasks[[#This Row],[_ConstraintStart]],0)</f>
        <v>0</v>
      </c>
      <c r="CP60" s="91" t="n">
        <f aca="false">IF(OR(Tasks[[#This Row],[_ConstraintCode]]=2,Tasks[[#This Row],[_ConstraintCode]]=3,Tasks[[#This Row],[_ConstraintCode]]=5,Tasks[[#This Row],[_ConstraintCode]]=7),Tasks[[#This Row],[_ConstraintStart]],2958465)</f>
        <v>2958465</v>
      </c>
      <c r="CQ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0" s="91" t="str">
        <f aca="false">IF(NOT(Tasks[[#This Row],[_IsLeaf]]=1),"",IF(N(Tasks[[#This Row],[_Days]])&lt;=0,Tasks[[#This Row],[_LeafCalcStart]],WORKDAY.INTL(Tasks[[#This Row],[_LeafCalcStart]],Tasks[[#This Row],[_Days]]-1,WorkWeek,Holidays)))</f>
        <v/>
      </c>
      <c r="CS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0" s="43" t="str">
        <f aca="false">IF(Tasks[[#This Row],[_Predecessors]]="","",TRIM(MID(SUBSTITUTE(SUBSTITUTE(SUBSTITUTE(UPPER(Tasks[[#This Row],[_Predecessors]]),";",",")," ",""),",",REPT(" ",99)),1,99)))</f>
        <v/>
      </c>
      <c r="CV60" s="43" t="str">
        <f aca="false">IF(Tasks[[#This Row],[_Pred1Text]]="","",IFERROR(VALUE(LEFT(Tasks[[#This Row],[_Pred1Text]],MIN(FIND("F",Tasks[[#This Row],[_Pred1Text]]&amp;"F"),FIND("S",Tasks[[#This Row],[_Pred1Text]]&amp;"S"),FIND("+",Tasks[[#This Row],[_Pred1Text]]&amp;"+"),FIND("-",Tasks[[#This Row],[_Pred1Text]]&amp;"-"))-1)),""))</f>
        <v/>
      </c>
      <c r="CW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0" s="43" t="str">
        <f aca="false">IF(Tasks[[#This Row],[_Pred1Text]]="","",TRIM(MID(SUBSTITUTE(SUBSTITUTE(SUBSTITUTE(UPPER(Tasks[[#This Row],[_Predecessors]]),";",",")," ",""),",",REPT(" ",99)),100,99)))</f>
        <v/>
      </c>
      <c r="CZ60" s="43" t="str">
        <f aca="false">IF(Tasks[[#This Row],[_Pred2Text]]="","",IFERROR(VALUE(LEFT(Tasks[[#This Row],[_Pred2Text]],MIN(FIND("F",Tasks[[#This Row],[_Pred2Text]]&amp;"F"),FIND("S",Tasks[[#This Row],[_Pred2Text]]&amp;"S"),FIND("+",Tasks[[#This Row],[_Pred2Text]]&amp;"+"),FIND("-",Tasks[[#This Row],[_Pred2Text]]&amp;"-"))-1)),""))</f>
        <v/>
      </c>
      <c r="DA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0" s="43" t="str">
        <f aca="false">IF(Tasks[[#This Row],[_Pred2Text]]="","",TRIM(MID(SUBSTITUTE(SUBSTITUTE(SUBSTITUTE(UPPER(Tasks[[#This Row],[_Predecessors]]),";",",")," ",""),",",REPT(" ",99)),199,99)))</f>
        <v/>
      </c>
      <c r="DD60" s="43" t="str">
        <f aca="false">IF(Tasks[[#This Row],[_Pred3Text]]="","",IFERROR(VALUE(LEFT(Tasks[[#This Row],[_Pred3Text]],MIN(FIND("F",Tasks[[#This Row],[_Pred3Text]]&amp;"F"),FIND("S",Tasks[[#This Row],[_Pred3Text]]&amp;"S"),FIND("+",Tasks[[#This Row],[_Pred3Text]]&amp;"+"),FIND("-",Tasks[[#This Row],[_Pred3Text]]&amp;"-"))-1)),""))</f>
        <v/>
      </c>
      <c r="DE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0" s="43" t="str">
        <f aca="false">IF(Tasks[[#This Row],[_Pred3Text]]="","",TRIM(MID(SUBSTITUTE(SUBSTITUTE(SUBSTITUTE(UPPER(Tasks[[#This Row],[_Predecessors]]),";",",")," ",""),",",REPT(" ",99)),298,99)))</f>
        <v/>
      </c>
      <c r="DH60" s="43" t="str">
        <f aca="false">IF(Tasks[[#This Row],[_Pred4Text]]="","",IFERROR(VALUE(LEFT(Tasks[[#This Row],[_Pred4Text]],MIN(FIND("F",Tasks[[#This Row],[_Pred4Text]]&amp;"F"),FIND("S",Tasks[[#This Row],[_Pred4Text]]&amp;"S"),FIND("+",Tasks[[#This Row],[_Pred4Text]]&amp;"+"),FIND("-",Tasks[[#This Row],[_Pred4Text]]&amp;"-"))-1)),""))</f>
        <v/>
      </c>
      <c r="DI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0" s="43" t="str">
        <f aca="false">IF(OR(Tasks[[#This Row],[Task Name]]="",Tasks[[#This Row],[_Resources]]=""),"",TRIM(MID(SUBSTITUTE(Tasks[[#This Row],[_Resources]],",",REPT(" ",99)),1,99)))</f>
        <v/>
      </c>
      <c r="DL60" s="43" t="str">
        <f aca="false">IF(Tasks[[#This Row],[_Res1Text]]="","",TRIM(MID(SUBSTITUTE(Tasks[[#This Row],[_Resources]],",",REPT(" ",99)),100,99)))</f>
        <v/>
      </c>
      <c r="DM60" s="43" t="str">
        <f aca="false">IF(Tasks[[#This Row],[_Res2Text]]="","",TRIM(MID(SUBSTITUTE(Tasks[[#This Row],[_Resources]],",",REPT(" ",99)),199,99)))</f>
        <v/>
      </c>
      <c r="DN60" s="43" t="str">
        <f aca="false">IF(Tasks[[#This Row],[_Res3Text]]="","",TRIM(MID(SUBSTITUTE(Tasks[[#This Row],[_Resources]],",",REPT(" ",99)),298,99)))</f>
        <v/>
      </c>
      <c r="DO60" s="43" t="n">
        <f aca="false">IF(Tasks[[#This Row],[_Res1Text]]="",0,IFERROR(MATCH(TRIM(LEFT(Tasks[[#This Row],[_Res1Text]],FIND("[",Tasks[[#This Row],[_Res1Text]]&amp;"[")-1)),res_Name,0),IFERROR(MATCH(TRIM(LEFT(Tasks[[#This Row],[_Res1Text]],FIND("[",Tasks[[#This Row],[_Res1Text]]&amp;"[")-1)),res_Initials,0),0)))</f>
        <v>0</v>
      </c>
      <c r="DP60" s="43" t="n">
        <f aca="false">IF(Tasks[[#This Row],[_Res2Text]]="",0,IFERROR(MATCH(TRIM(LEFT(Tasks[[#This Row],[_Res2Text]],FIND("[",Tasks[[#This Row],[_Res2Text]]&amp;"[")-1)),res_Name,0),IFERROR(MATCH(TRIM(LEFT(Tasks[[#This Row],[_Res2Text]],FIND("[",Tasks[[#This Row],[_Res2Text]]&amp;"[")-1)),res_Initials,0),0)))</f>
        <v>0</v>
      </c>
      <c r="DQ60" s="43" t="n">
        <f aca="false">IF(Tasks[[#This Row],[_Res3Text]]="",0,IFERROR(MATCH(TRIM(LEFT(Tasks[[#This Row],[_Res3Text]],FIND("[",Tasks[[#This Row],[_Res3Text]]&amp;"[")-1)),res_Name,0),IFERROR(MATCH(TRIM(LEFT(Tasks[[#This Row],[_Res3Text]],FIND("[",Tasks[[#This Row],[_Res3Text]]&amp;"[")-1)),res_Initials,0),0)))</f>
        <v>0</v>
      </c>
      <c r="DR60" s="43" t="n">
        <f aca="false">IF(Tasks[[#This Row],[_Res4Text]]="",0,IFERROR(MATCH(TRIM(LEFT(Tasks[[#This Row],[_Res4Text]],FIND("[",Tasks[[#This Row],[_Res4Text]]&amp;"[")-1)),res_Name,0),IFERROR(MATCH(TRIM(LEFT(Tasks[[#This Row],[_Res4Text]],FIND("[",Tasks[[#This Row],[_Res4Text]]&amp;"[")-1)),res_Initials,0),0)))</f>
        <v>0</v>
      </c>
      <c r="DS60" s="43" t="str">
        <f aca="false">IF(Tasks[[#This Row],[_Res1Text]]="","",IF(Tasks[[#This Row],[_Res1Row]]&gt;0,INDEX(res_Name,Tasks[[#This Row],[_Res1Row]]),TRIM(LEFT(Tasks[[#This Row],[_Res1Text]],FIND("[",Tasks[[#This Row],[_Res1Text]]&amp;"[")-1))))</f>
        <v/>
      </c>
      <c r="DT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0" s="43" t="n">
        <f aca="false">IF(NOT(Tasks[[#This Row],[_IsLeaf]]=1),0,(Tasks[[#This Row],[_Resource1]]&lt;&gt;"")+(Tasks[[#This Row],[_Res2]]&lt;&gt;"")+(Tasks[[#This Row],[_Res3]]&lt;&gt;"")+(Tasks[[#This Row],[_Res4]]&lt;&gt;""))</f>
        <v>0</v>
      </c>
      <c r="DV60" s="43" t="str">
        <f aca="false">IF(Tasks[[#This Row],[_Res2Text]]="","",IF(Tasks[[#This Row],[_Res2Row]]&gt;0,INDEX(res_Name,Tasks[[#This Row],[_Res2Row]]),TRIM(LEFT(Tasks[[#This Row],[_Res2Text]],FIND("[",Tasks[[#This Row],[_Res2Text]]&amp;"[")-1))))</f>
        <v/>
      </c>
      <c r="DW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0" s="43" t="n">
        <f aca="false">IF(OR(NOT(Tasks[[#This Row],[_IsLeaf]]=1),Tasks[[#This Row],[_Res2Row]]=0),0,N(Tasks[[#This Row],[_Days]])*HoursPerDay*IF(Tasks[[#This Row],[_Res2Units]]="",DefaultUnits,Tasks[[#This Row],[_Res2Units]]))</f>
        <v>0</v>
      </c>
      <c r="DY60" s="43" t="n">
        <f aca="false">IF(AND(AND(Tasks[[#This Row],[_IsLeaf]]=1,Tasks[[#This Row],[_LeafTotalWork]]&gt;0),Tasks[[#This Row],[_Res2Work]]&gt;0),Tasks[[#This Row],[_Res2Work]]/(Tasks[[#This Row],[_FinishWorkday]]-Tasks[[#This Row],[_StartWorkday]]+1),0)</f>
        <v>0</v>
      </c>
      <c r="DZ60" s="43" t="n">
        <f aca="false">Tasks[[#This Row],[_Res2WorkPerWD]]*MAX(0,Tasks[[#This Row],[_StartWorkday]]-1)</f>
        <v>0</v>
      </c>
      <c r="EA60" s="43" t="n">
        <f aca="false">Tasks[[#This Row],[_Res2Work]]*Tasks[[#This Row],[_LeafProgress]]</f>
        <v>0</v>
      </c>
      <c r="EB60" s="43" t="str">
        <f aca="false">IF(Tasks[[#This Row],[_Res3Text]]="","",IF(Tasks[[#This Row],[_Res3Row]]&gt;0,INDEX(res_Name,Tasks[[#This Row],[_Res3Row]]),TRIM(LEFT(Tasks[[#This Row],[_Res3Text]],FIND("[",Tasks[[#This Row],[_Res3Text]]&amp;"[")-1))))</f>
        <v/>
      </c>
      <c r="EC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0" s="43" t="n">
        <f aca="false">IF(OR(NOT(Tasks[[#This Row],[_IsLeaf]]=1),Tasks[[#This Row],[_Res3Row]]=0),0,N(Tasks[[#This Row],[_Days]])*HoursPerDay*IF(Tasks[[#This Row],[_Res3Units]]="",DefaultUnits,Tasks[[#This Row],[_Res3Units]]))</f>
        <v>0</v>
      </c>
      <c r="EE60" s="43" t="n">
        <f aca="false">IF(AND(AND(Tasks[[#This Row],[_IsLeaf]]=1,Tasks[[#This Row],[_LeafTotalWork]]&gt;0),Tasks[[#This Row],[_Res3Work]]&gt;0),Tasks[[#This Row],[_Res3Work]]/(Tasks[[#This Row],[_FinishWorkday]]-Tasks[[#This Row],[_StartWorkday]]+1),0)</f>
        <v>0</v>
      </c>
      <c r="EF60" s="43" t="n">
        <f aca="false">Tasks[[#This Row],[_Res3WorkPerWD]]*MAX(0,Tasks[[#This Row],[_StartWorkday]]-1)</f>
        <v>0</v>
      </c>
      <c r="EG60" s="43" t="n">
        <f aca="false">Tasks[[#This Row],[_Res3Work]]*Tasks[[#This Row],[_LeafProgress]]</f>
        <v>0</v>
      </c>
      <c r="EH60" s="43" t="str">
        <f aca="false">IF(Tasks[[#This Row],[_Res4Text]]="","",IF(Tasks[[#This Row],[_Res4Row]]&gt;0,INDEX(res_Name,Tasks[[#This Row],[_Res4Row]]),TRIM(LEFT(Tasks[[#This Row],[_Res4Text]],FIND("[",Tasks[[#This Row],[_Res4Text]]&amp;"[")-1))))</f>
        <v/>
      </c>
      <c r="EI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0" s="43" t="n">
        <f aca="false">IF(OR(NOT(Tasks[[#This Row],[_IsLeaf]]=1),Tasks[[#This Row],[_Res4Row]]=0),0,N(Tasks[[#This Row],[_Days]])*HoursPerDay*IF(Tasks[[#This Row],[_Res4Units]]="",DefaultUnits,Tasks[[#This Row],[_Res4Units]]))</f>
        <v>0</v>
      </c>
      <c r="EK60" s="43" t="n">
        <f aca="false">IF(AND(AND(Tasks[[#This Row],[_IsLeaf]]=1,Tasks[[#This Row],[_LeafTotalWork]]&gt;0),Tasks[[#This Row],[_Res4Work]]&gt;0),Tasks[[#This Row],[_Res4Work]]/(Tasks[[#This Row],[_FinishWorkday]]-Tasks[[#This Row],[_StartWorkday]]+1),0)</f>
        <v>0</v>
      </c>
      <c r="EL60" s="43" t="n">
        <f aca="false">Tasks[[#This Row],[_Res4WorkPerWD]]*MAX(0,Tasks[[#This Row],[_StartWorkday]]-1)</f>
        <v>0</v>
      </c>
      <c r="EM60" s="43" t="n">
        <f aca="false">Tasks[[#This Row],[_Res4Work]]*Tasks[[#This Row],[_LeafProgress]]</f>
        <v>0</v>
      </c>
      <c r="EN60" s="43" t="n">
        <f aca="false">IF(ISNUMBER(Tasks[[#This Row],[% Complete]]),Tasks[[#This Row],[% Complete]],IF(Tasks[[#This Row],[Stage]]="",0,IFERROR(INDEX(stg_Pct,MATCH(Tasks[[#This Row],[Stage]],stg_Name,0)),0)))</f>
        <v>0</v>
      </c>
      <c r="EO60" s="43" t="n">
        <f aca="false">IF(NOT(Tasks[[#This Row],[_IsLeaf]]=1),0,IF(N(Tasks[[#This Row],[Actual Finish]])&gt;0,1,MIN(1,Tasks[[#This Row],[_Pct]])))</f>
        <v>0</v>
      </c>
      <c r="EP60" s="43" t="n">
        <f aca="false">IF(OR(NOT(Tasks[[#This Row],[_IsLeaf]]=1),Tasks[[#This Row],[_Res1Row]]=0),0,N(Tasks[[#This Row],[_Days]])*HoursPerDay*IF(Tasks[[#This Row],[_Units1]]="",DefaultUnits,Tasks[[#This Row],[_Units1]]))</f>
        <v>0</v>
      </c>
      <c r="EQ60" s="43" t="n">
        <f aca="false">Tasks[[#This Row],[_LeafWork]]+Tasks[[#This Row],[_Res2Work]]+Tasks[[#This Row],[_Res3Work]]+Tasks[[#This Row],[_Res4Work]]</f>
        <v>0</v>
      </c>
      <c r="ER6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0" s="43" t="n">
        <f aca="false">IF(NOT(Tasks[[#This Row],[_IsLeaf]]=1),0,MAX(_xlfn.MAXIFS(Tasks[_Row],Tasks[_Pred1UID],Tasks[[#This Row],[UID]]),_xlfn.MAXIFS(Tasks[_Row],Tasks[_Pred2UID],Tasks[[#This Row],[UID]]),_xlfn.MAXIFS(Tasks[_Row],Tasks[_Pred3UID],Tasks[[#This Row],[UID]]),_xlfn.MAXIFS(Tasks[_Row],Tasks[_Pred4UID],Tasks[[#This Row],[UID]])))</f>
        <v>0</v>
      </c>
      <c r="FA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0" s="91" t="str">
        <f aca="false">IF(NOT(Tasks[[#This Row],[_IsLeaf]]=1),"",IF(N(Tasks[[#This Row],[_Days]])&lt;=0,Tasks[[#This Row],[_LeafLateFinish]],WORKDAY.INTL(Tasks[[#This Row],[_LeafLateFinish]],-(Tasks[[#This Row],[_Days]]-1),WorkWeek,Holidays)))</f>
        <v/>
      </c>
      <c r="FD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0" s="90" t="b">
        <f aca="false">AND(Tasks[[#This Row],[_IsLeaf]]=1,Tasks[[#This Row],[_LeafProgress]]&lt;1,N(Tasks[[#This Row],[_LeafTotalSlack]])&lt;=CriticalSlackDays)</f>
        <v>0</v>
      </c>
      <c r="FF60" s="43" t="n">
        <f aca="false">IF(AND(Tasks[[#This Row],[_IsLeaf]]=1,Tasks[[#This Row],[_ConstraintCode]]=1,Tasks[[#This Row],[Mode]]&lt;&gt;"Manual",N(Tasks[[#This Row],[Actual Start]])=0),MAX(0,N(Tasks[[#This Row],[Free Slack]])),0)</f>
        <v>0</v>
      </c>
      <c r="FG60" s="91" t="str">
        <f aca="false">IF(NOT(Tasks[[#This Row],[_IsLeaf]]=1),"",IF(Tasks[[#This Row],[_AlapShift]]=0,Tasks[[#This Row],[_LeafCalcStart]],WORKDAY.INTL(Tasks[[#This Row],[_LeafCalcStart]],Tasks[[#This Row],[_AlapShift]],WorkWeek,Holidays)))</f>
        <v/>
      </c>
      <c r="FH60" s="91" t="str">
        <f aca="false">IF(NOT(Tasks[[#This Row],[_IsLeaf]]=1),"",IF(Tasks[[#This Row],[_AlapShift]]=0,Tasks[[#This Row],[_LeafCalcFinish]],WORKDAY.INTL(Tasks[[#This Row],[_LeafCalcFinish]],Tasks[[#This Row],[_AlapShift]],WorkWeek,Holidays)))</f>
        <v/>
      </c>
      <c r="FI60" s="91" t="str">
        <f aca="false">IF(NOT(Tasks[[#This Row],[_IsLeaf]]=1),"",IF(Tasks[[#This Row],[_AlapShift]]=0,Tasks[[#This Row],[_LeafFcstStart]],WORKDAY.INTL(Tasks[[#This Row],[_LeafFcstStart]],Tasks[[#This Row],[_AlapShift]],WorkWeek,Holidays)))</f>
        <v/>
      </c>
      <c r="FJ60" s="91" t="str">
        <f aca="false">IF(NOT(Tasks[[#This Row],[_IsLeaf]]=1),"",IF(Tasks[[#This Row],[_AlapShift]]=0,Tasks[[#This Row],[_LeafFcstFinish]],WORKDAY.INTL(Tasks[[#This Row],[_LeafFcstFinish]],Tasks[[#This Row],[_AlapShift]],WorkWeek,Holidays)))</f>
        <v/>
      </c>
      <c r="FK60" s="91" t="str">
        <f aca="false">IF(Tasks[[#This Row],[Task Name]]="","",IF(Tasks[[#This Row],[_IsSummary]],MIN(INDEX(Tasks[_ShownCalcStart],Tasks[[#This Row],[_Row]]+1):INDEX(Tasks[_ShownCalcStart],Tasks[[#This Row],[_Row]]+Tasks[[#This Row],[_Descendants]])),Tasks[[#This Row],[_ShownCalcStart]]))</f>
        <v/>
      </c>
      <c r="FL60" s="91" t="str">
        <f aca="false">IF(Tasks[[#This Row],[Task Name]]="","",IF(Tasks[[#This Row],[_IsSummary]],MAX(INDEX(Tasks[_ShownCalcFinish],Tasks[[#This Row],[_Row]]+1):INDEX(Tasks[_ShownCalcFinish],Tasks[[#This Row],[_Row]]+Tasks[[#This Row],[_Descendants]])),Tasks[[#This Row],[_ShownCalcFinish]]))</f>
        <v/>
      </c>
      <c r="FM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0" s="43" t="n">
        <f aca="false">IF(AND(Tasks[[#This Row],[_IsLeaf]]=1,Tasks[[#This Row],[_LeafTotalWork]]&gt;0),NETWORKDAYS.INTL(ProjectStart,Tasks[[#This Row],[_ShownFcstStart]],WorkWeek,Holidays),0)</f>
        <v>0</v>
      </c>
      <c r="FZ60" s="43" t="n">
        <f aca="false">IF(AND(Tasks[[#This Row],[_IsLeaf]]=1,Tasks[[#This Row],[_LeafTotalWork]]&gt;0),MAX(Tasks[[#This Row],[_StartWorkday]],NETWORKDAYS.INTL(ProjectStart,Tasks[[#This Row],[_ShownFcstFinish]],WorkWeek,Holidays)),0)</f>
        <v>0</v>
      </c>
      <c r="GA60" s="43" t="n">
        <f aca="false">IF(AND(Tasks[[#This Row],[_IsLeaf]]=1,Tasks[[#This Row],[_LeafTotalWork]]&gt;0),Tasks[[#This Row],[_LeafWork]]/(Tasks[[#This Row],[_FinishWorkday]]-Tasks[[#This Row],[_StartWorkday]]+1),0)</f>
        <v>0</v>
      </c>
      <c r="GB60" s="43" t="n">
        <f aca="false">Tasks[[#This Row],[_WorkPerWorkday]]*(Tasks[[#This Row],[_StartWorkday]]-1)</f>
        <v>-0</v>
      </c>
      <c r="GC60" s="43" t="n">
        <f aca="false">IF(Tasks[[#This Row],[_IsLeaf]]=1,MAX(N(Tasks[[#This Row],[_Days]]),0.1),0)</f>
        <v>0</v>
      </c>
      <c r="GD60" s="43" t="n">
        <f aca="false">Tasks[[#This Row],[_WeightDur]]*Tasks[[#This Row],[_LeafProgress]]</f>
        <v>0</v>
      </c>
      <c r="GE60" s="43" t="n">
        <f aca="false">Tasks[[#This Row],[_WeightDur]]*Tasks[[#This Row],[_PlannedPct]]</f>
        <v>0</v>
      </c>
      <c r="GF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0" s="43" t="str">
        <f aca="false">IF(AND(Tasks[[#This Row],[_IsLeaf]]=1,N(Tasks[[#This Row],[_Days]])=0,Tasks[[#This Row],[_LeafProgress]]&lt;1),Tasks[[#This Row],[_ShownFcstFinish]]+Tasks[[#This Row],[_Row]]/100000,"")</f>
        <v/>
      </c>
      <c r="GH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0" s="43" t="str">
        <f aca="false">IF(Tasks[[#This Row],[Task Name]]="","",LEFT(Tasks[[#This Row],[WBS]],FIND(".",Tasks[[#This Row],[WBS]]&amp;".")-1))</f>
        <v/>
      </c>
      <c r="GJ60" s="43" t="str">
        <f aca="false">IF(AND(Tasks[[#This Row],[Task Name]]&lt;&gt;"",Tasks[[#This Row],[_Level]]=1),Tasks[[#This Row],[_Row]],"")</f>
        <v/>
      </c>
      <c r="GK60" s="43" t="str">
        <f aca="false">IF(AND(Tasks[[#This Row],[_IsLeaf]]=1,N(Tasks[[#This Row],[_Days]])=0),Tasks[[#This Row],[Planned Finish]]+Tasks[[#This Row],[_Row]]/100000,"")</f>
        <v/>
      </c>
      <c r="GL60" s="43" t="str">
        <f aca="false">IF(AND(Tasks[[#This Row],[_IsLeaf]]=1,Tasks[[#This Row],[_LeafProgress]]&lt;1,OR(N(Tasks[[#This Row],[Finish Var]])&gt;0,Tasks[[#This Row],[Status]]="Late Start")),MAX(0,Tasks[[#This Row],[Finish Var]])+1-Tasks[[#This Row],[_Row]]/1000000,"")</f>
        <v/>
      </c>
      <c r="GM60" s="43" t="str">
        <f aca="false">IF(AND(Tasks[[#This Row],[_IsLeaf]]=1,N(Tasks[[#This Row],[Actual Start]])=0,Tasks[[#This Row],[_ShownFcstStart]]&gt;=StatusDate,Tasks[[#This Row],[_ShownFcstStart]]&lt;=LookaheadEnd),Tasks[[#This Row],[_ShownFcstStart]]+Tasks[[#This Row],[_Row]]/100000,"")</f>
        <v/>
      </c>
      <c r="GN60" s="43" t="str">
        <f aca="false">IF(AND(Tasks[[#This Row],[_IsLeaf]]=1,Tasks[[#This Row],[_LeafProgress]]&lt;1,Tasks[[#This Row],[_ShownFcstFinish]]&gt;=StatusDate,Tasks[[#This Row],[_ShownFcstFinish]]&lt;=LookaheadEnd),Tasks[[#This Row],[_ShownFcstFinish]]+Tasks[[#This Row],[_Row]]/100000,"")</f>
        <v/>
      </c>
      <c r="GO60" s="43" t="str">
        <f aca="false">IF(Tasks[[#This Row],[_LeafCritical]],Tasks[[#This Row],[_ShownFcstStart]]+Tasks[[#This Row],[_Row]]/100000,"")</f>
        <v/>
      </c>
      <c r="GP60" s="43" t="n">
        <f aca="false">Tasks[[#This Row],[_LeafWork]]*Tasks[[#This Row],[_LeafProgress]]</f>
        <v>0</v>
      </c>
      <c r="GQ60" s="91" t="str">
        <f aca="false">IF(AND(Tasks[[#This Row],[_IsLeaf]]=1,Tasks[[#This Row],[_LeafProgress]]&gt;=1),IF(N(Tasks[[#This Row],[Actual Finish]])&gt;0,Tasks[[#This Row],[Actual Finish]],Tasks[[#This Row],[_ShownFcstFinish]]),"")</f>
        <v/>
      </c>
      <c r="GR60" s="43" t="n">
        <f aca="false">IF(Tasks[[#This Row],[_IsLeaf]]=1,N(Tasks[[#This Row],[Story Points]]),0)</f>
        <v>0</v>
      </c>
      <c r="GS60" s="43" t="str">
        <f aca="false">""</f>
        <v/>
      </c>
      <c r="GT60" s="90" t="b">
        <f aca="false">IF(Tasks[[#This Row],[Task Name]]="",FALSE(),AND(Tasks[[#This Row],[_IsLeaf]]=1,N(Tasks[[#This Row],[_Days]])=0))</f>
        <v>0</v>
      </c>
      <c r="GU60" s="91" t="n">
        <f aca="false">IF(Tasks[[#This Row],[Task Name]]="",0,IF(AND(Tasks[[#This Row],[_IsLeaf]]=1,NOT(Tasks[[#This Row],[_IsMilestone]]),N(Tasks[[#This Row],[Progress]])&gt;0),Tasks[[#This Row],[Start]],0))</f>
        <v>0</v>
      </c>
      <c r="GV60" s="91" t="n">
        <f aca="false">IF(Tasks[[#This Row],[_DoneFrom]]=0,0,IF(Tasks[[#This Row],[Progress]]&gt;=1,Tasks[[#This Row],[Finish]],MAX(Tasks[[#This Row],[_DoneFrom]],Tasks[[#This Row],[Start]]+ROUND((Tasks[[#This Row],[Finish]]-Tasks[[#This Row],[Start]]+1)*Tasks[[#This Row],[Progress]],0)-1)))</f>
        <v>0</v>
      </c>
      <c r="GW60" s="91" t="n">
        <f aca="false">IF(Tasks[[#This Row],[Task Name]]="",0,IF(OR(NOT(Tasks[[#This Row],[_IsLeaf]]=1),Tasks[[#This Row],[_IsMilestone]],N(Tasks[[#This Row],[Progress]])&gt;=1),0,IF(Tasks[[#This Row],[_DoneTo]]&gt;0,Tasks[[#This Row],[_DoneTo]]+1,Tasks[[#This Row],[Start]])))</f>
        <v>0</v>
      </c>
      <c r="GX60" s="91" t="n">
        <f aca="false">IF(Tasks[[#This Row],[_RemFrom]]=0,0,Tasks[[#This Row],[Finish]])</f>
        <v>0</v>
      </c>
      <c r="GY60" s="90" t="b">
        <f aca="false">IF(Tasks[[#This Row],[Task Name]]="",FALSE(),OR(NOT(BaselineSet),N(Tasks[[#This Row],[Baseline Start]])&gt;0))</f>
        <v>0</v>
      </c>
      <c r="GZ6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0" s="92" t="str">
        <f aca="false">IF(Tasks[[#This Row],[_IsLeaf]]=1,Tasks[[#This Row],[_Row]],"")</f>
        <v/>
      </c>
      <c r="HD60" s="92" t="str">
        <f aca="false">IFERROR(INDEX(Tasks[UID],SMALL(Tasks[_PickKey],Tasks[[#This Row],[_Row]]))&amp;" "&amp;INDEX(Tasks[Task Name],SMALL(Tasks[_PickKey],Tasks[[#This Row],[_Row]])),"")</f>
        <v/>
      </c>
      <c r="HE60" s="43" t="str">
        <f aca="false">IF(Tasks[[#This Row],[Task Name]]="","",IF(Tasks[[#This Row],[_IsSummary]],NETWORKDAYS.INTL(Tasks[[#This Row],[Start]],Tasks[[#This Row],[Finish]],WorkWeek,Holidays),N(Tasks[[#This Row],[_Days]])))</f>
        <v/>
      </c>
      <c r="HF60" s="43" t="n">
        <f aca="false">IF(Tasks[[#This Row],[Expected]]="",0,((Tasks[[#This Row],[Pessimistic]]-Tasks[[#This Row],[Optimistic]])/6)^2)</f>
        <v>0</v>
      </c>
      <c r="HG60" s="43" t="n">
        <f aca="false">IF(Tasks[[#This Row],[Expected]]="",0,Tasks[[#This Row],[Expected]]-N(Tasks[[#This Row],[_Days]]))</f>
        <v>0</v>
      </c>
    </row>
    <row r="61" customFormat="false" ht="15" hidden="false" customHeight="false" outlineLevel="0" collapsed="false">
      <c r="A61" s="21" t="str">
        <f aca="false">IF(Tasks[[#This Row],[Task Name]]="","",COUNTA(Tasks[[#Headers],[Task Name]]:Tasks[[#This Row],[Task Name]])-1)</f>
        <v/>
      </c>
      <c r="B61" s="22" t="n">
        <v>69</v>
      </c>
      <c r="C61" s="22"/>
      <c r="D61" s="23"/>
      <c r="E61" s="22"/>
      <c r="F61" s="23"/>
      <c r="G61" s="22"/>
      <c r="H61" s="22"/>
      <c r="I61" s="23"/>
      <c r="J61" s="22"/>
      <c r="K61" s="22"/>
      <c r="L61" s="23"/>
      <c r="M61" s="22"/>
      <c r="N61" s="22"/>
      <c r="O61" s="23"/>
      <c r="P61" s="22"/>
      <c r="Q61" s="22"/>
      <c r="R61" s="23"/>
      <c r="S61" s="23"/>
      <c r="T61" s="84"/>
      <c r="U61" s="23"/>
      <c r="V61" s="84"/>
      <c r="W61" s="23"/>
      <c r="X61" s="84"/>
      <c r="Y61" s="23"/>
      <c r="Z61" s="84"/>
      <c r="AA61" s="23"/>
      <c r="AB61" s="23"/>
      <c r="AC61" s="7"/>
      <c r="AD61" s="7"/>
      <c r="AE61" s="63" t="str">
        <f aca="false">IF(Tasks[[#This Row],[Task Name]]="","",IF(Tasks[[#This Row],[_IsSummary]],MIN(INDEX(Tasks[_ShownFcstStart],Tasks[[#This Row],[_Row]]+1):INDEX(Tasks[_ShownFcstStart],Tasks[[#This Row],[_Row]]+Tasks[[#This Row],[_Descendants]])),Tasks[[#This Row],[_ShownFcstStart]]))</f>
        <v/>
      </c>
      <c r="AF61" s="63" t="str">
        <f aca="false">IF(Tasks[[#This Row],[Task Name]]="","",IF(Tasks[[#This Row],[_IsSummary]],MAX(INDEX(Tasks[_ShownFcstFinish],Tasks[[#This Row],[_Row]]+1):INDEX(Tasks[_ShownFcstFinish],Tasks[[#This Row],[_Row]]+Tasks[[#This Row],[_Descendants]])),Tasks[[#This Row],[_ShownFcstFinish]]))</f>
        <v/>
      </c>
      <c r="AG61" s="21" t="str">
        <f aca="false">""</f>
        <v/>
      </c>
      <c r="AH61" s="23"/>
      <c r="AI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1" s="7"/>
      <c r="AK61" s="22"/>
      <c r="AL61" s="23"/>
      <c r="AM61" s="7"/>
      <c r="AN61" s="47" t="str">
        <f aca="false">IF(Tasks[[#This Row],[Task Name]]="","",IF(Tasks[[#This Row],[Finish]]&gt;=Tasks[[#This Row],[Planned Finish]],NETWORKDAYS.INTL(Tasks[[#This Row],[Planned Finish]],Tasks[[#This Row],[Finish]],WorkWeek,Holidays)-1,1-NETWORKDAYS.INTL(Tasks[[#This Row],[Finish]],Tasks[[#This Row],[Planned Finish]],WorkWeek,Holidays)))</f>
        <v/>
      </c>
      <c r="AO61" s="21" t="str">
        <f aca="false">IF(Tasks[[#This Row],[Task Name]]="","",IF(Tasks[[#This Row],[Progress]]&gt;=1,"Complete",IF(OR(N(Tasks[[#This Row],[Actual Start]])&gt;0,Tasks[[#This Row],[Progress]]&gt;0),IF(Tasks[[#This Row],[Finish Var]]&gt;0,"Behind","In Progress"),IF(Tasks[[#This Row],[Planned Start]]&lt;StatusDate,"Late Start","Not Started"))))</f>
        <v/>
      </c>
      <c r="AP61" s="21" t="str">
        <f aca="false">IF(Tasks[[#This Row],[Task Name]]="","",IF(IF(Tasks[[#This Row],[_IsSummary]],COUNTIF(INDEX(Tasks[_LeafCritical],Tasks[[#This Row],[_Row]]+1):INDEX(Tasks[_LeafCritical],Tasks[[#This Row],[_Row]]+Tasks[[#This Row],[_Descendants]]),TRUE())&gt;0,Tasks[[#This Row],[_LeafCritical]]),"Yes",""))</f>
        <v/>
      </c>
      <c r="AQ61" s="63" t="str">
        <f aca="false">IF(Tasks[[#This Row],[Task Name]]="","",IF(N(Tasks[[#This Row],[Baseline Start]])&gt;0,Tasks[[#This Row],[Baseline Start]],Tasks[[#This Row],[_CalcStart]]))</f>
        <v/>
      </c>
      <c r="AR61" s="63" t="str">
        <f aca="false">IF(Tasks[[#This Row],[Task Name]]="","",IF(N(Tasks[[#This Row],[Baseline Finish]])&gt;0,Tasks[[#This Row],[Baseline Finish]],Tasks[[#This Row],[_CalcFinish]]))</f>
        <v/>
      </c>
      <c r="AS61" s="47" t="str">
        <f aca="false">IF(Tasks[[#This Row],[Task Name]]="","",IF(Tasks[[#This Row],[Start]]&gt;=Tasks[[#This Row],[Planned Start]],NETWORKDAYS.INTL(Tasks[[#This Row],[Planned Start]],Tasks[[#This Row],[Start]],WorkWeek,Holidays)-1,1-NETWORKDAYS.INTL(Tasks[[#This Row],[Start]],Tasks[[#This Row],[Planned Start]],WorkWeek,Holidays)))</f>
        <v/>
      </c>
      <c r="AT61" s="63" t="str">
        <f aca="false">IF(Tasks[[#This Row],[Task Name]]="","",IF(Tasks[[#This Row],[_IsSummary]],MIN(INDEX(Tasks[_LeafLateStart],Tasks[[#This Row],[_Row]]+1):INDEX(Tasks[_LeafLateStart],Tasks[[#This Row],[_Row]]+Tasks[[#This Row],[_Descendants]])),Tasks[[#This Row],[_LeafLateStart]]))</f>
        <v/>
      </c>
      <c r="AU61" s="63" t="str">
        <f aca="false">IF(Tasks[[#This Row],[Task Name]]="","",IF(Tasks[[#This Row],[_IsSummary]],MAX(INDEX(Tasks[_LeafLateFinish],Tasks[[#This Row],[_Row]]+1):INDEX(Tasks[_LeafLateFinish],Tasks[[#This Row],[_Row]]+Tasks[[#This Row],[_Descendants]])),Tasks[[#This Row],[_LeafLateFinish]]))</f>
        <v/>
      </c>
      <c r="AV61" s="47" t="str">
        <f aca="false">IF(Tasks[[#This Row],[Task Name]]="","",IF(Tasks[[#This Row],[_IsSummary]],MIN(INDEX(Tasks[_LeafTotalSlack],Tasks[[#This Row],[_Row]]+1):INDEX(Tasks[_LeafTotalSlack],Tasks[[#This Row],[_Row]]+Tasks[[#This Row],[_Descendants]])),Tasks[[#This Row],[_LeafTotalSlack]]))</f>
        <v/>
      </c>
      <c r="AW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5"/>
      <c r="BA6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t="str">
        <f aca="false">IF(Tasks[[#This Row],[Task Name]]="","",IF(Tasks[[#This Row],[_Level]]&lt;=OutlineShowLevel,"Yes","No"))</f>
        <v/>
      </c>
      <c r="BE61" s="86" t="str">
        <f aca="false">IF(Tasks[[#This Row],[Task Name]]="","",IF(Tasks[[#This Row],[_IsSummary]],SUM(INDEX(Tasks[_LeafTotalWork],Tasks[[#This Row],[_Row]]+1):INDEX(Tasks[_LeafTotalWork],Tasks[[#This Row],[_Row]]+Tasks[[#This Row],[_Descendants]])),Tasks[[#This Row],[_LeafTotalWork]]))</f>
        <v/>
      </c>
      <c r="BF61" s="23"/>
      <c r="BG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t="str">
        <f aca="false">""</f>
        <v/>
      </c>
      <c r="BI61" s="87"/>
      <c r="BJ61" s="22"/>
      <c r="BK61" s="47" t="str">
        <f aca="false">IF(OR(Tasks[[#This Row],[Task Name]]="",Tasks[[#This Row],[Baseline Duration]]=""),"",Tasks[[#This Row],[_SpanDays]]-N(Tasks[[#This Row],[Baseline Duration]]))</f>
        <v/>
      </c>
      <c r="BL61" s="86" t="str">
        <f aca="false">IF(OR(Tasks[[#This Row],[Task Name]]="",Tasks[[#This Row],[Baseline Work]]=""),"",Tasks[[#This Row],[Work]]-N(Tasks[[#This Row],[Baseline Work]]))</f>
        <v/>
      </c>
      <c r="BM61" s="63" t="str">
        <f aca="false">IF(Tasks[[#This Row],[Task Name]]="","",IF(OR(TakeBaseline="Yes",N(Tasks[[#This Row],[Baseline Start]])=0),Tasks[[#This Row],[Start]],Tasks[[#This Row],[Baseline Start]]))</f>
        <v/>
      </c>
      <c r="BN61" s="63" t="str">
        <f aca="false">IF(Tasks[[#This Row],[Task Name]]="","",IF(OR(TakeBaseline="Yes",N(Tasks[[#This Row],[Baseline Finish]])=0),Tasks[[#This Row],[Finish]],Tasks[[#This Row],[Baseline Finish]]))</f>
        <v/>
      </c>
      <c r="BO61" s="21" t="str">
        <f aca="false">IF(Tasks[[#This Row],[Task Name]]="","",IF(OR(TakeBaseline="Yes",N(Tasks[[#This Row],[Baseline Duration]])=0),Tasks[[#This Row],[_SpanDays]],Tasks[[#This Row],[Baseline Duration]]))</f>
        <v/>
      </c>
      <c r="BP61" s="86" t="str">
        <f aca="false">IF(Tasks[[#This Row],[Task Name]]="","",IF(OR(TakeBaseline="Yes",N(Tasks[[#This Row],[Baseline Work]])=0),Tasks[[#This Row],[Work]],Tasks[[#This Row],[Baseline Work]]))</f>
        <v/>
      </c>
      <c r="BQ61" s="7"/>
      <c r="BR61" s="7"/>
      <c r="BS61" s="22"/>
      <c r="BT61" s="88"/>
      <c r="BU61" s="23"/>
      <c r="BV61" s="23"/>
      <c r="BW61" s="23"/>
      <c r="BX61" s="89" t="str">
        <f aca="false">IF(AND(Tasks[[#This Row],[_IsLeaf]]=1,ISNUMBER(Tasks[[#This Row],[Optimistic]]),ISNUMBER(Tasks[[#This Row],[Pessimistic]])),ROUND((Tasks[[#This Row],[Optimistic]]+4*N(Tasks[[#This Row],[_Days]])+Tasks[[#This Row],[Pessimistic]])/6,1),"")</f>
        <v/>
      </c>
      <c r="BY61" s="87"/>
      <c r="BZ61" s="87"/>
      <c r="CA61" s="22"/>
      <c r="CB61" s="43" t="str">
        <f aca="false">IF(Tasks[[#This Row],[Task Name]]="","",MAX(1,N(Tasks[[#This Row],[Level]])))</f>
        <v/>
      </c>
      <c r="CC61" s="43" t="n">
        <f aca="false">ROW()-ROW(Tasks[[#Headers],[ID]])</f>
        <v>56</v>
      </c>
      <c r="CD61" s="43" t="n">
        <f aca="false">IF(OR(Tasks[[#This Row],[Task Name]]="",Tasks[[#This Row],[_Level]]&lt;=1),0,IFERROR(LOOKUP(2,1/(Tasks[[#Headers],[_Level]]:Tasks[[#This Row],[_Level]]=Tasks[[#This Row],[_Level]]-1),ROW(Tasks[[#Headers],[_Level]]:Tasks[[#This Row],[_Level]])),0))</f>
        <v>0</v>
      </c>
      <c r="CE61" s="43" t="n">
        <f aca="false">IFERROR(N(INDEX(Tasks[_Level],Tasks[[#This Row],[_Row]]+1)),0)</f>
        <v>0</v>
      </c>
      <c r="CF61" s="90" t="b">
        <f aca="false">AND(Tasks[[#This Row],[Task Name]]&lt;&gt;"",Tasks[[#This Row],[_NextLevel]]&gt;Tasks[[#This Row],[_Level]])</f>
        <v>0</v>
      </c>
      <c r="CG61" s="43" t="n">
        <f aca="false">IF(Tasks[[#This Row],[_IsSummary]],COUNTIF(Tasks[WBS],Tasks[[#This Row],[WBS]]&amp;".*"),0)</f>
        <v>0</v>
      </c>
      <c r="CH61" s="43" t="n">
        <f aca="false">IF(AND(Tasks[[#This Row],[Task Name]]&lt;&gt;"",NOT(Tasks[[#This Row],[_IsSummary]])),1,0)</f>
        <v>0</v>
      </c>
      <c r="CI61" s="43" t="n">
        <f aca="false">IF(N(Tasks[[#This Row],[_Pred1UID]])=0,0,IFERROR(MATCH(Tasks[[#This Row],[_Pred1UID]],Tasks[UID],0),-1))</f>
        <v>0</v>
      </c>
      <c r="CJ61" s="43" t="n">
        <f aca="false">IF(N(Tasks[[#This Row],[_Pred2UID]])=0,0,IFERROR(MATCH(Tasks[[#This Row],[_Pred2UID]],Tasks[UID],0),-1))</f>
        <v>0</v>
      </c>
      <c r="CK61" s="43" t="n">
        <f aca="false">IF(N(Tasks[[#This Row],[_Pred3UID]])=0,0,IFERROR(MATCH(Tasks[[#This Row],[_Pred3UID]],Tasks[UID],0),-1))</f>
        <v>0</v>
      </c>
      <c r="CL61" s="43" t="n">
        <f aca="false">IF(N(Tasks[[#This Row],[_Pred4UID]])=0,0,IFERROR(MATCH(Tasks[[#This Row],[_Pred4UID]],Tasks[UID],0),-1))</f>
        <v>0</v>
      </c>
      <c r="CM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1" s="91" t="n">
        <f aca="false">IF(OR(Tasks[[#This Row],[_ConstraintCode]]=2,Tasks[[#This Row],[_ConstraintCode]]=3,Tasks[[#This Row],[_ConstraintCode]]=4,Tasks[[#This Row],[_ConstraintCode]]=6),Tasks[[#This Row],[_ConstraintStart]],0)</f>
        <v>0</v>
      </c>
      <c r="CP61" s="91" t="n">
        <f aca="false">IF(OR(Tasks[[#This Row],[_ConstraintCode]]=2,Tasks[[#This Row],[_ConstraintCode]]=3,Tasks[[#This Row],[_ConstraintCode]]=5,Tasks[[#This Row],[_ConstraintCode]]=7),Tasks[[#This Row],[_ConstraintStart]],2958465)</f>
        <v>2958465</v>
      </c>
      <c r="CQ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1" s="91" t="str">
        <f aca="false">IF(NOT(Tasks[[#This Row],[_IsLeaf]]=1),"",IF(N(Tasks[[#This Row],[_Days]])&lt;=0,Tasks[[#This Row],[_LeafCalcStart]],WORKDAY.INTL(Tasks[[#This Row],[_LeafCalcStart]],Tasks[[#This Row],[_Days]]-1,WorkWeek,Holidays)))</f>
        <v/>
      </c>
      <c r="CS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1" s="43" t="str">
        <f aca="false">IF(Tasks[[#This Row],[_Predecessors]]="","",TRIM(MID(SUBSTITUTE(SUBSTITUTE(SUBSTITUTE(UPPER(Tasks[[#This Row],[_Predecessors]]),";",",")," ",""),",",REPT(" ",99)),1,99)))</f>
        <v/>
      </c>
      <c r="CV61" s="43" t="str">
        <f aca="false">IF(Tasks[[#This Row],[_Pred1Text]]="","",IFERROR(VALUE(LEFT(Tasks[[#This Row],[_Pred1Text]],MIN(FIND("F",Tasks[[#This Row],[_Pred1Text]]&amp;"F"),FIND("S",Tasks[[#This Row],[_Pred1Text]]&amp;"S"),FIND("+",Tasks[[#This Row],[_Pred1Text]]&amp;"+"),FIND("-",Tasks[[#This Row],[_Pred1Text]]&amp;"-"))-1)),""))</f>
        <v/>
      </c>
      <c r="CW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1" s="43" t="str">
        <f aca="false">IF(Tasks[[#This Row],[_Pred1Text]]="","",TRIM(MID(SUBSTITUTE(SUBSTITUTE(SUBSTITUTE(UPPER(Tasks[[#This Row],[_Predecessors]]),";",",")," ",""),",",REPT(" ",99)),100,99)))</f>
        <v/>
      </c>
      <c r="CZ61" s="43" t="str">
        <f aca="false">IF(Tasks[[#This Row],[_Pred2Text]]="","",IFERROR(VALUE(LEFT(Tasks[[#This Row],[_Pred2Text]],MIN(FIND("F",Tasks[[#This Row],[_Pred2Text]]&amp;"F"),FIND("S",Tasks[[#This Row],[_Pred2Text]]&amp;"S"),FIND("+",Tasks[[#This Row],[_Pred2Text]]&amp;"+"),FIND("-",Tasks[[#This Row],[_Pred2Text]]&amp;"-"))-1)),""))</f>
        <v/>
      </c>
      <c r="DA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1" s="43" t="str">
        <f aca="false">IF(Tasks[[#This Row],[_Pred2Text]]="","",TRIM(MID(SUBSTITUTE(SUBSTITUTE(SUBSTITUTE(UPPER(Tasks[[#This Row],[_Predecessors]]),";",",")," ",""),",",REPT(" ",99)),199,99)))</f>
        <v/>
      </c>
      <c r="DD61" s="43" t="str">
        <f aca="false">IF(Tasks[[#This Row],[_Pred3Text]]="","",IFERROR(VALUE(LEFT(Tasks[[#This Row],[_Pred3Text]],MIN(FIND("F",Tasks[[#This Row],[_Pred3Text]]&amp;"F"),FIND("S",Tasks[[#This Row],[_Pred3Text]]&amp;"S"),FIND("+",Tasks[[#This Row],[_Pred3Text]]&amp;"+"),FIND("-",Tasks[[#This Row],[_Pred3Text]]&amp;"-"))-1)),""))</f>
        <v/>
      </c>
      <c r="DE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1" s="43" t="str">
        <f aca="false">IF(Tasks[[#This Row],[_Pred3Text]]="","",TRIM(MID(SUBSTITUTE(SUBSTITUTE(SUBSTITUTE(UPPER(Tasks[[#This Row],[_Predecessors]]),";",",")," ",""),",",REPT(" ",99)),298,99)))</f>
        <v/>
      </c>
      <c r="DH61" s="43" t="str">
        <f aca="false">IF(Tasks[[#This Row],[_Pred4Text]]="","",IFERROR(VALUE(LEFT(Tasks[[#This Row],[_Pred4Text]],MIN(FIND("F",Tasks[[#This Row],[_Pred4Text]]&amp;"F"),FIND("S",Tasks[[#This Row],[_Pred4Text]]&amp;"S"),FIND("+",Tasks[[#This Row],[_Pred4Text]]&amp;"+"),FIND("-",Tasks[[#This Row],[_Pred4Text]]&amp;"-"))-1)),""))</f>
        <v/>
      </c>
      <c r="DI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1" s="43" t="str">
        <f aca="false">IF(OR(Tasks[[#This Row],[Task Name]]="",Tasks[[#This Row],[_Resources]]=""),"",TRIM(MID(SUBSTITUTE(Tasks[[#This Row],[_Resources]],",",REPT(" ",99)),1,99)))</f>
        <v/>
      </c>
      <c r="DL61" s="43" t="str">
        <f aca="false">IF(Tasks[[#This Row],[_Res1Text]]="","",TRIM(MID(SUBSTITUTE(Tasks[[#This Row],[_Resources]],",",REPT(" ",99)),100,99)))</f>
        <v/>
      </c>
      <c r="DM61" s="43" t="str">
        <f aca="false">IF(Tasks[[#This Row],[_Res2Text]]="","",TRIM(MID(SUBSTITUTE(Tasks[[#This Row],[_Resources]],",",REPT(" ",99)),199,99)))</f>
        <v/>
      </c>
      <c r="DN61" s="43" t="str">
        <f aca="false">IF(Tasks[[#This Row],[_Res3Text]]="","",TRIM(MID(SUBSTITUTE(Tasks[[#This Row],[_Resources]],",",REPT(" ",99)),298,99)))</f>
        <v/>
      </c>
      <c r="DO61" s="43" t="n">
        <f aca="false">IF(Tasks[[#This Row],[_Res1Text]]="",0,IFERROR(MATCH(TRIM(LEFT(Tasks[[#This Row],[_Res1Text]],FIND("[",Tasks[[#This Row],[_Res1Text]]&amp;"[")-1)),res_Name,0),IFERROR(MATCH(TRIM(LEFT(Tasks[[#This Row],[_Res1Text]],FIND("[",Tasks[[#This Row],[_Res1Text]]&amp;"[")-1)),res_Initials,0),0)))</f>
        <v>0</v>
      </c>
      <c r="DP61" s="43" t="n">
        <f aca="false">IF(Tasks[[#This Row],[_Res2Text]]="",0,IFERROR(MATCH(TRIM(LEFT(Tasks[[#This Row],[_Res2Text]],FIND("[",Tasks[[#This Row],[_Res2Text]]&amp;"[")-1)),res_Name,0),IFERROR(MATCH(TRIM(LEFT(Tasks[[#This Row],[_Res2Text]],FIND("[",Tasks[[#This Row],[_Res2Text]]&amp;"[")-1)),res_Initials,0),0)))</f>
        <v>0</v>
      </c>
      <c r="DQ61" s="43" t="n">
        <f aca="false">IF(Tasks[[#This Row],[_Res3Text]]="",0,IFERROR(MATCH(TRIM(LEFT(Tasks[[#This Row],[_Res3Text]],FIND("[",Tasks[[#This Row],[_Res3Text]]&amp;"[")-1)),res_Name,0),IFERROR(MATCH(TRIM(LEFT(Tasks[[#This Row],[_Res3Text]],FIND("[",Tasks[[#This Row],[_Res3Text]]&amp;"[")-1)),res_Initials,0),0)))</f>
        <v>0</v>
      </c>
      <c r="DR61" s="43" t="n">
        <f aca="false">IF(Tasks[[#This Row],[_Res4Text]]="",0,IFERROR(MATCH(TRIM(LEFT(Tasks[[#This Row],[_Res4Text]],FIND("[",Tasks[[#This Row],[_Res4Text]]&amp;"[")-1)),res_Name,0),IFERROR(MATCH(TRIM(LEFT(Tasks[[#This Row],[_Res4Text]],FIND("[",Tasks[[#This Row],[_Res4Text]]&amp;"[")-1)),res_Initials,0),0)))</f>
        <v>0</v>
      </c>
      <c r="DS61" s="43" t="str">
        <f aca="false">IF(Tasks[[#This Row],[_Res1Text]]="","",IF(Tasks[[#This Row],[_Res1Row]]&gt;0,INDEX(res_Name,Tasks[[#This Row],[_Res1Row]]),TRIM(LEFT(Tasks[[#This Row],[_Res1Text]],FIND("[",Tasks[[#This Row],[_Res1Text]]&amp;"[")-1))))</f>
        <v/>
      </c>
      <c r="DT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1" s="43" t="n">
        <f aca="false">IF(NOT(Tasks[[#This Row],[_IsLeaf]]=1),0,(Tasks[[#This Row],[_Resource1]]&lt;&gt;"")+(Tasks[[#This Row],[_Res2]]&lt;&gt;"")+(Tasks[[#This Row],[_Res3]]&lt;&gt;"")+(Tasks[[#This Row],[_Res4]]&lt;&gt;""))</f>
        <v>0</v>
      </c>
      <c r="DV61" s="43" t="str">
        <f aca="false">IF(Tasks[[#This Row],[_Res2Text]]="","",IF(Tasks[[#This Row],[_Res2Row]]&gt;0,INDEX(res_Name,Tasks[[#This Row],[_Res2Row]]),TRIM(LEFT(Tasks[[#This Row],[_Res2Text]],FIND("[",Tasks[[#This Row],[_Res2Text]]&amp;"[")-1))))</f>
        <v/>
      </c>
      <c r="DW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1" s="43" t="n">
        <f aca="false">IF(OR(NOT(Tasks[[#This Row],[_IsLeaf]]=1),Tasks[[#This Row],[_Res2Row]]=0),0,N(Tasks[[#This Row],[_Days]])*HoursPerDay*IF(Tasks[[#This Row],[_Res2Units]]="",DefaultUnits,Tasks[[#This Row],[_Res2Units]]))</f>
        <v>0</v>
      </c>
      <c r="DY61" s="43" t="n">
        <f aca="false">IF(AND(AND(Tasks[[#This Row],[_IsLeaf]]=1,Tasks[[#This Row],[_LeafTotalWork]]&gt;0),Tasks[[#This Row],[_Res2Work]]&gt;0),Tasks[[#This Row],[_Res2Work]]/(Tasks[[#This Row],[_FinishWorkday]]-Tasks[[#This Row],[_StartWorkday]]+1),0)</f>
        <v>0</v>
      </c>
      <c r="DZ61" s="43" t="n">
        <f aca="false">Tasks[[#This Row],[_Res2WorkPerWD]]*MAX(0,Tasks[[#This Row],[_StartWorkday]]-1)</f>
        <v>0</v>
      </c>
      <c r="EA61" s="43" t="n">
        <f aca="false">Tasks[[#This Row],[_Res2Work]]*Tasks[[#This Row],[_LeafProgress]]</f>
        <v>0</v>
      </c>
      <c r="EB61" s="43" t="str">
        <f aca="false">IF(Tasks[[#This Row],[_Res3Text]]="","",IF(Tasks[[#This Row],[_Res3Row]]&gt;0,INDEX(res_Name,Tasks[[#This Row],[_Res3Row]]),TRIM(LEFT(Tasks[[#This Row],[_Res3Text]],FIND("[",Tasks[[#This Row],[_Res3Text]]&amp;"[")-1))))</f>
        <v/>
      </c>
      <c r="EC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1" s="43" t="n">
        <f aca="false">IF(OR(NOT(Tasks[[#This Row],[_IsLeaf]]=1),Tasks[[#This Row],[_Res3Row]]=0),0,N(Tasks[[#This Row],[_Days]])*HoursPerDay*IF(Tasks[[#This Row],[_Res3Units]]="",DefaultUnits,Tasks[[#This Row],[_Res3Units]]))</f>
        <v>0</v>
      </c>
      <c r="EE61" s="43" t="n">
        <f aca="false">IF(AND(AND(Tasks[[#This Row],[_IsLeaf]]=1,Tasks[[#This Row],[_LeafTotalWork]]&gt;0),Tasks[[#This Row],[_Res3Work]]&gt;0),Tasks[[#This Row],[_Res3Work]]/(Tasks[[#This Row],[_FinishWorkday]]-Tasks[[#This Row],[_StartWorkday]]+1),0)</f>
        <v>0</v>
      </c>
      <c r="EF61" s="43" t="n">
        <f aca="false">Tasks[[#This Row],[_Res3WorkPerWD]]*MAX(0,Tasks[[#This Row],[_StartWorkday]]-1)</f>
        <v>0</v>
      </c>
      <c r="EG61" s="43" t="n">
        <f aca="false">Tasks[[#This Row],[_Res3Work]]*Tasks[[#This Row],[_LeafProgress]]</f>
        <v>0</v>
      </c>
      <c r="EH61" s="43" t="str">
        <f aca="false">IF(Tasks[[#This Row],[_Res4Text]]="","",IF(Tasks[[#This Row],[_Res4Row]]&gt;0,INDEX(res_Name,Tasks[[#This Row],[_Res4Row]]),TRIM(LEFT(Tasks[[#This Row],[_Res4Text]],FIND("[",Tasks[[#This Row],[_Res4Text]]&amp;"[")-1))))</f>
        <v/>
      </c>
      <c r="EI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1" s="43" t="n">
        <f aca="false">IF(OR(NOT(Tasks[[#This Row],[_IsLeaf]]=1),Tasks[[#This Row],[_Res4Row]]=0),0,N(Tasks[[#This Row],[_Days]])*HoursPerDay*IF(Tasks[[#This Row],[_Res4Units]]="",DefaultUnits,Tasks[[#This Row],[_Res4Units]]))</f>
        <v>0</v>
      </c>
      <c r="EK61" s="43" t="n">
        <f aca="false">IF(AND(AND(Tasks[[#This Row],[_IsLeaf]]=1,Tasks[[#This Row],[_LeafTotalWork]]&gt;0),Tasks[[#This Row],[_Res4Work]]&gt;0),Tasks[[#This Row],[_Res4Work]]/(Tasks[[#This Row],[_FinishWorkday]]-Tasks[[#This Row],[_StartWorkday]]+1),0)</f>
        <v>0</v>
      </c>
      <c r="EL61" s="43" t="n">
        <f aca="false">Tasks[[#This Row],[_Res4WorkPerWD]]*MAX(0,Tasks[[#This Row],[_StartWorkday]]-1)</f>
        <v>0</v>
      </c>
      <c r="EM61" s="43" t="n">
        <f aca="false">Tasks[[#This Row],[_Res4Work]]*Tasks[[#This Row],[_LeafProgress]]</f>
        <v>0</v>
      </c>
      <c r="EN61" s="43" t="n">
        <f aca="false">IF(ISNUMBER(Tasks[[#This Row],[% Complete]]),Tasks[[#This Row],[% Complete]],IF(Tasks[[#This Row],[Stage]]="",0,IFERROR(INDEX(stg_Pct,MATCH(Tasks[[#This Row],[Stage]],stg_Name,0)),0)))</f>
        <v>0</v>
      </c>
      <c r="EO61" s="43" t="n">
        <f aca="false">IF(NOT(Tasks[[#This Row],[_IsLeaf]]=1),0,IF(N(Tasks[[#This Row],[Actual Finish]])&gt;0,1,MIN(1,Tasks[[#This Row],[_Pct]])))</f>
        <v>0</v>
      </c>
      <c r="EP61" s="43" t="n">
        <f aca="false">IF(OR(NOT(Tasks[[#This Row],[_IsLeaf]]=1),Tasks[[#This Row],[_Res1Row]]=0),0,N(Tasks[[#This Row],[_Days]])*HoursPerDay*IF(Tasks[[#This Row],[_Units1]]="",DefaultUnits,Tasks[[#This Row],[_Units1]]))</f>
        <v>0</v>
      </c>
      <c r="EQ61" s="43" t="n">
        <f aca="false">Tasks[[#This Row],[_LeafWork]]+Tasks[[#This Row],[_Res2Work]]+Tasks[[#This Row],[_Res3Work]]+Tasks[[#This Row],[_Res4Work]]</f>
        <v>0</v>
      </c>
      <c r="ER6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1" s="43" t="n">
        <f aca="false">IF(NOT(Tasks[[#This Row],[_IsLeaf]]=1),0,MAX(_xlfn.MAXIFS(Tasks[_Row],Tasks[_Pred1UID],Tasks[[#This Row],[UID]]),_xlfn.MAXIFS(Tasks[_Row],Tasks[_Pred2UID],Tasks[[#This Row],[UID]]),_xlfn.MAXIFS(Tasks[_Row],Tasks[_Pred3UID],Tasks[[#This Row],[UID]]),_xlfn.MAXIFS(Tasks[_Row],Tasks[_Pred4UID],Tasks[[#This Row],[UID]])))</f>
        <v>0</v>
      </c>
      <c r="FA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1" s="91" t="str">
        <f aca="false">IF(NOT(Tasks[[#This Row],[_IsLeaf]]=1),"",IF(N(Tasks[[#This Row],[_Days]])&lt;=0,Tasks[[#This Row],[_LeafLateFinish]],WORKDAY.INTL(Tasks[[#This Row],[_LeafLateFinish]],-(Tasks[[#This Row],[_Days]]-1),WorkWeek,Holidays)))</f>
        <v/>
      </c>
      <c r="FD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1" s="90" t="b">
        <f aca="false">AND(Tasks[[#This Row],[_IsLeaf]]=1,Tasks[[#This Row],[_LeafProgress]]&lt;1,N(Tasks[[#This Row],[_LeafTotalSlack]])&lt;=CriticalSlackDays)</f>
        <v>0</v>
      </c>
      <c r="FF61" s="43" t="n">
        <f aca="false">IF(AND(Tasks[[#This Row],[_IsLeaf]]=1,Tasks[[#This Row],[_ConstraintCode]]=1,Tasks[[#This Row],[Mode]]&lt;&gt;"Manual",N(Tasks[[#This Row],[Actual Start]])=0),MAX(0,N(Tasks[[#This Row],[Free Slack]])),0)</f>
        <v>0</v>
      </c>
      <c r="FG61" s="91" t="str">
        <f aca="false">IF(NOT(Tasks[[#This Row],[_IsLeaf]]=1),"",IF(Tasks[[#This Row],[_AlapShift]]=0,Tasks[[#This Row],[_LeafCalcStart]],WORKDAY.INTL(Tasks[[#This Row],[_LeafCalcStart]],Tasks[[#This Row],[_AlapShift]],WorkWeek,Holidays)))</f>
        <v/>
      </c>
      <c r="FH61" s="91" t="str">
        <f aca="false">IF(NOT(Tasks[[#This Row],[_IsLeaf]]=1),"",IF(Tasks[[#This Row],[_AlapShift]]=0,Tasks[[#This Row],[_LeafCalcFinish]],WORKDAY.INTL(Tasks[[#This Row],[_LeafCalcFinish]],Tasks[[#This Row],[_AlapShift]],WorkWeek,Holidays)))</f>
        <v/>
      </c>
      <c r="FI61" s="91" t="str">
        <f aca="false">IF(NOT(Tasks[[#This Row],[_IsLeaf]]=1),"",IF(Tasks[[#This Row],[_AlapShift]]=0,Tasks[[#This Row],[_LeafFcstStart]],WORKDAY.INTL(Tasks[[#This Row],[_LeafFcstStart]],Tasks[[#This Row],[_AlapShift]],WorkWeek,Holidays)))</f>
        <v/>
      </c>
      <c r="FJ61" s="91" t="str">
        <f aca="false">IF(NOT(Tasks[[#This Row],[_IsLeaf]]=1),"",IF(Tasks[[#This Row],[_AlapShift]]=0,Tasks[[#This Row],[_LeafFcstFinish]],WORKDAY.INTL(Tasks[[#This Row],[_LeafFcstFinish]],Tasks[[#This Row],[_AlapShift]],WorkWeek,Holidays)))</f>
        <v/>
      </c>
      <c r="FK61" s="91" t="str">
        <f aca="false">IF(Tasks[[#This Row],[Task Name]]="","",IF(Tasks[[#This Row],[_IsSummary]],MIN(INDEX(Tasks[_ShownCalcStart],Tasks[[#This Row],[_Row]]+1):INDEX(Tasks[_ShownCalcStart],Tasks[[#This Row],[_Row]]+Tasks[[#This Row],[_Descendants]])),Tasks[[#This Row],[_ShownCalcStart]]))</f>
        <v/>
      </c>
      <c r="FL61" s="91" t="str">
        <f aca="false">IF(Tasks[[#This Row],[Task Name]]="","",IF(Tasks[[#This Row],[_IsSummary]],MAX(INDEX(Tasks[_ShownCalcFinish],Tasks[[#This Row],[_Row]]+1):INDEX(Tasks[_ShownCalcFinish],Tasks[[#This Row],[_Row]]+Tasks[[#This Row],[_Descendants]])),Tasks[[#This Row],[_ShownCalcFinish]]))</f>
        <v/>
      </c>
      <c r="FM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1" s="43" t="n">
        <f aca="false">IF(AND(Tasks[[#This Row],[_IsLeaf]]=1,Tasks[[#This Row],[_LeafTotalWork]]&gt;0),NETWORKDAYS.INTL(ProjectStart,Tasks[[#This Row],[_ShownFcstStart]],WorkWeek,Holidays),0)</f>
        <v>0</v>
      </c>
      <c r="FZ61" s="43" t="n">
        <f aca="false">IF(AND(Tasks[[#This Row],[_IsLeaf]]=1,Tasks[[#This Row],[_LeafTotalWork]]&gt;0),MAX(Tasks[[#This Row],[_StartWorkday]],NETWORKDAYS.INTL(ProjectStart,Tasks[[#This Row],[_ShownFcstFinish]],WorkWeek,Holidays)),0)</f>
        <v>0</v>
      </c>
      <c r="GA61" s="43" t="n">
        <f aca="false">IF(AND(Tasks[[#This Row],[_IsLeaf]]=1,Tasks[[#This Row],[_LeafTotalWork]]&gt;0),Tasks[[#This Row],[_LeafWork]]/(Tasks[[#This Row],[_FinishWorkday]]-Tasks[[#This Row],[_StartWorkday]]+1),0)</f>
        <v>0</v>
      </c>
      <c r="GB61" s="43" t="n">
        <f aca="false">Tasks[[#This Row],[_WorkPerWorkday]]*(Tasks[[#This Row],[_StartWorkday]]-1)</f>
        <v>-0</v>
      </c>
      <c r="GC61" s="43" t="n">
        <f aca="false">IF(Tasks[[#This Row],[_IsLeaf]]=1,MAX(N(Tasks[[#This Row],[_Days]]),0.1),0)</f>
        <v>0</v>
      </c>
      <c r="GD61" s="43" t="n">
        <f aca="false">Tasks[[#This Row],[_WeightDur]]*Tasks[[#This Row],[_LeafProgress]]</f>
        <v>0</v>
      </c>
      <c r="GE61" s="43" t="n">
        <f aca="false">Tasks[[#This Row],[_WeightDur]]*Tasks[[#This Row],[_PlannedPct]]</f>
        <v>0</v>
      </c>
      <c r="GF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1" s="43" t="str">
        <f aca="false">IF(AND(Tasks[[#This Row],[_IsLeaf]]=1,N(Tasks[[#This Row],[_Days]])=0,Tasks[[#This Row],[_LeafProgress]]&lt;1),Tasks[[#This Row],[_ShownFcstFinish]]+Tasks[[#This Row],[_Row]]/100000,"")</f>
        <v/>
      </c>
      <c r="GH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1" s="43" t="str">
        <f aca="false">IF(Tasks[[#This Row],[Task Name]]="","",LEFT(Tasks[[#This Row],[WBS]],FIND(".",Tasks[[#This Row],[WBS]]&amp;".")-1))</f>
        <v/>
      </c>
      <c r="GJ61" s="43" t="str">
        <f aca="false">IF(AND(Tasks[[#This Row],[Task Name]]&lt;&gt;"",Tasks[[#This Row],[_Level]]=1),Tasks[[#This Row],[_Row]],"")</f>
        <v/>
      </c>
      <c r="GK61" s="43" t="str">
        <f aca="false">IF(AND(Tasks[[#This Row],[_IsLeaf]]=1,N(Tasks[[#This Row],[_Days]])=0),Tasks[[#This Row],[Planned Finish]]+Tasks[[#This Row],[_Row]]/100000,"")</f>
        <v/>
      </c>
      <c r="GL61" s="43" t="str">
        <f aca="false">IF(AND(Tasks[[#This Row],[_IsLeaf]]=1,Tasks[[#This Row],[_LeafProgress]]&lt;1,OR(N(Tasks[[#This Row],[Finish Var]])&gt;0,Tasks[[#This Row],[Status]]="Late Start")),MAX(0,Tasks[[#This Row],[Finish Var]])+1-Tasks[[#This Row],[_Row]]/1000000,"")</f>
        <v/>
      </c>
      <c r="GM61" s="43" t="str">
        <f aca="false">IF(AND(Tasks[[#This Row],[_IsLeaf]]=1,N(Tasks[[#This Row],[Actual Start]])=0,Tasks[[#This Row],[_ShownFcstStart]]&gt;=StatusDate,Tasks[[#This Row],[_ShownFcstStart]]&lt;=LookaheadEnd),Tasks[[#This Row],[_ShownFcstStart]]+Tasks[[#This Row],[_Row]]/100000,"")</f>
        <v/>
      </c>
      <c r="GN61" s="43" t="str">
        <f aca="false">IF(AND(Tasks[[#This Row],[_IsLeaf]]=1,Tasks[[#This Row],[_LeafProgress]]&lt;1,Tasks[[#This Row],[_ShownFcstFinish]]&gt;=StatusDate,Tasks[[#This Row],[_ShownFcstFinish]]&lt;=LookaheadEnd),Tasks[[#This Row],[_ShownFcstFinish]]+Tasks[[#This Row],[_Row]]/100000,"")</f>
        <v/>
      </c>
      <c r="GO61" s="43" t="str">
        <f aca="false">IF(Tasks[[#This Row],[_LeafCritical]],Tasks[[#This Row],[_ShownFcstStart]]+Tasks[[#This Row],[_Row]]/100000,"")</f>
        <v/>
      </c>
      <c r="GP61" s="43" t="n">
        <f aca="false">Tasks[[#This Row],[_LeafWork]]*Tasks[[#This Row],[_LeafProgress]]</f>
        <v>0</v>
      </c>
      <c r="GQ61" s="91" t="str">
        <f aca="false">IF(AND(Tasks[[#This Row],[_IsLeaf]]=1,Tasks[[#This Row],[_LeafProgress]]&gt;=1),IF(N(Tasks[[#This Row],[Actual Finish]])&gt;0,Tasks[[#This Row],[Actual Finish]],Tasks[[#This Row],[_ShownFcstFinish]]),"")</f>
        <v/>
      </c>
      <c r="GR61" s="43" t="n">
        <f aca="false">IF(Tasks[[#This Row],[_IsLeaf]]=1,N(Tasks[[#This Row],[Story Points]]),0)</f>
        <v>0</v>
      </c>
      <c r="GS61" s="43" t="str">
        <f aca="false">""</f>
        <v/>
      </c>
      <c r="GT61" s="90" t="b">
        <f aca="false">IF(Tasks[[#This Row],[Task Name]]="",FALSE(),AND(Tasks[[#This Row],[_IsLeaf]]=1,N(Tasks[[#This Row],[_Days]])=0))</f>
        <v>0</v>
      </c>
      <c r="GU61" s="91" t="n">
        <f aca="false">IF(Tasks[[#This Row],[Task Name]]="",0,IF(AND(Tasks[[#This Row],[_IsLeaf]]=1,NOT(Tasks[[#This Row],[_IsMilestone]]),N(Tasks[[#This Row],[Progress]])&gt;0),Tasks[[#This Row],[Start]],0))</f>
        <v>0</v>
      </c>
      <c r="GV61" s="91" t="n">
        <f aca="false">IF(Tasks[[#This Row],[_DoneFrom]]=0,0,IF(Tasks[[#This Row],[Progress]]&gt;=1,Tasks[[#This Row],[Finish]],MAX(Tasks[[#This Row],[_DoneFrom]],Tasks[[#This Row],[Start]]+ROUND((Tasks[[#This Row],[Finish]]-Tasks[[#This Row],[Start]]+1)*Tasks[[#This Row],[Progress]],0)-1)))</f>
        <v>0</v>
      </c>
      <c r="GW61" s="91" t="n">
        <f aca="false">IF(Tasks[[#This Row],[Task Name]]="",0,IF(OR(NOT(Tasks[[#This Row],[_IsLeaf]]=1),Tasks[[#This Row],[_IsMilestone]],N(Tasks[[#This Row],[Progress]])&gt;=1),0,IF(Tasks[[#This Row],[_DoneTo]]&gt;0,Tasks[[#This Row],[_DoneTo]]+1,Tasks[[#This Row],[Start]])))</f>
        <v>0</v>
      </c>
      <c r="GX61" s="91" t="n">
        <f aca="false">IF(Tasks[[#This Row],[_RemFrom]]=0,0,Tasks[[#This Row],[Finish]])</f>
        <v>0</v>
      </c>
      <c r="GY61" s="90" t="b">
        <f aca="false">IF(Tasks[[#This Row],[Task Name]]="",FALSE(),OR(NOT(BaselineSet),N(Tasks[[#This Row],[Baseline Start]])&gt;0))</f>
        <v>0</v>
      </c>
      <c r="GZ6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1" s="92" t="str">
        <f aca="false">IF(Tasks[[#This Row],[_IsLeaf]]=1,Tasks[[#This Row],[_Row]],"")</f>
        <v/>
      </c>
      <c r="HD61" s="92" t="str">
        <f aca="false">IFERROR(INDEX(Tasks[UID],SMALL(Tasks[_PickKey],Tasks[[#This Row],[_Row]]))&amp;" "&amp;INDEX(Tasks[Task Name],SMALL(Tasks[_PickKey],Tasks[[#This Row],[_Row]])),"")</f>
        <v/>
      </c>
      <c r="HE61" s="43" t="str">
        <f aca="false">IF(Tasks[[#This Row],[Task Name]]="","",IF(Tasks[[#This Row],[_IsSummary]],NETWORKDAYS.INTL(Tasks[[#This Row],[Start]],Tasks[[#This Row],[Finish]],WorkWeek,Holidays),N(Tasks[[#This Row],[_Days]])))</f>
        <v/>
      </c>
      <c r="HF61" s="43" t="n">
        <f aca="false">IF(Tasks[[#This Row],[Expected]]="",0,((Tasks[[#This Row],[Pessimistic]]-Tasks[[#This Row],[Optimistic]])/6)^2)</f>
        <v>0</v>
      </c>
      <c r="HG61" s="43" t="n">
        <f aca="false">IF(Tasks[[#This Row],[Expected]]="",0,Tasks[[#This Row],[Expected]]-N(Tasks[[#This Row],[_Days]]))</f>
        <v>0</v>
      </c>
    </row>
    <row r="62" customFormat="false" ht="15" hidden="false" customHeight="false" outlineLevel="0" collapsed="false">
      <c r="A62" s="21" t="str">
        <f aca="false">IF(Tasks[[#This Row],[Task Name]]="","",COUNTA(Tasks[[#Headers],[Task Name]]:Tasks[[#This Row],[Task Name]])-1)</f>
        <v/>
      </c>
      <c r="B62" s="22" t="n">
        <v>70</v>
      </c>
      <c r="C62" s="22"/>
      <c r="D62" s="23"/>
      <c r="E62" s="22"/>
      <c r="F62" s="23"/>
      <c r="G62" s="22"/>
      <c r="H62" s="22"/>
      <c r="I62" s="23"/>
      <c r="J62" s="22"/>
      <c r="K62" s="22"/>
      <c r="L62" s="23"/>
      <c r="M62" s="22"/>
      <c r="N62" s="22"/>
      <c r="O62" s="23"/>
      <c r="P62" s="22"/>
      <c r="Q62" s="22"/>
      <c r="R62" s="23"/>
      <c r="S62" s="23"/>
      <c r="T62" s="84"/>
      <c r="U62" s="23"/>
      <c r="V62" s="84"/>
      <c r="W62" s="23"/>
      <c r="X62" s="84"/>
      <c r="Y62" s="23"/>
      <c r="Z62" s="84"/>
      <c r="AA62" s="23"/>
      <c r="AB62" s="23"/>
      <c r="AC62" s="7"/>
      <c r="AD62" s="7"/>
      <c r="AE62" s="63" t="str">
        <f aca="false">IF(Tasks[[#This Row],[Task Name]]="","",IF(Tasks[[#This Row],[_IsSummary]],MIN(INDEX(Tasks[_ShownFcstStart],Tasks[[#This Row],[_Row]]+1):INDEX(Tasks[_ShownFcstStart],Tasks[[#This Row],[_Row]]+Tasks[[#This Row],[_Descendants]])),Tasks[[#This Row],[_ShownFcstStart]]))</f>
        <v/>
      </c>
      <c r="AF62" s="63" t="str">
        <f aca="false">IF(Tasks[[#This Row],[Task Name]]="","",IF(Tasks[[#This Row],[_IsSummary]],MAX(INDEX(Tasks[_ShownFcstFinish],Tasks[[#This Row],[_Row]]+1):INDEX(Tasks[_ShownFcstFinish],Tasks[[#This Row],[_Row]]+Tasks[[#This Row],[_Descendants]])),Tasks[[#This Row],[_ShownFcstFinish]]))</f>
        <v/>
      </c>
      <c r="AG62" s="21" t="str">
        <f aca="false">""</f>
        <v/>
      </c>
      <c r="AH62" s="23"/>
      <c r="AI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2" s="7"/>
      <c r="AK62" s="22"/>
      <c r="AL62" s="23"/>
      <c r="AM62" s="7"/>
      <c r="AN62" s="47" t="str">
        <f aca="false">IF(Tasks[[#This Row],[Task Name]]="","",IF(Tasks[[#This Row],[Finish]]&gt;=Tasks[[#This Row],[Planned Finish]],NETWORKDAYS.INTL(Tasks[[#This Row],[Planned Finish]],Tasks[[#This Row],[Finish]],WorkWeek,Holidays)-1,1-NETWORKDAYS.INTL(Tasks[[#This Row],[Finish]],Tasks[[#This Row],[Planned Finish]],WorkWeek,Holidays)))</f>
        <v/>
      </c>
      <c r="AO62" s="21" t="str">
        <f aca="false">IF(Tasks[[#This Row],[Task Name]]="","",IF(Tasks[[#This Row],[Progress]]&gt;=1,"Complete",IF(OR(N(Tasks[[#This Row],[Actual Start]])&gt;0,Tasks[[#This Row],[Progress]]&gt;0),IF(Tasks[[#This Row],[Finish Var]]&gt;0,"Behind","In Progress"),IF(Tasks[[#This Row],[Planned Start]]&lt;StatusDate,"Late Start","Not Started"))))</f>
        <v/>
      </c>
      <c r="AP62" s="21" t="str">
        <f aca="false">IF(Tasks[[#This Row],[Task Name]]="","",IF(IF(Tasks[[#This Row],[_IsSummary]],COUNTIF(INDEX(Tasks[_LeafCritical],Tasks[[#This Row],[_Row]]+1):INDEX(Tasks[_LeafCritical],Tasks[[#This Row],[_Row]]+Tasks[[#This Row],[_Descendants]]),TRUE())&gt;0,Tasks[[#This Row],[_LeafCritical]]),"Yes",""))</f>
        <v/>
      </c>
      <c r="AQ62" s="63" t="str">
        <f aca="false">IF(Tasks[[#This Row],[Task Name]]="","",IF(N(Tasks[[#This Row],[Baseline Start]])&gt;0,Tasks[[#This Row],[Baseline Start]],Tasks[[#This Row],[_CalcStart]]))</f>
        <v/>
      </c>
      <c r="AR62" s="63" t="str">
        <f aca="false">IF(Tasks[[#This Row],[Task Name]]="","",IF(N(Tasks[[#This Row],[Baseline Finish]])&gt;0,Tasks[[#This Row],[Baseline Finish]],Tasks[[#This Row],[_CalcFinish]]))</f>
        <v/>
      </c>
      <c r="AS62" s="47" t="str">
        <f aca="false">IF(Tasks[[#This Row],[Task Name]]="","",IF(Tasks[[#This Row],[Start]]&gt;=Tasks[[#This Row],[Planned Start]],NETWORKDAYS.INTL(Tasks[[#This Row],[Planned Start]],Tasks[[#This Row],[Start]],WorkWeek,Holidays)-1,1-NETWORKDAYS.INTL(Tasks[[#This Row],[Start]],Tasks[[#This Row],[Planned Start]],WorkWeek,Holidays)))</f>
        <v/>
      </c>
      <c r="AT62" s="63" t="str">
        <f aca="false">IF(Tasks[[#This Row],[Task Name]]="","",IF(Tasks[[#This Row],[_IsSummary]],MIN(INDEX(Tasks[_LeafLateStart],Tasks[[#This Row],[_Row]]+1):INDEX(Tasks[_LeafLateStart],Tasks[[#This Row],[_Row]]+Tasks[[#This Row],[_Descendants]])),Tasks[[#This Row],[_LeafLateStart]]))</f>
        <v/>
      </c>
      <c r="AU62" s="63" t="str">
        <f aca="false">IF(Tasks[[#This Row],[Task Name]]="","",IF(Tasks[[#This Row],[_IsSummary]],MAX(INDEX(Tasks[_LeafLateFinish],Tasks[[#This Row],[_Row]]+1):INDEX(Tasks[_LeafLateFinish],Tasks[[#This Row],[_Row]]+Tasks[[#This Row],[_Descendants]])),Tasks[[#This Row],[_LeafLateFinish]]))</f>
        <v/>
      </c>
      <c r="AV62" s="47" t="str">
        <f aca="false">IF(Tasks[[#This Row],[Task Name]]="","",IF(Tasks[[#This Row],[_IsSummary]],MIN(INDEX(Tasks[_LeafTotalSlack],Tasks[[#This Row],[_Row]]+1):INDEX(Tasks[_LeafTotalSlack],Tasks[[#This Row],[_Row]]+Tasks[[#This Row],[_Descendants]])),Tasks[[#This Row],[_LeafTotalSlack]]))</f>
        <v/>
      </c>
      <c r="AW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5"/>
      <c r="BA6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t="str">
        <f aca="false">IF(Tasks[[#This Row],[Task Name]]="","",IF(Tasks[[#This Row],[_Level]]&lt;=OutlineShowLevel,"Yes","No"))</f>
        <v/>
      </c>
      <c r="BE62" s="86" t="str">
        <f aca="false">IF(Tasks[[#This Row],[Task Name]]="","",IF(Tasks[[#This Row],[_IsSummary]],SUM(INDEX(Tasks[_LeafTotalWork],Tasks[[#This Row],[_Row]]+1):INDEX(Tasks[_LeafTotalWork],Tasks[[#This Row],[_Row]]+Tasks[[#This Row],[_Descendants]])),Tasks[[#This Row],[_LeafTotalWork]]))</f>
        <v/>
      </c>
      <c r="BF62" s="23"/>
      <c r="BG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t="str">
        <f aca="false">""</f>
        <v/>
      </c>
      <c r="BI62" s="87"/>
      <c r="BJ62" s="22"/>
      <c r="BK62" s="47" t="str">
        <f aca="false">IF(OR(Tasks[[#This Row],[Task Name]]="",Tasks[[#This Row],[Baseline Duration]]=""),"",Tasks[[#This Row],[_SpanDays]]-N(Tasks[[#This Row],[Baseline Duration]]))</f>
        <v/>
      </c>
      <c r="BL62" s="86" t="str">
        <f aca="false">IF(OR(Tasks[[#This Row],[Task Name]]="",Tasks[[#This Row],[Baseline Work]]=""),"",Tasks[[#This Row],[Work]]-N(Tasks[[#This Row],[Baseline Work]]))</f>
        <v/>
      </c>
      <c r="BM62" s="63" t="str">
        <f aca="false">IF(Tasks[[#This Row],[Task Name]]="","",IF(OR(TakeBaseline="Yes",N(Tasks[[#This Row],[Baseline Start]])=0),Tasks[[#This Row],[Start]],Tasks[[#This Row],[Baseline Start]]))</f>
        <v/>
      </c>
      <c r="BN62" s="63" t="str">
        <f aca="false">IF(Tasks[[#This Row],[Task Name]]="","",IF(OR(TakeBaseline="Yes",N(Tasks[[#This Row],[Baseline Finish]])=0),Tasks[[#This Row],[Finish]],Tasks[[#This Row],[Baseline Finish]]))</f>
        <v/>
      </c>
      <c r="BO62" s="21" t="str">
        <f aca="false">IF(Tasks[[#This Row],[Task Name]]="","",IF(OR(TakeBaseline="Yes",N(Tasks[[#This Row],[Baseline Duration]])=0),Tasks[[#This Row],[_SpanDays]],Tasks[[#This Row],[Baseline Duration]]))</f>
        <v/>
      </c>
      <c r="BP62" s="86" t="str">
        <f aca="false">IF(Tasks[[#This Row],[Task Name]]="","",IF(OR(TakeBaseline="Yes",N(Tasks[[#This Row],[Baseline Work]])=0),Tasks[[#This Row],[Work]],Tasks[[#This Row],[Baseline Work]]))</f>
        <v/>
      </c>
      <c r="BQ62" s="7"/>
      <c r="BR62" s="7"/>
      <c r="BS62" s="22"/>
      <c r="BT62" s="88"/>
      <c r="BU62" s="23"/>
      <c r="BV62" s="23"/>
      <c r="BW62" s="23"/>
      <c r="BX62" s="89" t="str">
        <f aca="false">IF(AND(Tasks[[#This Row],[_IsLeaf]]=1,ISNUMBER(Tasks[[#This Row],[Optimistic]]),ISNUMBER(Tasks[[#This Row],[Pessimistic]])),ROUND((Tasks[[#This Row],[Optimistic]]+4*N(Tasks[[#This Row],[_Days]])+Tasks[[#This Row],[Pessimistic]])/6,1),"")</f>
        <v/>
      </c>
      <c r="BY62" s="87"/>
      <c r="BZ62" s="87"/>
      <c r="CA62" s="22"/>
      <c r="CB62" s="43" t="str">
        <f aca="false">IF(Tasks[[#This Row],[Task Name]]="","",MAX(1,N(Tasks[[#This Row],[Level]])))</f>
        <v/>
      </c>
      <c r="CC62" s="43" t="n">
        <f aca="false">ROW()-ROW(Tasks[[#Headers],[ID]])</f>
        <v>57</v>
      </c>
      <c r="CD62" s="43" t="n">
        <f aca="false">IF(OR(Tasks[[#This Row],[Task Name]]="",Tasks[[#This Row],[_Level]]&lt;=1),0,IFERROR(LOOKUP(2,1/(Tasks[[#Headers],[_Level]]:Tasks[[#This Row],[_Level]]=Tasks[[#This Row],[_Level]]-1),ROW(Tasks[[#Headers],[_Level]]:Tasks[[#This Row],[_Level]])),0))</f>
        <v>0</v>
      </c>
      <c r="CE62" s="43" t="n">
        <f aca="false">IFERROR(N(INDEX(Tasks[_Level],Tasks[[#This Row],[_Row]]+1)),0)</f>
        <v>0</v>
      </c>
      <c r="CF62" s="90" t="b">
        <f aca="false">AND(Tasks[[#This Row],[Task Name]]&lt;&gt;"",Tasks[[#This Row],[_NextLevel]]&gt;Tasks[[#This Row],[_Level]])</f>
        <v>0</v>
      </c>
      <c r="CG62" s="43" t="n">
        <f aca="false">IF(Tasks[[#This Row],[_IsSummary]],COUNTIF(Tasks[WBS],Tasks[[#This Row],[WBS]]&amp;".*"),0)</f>
        <v>0</v>
      </c>
      <c r="CH62" s="43" t="n">
        <f aca="false">IF(AND(Tasks[[#This Row],[Task Name]]&lt;&gt;"",NOT(Tasks[[#This Row],[_IsSummary]])),1,0)</f>
        <v>0</v>
      </c>
      <c r="CI62" s="43" t="n">
        <f aca="false">IF(N(Tasks[[#This Row],[_Pred1UID]])=0,0,IFERROR(MATCH(Tasks[[#This Row],[_Pred1UID]],Tasks[UID],0),-1))</f>
        <v>0</v>
      </c>
      <c r="CJ62" s="43" t="n">
        <f aca="false">IF(N(Tasks[[#This Row],[_Pred2UID]])=0,0,IFERROR(MATCH(Tasks[[#This Row],[_Pred2UID]],Tasks[UID],0),-1))</f>
        <v>0</v>
      </c>
      <c r="CK62" s="43" t="n">
        <f aca="false">IF(N(Tasks[[#This Row],[_Pred3UID]])=0,0,IFERROR(MATCH(Tasks[[#This Row],[_Pred3UID]],Tasks[UID],0),-1))</f>
        <v>0</v>
      </c>
      <c r="CL62" s="43" t="n">
        <f aca="false">IF(N(Tasks[[#This Row],[_Pred4UID]])=0,0,IFERROR(MATCH(Tasks[[#This Row],[_Pred4UID]],Tasks[UID],0),-1))</f>
        <v>0</v>
      </c>
      <c r="CM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2" s="91" t="n">
        <f aca="false">IF(OR(Tasks[[#This Row],[_ConstraintCode]]=2,Tasks[[#This Row],[_ConstraintCode]]=3,Tasks[[#This Row],[_ConstraintCode]]=4,Tasks[[#This Row],[_ConstraintCode]]=6),Tasks[[#This Row],[_ConstraintStart]],0)</f>
        <v>0</v>
      </c>
      <c r="CP62" s="91" t="n">
        <f aca="false">IF(OR(Tasks[[#This Row],[_ConstraintCode]]=2,Tasks[[#This Row],[_ConstraintCode]]=3,Tasks[[#This Row],[_ConstraintCode]]=5,Tasks[[#This Row],[_ConstraintCode]]=7),Tasks[[#This Row],[_ConstraintStart]],2958465)</f>
        <v>2958465</v>
      </c>
      <c r="CQ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2" s="91" t="str">
        <f aca="false">IF(NOT(Tasks[[#This Row],[_IsLeaf]]=1),"",IF(N(Tasks[[#This Row],[_Days]])&lt;=0,Tasks[[#This Row],[_LeafCalcStart]],WORKDAY.INTL(Tasks[[#This Row],[_LeafCalcStart]],Tasks[[#This Row],[_Days]]-1,WorkWeek,Holidays)))</f>
        <v/>
      </c>
      <c r="CS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2" s="43" t="str">
        <f aca="false">IF(Tasks[[#This Row],[_Predecessors]]="","",TRIM(MID(SUBSTITUTE(SUBSTITUTE(SUBSTITUTE(UPPER(Tasks[[#This Row],[_Predecessors]]),";",",")," ",""),",",REPT(" ",99)),1,99)))</f>
        <v/>
      </c>
      <c r="CV62" s="43" t="str">
        <f aca="false">IF(Tasks[[#This Row],[_Pred1Text]]="","",IFERROR(VALUE(LEFT(Tasks[[#This Row],[_Pred1Text]],MIN(FIND("F",Tasks[[#This Row],[_Pred1Text]]&amp;"F"),FIND("S",Tasks[[#This Row],[_Pred1Text]]&amp;"S"),FIND("+",Tasks[[#This Row],[_Pred1Text]]&amp;"+"),FIND("-",Tasks[[#This Row],[_Pred1Text]]&amp;"-"))-1)),""))</f>
        <v/>
      </c>
      <c r="CW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2" s="43" t="str">
        <f aca="false">IF(Tasks[[#This Row],[_Pred1Text]]="","",TRIM(MID(SUBSTITUTE(SUBSTITUTE(SUBSTITUTE(UPPER(Tasks[[#This Row],[_Predecessors]]),";",",")," ",""),",",REPT(" ",99)),100,99)))</f>
        <v/>
      </c>
      <c r="CZ62" s="43" t="str">
        <f aca="false">IF(Tasks[[#This Row],[_Pred2Text]]="","",IFERROR(VALUE(LEFT(Tasks[[#This Row],[_Pred2Text]],MIN(FIND("F",Tasks[[#This Row],[_Pred2Text]]&amp;"F"),FIND("S",Tasks[[#This Row],[_Pred2Text]]&amp;"S"),FIND("+",Tasks[[#This Row],[_Pred2Text]]&amp;"+"),FIND("-",Tasks[[#This Row],[_Pred2Text]]&amp;"-"))-1)),""))</f>
        <v/>
      </c>
      <c r="DA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2" s="43" t="str">
        <f aca="false">IF(Tasks[[#This Row],[_Pred2Text]]="","",TRIM(MID(SUBSTITUTE(SUBSTITUTE(SUBSTITUTE(UPPER(Tasks[[#This Row],[_Predecessors]]),";",",")," ",""),",",REPT(" ",99)),199,99)))</f>
        <v/>
      </c>
      <c r="DD62" s="43" t="str">
        <f aca="false">IF(Tasks[[#This Row],[_Pred3Text]]="","",IFERROR(VALUE(LEFT(Tasks[[#This Row],[_Pred3Text]],MIN(FIND("F",Tasks[[#This Row],[_Pred3Text]]&amp;"F"),FIND("S",Tasks[[#This Row],[_Pred3Text]]&amp;"S"),FIND("+",Tasks[[#This Row],[_Pred3Text]]&amp;"+"),FIND("-",Tasks[[#This Row],[_Pred3Text]]&amp;"-"))-1)),""))</f>
        <v/>
      </c>
      <c r="DE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2" s="43" t="str">
        <f aca="false">IF(Tasks[[#This Row],[_Pred3Text]]="","",TRIM(MID(SUBSTITUTE(SUBSTITUTE(SUBSTITUTE(UPPER(Tasks[[#This Row],[_Predecessors]]),";",",")," ",""),",",REPT(" ",99)),298,99)))</f>
        <v/>
      </c>
      <c r="DH62" s="43" t="str">
        <f aca="false">IF(Tasks[[#This Row],[_Pred4Text]]="","",IFERROR(VALUE(LEFT(Tasks[[#This Row],[_Pred4Text]],MIN(FIND("F",Tasks[[#This Row],[_Pred4Text]]&amp;"F"),FIND("S",Tasks[[#This Row],[_Pred4Text]]&amp;"S"),FIND("+",Tasks[[#This Row],[_Pred4Text]]&amp;"+"),FIND("-",Tasks[[#This Row],[_Pred4Text]]&amp;"-"))-1)),""))</f>
        <v/>
      </c>
      <c r="DI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2" s="43" t="str">
        <f aca="false">IF(OR(Tasks[[#This Row],[Task Name]]="",Tasks[[#This Row],[_Resources]]=""),"",TRIM(MID(SUBSTITUTE(Tasks[[#This Row],[_Resources]],",",REPT(" ",99)),1,99)))</f>
        <v/>
      </c>
      <c r="DL62" s="43" t="str">
        <f aca="false">IF(Tasks[[#This Row],[_Res1Text]]="","",TRIM(MID(SUBSTITUTE(Tasks[[#This Row],[_Resources]],",",REPT(" ",99)),100,99)))</f>
        <v/>
      </c>
      <c r="DM62" s="43" t="str">
        <f aca="false">IF(Tasks[[#This Row],[_Res2Text]]="","",TRIM(MID(SUBSTITUTE(Tasks[[#This Row],[_Resources]],",",REPT(" ",99)),199,99)))</f>
        <v/>
      </c>
      <c r="DN62" s="43" t="str">
        <f aca="false">IF(Tasks[[#This Row],[_Res3Text]]="","",TRIM(MID(SUBSTITUTE(Tasks[[#This Row],[_Resources]],",",REPT(" ",99)),298,99)))</f>
        <v/>
      </c>
      <c r="DO62" s="43" t="n">
        <f aca="false">IF(Tasks[[#This Row],[_Res1Text]]="",0,IFERROR(MATCH(TRIM(LEFT(Tasks[[#This Row],[_Res1Text]],FIND("[",Tasks[[#This Row],[_Res1Text]]&amp;"[")-1)),res_Name,0),IFERROR(MATCH(TRIM(LEFT(Tasks[[#This Row],[_Res1Text]],FIND("[",Tasks[[#This Row],[_Res1Text]]&amp;"[")-1)),res_Initials,0),0)))</f>
        <v>0</v>
      </c>
      <c r="DP62" s="43" t="n">
        <f aca="false">IF(Tasks[[#This Row],[_Res2Text]]="",0,IFERROR(MATCH(TRIM(LEFT(Tasks[[#This Row],[_Res2Text]],FIND("[",Tasks[[#This Row],[_Res2Text]]&amp;"[")-1)),res_Name,0),IFERROR(MATCH(TRIM(LEFT(Tasks[[#This Row],[_Res2Text]],FIND("[",Tasks[[#This Row],[_Res2Text]]&amp;"[")-1)),res_Initials,0),0)))</f>
        <v>0</v>
      </c>
      <c r="DQ62" s="43" t="n">
        <f aca="false">IF(Tasks[[#This Row],[_Res3Text]]="",0,IFERROR(MATCH(TRIM(LEFT(Tasks[[#This Row],[_Res3Text]],FIND("[",Tasks[[#This Row],[_Res3Text]]&amp;"[")-1)),res_Name,0),IFERROR(MATCH(TRIM(LEFT(Tasks[[#This Row],[_Res3Text]],FIND("[",Tasks[[#This Row],[_Res3Text]]&amp;"[")-1)),res_Initials,0),0)))</f>
        <v>0</v>
      </c>
      <c r="DR62" s="43" t="n">
        <f aca="false">IF(Tasks[[#This Row],[_Res4Text]]="",0,IFERROR(MATCH(TRIM(LEFT(Tasks[[#This Row],[_Res4Text]],FIND("[",Tasks[[#This Row],[_Res4Text]]&amp;"[")-1)),res_Name,0),IFERROR(MATCH(TRIM(LEFT(Tasks[[#This Row],[_Res4Text]],FIND("[",Tasks[[#This Row],[_Res4Text]]&amp;"[")-1)),res_Initials,0),0)))</f>
        <v>0</v>
      </c>
      <c r="DS62" s="43" t="str">
        <f aca="false">IF(Tasks[[#This Row],[_Res1Text]]="","",IF(Tasks[[#This Row],[_Res1Row]]&gt;0,INDEX(res_Name,Tasks[[#This Row],[_Res1Row]]),TRIM(LEFT(Tasks[[#This Row],[_Res1Text]],FIND("[",Tasks[[#This Row],[_Res1Text]]&amp;"[")-1))))</f>
        <v/>
      </c>
      <c r="DT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2" s="43" t="n">
        <f aca="false">IF(NOT(Tasks[[#This Row],[_IsLeaf]]=1),0,(Tasks[[#This Row],[_Resource1]]&lt;&gt;"")+(Tasks[[#This Row],[_Res2]]&lt;&gt;"")+(Tasks[[#This Row],[_Res3]]&lt;&gt;"")+(Tasks[[#This Row],[_Res4]]&lt;&gt;""))</f>
        <v>0</v>
      </c>
      <c r="DV62" s="43" t="str">
        <f aca="false">IF(Tasks[[#This Row],[_Res2Text]]="","",IF(Tasks[[#This Row],[_Res2Row]]&gt;0,INDEX(res_Name,Tasks[[#This Row],[_Res2Row]]),TRIM(LEFT(Tasks[[#This Row],[_Res2Text]],FIND("[",Tasks[[#This Row],[_Res2Text]]&amp;"[")-1))))</f>
        <v/>
      </c>
      <c r="DW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2" s="43" t="n">
        <f aca="false">IF(OR(NOT(Tasks[[#This Row],[_IsLeaf]]=1),Tasks[[#This Row],[_Res2Row]]=0),0,N(Tasks[[#This Row],[_Days]])*HoursPerDay*IF(Tasks[[#This Row],[_Res2Units]]="",DefaultUnits,Tasks[[#This Row],[_Res2Units]]))</f>
        <v>0</v>
      </c>
      <c r="DY62" s="43" t="n">
        <f aca="false">IF(AND(AND(Tasks[[#This Row],[_IsLeaf]]=1,Tasks[[#This Row],[_LeafTotalWork]]&gt;0),Tasks[[#This Row],[_Res2Work]]&gt;0),Tasks[[#This Row],[_Res2Work]]/(Tasks[[#This Row],[_FinishWorkday]]-Tasks[[#This Row],[_StartWorkday]]+1),0)</f>
        <v>0</v>
      </c>
      <c r="DZ62" s="43" t="n">
        <f aca="false">Tasks[[#This Row],[_Res2WorkPerWD]]*MAX(0,Tasks[[#This Row],[_StartWorkday]]-1)</f>
        <v>0</v>
      </c>
      <c r="EA62" s="43" t="n">
        <f aca="false">Tasks[[#This Row],[_Res2Work]]*Tasks[[#This Row],[_LeafProgress]]</f>
        <v>0</v>
      </c>
      <c r="EB62" s="43" t="str">
        <f aca="false">IF(Tasks[[#This Row],[_Res3Text]]="","",IF(Tasks[[#This Row],[_Res3Row]]&gt;0,INDEX(res_Name,Tasks[[#This Row],[_Res3Row]]),TRIM(LEFT(Tasks[[#This Row],[_Res3Text]],FIND("[",Tasks[[#This Row],[_Res3Text]]&amp;"[")-1))))</f>
        <v/>
      </c>
      <c r="EC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2" s="43" t="n">
        <f aca="false">IF(OR(NOT(Tasks[[#This Row],[_IsLeaf]]=1),Tasks[[#This Row],[_Res3Row]]=0),0,N(Tasks[[#This Row],[_Days]])*HoursPerDay*IF(Tasks[[#This Row],[_Res3Units]]="",DefaultUnits,Tasks[[#This Row],[_Res3Units]]))</f>
        <v>0</v>
      </c>
      <c r="EE62" s="43" t="n">
        <f aca="false">IF(AND(AND(Tasks[[#This Row],[_IsLeaf]]=1,Tasks[[#This Row],[_LeafTotalWork]]&gt;0),Tasks[[#This Row],[_Res3Work]]&gt;0),Tasks[[#This Row],[_Res3Work]]/(Tasks[[#This Row],[_FinishWorkday]]-Tasks[[#This Row],[_StartWorkday]]+1),0)</f>
        <v>0</v>
      </c>
      <c r="EF62" s="43" t="n">
        <f aca="false">Tasks[[#This Row],[_Res3WorkPerWD]]*MAX(0,Tasks[[#This Row],[_StartWorkday]]-1)</f>
        <v>0</v>
      </c>
      <c r="EG62" s="43" t="n">
        <f aca="false">Tasks[[#This Row],[_Res3Work]]*Tasks[[#This Row],[_LeafProgress]]</f>
        <v>0</v>
      </c>
      <c r="EH62" s="43" t="str">
        <f aca="false">IF(Tasks[[#This Row],[_Res4Text]]="","",IF(Tasks[[#This Row],[_Res4Row]]&gt;0,INDEX(res_Name,Tasks[[#This Row],[_Res4Row]]),TRIM(LEFT(Tasks[[#This Row],[_Res4Text]],FIND("[",Tasks[[#This Row],[_Res4Text]]&amp;"[")-1))))</f>
        <v/>
      </c>
      <c r="EI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2" s="43" t="n">
        <f aca="false">IF(OR(NOT(Tasks[[#This Row],[_IsLeaf]]=1),Tasks[[#This Row],[_Res4Row]]=0),0,N(Tasks[[#This Row],[_Days]])*HoursPerDay*IF(Tasks[[#This Row],[_Res4Units]]="",DefaultUnits,Tasks[[#This Row],[_Res4Units]]))</f>
        <v>0</v>
      </c>
      <c r="EK62" s="43" t="n">
        <f aca="false">IF(AND(AND(Tasks[[#This Row],[_IsLeaf]]=1,Tasks[[#This Row],[_LeafTotalWork]]&gt;0),Tasks[[#This Row],[_Res4Work]]&gt;0),Tasks[[#This Row],[_Res4Work]]/(Tasks[[#This Row],[_FinishWorkday]]-Tasks[[#This Row],[_StartWorkday]]+1),0)</f>
        <v>0</v>
      </c>
      <c r="EL62" s="43" t="n">
        <f aca="false">Tasks[[#This Row],[_Res4WorkPerWD]]*MAX(0,Tasks[[#This Row],[_StartWorkday]]-1)</f>
        <v>0</v>
      </c>
      <c r="EM62" s="43" t="n">
        <f aca="false">Tasks[[#This Row],[_Res4Work]]*Tasks[[#This Row],[_LeafProgress]]</f>
        <v>0</v>
      </c>
      <c r="EN62" s="43" t="n">
        <f aca="false">IF(ISNUMBER(Tasks[[#This Row],[% Complete]]),Tasks[[#This Row],[% Complete]],IF(Tasks[[#This Row],[Stage]]="",0,IFERROR(INDEX(stg_Pct,MATCH(Tasks[[#This Row],[Stage]],stg_Name,0)),0)))</f>
        <v>0</v>
      </c>
      <c r="EO62" s="43" t="n">
        <f aca="false">IF(NOT(Tasks[[#This Row],[_IsLeaf]]=1),0,IF(N(Tasks[[#This Row],[Actual Finish]])&gt;0,1,MIN(1,Tasks[[#This Row],[_Pct]])))</f>
        <v>0</v>
      </c>
      <c r="EP62" s="43" t="n">
        <f aca="false">IF(OR(NOT(Tasks[[#This Row],[_IsLeaf]]=1),Tasks[[#This Row],[_Res1Row]]=0),0,N(Tasks[[#This Row],[_Days]])*HoursPerDay*IF(Tasks[[#This Row],[_Units1]]="",DefaultUnits,Tasks[[#This Row],[_Units1]]))</f>
        <v>0</v>
      </c>
      <c r="EQ62" s="43" t="n">
        <f aca="false">Tasks[[#This Row],[_LeafWork]]+Tasks[[#This Row],[_Res2Work]]+Tasks[[#This Row],[_Res3Work]]+Tasks[[#This Row],[_Res4Work]]</f>
        <v>0</v>
      </c>
      <c r="ER6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2" s="43" t="n">
        <f aca="false">IF(NOT(Tasks[[#This Row],[_IsLeaf]]=1),0,MAX(_xlfn.MAXIFS(Tasks[_Row],Tasks[_Pred1UID],Tasks[[#This Row],[UID]]),_xlfn.MAXIFS(Tasks[_Row],Tasks[_Pred2UID],Tasks[[#This Row],[UID]]),_xlfn.MAXIFS(Tasks[_Row],Tasks[_Pred3UID],Tasks[[#This Row],[UID]]),_xlfn.MAXIFS(Tasks[_Row],Tasks[_Pred4UID],Tasks[[#This Row],[UID]])))</f>
        <v>0</v>
      </c>
      <c r="FA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2" s="91" t="str">
        <f aca="false">IF(NOT(Tasks[[#This Row],[_IsLeaf]]=1),"",IF(N(Tasks[[#This Row],[_Days]])&lt;=0,Tasks[[#This Row],[_LeafLateFinish]],WORKDAY.INTL(Tasks[[#This Row],[_LeafLateFinish]],-(Tasks[[#This Row],[_Days]]-1),WorkWeek,Holidays)))</f>
        <v/>
      </c>
      <c r="FD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2" s="90" t="b">
        <f aca="false">AND(Tasks[[#This Row],[_IsLeaf]]=1,Tasks[[#This Row],[_LeafProgress]]&lt;1,N(Tasks[[#This Row],[_LeafTotalSlack]])&lt;=CriticalSlackDays)</f>
        <v>0</v>
      </c>
      <c r="FF62" s="43" t="n">
        <f aca="false">IF(AND(Tasks[[#This Row],[_IsLeaf]]=1,Tasks[[#This Row],[_ConstraintCode]]=1,Tasks[[#This Row],[Mode]]&lt;&gt;"Manual",N(Tasks[[#This Row],[Actual Start]])=0),MAX(0,N(Tasks[[#This Row],[Free Slack]])),0)</f>
        <v>0</v>
      </c>
      <c r="FG62" s="91" t="str">
        <f aca="false">IF(NOT(Tasks[[#This Row],[_IsLeaf]]=1),"",IF(Tasks[[#This Row],[_AlapShift]]=0,Tasks[[#This Row],[_LeafCalcStart]],WORKDAY.INTL(Tasks[[#This Row],[_LeafCalcStart]],Tasks[[#This Row],[_AlapShift]],WorkWeek,Holidays)))</f>
        <v/>
      </c>
      <c r="FH62" s="91" t="str">
        <f aca="false">IF(NOT(Tasks[[#This Row],[_IsLeaf]]=1),"",IF(Tasks[[#This Row],[_AlapShift]]=0,Tasks[[#This Row],[_LeafCalcFinish]],WORKDAY.INTL(Tasks[[#This Row],[_LeafCalcFinish]],Tasks[[#This Row],[_AlapShift]],WorkWeek,Holidays)))</f>
        <v/>
      </c>
      <c r="FI62" s="91" t="str">
        <f aca="false">IF(NOT(Tasks[[#This Row],[_IsLeaf]]=1),"",IF(Tasks[[#This Row],[_AlapShift]]=0,Tasks[[#This Row],[_LeafFcstStart]],WORKDAY.INTL(Tasks[[#This Row],[_LeafFcstStart]],Tasks[[#This Row],[_AlapShift]],WorkWeek,Holidays)))</f>
        <v/>
      </c>
      <c r="FJ62" s="91" t="str">
        <f aca="false">IF(NOT(Tasks[[#This Row],[_IsLeaf]]=1),"",IF(Tasks[[#This Row],[_AlapShift]]=0,Tasks[[#This Row],[_LeafFcstFinish]],WORKDAY.INTL(Tasks[[#This Row],[_LeafFcstFinish]],Tasks[[#This Row],[_AlapShift]],WorkWeek,Holidays)))</f>
        <v/>
      </c>
      <c r="FK62" s="91" t="str">
        <f aca="false">IF(Tasks[[#This Row],[Task Name]]="","",IF(Tasks[[#This Row],[_IsSummary]],MIN(INDEX(Tasks[_ShownCalcStart],Tasks[[#This Row],[_Row]]+1):INDEX(Tasks[_ShownCalcStart],Tasks[[#This Row],[_Row]]+Tasks[[#This Row],[_Descendants]])),Tasks[[#This Row],[_ShownCalcStart]]))</f>
        <v/>
      </c>
      <c r="FL62" s="91" t="str">
        <f aca="false">IF(Tasks[[#This Row],[Task Name]]="","",IF(Tasks[[#This Row],[_IsSummary]],MAX(INDEX(Tasks[_ShownCalcFinish],Tasks[[#This Row],[_Row]]+1):INDEX(Tasks[_ShownCalcFinish],Tasks[[#This Row],[_Row]]+Tasks[[#This Row],[_Descendants]])),Tasks[[#This Row],[_ShownCalcFinish]]))</f>
        <v/>
      </c>
      <c r="FM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2" s="43" t="n">
        <f aca="false">IF(AND(Tasks[[#This Row],[_IsLeaf]]=1,Tasks[[#This Row],[_LeafTotalWork]]&gt;0),NETWORKDAYS.INTL(ProjectStart,Tasks[[#This Row],[_ShownFcstStart]],WorkWeek,Holidays),0)</f>
        <v>0</v>
      </c>
      <c r="FZ62" s="43" t="n">
        <f aca="false">IF(AND(Tasks[[#This Row],[_IsLeaf]]=1,Tasks[[#This Row],[_LeafTotalWork]]&gt;0),MAX(Tasks[[#This Row],[_StartWorkday]],NETWORKDAYS.INTL(ProjectStart,Tasks[[#This Row],[_ShownFcstFinish]],WorkWeek,Holidays)),0)</f>
        <v>0</v>
      </c>
      <c r="GA62" s="43" t="n">
        <f aca="false">IF(AND(Tasks[[#This Row],[_IsLeaf]]=1,Tasks[[#This Row],[_LeafTotalWork]]&gt;0),Tasks[[#This Row],[_LeafWork]]/(Tasks[[#This Row],[_FinishWorkday]]-Tasks[[#This Row],[_StartWorkday]]+1),0)</f>
        <v>0</v>
      </c>
      <c r="GB62" s="43" t="n">
        <f aca="false">Tasks[[#This Row],[_WorkPerWorkday]]*(Tasks[[#This Row],[_StartWorkday]]-1)</f>
        <v>-0</v>
      </c>
      <c r="GC62" s="43" t="n">
        <f aca="false">IF(Tasks[[#This Row],[_IsLeaf]]=1,MAX(N(Tasks[[#This Row],[_Days]]),0.1),0)</f>
        <v>0</v>
      </c>
      <c r="GD62" s="43" t="n">
        <f aca="false">Tasks[[#This Row],[_WeightDur]]*Tasks[[#This Row],[_LeafProgress]]</f>
        <v>0</v>
      </c>
      <c r="GE62" s="43" t="n">
        <f aca="false">Tasks[[#This Row],[_WeightDur]]*Tasks[[#This Row],[_PlannedPct]]</f>
        <v>0</v>
      </c>
      <c r="GF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2" s="43" t="str">
        <f aca="false">IF(AND(Tasks[[#This Row],[_IsLeaf]]=1,N(Tasks[[#This Row],[_Days]])=0,Tasks[[#This Row],[_LeafProgress]]&lt;1),Tasks[[#This Row],[_ShownFcstFinish]]+Tasks[[#This Row],[_Row]]/100000,"")</f>
        <v/>
      </c>
      <c r="GH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2" s="43" t="str">
        <f aca="false">IF(Tasks[[#This Row],[Task Name]]="","",LEFT(Tasks[[#This Row],[WBS]],FIND(".",Tasks[[#This Row],[WBS]]&amp;".")-1))</f>
        <v/>
      </c>
      <c r="GJ62" s="43" t="str">
        <f aca="false">IF(AND(Tasks[[#This Row],[Task Name]]&lt;&gt;"",Tasks[[#This Row],[_Level]]=1),Tasks[[#This Row],[_Row]],"")</f>
        <v/>
      </c>
      <c r="GK62" s="43" t="str">
        <f aca="false">IF(AND(Tasks[[#This Row],[_IsLeaf]]=1,N(Tasks[[#This Row],[_Days]])=0),Tasks[[#This Row],[Planned Finish]]+Tasks[[#This Row],[_Row]]/100000,"")</f>
        <v/>
      </c>
      <c r="GL62" s="43" t="str">
        <f aca="false">IF(AND(Tasks[[#This Row],[_IsLeaf]]=1,Tasks[[#This Row],[_LeafProgress]]&lt;1,OR(N(Tasks[[#This Row],[Finish Var]])&gt;0,Tasks[[#This Row],[Status]]="Late Start")),MAX(0,Tasks[[#This Row],[Finish Var]])+1-Tasks[[#This Row],[_Row]]/1000000,"")</f>
        <v/>
      </c>
      <c r="GM62" s="43" t="str">
        <f aca="false">IF(AND(Tasks[[#This Row],[_IsLeaf]]=1,N(Tasks[[#This Row],[Actual Start]])=0,Tasks[[#This Row],[_ShownFcstStart]]&gt;=StatusDate,Tasks[[#This Row],[_ShownFcstStart]]&lt;=LookaheadEnd),Tasks[[#This Row],[_ShownFcstStart]]+Tasks[[#This Row],[_Row]]/100000,"")</f>
        <v/>
      </c>
      <c r="GN62" s="43" t="str">
        <f aca="false">IF(AND(Tasks[[#This Row],[_IsLeaf]]=1,Tasks[[#This Row],[_LeafProgress]]&lt;1,Tasks[[#This Row],[_ShownFcstFinish]]&gt;=StatusDate,Tasks[[#This Row],[_ShownFcstFinish]]&lt;=LookaheadEnd),Tasks[[#This Row],[_ShownFcstFinish]]+Tasks[[#This Row],[_Row]]/100000,"")</f>
        <v/>
      </c>
      <c r="GO62" s="43" t="str">
        <f aca="false">IF(Tasks[[#This Row],[_LeafCritical]],Tasks[[#This Row],[_ShownFcstStart]]+Tasks[[#This Row],[_Row]]/100000,"")</f>
        <v/>
      </c>
      <c r="GP62" s="43" t="n">
        <f aca="false">Tasks[[#This Row],[_LeafWork]]*Tasks[[#This Row],[_LeafProgress]]</f>
        <v>0</v>
      </c>
      <c r="GQ62" s="91" t="str">
        <f aca="false">IF(AND(Tasks[[#This Row],[_IsLeaf]]=1,Tasks[[#This Row],[_LeafProgress]]&gt;=1),IF(N(Tasks[[#This Row],[Actual Finish]])&gt;0,Tasks[[#This Row],[Actual Finish]],Tasks[[#This Row],[_ShownFcstFinish]]),"")</f>
        <v/>
      </c>
      <c r="GR62" s="43" t="n">
        <f aca="false">IF(Tasks[[#This Row],[_IsLeaf]]=1,N(Tasks[[#This Row],[Story Points]]),0)</f>
        <v>0</v>
      </c>
      <c r="GS62" s="43" t="str">
        <f aca="false">""</f>
        <v/>
      </c>
      <c r="GT62" s="90" t="b">
        <f aca="false">IF(Tasks[[#This Row],[Task Name]]="",FALSE(),AND(Tasks[[#This Row],[_IsLeaf]]=1,N(Tasks[[#This Row],[_Days]])=0))</f>
        <v>0</v>
      </c>
      <c r="GU62" s="91" t="n">
        <f aca="false">IF(Tasks[[#This Row],[Task Name]]="",0,IF(AND(Tasks[[#This Row],[_IsLeaf]]=1,NOT(Tasks[[#This Row],[_IsMilestone]]),N(Tasks[[#This Row],[Progress]])&gt;0),Tasks[[#This Row],[Start]],0))</f>
        <v>0</v>
      </c>
      <c r="GV62" s="91" t="n">
        <f aca="false">IF(Tasks[[#This Row],[_DoneFrom]]=0,0,IF(Tasks[[#This Row],[Progress]]&gt;=1,Tasks[[#This Row],[Finish]],MAX(Tasks[[#This Row],[_DoneFrom]],Tasks[[#This Row],[Start]]+ROUND((Tasks[[#This Row],[Finish]]-Tasks[[#This Row],[Start]]+1)*Tasks[[#This Row],[Progress]],0)-1)))</f>
        <v>0</v>
      </c>
      <c r="GW62" s="91" t="n">
        <f aca="false">IF(Tasks[[#This Row],[Task Name]]="",0,IF(OR(NOT(Tasks[[#This Row],[_IsLeaf]]=1),Tasks[[#This Row],[_IsMilestone]],N(Tasks[[#This Row],[Progress]])&gt;=1),0,IF(Tasks[[#This Row],[_DoneTo]]&gt;0,Tasks[[#This Row],[_DoneTo]]+1,Tasks[[#This Row],[Start]])))</f>
        <v>0</v>
      </c>
      <c r="GX62" s="91" t="n">
        <f aca="false">IF(Tasks[[#This Row],[_RemFrom]]=0,0,Tasks[[#This Row],[Finish]])</f>
        <v>0</v>
      </c>
      <c r="GY62" s="90" t="b">
        <f aca="false">IF(Tasks[[#This Row],[Task Name]]="",FALSE(),OR(NOT(BaselineSet),N(Tasks[[#This Row],[Baseline Start]])&gt;0))</f>
        <v>0</v>
      </c>
      <c r="GZ6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2" s="92" t="str">
        <f aca="false">IF(Tasks[[#This Row],[_IsLeaf]]=1,Tasks[[#This Row],[_Row]],"")</f>
        <v/>
      </c>
      <c r="HD62" s="92" t="str">
        <f aca="false">IFERROR(INDEX(Tasks[UID],SMALL(Tasks[_PickKey],Tasks[[#This Row],[_Row]]))&amp;" "&amp;INDEX(Tasks[Task Name],SMALL(Tasks[_PickKey],Tasks[[#This Row],[_Row]])),"")</f>
        <v/>
      </c>
      <c r="HE62" s="43" t="str">
        <f aca="false">IF(Tasks[[#This Row],[Task Name]]="","",IF(Tasks[[#This Row],[_IsSummary]],NETWORKDAYS.INTL(Tasks[[#This Row],[Start]],Tasks[[#This Row],[Finish]],WorkWeek,Holidays),N(Tasks[[#This Row],[_Days]])))</f>
        <v/>
      </c>
      <c r="HF62" s="43" t="n">
        <f aca="false">IF(Tasks[[#This Row],[Expected]]="",0,((Tasks[[#This Row],[Pessimistic]]-Tasks[[#This Row],[Optimistic]])/6)^2)</f>
        <v>0</v>
      </c>
      <c r="HG62" s="43" t="n">
        <f aca="false">IF(Tasks[[#This Row],[Expected]]="",0,Tasks[[#This Row],[Expected]]-N(Tasks[[#This Row],[_Days]]))</f>
        <v>0</v>
      </c>
    </row>
    <row r="63" customFormat="false" ht="15" hidden="false" customHeight="false" outlineLevel="0" collapsed="false">
      <c r="A63" s="21" t="str">
        <f aca="false">IF(Tasks[[#This Row],[Task Name]]="","",COUNTA(Tasks[[#Headers],[Task Name]]:Tasks[[#This Row],[Task Name]])-1)</f>
        <v/>
      </c>
      <c r="B63" s="22" t="n">
        <v>71</v>
      </c>
      <c r="C63" s="22"/>
      <c r="D63" s="23"/>
      <c r="E63" s="22"/>
      <c r="F63" s="23"/>
      <c r="G63" s="22"/>
      <c r="H63" s="22"/>
      <c r="I63" s="23"/>
      <c r="J63" s="22"/>
      <c r="K63" s="22"/>
      <c r="L63" s="23"/>
      <c r="M63" s="22"/>
      <c r="N63" s="22"/>
      <c r="O63" s="23"/>
      <c r="P63" s="22"/>
      <c r="Q63" s="22"/>
      <c r="R63" s="23"/>
      <c r="S63" s="23"/>
      <c r="T63" s="84"/>
      <c r="U63" s="23"/>
      <c r="V63" s="84"/>
      <c r="W63" s="23"/>
      <c r="X63" s="84"/>
      <c r="Y63" s="23"/>
      <c r="Z63" s="84"/>
      <c r="AA63" s="23"/>
      <c r="AB63" s="23"/>
      <c r="AC63" s="7"/>
      <c r="AD63" s="7"/>
      <c r="AE63" s="63" t="str">
        <f aca="false">IF(Tasks[[#This Row],[Task Name]]="","",IF(Tasks[[#This Row],[_IsSummary]],MIN(INDEX(Tasks[_ShownFcstStart],Tasks[[#This Row],[_Row]]+1):INDEX(Tasks[_ShownFcstStart],Tasks[[#This Row],[_Row]]+Tasks[[#This Row],[_Descendants]])),Tasks[[#This Row],[_ShownFcstStart]]))</f>
        <v/>
      </c>
      <c r="AF63" s="63" t="str">
        <f aca="false">IF(Tasks[[#This Row],[Task Name]]="","",IF(Tasks[[#This Row],[_IsSummary]],MAX(INDEX(Tasks[_ShownFcstFinish],Tasks[[#This Row],[_Row]]+1):INDEX(Tasks[_ShownFcstFinish],Tasks[[#This Row],[_Row]]+Tasks[[#This Row],[_Descendants]])),Tasks[[#This Row],[_ShownFcstFinish]]))</f>
        <v/>
      </c>
      <c r="AG63" s="21" t="str">
        <f aca="false">""</f>
        <v/>
      </c>
      <c r="AH63" s="23"/>
      <c r="AI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3" s="7"/>
      <c r="AK63" s="22"/>
      <c r="AL63" s="23"/>
      <c r="AM63" s="7"/>
      <c r="AN63" s="47" t="str">
        <f aca="false">IF(Tasks[[#This Row],[Task Name]]="","",IF(Tasks[[#This Row],[Finish]]&gt;=Tasks[[#This Row],[Planned Finish]],NETWORKDAYS.INTL(Tasks[[#This Row],[Planned Finish]],Tasks[[#This Row],[Finish]],WorkWeek,Holidays)-1,1-NETWORKDAYS.INTL(Tasks[[#This Row],[Finish]],Tasks[[#This Row],[Planned Finish]],WorkWeek,Holidays)))</f>
        <v/>
      </c>
      <c r="AO63" s="21" t="str">
        <f aca="false">IF(Tasks[[#This Row],[Task Name]]="","",IF(Tasks[[#This Row],[Progress]]&gt;=1,"Complete",IF(OR(N(Tasks[[#This Row],[Actual Start]])&gt;0,Tasks[[#This Row],[Progress]]&gt;0),IF(Tasks[[#This Row],[Finish Var]]&gt;0,"Behind","In Progress"),IF(Tasks[[#This Row],[Planned Start]]&lt;StatusDate,"Late Start","Not Started"))))</f>
        <v/>
      </c>
      <c r="AP63" s="21" t="str">
        <f aca="false">IF(Tasks[[#This Row],[Task Name]]="","",IF(IF(Tasks[[#This Row],[_IsSummary]],COUNTIF(INDEX(Tasks[_LeafCritical],Tasks[[#This Row],[_Row]]+1):INDEX(Tasks[_LeafCritical],Tasks[[#This Row],[_Row]]+Tasks[[#This Row],[_Descendants]]),TRUE())&gt;0,Tasks[[#This Row],[_LeafCritical]]),"Yes",""))</f>
        <v/>
      </c>
      <c r="AQ63" s="63" t="str">
        <f aca="false">IF(Tasks[[#This Row],[Task Name]]="","",IF(N(Tasks[[#This Row],[Baseline Start]])&gt;0,Tasks[[#This Row],[Baseline Start]],Tasks[[#This Row],[_CalcStart]]))</f>
        <v/>
      </c>
      <c r="AR63" s="63" t="str">
        <f aca="false">IF(Tasks[[#This Row],[Task Name]]="","",IF(N(Tasks[[#This Row],[Baseline Finish]])&gt;0,Tasks[[#This Row],[Baseline Finish]],Tasks[[#This Row],[_CalcFinish]]))</f>
        <v/>
      </c>
      <c r="AS63" s="47" t="str">
        <f aca="false">IF(Tasks[[#This Row],[Task Name]]="","",IF(Tasks[[#This Row],[Start]]&gt;=Tasks[[#This Row],[Planned Start]],NETWORKDAYS.INTL(Tasks[[#This Row],[Planned Start]],Tasks[[#This Row],[Start]],WorkWeek,Holidays)-1,1-NETWORKDAYS.INTL(Tasks[[#This Row],[Start]],Tasks[[#This Row],[Planned Start]],WorkWeek,Holidays)))</f>
        <v/>
      </c>
      <c r="AT63" s="63" t="str">
        <f aca="false">IF(Tasks[[#This Row],[Task Name]]="","",IF(Tasks[[#This Row],[_IsSummary]],MIN(INDEX(Tasks[_LeafLateStart],Tasks[[#This Row],[_Row]]+1):INDEX(Tasks[_LeafLateStart],Tasks[[#This Row],[_Row]]+Tasks[[#This Row],[_Descendants]])),Tasks[[#This Row],[_LeafLateStart]]))</f>
        <v/>
      </c>
      <c r="AU63" s="63" t="str">
        <f aca="false">IF(Tasks[[#This Row],[Task Name]]="","",IF(Tasks[[#This Row],[_IsSummary]],MAX(INDEX(Tasks[_LeafLateFinish],Tasks[[#This Row],[_Row]]+1):INDEX(Tasks[_LeafLateFinish],Tasks[[#This Row],[_Row]]+Tasks[[#This Row],[_Descendants]])),Tasks[[#This Row],[_LeafLateFinish]]))</f>
        <v/>
      </c>
      <c r="AV63" s="47" t="str">
        <f aca="false">IF(Tasks[[#This Row],[Task Name]]="","",IF(Tasks[[#This Row],[_IsSummary]],MIN(INDEX(Tasks[_LeafTotalSlack],Tasks[[#This Row],[_Row]]+1):INDEX(Tasks[_LeafTotalSlack],Tasks[[#This Row],[_Row]]+Tasks[[#This Row],[_Descendants]])),Tasks[[#This Row],[_LeafTotalSlack]]))</f>
        <v/>
      </c>
      <c r="AW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5"/>
      <c r="BA6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t="str">
        <f aca="false">IF(Tasks[[#This Row],[Task Name]]="","",IF(Tasks[[#This Row],[_Level]]&lt;=OutlineShowLevel,"Yes","No"))</f>
        <v/>
      </c>
      <c r="BE63" s="86" t="str">
        <f aca="false">IF(Tasks[[#This Row],[Task Name]]="","",IF(Tasks[[#This Row],[_IsSummary]],SUM(INDEX(Tasks[_LeafTotalWork],Tasks[[#This Row],[_Row]]+1):INDEX(Tasks[_LeafTotalWork],Tasks[[#This Row],[_Row]]+Tasks[[#This Row],[_Descendants]])),Tasks[[#This Row],[_LeafTotalWork]]))</f>
        <v/>
      </c>
      <c r="BF63" s="23"/>
      <c r="BG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t="str">
        <f aca="false">""</f>
        <v/>
      </c>
      <c r="BI63" s="87"/>
      <c r="BJ63" s="22"/>
      <c r="BK63" s="47" t="str">
        <f aca="false">IF(OR(Tasks[[#This Row],[Task Name]]="",Tasks[[#This Row],[Baseline Duration]]=""),"",Tasks[[#This Row],[_SpanDays]]-N(Tasks[[#This Row],[Baseline Duration]]))</f>
        <v/>
      </c>
      <c r="BL63" s="86" t="str">
        <f aca="false">IF(OR(Tasks[[#This Row],[Task Name]]="",Tasks[[#This Row],[Baseline Work]]=""),"",Tasks[[#This Row],[Work]]-N(Tasks[[#This Row],[Baseline Work]]))</f>
        <v/>
      </c>
      <c r="BM63" s="63" t="str">
        <f aca="false">IF(Tasks[[#This Row],[Task Name]]="","",IF(OR(TakeBaseline="Yes",N(Tasks[[#This Row],[Baseline Start]])=0),Tasks[[#This Row],[Start]],Tasks[[#This Row],[Baseline Start]]))</f>
        <v/>
      </c>
      <c r="BN63" s="63" t="str">
        <f aca="false">IF(Tasks[[#This Row],[Task Name]]="","",IF(OR(TakeBaseline="Yes",N(Tasks[[#This Row],[Baseline Finish]])=0),Tasks[[#This Row],[Finish]],Tasks[[#This Row],[Baseline Finish]]))</f>
        <v/>
      </c>
      <c r="BO63" s="21" t="str">
        <f aca="false">IF(Tasks[[#This Row],[Task Name]]="","",IF(OR(TakeBaseline="Yes",N(Tasks[[#This Row],[Baseline Duration]])=0),Tasks[[#This Row],[_SpanDays]],Tasks[[#This Row],[Baseline Duration]]))</f>
        <v/>
      </c>
      <c r="BP63" s="86" t="str">
        <f aca="false">IF(Tasks[[#This Row],[Task Name]]="","",IF(OR(TakeBaseline="Yes",N(Tasks[[#This Row],[Baseline Work]])=0),Tasks[[#This Row],[Work]],Tasks[[#This Row],[Baseline Work]]))</f>
        <v/>
      </c>
      <c r="BQ63" s="7"/>
      <c r="BR63" s="7"/>
      <c r="BS63" s="22"/>
      <c r="BT63" s="88"/>
      <c r="BU63" s="23"/>
      <c r="BV63" s="23"/>
      <c r="BW63" s="23"/>
      <c r="BX63" s="89" t="str">
        <f aca="false">IF(AND(Tasks[[#This Row],[_IsLeaf]]=1,ISNUMBER(Tasks[[#This Row],[Optimistic]]),ISNUMBER(Tasks[[#This Row],[Pessimistic]])),ROUND((Tasks[[#This Row],[Optimistic]]+4*N(Tasks[[#This Row],[_Days]])+Tasks[[#This Row],[Pessimistic]])/6,1),"")</f>
        <v/>
      </c>
      <c r="BY63" s="87"/>
      <c r="BZ63" s="87"/>
      <c r="CA63" s="22"/>
      <c r="CB63" s="43" t="str">
        <f aca="false">IF(Tasks[[#This Row],[Task Name]]="","",MAX(1,N(Tasks[[#This Row],[Level]])))</f>
        <v/>
      </c>
      <c r="CC63" s="43" t="n">
        <f aca="false">ROW()-ROW(Tasks[[#Headers],[ID]])</f>
        <v>58</v>
      </c>
      <c r="CD63" s="43" t="n">
        <f aca="false">IF(OR(Tasks[[#This Row],[Task Name]]="",Tasks[[#This Row],[_Level]]&lt;=1),0,IFERROR(LOOKUP(2,1/(Tasks[[#Headers],[_Level]]:Tasks[[#This Row],[_Level]]=Tasks[[#This Row],[_Level]]-1),ROW(Tasks[[#Headers],[_Level]]:Tasks[[#This Row],[_Level]])),0))</f>
        <v>0</v>
      </c>
      <c r="CE63" s="43" t="n">
        <f aca="false">IFERROR(N(INDEX(Tasks[_Level],Tasks[[#This Row],[_Row]]+1)),0)</f>
        <v>0</v>
      </c>
      <c r="CF63" s="90" t="b">
        <f aca="false">AND(Tasks[[#This Row],[Task Name]]&lt;&gt;"",Tasks[[#This Row],[_NextLevel]]&gt;Tasks[[#This Row],[_Level]])</f>
        <v>0</v>
      </c>
      <c r="CG63" s="43" t="n">
        <f aca="false">IF(Tasks[[#This Row],[_IsSummary]],COUNTIF(Tasks[WBS],Tasks[[#This Row],[WBS]]&amp;".*"),0)</f>
        <v>0</v>
      </c>
      <c r="CH63" s="43" t="n">
        <f aca="false">IF(AND(Tasks[[#This Row],[Task Name]]&lt;&gt;"",NOT(Tasks[[#This Row],[_IsSummary]])),1,0)</f>
        <v>0</v>
      </c>
      <c r="CI63" s="43" t="n">
        <f aca="false">IF(N(Tasks[[#This Row],[_Pred1UID]])=0,0,IFERROR(MATCH(Tasks[[#This Row],[_Pred1UID]],Tasks[UID],0),-1))</f>
        <v>0</v>
      </c>
      <c r="CJ63" s="43" t="n">
        <f aca="false">IF(N(Tasks[[#This Row],[_Pred2UID]])=0,0,IFERROR(MATCH(Tasks[[#This Row],[_Pred2UID]],Tasks[UID],0),-1))</f>
        <v>0</v>
      </c>
      <c r="CK63" s="43" t="n">
        <f aca="false">IF(N(Tasks[[#This Row],[_Pred3UID]])=0,0,IFERROR(MATCH(Tasks[[#This Row],[_Pred3UID]],Tasks[UID],0),-1))</f>
        <v>0</v>
      </c>
      <c r="CL63" s="43" t="n">
        <f aca="false">IF(N(Tasks[[#This Row],[_Pred4UID]])=0,0,IFERROR(MATCH(Tasks[[#This Row],[_Pred4UID]],Tasks[UID],0),-1))</f>
        <v>0</v>
      </c>
      <c r="CM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3" s="91" t="n">
        <f aca="false">IF(OR(Tasks[[#This Row],[_ConstraintCode]]=2,Tasks[[#This Row],[_ConstraintCode]]=3,Tasks[[#This Row],[_ConstraintCode]]=4,Tasks[[#This Row],[_ConstraintCode]]=6),Tasks[[#This Row],[_ConstraintStart]],0)</f>
        <v>0</v>
      </c>
      <c r="CP63" s="91" t="n">
        <f aca="false">IF(OR(Tasks[[#This Row],[_ConstraintCode]]=2,Tasks[[#This Row],[_ConstraintCode]]=3,Tasks[[#This Row],[_ConstraintCode]]=5,Tasks[[#This Row],[_ConstraintCode]]=7),Tasks[[#This Row],[_ConstraintStart]],2958465)</f>
        <v>2958465</v>
      </c>
      <c r="CQ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3" s="91" t="str">
        <f aca="false">IF(NOT(Tasks[[#This Row],[_IsLeaf]]=1),"",IF(N(Tasks[[#This Row],[_Days]])&lt;=0,Tasks[[#This Row],[_LeafCalcStart]],WORKDAY.INTL(Tasks[[#This Row],[_LeafCalcStart]],Tasks[[#This Row],[_Days]]-1,WorkWeek,Holidays)))</f>
        <v/>
      </c>
      <c r="CS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3" s="43" t="str">
        <f aca="false">IF(Tasks[[#This Row],[_Predecessors]]="","",TRIM(MID(SUBSTITUTE(SUBSTITUTE(SUBSTITUTE(UPPER(Tasks[[#This Row],[_Predecessors]]),";",",")," ",""),",",REPT(" ",99)),1,99)))</f>
        <v/>
      </c>
      <c r="CV63" s="43" t="str">
        <f aca="false">IF(Tasks[[#This Row],[_Pred1Text]]="","",IFERROR(VALUE(LEFT(Tasks[[#This Row],[_Pred1Text]],MIN(FIND("F",Tasks[[#This Row],[_Pred1Text]]&amp;"F"),FIND("S",Tasks[[#This Row],[_Pred1Text]]&amp;"S"),FIND("+",Tasks[[#This Row],[_Pred1Text]]&amp;"+"),FIND("-",Tasks[[#This Row],[_Pred1Text]]&amp;"-"))-1)),""))</f>
        <v/>
      </c>
      <c r="CW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3" s="43" t="str">
        <f aca="false">IF(Tasks[[#This Row],[_Pred1Text]]="","",TRIM(MID(SUBSTITUTE(SUBSTITUTE(SUBSTITUTE(UPPER(Tasks[[#This Row],[_Predecessors]]),";",",")," ",""),",",REPT(" ",99)),100,99)))</f>
        <v/>
      </c>
      <c r="CZ63" s="43" t="str">
        <f aca="false">IF(Tasks[[#This Row],[_Pred2Text]]="","",IFERROR(VALUE(LEFT(Tasks[[#This Row],[_Pred2Text]],MIN(FIND("F",Tasks[[#This Row],[_Pred2Text]]&amp;"F"),FIND("S",Tasks[[#This Row],[_Pred2Text]]&amp;"S"),FIND("+",Tasks[[#This Row],[_Pred2Text]]&amp;"+"),FIND("-",Tasks[[#This Row],[_Pred2Text]]&amp;"-"))-1)),""))</f>
        <v/>
      </c>
      <c r="DA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3" s="43" t="str">
        <f aca="false">IF(Tasks[[#This Row],[_Pred2Text]]="","",TRIM(MID(SUBSTITUTE(SUBSTITUTE(SUBSTITUTE(UPPER(Tasks[[#This Row],[_Predecessors]]),";",",")," ",""),",",REPT(" ",99)),199,99)))</f>
        <v/>
      </c>
      <c r="DD63" s="43" t="str">
        <f aca="false">IF(Tasks[[#This Row],[_Pred3Text]]="","",IFERROR(VALUE(LEFT(Tasks[[#This Row],[_Pred3Text]],MIN(FIND("F",Tasks[[#This Row],[_Pred3Text]]&amp;"F"),FIND("S",Tasks[[#This Row],[_Pred3Text]]&amp;"S"),FIND("+",Tasks[[#This Row],[_Pred3Text]]&amp;"+"),FIND("-",Tasks[[#This Row],[_Pred3Text]]&amp;"-"))-1)),""))</f>
        <v/>
      </c>
      <c r="DE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3" s="43" t="str">
        <f aca="false">IF(Tasks[[#This Row],[_Pred3Text]]="","",TRIM(MID(SUBSTITUTE(SUBSTITUTE(SUBSTITUTE(UPPER(Tasks[[#This Row],[_Predecessors]]),";",",")," ",""),",",REPT(" ",99)),298,99)))</f>
        <v/>
      </c>
      <c r="DH63" s="43" t="str">
        <f aca="false">IF(Tasks[[#This Row],[_Pred4Text]]="","",IFERROR(VALUE(LEFT(Tasks[[#This Row],[_Pred4Text]],MIN(FIND("F",Tasks[[#This Row],[_Pred4Text]]&amp;"F"),FIND("S",Tasks[[#This Row],[_Pred4Text]]&amp;"S"),FIND("+",Tasks[[#This Row],[_Pred4Text]]&amp;"+"),FIND("-",Tasks[[#This Row],[_Pred4Text]]&amp;"-"))-1)),""))</f>
        <v/>
      </c>
      <c r="DI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3" s="43" t="str">
        <f aca="false">IF(OR(Tasks[[#This Row],[Task Name]]="",Tasks[[#This Row],[_Resources]]=""),"",TRIM(MID(SUBSTITUTE(Tasks[[#This Row],[_Resources]],",",REPT(" ",99)),1,99)))</f>
        <v/>
      </c>
      <c r="DL63" s="43" t="str">
        <f aca="false">IF(Tasks[[#This Row],[_Res1Text]]="","",TRIM(MID(SUBSTITUTE(Tasks[[#This Row],[_Resources]],",",REPT(" ",99)),100,99)))</f>
        <v/>
      </c>
      <c r="DM63" s="43" t="str">
        <f aca="false">IF(Tasks[[#This Row],[_Res2Text]]="","",TRIM(MID(SUBSTITUTE(Tasks[[#This Row],[_Resources]],",",REPT(" ",99)),199,99)))</f>
        <v/>
      </c>
      <c r="DN63" s="43" t="str">
        <f aca="false">IF(Tasks[[#This Row],[_Res3Text]]="","",TRIM(MID(SUBSTITUTE(Tasks[[#This Row],[_Resources]],",",REPT(" ",99)),298,99)))</f>
        <v/>
      </c>
      <c r="DO63" s="43" t="n">
        <f aca="false">IF(Tasks[[#This Row],[_Res1Text]]="",0,IFERROR(MATCH(TRIM(LEFT(Tasks[[#This Row],[_Res1Text]],FIND("[",Tasks[[#This Row],[_Res1Text]]&amp;"[")-1)),res_Name,0),IFERROR(MATCH(TRIM(LEFT(Tasks[[#This Row],[_Res1Text]],FIND("[",Tasks[[#This Row],[_Res1Text]]&amp;"[")-1)),res_Initials,0),0)))</f>
        <v>0</v>
      </c>
      <c r="DP63" s="43" t="n">
        <f aca="false">IF(Tasks[[#This Row],[_Res2Text]]="",0,IFERROR(MATCH(TRIM(LEFT(Tasks[[#This Row],[_Res2Text]],FIND("[",Tasks[[#This Row],[_Res2Text]]&amp;"[")-1)),res_Name,0),IFERROR(MATCH(TRIM(LEFT(Tasks[[#This Row],[_Res2Text]],FIND("[",Tasks[[#This Row],[_Res2Text]]&amp;"[")-1)),res_Initials,0),0)))</f>
        <v>0</v>
      </c>
      <c r="DQ63" s="43" t="n">
        <f aca="false">IF(Tasks[[#This Row],[_Res3Text]]="",0,IFERROR(MATCH(TRIM(LEFT(Tasks[[#This Row],[_Res3Text]],FIND("[",Tasks[[#This Row],[_Res3Text]]&amp;"[")-1)),res_Name,0),IFERROR(MATCH(TRIM(LEFT(Tasks[[#This Row],[_Res3Text]],FIND("[",Tasks[[#This Row],[_Res3Text]]&amp;"[")-1)),res_Initials,0),0)))</f>
        <v>0</v>
      </c>
      <c r="DR63" s="43" t="n">
        <f aca="false">IF(Tasks[[#This Row],[_Res4Text]]="",0,IFERROR(MATCH(TRIM(LEFT(Tasks[[#This Row],[_Res4Text]],FIND("[",Tasks[[#This Row],[_Res4Text]]&amp;"[")-1)),res_Name,0),IFERROR(MATCH(TRIM(LEFT(Tasks[[#This Row],[_Res4Text]],FIND("[",Tasks[[#This Row],[_Res4Text]]&amp;"[")-1)),res_Initials,0),0)))</f>
        <v>0</v>
      </c>
      <c r="DS63" s="43" t="str">
        <f aca="false">IF(Tasks[[#This Row],[_Res1Text]]="","",IF(Tasks[[#This Row],[_Res1Row]]&gt;0,INDEX(res_Name,Tasks[[#This Row],[_Res1Row]]),TRIM(LEFT(Tasks[[#This Row],[_Res1Text]],FIND("[",Tasks[[#This Row],[_Res1Text]]&amp;"[")-1))))</f>
        <v/>
      </c>
      <c r="DT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3" s="43" t="n">
        <f aca="false">IF(NOT(Tasks[[#This Row],[_IsLeaf]]=1),0,(Tasks[[#This Row],[_Resource1]]&lt;&gt;"")+(Tasks[[#This Row],[_Res2]]&lt;&gt;"")+(Tasks[[#This Row],[_Res3]]&lt;&gt;"")+(Tasks[[#This Row],[_Res4]]&lt;&gt;""))</f>
        <v>0</v>
      </c>
      <c r="DV63" s="43" t="str">
        <f aca="false">IF(Tasks[[#This Row],[_Res2Text]]="","",IF(Tasks[[#This Row],[_Res2Row]]&gt;0,INDEX(res_Name,Tasks[[#This Row],[_Res2Row]]),TRIM(LEFT(Tasks[[#This Row],[_Res2Text]],FIND("[",Tasks[[#This Row],[_Res2Text]]&amp;"[")-1))))</f>
        <v/>
      </c>
      <c r="DW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3" s="43" t="n">
        <f aca="false">IF(OR(NOT(Tasks[[#This Row],[_IsLeaf]]=1),Tasks[[#This Row],[_Res2Row]]=0),0,N(Tasks[[#This Row],[_Days]])*HoursPerDay*IF(Tasks[[#This Row],[_Res2Units]]="",DefaultUnits,Tasks[[#This Row],[_Res2Units]]))</f>
        <v>0</v>
      </c>
      <c r="DY63" s="43" t="n">
        <f aca="false">IF(AND(AND(Tasks[[#This Row],[_IsLeaf]]=1,Tasks[[#This Row],[_LeafTotalWork]]&gt;0),Tasks[[#This Row],[_Res2Work]]&gt;0),Tasks[[#This Row],[_Res2Work]]/(Tasks[[#This Row],[_FinishWorkday]]-Tasks[[#This Row],[_StartWorkday]]+1),0)</f>
        <v>0</v>
      </c>
      <c r="DZ63" s="43" t="n">
        <f aca="false">Tasks[[#This Row],[_Res2WorkPerWD]]*MAX(0,Tasks[[#This Row],[_StartWorkday]]-1)</f>
        <v>0</v>
      </c>
      <c r="EA63" s="43" t="n">
        <f aca="false">Tasks[[#This Row],[_Res2Work]]*Tasks[[#This Row],[_LeafProgress]]</f>
        <v>0</v>
      </c>
      <c r="EB63" s="43" t="str">
        <f aca="false">IF(Tasks[[#This Row],[_Res3Text]]="","",IF(Tasks[[#This Row],[_Res3Row]]&gt;0,INDEX(res_Name,Tasks[[#This Row],[_Res3Row]]),TRIM(LEFT(Tasks[[#This Row],[_Res3Text]],FIND("[",Tasks[[#This Row],[_Res3Text]]&amp;"[")-1))))</f>
        <v/>
      </c>
      <c r="EC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3" s="43" t="n">
        <f aca="false">IF(OR(NOT(Tasks[[#This Row],[_IsLeaf]]=1),Tasks[[#This Row],[_Res3Row]]=0),0,N(Tasks[[#This Row],[_Days]])*HoursPerDay*IF(Tasks[[#This Row],[_Res3Units]]="",DefaultUnits,Tasks[[#This Row],[_Res3Units]]))</f>
        <v>0</v>
      </c>
      <c r="EE63" s="43" t="n">
        <f aca="false">IF(AND(AND(Tasks[[#This Row],[_IsLeaf]]=1,Tasks[[#This Row],[_LeafTotalWork]]&gt;0),Tasks[[#This Row],[_Res3Work]]&gt;0),Tasks[[#This Row],[_Res3Work]]/(Tasks[[#This Row],[_FinishWorkday]]-Tasks[[#This Row],[_StartWorkday]]+1),0)</f>
        <v>0</v>
      </c>
      <c r="EF63" s="43" t="n">
        <f aca="false">Tasks[[#This Row],[_Res3WorkPerWD]]*MAX(0,Tasks[[#This Row],[_StartWorkday]]-1)</f>
        <v>0</v>
      </c>
      <c r="EG63" s="43" t="n">
        <f aca="false">Tasks[[#This Row],[_Res3Work]]*Tasks[[#This Row],[_LeafProgress]]</f>
        <v>0</v>
      </c>
      <c r="EH63" s="43" t="str">
        <f aca="false">IF(Tasks[[#This Row],[_Res4Text]]="","",IF(Tasks[[#This Row],[_Res4Row]]&gt;0,INDEX(res_Name,Tasks[[#This Row],[_Res4Row]]),TRIM(LEFT(Tasks[[#This Row],[_Res4Text]],FIND("[",Tasks[[#This Row],[_Res4Text]]&amp;"[")-1))))</f>
        <v/>
      </c>
      <c r="EI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3" s="43" t="n">
        <f aca="false">IF(OR(NOT(Tasks[[#This Row],[_IsLeaf]]=1),Tasks[[#This Row],[_Res4Row]]=0),0,N(Tasks[[#This Row],[_Days]])*HoursPerDay*IF(Tasks[[#This Row],[_Res4Units]]="",DefaultUnits,Tasks[[#This Row],[_Res4Units]]))</f>
        <v>0</v>
      </c>
      <c r="EK63" s="43" t="n">
        <f aca="false">IF(AND(AND(Tasks[[#This Row],[_IsLeaf]]=1,Tasks[[#This Row],[_LeafTotalWork]]&gt;0),Tasks[[#This Row],[_Res4Work]]&gt;0),Tasks[[#This Row],[_Res4Work]]/(Tasks[[#This Row],[_FinishWorkday]]-Tasks[[#This Row],[_StartWorkday]]+1),0)</f>
        <v>0</v>
      </c>
      <c r="EL63" s="43" t="n">
        <f aca="false">Tasks[[#This Row],[_Res4WorkPerWD]]*MAX(0,Tasks[[#This Row],[_StartWorkday]]-1)</f>
        <v>0</v>
      </c>
      <c r="EM63" s="43" t="n">
        <f aca="false">Tasks[[#This Row],[_Res4Work]]*Tasks[[#This Row],[_LeafProgress]]</f>
        <v>0</v>
      </c>
      <c r="EN63" s="43" t="n">
        <f aca="false">IF(ISNUMBER(Tasks[[#This Row],[% Complete]]),Tasks[[#This Row],[% Complete]],IF(Tasks[[#This Row],[Stage]]="",0,IFERROR(INDEX(stg_Pct,MATCH(Tasks[[#This Row],[Stage]],stg_Name,0)),0)))</f>
        <v>0</v>
      </c>
      <c r="EO63" s="43" t="n">
        <f aca="false">IF(NOT(Tasks[[#This Row],[_IsLeaf]]=1),0,IF(N(Tasks[[#This Row],[Actual Finish]])&gt;0,1,MIN(1,Tasks[[#This Row],[_Pct]])))</f>
        <v>0</v>
      </c>
      <c r="EP63" s="43" t="n">
        <f aca="false">IF(OR(NOT(Tasks[[#This Row],[_IsLeaf]]=1),Tasks[[#This Row],[_Res1Row]]=0),0,N(Tasks[[#This Row],[_Days]])*HoursPerDay*IF(Tasks[[#This Row],[_Units1]]="",DefaultUnits,Tasks[[#This Row],[_Units1]]))</f>
        <v>0</v>
      </c>
      <c r="EQ63" s="43" t="n">
        <f aca="false">Tasks[[#This Row],[_LeafWork]]+Tasks[[#This Row],[_Res2Work]]+Tasks[[#This Row],[_Res3Work]]+Tasks[[#This Row],[_Res4Work]]</f>
        <v>0</v>
      </c>
      <c r="ER6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3" s="43" t="n">
        <f aca="false">IF(NOT(Tasks[[#This Row],[_IsLeaf]]=1),0,MAX(_xlfn.MAXIFS(Tasks[_Row],Tasks[_Pred1UID],Tasks[[#This Row],[UID]]),_xlfn.MAXIFS(Tasks[_Row],Tasks[_Pred2UID],Tasks[[#This Row],[UID]]),_xlfn.MAXIFS(Tasks[_Row],Tasks[_Pred3UID],Tasks[[#This Row],[UID]]),_xlfn.MAXIFS(Tasks[_Row],Tasks[_Pred4UID],Tasks[[#This Row],[UID]])))</f>
        <v>0</v>
      </c>
      <c r="FA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3" s="91" t="str">
        <f aca="false">IF(NOT(Tasks[[#This Row],[_IsLeaf]]=1),"",IF(N(Tasks[[#This Row],[_Days]])&lt;=0,Tasks[[#This Row],[_LeafLateFinish]],WORKDAY.INTL(Tasks[[#This Row],[_LeafLateFinish]],-(Tasks[[#This Row],[_Days]]-1),WorkWeek,Holidays)))</f>
        <v/>
      </c>
      <c r="FD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3" s="90" t="b">
        <f aca="false">AND(Tasks[[#This Row],[_IsLeaf]]=1,Tasks[[#This Row],[_LeafProgress]]&lt;1,N(Tasks[[#This Row],[_LeafTotalSlack]])&lt;=CriticalSlackDays)</f>
        <v>0</v>
      </c>
      <c r="FF63" s="43" t="n">
        <f aca="false">IF(AND(Tasks[[#This Row],[_IsLeaf]]=1,Tasks[[#This Row],[_ConstraintCode]]=1,Tasks[[#This Row],[Mode]]&lt;&gt;"Manual",N(Tasks[[#This Row],[Actual Start]])=0),MAX(0,N(Tasks[[#This Row],[Free Slack]])),0)</f>
        <v>0</v>
      </c>
      <c r="FG63" s="91" t="str">
        <f aca="false">IF(NOT(Tasks[[#This Row],[_IsLeaf]]=1),"",IF(Tasks[[#This Row],[_AlapShift]]=0,Tasks[[#This Row],[_LeafCalcStart]],WORKDAY.INTL(Tasks[[#This Row],[_LeafCalcStart]],Tasks[[#This Row],[_AlapShift]],WorkWeek,Holidays)))</f>
        <v/>
      </c>
      <c r="FH63" s="91" t="str">
        <f aca="false">IF(NOT(Tasks[[#This Row],[_IsLeaf]]=1),"",IF(Tasks[[#This Row],[_AlapShift]]=0,Tasks[[#This Row],[_LeafCalcFinish]],WORKDAY.INTL(Tasks[[#This Row],[_LeafCalcFinish]],Tasks[[#This Row],[_AlapShift]],WorkWeek,Holidays)))</f>
        <v/>
      </c>
      <c r="FI63" s="91" t="str">
        <f aca="false">IF(NOT(Tasks[[#This Row],[_IsLeaf]]=1),"",IF(Tasks[[#This Row],[_AlapShift]]=0,Tasks[[#This Row],[_LeafFcstStart]],WORKDAY.INTL(Tasks[[#This Row],[_LeafFcstStart]],Tasks[[#This Row],[_AlapShift]],WorkWeek,Holidays)))</f>
        <v/>
      </c>
      <c r="FJ63" s="91" t="str">
        <f aca="false">IF(NOT(Tasks[[#This Row],[_IsLeaf]]=1),"",IF(Tasks[[#This Row],[_AlapShift]]=0,Tasks[[#This Row],[_LeafFcstFinish]],WORKDAY.INTL(Tasks[[#This Row],[_LeafFcstFinish]],Tasks[[#This Row],[_AlapShift]],WorkWeek,Holidays)))</f>
        <v/>
      </c>
      <c r="FK63" s="91" t="str">
        <f aca="false">IF(Tasks[[#This Row],[Task Name]]="","",IF(Tasks[[#This Row],[_IsSummary]],MIN(INDEX(Tasks[_ShownCalcStart],Tasks[[#This Row],[_Row]]+1):INDEX(Tasks[_ShownCalcStart],Tasks[[#This Row],[_Row]]+Tasks[[#This Row],[_Descendants]])),Tasks[[#This Row],[_ShownCalcStart]]))</f>
        <v/>
      </c>
      <c r="FL63" s="91" t="str">
        <f aca="false">IF(Tasks[[#This Row],[Task Name]]="","",IF(Tasks[[#This Row],[_IsSummary]],MAX(INDEX(Tasks[_ShownCalcFinish],Tasks[[#This Row],[_Row]]+1):INDEX(Tasks[_ShownCalcFinish],Tasks[[#This Row],[_Row]]+Tasks[[#This Row],[_Descendants]])),Tasks[[#This Row],[_ShownCalcFinish]]))</f>
        <v/>
      </c>
      <c r="FM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3" s="43" t="n">
        <f aca="false">IF(AND(Tasks[[#This Row],[_IsLeaf]]=1,Tasks[[#This Row],[_LeafTotalWork]]&gt;0),NETWORKDAYS.INTL(ProjectStart,Tasks[[#This Row],[_ShownFcstStart]],WorkWeek,Holidays),0)</f>
        <v>0</v>
      </c>
      <c r="FZ63" s="43" t="n">
        <f aca="false">IF(AND(Tasks[[#This Row],[_IsLeaf]]=1,Tasks[[#This Row],[_LeafTotalWork]]&gt;0),MAX(Tasks[[#This Row],[_StartWorkday]],NETWORKDAYS.INTL(ProjectStart,Tasks[[#This Row],[_ShownFcstFinish]],WorkWeek,Holidays)),0)</f>
        <v>0</v>
      </c>
      <c r="GA63" s="43" t="n">
        <f aca="false">IF(AND(Tasks[[#This Row],[_IsLeaf]]=1,Tasks[[#This Row],[_LeafTotalWork]]&gt;0),Tasks[[#This Row],[_LeafWork]]/(Tasks[[#This Row],[_FinishWorkday]]-Tasks[[#This Row],[_StartWorkday]]+1),0)</f>
        <v>0</v>
      </c>
      <c r="GB63" s="43" t="n">
        <f aca="false">Tasks[[#This Row],[_WorkPerWorkday]]*(Tasks[[#This Row],[_StartWorkday]]-1)</f>
        <v>-0</v>
      </c>
      <c r="GC63" s="43" t="n">
        <f aca="false">IF(Tasks[[#This Row],[_IsLeaf]]=1,MAX(N(Tasks[[#This Row],[_Days]]),0.1),0)</f>
        <v>0</v>
      </c>
      <c r="GD63" s="43" t="n">
        <f aca="false">Tasks[[#This Row],[_WeightDur]]*Tasks[[#This Row],[_LeafProgress]]</f>
        <v>0</v>
      </c>
      <c r="GE63" s="43" t="n">
        <f aca="false">Tasks[[#This Row],[_WeightDur]]*Tasks[[#This Row],[_PlannedPct]]</f>
        <v>0</v>
      </c>
      <c r="GF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3" s="43" t="str">
        <f aca="false">IF(AND(Tasks[[#This Row],[_IsLeaf]]=1,N(Tasks[[#This Row],[_Days]])=0,Tasks[[#This Row],[_LeafProgress]]&lt;1),Tasks[[#This Row],[_ShownFcstFinish]]+Tasks[[#This Row],[_Row]]/100000,"")</f>
        <v/>
      </c>
      <c r="GH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3" s="43" t="str">
        <f aca="false">IF(Tasks[[#This Row],[Task Name]]="","",LEFT(Tasks[[#This Row],[WBS]],FIND(".",Tasks[[#This Row],[WBS]]&amp;".")-1))</f>
        <v/>
      </c>
      <c r="GJ63" s="43" t="str">
        <f aca="false">IF(AND(Tasks[[#This Row],[Task Name]]&lt;&gt;"",Tasks[[#This Row],[_Level]]=1),Tasks[[#This Row],[_Row]],"")</f>
        <v/>
      </c>
      <c r="GK63" s="43" t="str">
        <f aca="false">IF(AND(Tasks[[#This Row],[_IsLeaf]]=1,N(Tasks[[#This Row],[_Days]])=0),Tasks[[#This Row],[Planned Finish]]+Tasks[[#This Row],[_Row]]/100000,"")</f>
        <v/>
      </c>
      <c r="GL63" s="43" t="str">
        <f aca="false">IF(AND(Tasks[[#This Row],[_IsLeaf]]=1,Tasks[[#This Row],[_LeafProgress]]&lt;1,OR(N(Tasks[[#This Row],[Finish Var]])&gt;0,Tasks[[#This Row],[Status]]="Late Start")),MAX(0,Tasks[[#This Row],[Finish Var]])+1-Tasks[[#This Row],[_Row]]/1000000,"")</f>
        <v/>
      </c>
      <c r="GM63" s="43" t="str">
        <f aca="false">IF(AND(Tasks[[#This Row],[_IsLeaf]]=1,N(Tasks[[#This Row],[Actual Start]])=0,Tasks[[#This Row],[_ShownFcstStart]]&gt;=StatusDate,Tasks[[#This Row],[_ShownFcstStart]]&lt;=LookaheadEnd),Tasks[[#This Row],[_ShownFcstStart]]+Tasks[[#This Row],[_Row]]/100000,"")</f>
        <v/>
      </c>
      <c r="GN63" s="43" t="str">
        <f aca="false">IF(AND(Tasks[[#This Row],[_IsLeaf]]=1,Tasks[[#This Row],[_LeafProgress]]&lt;1,Tasks[[#This Row],[_ShownFcstFinish]]&gt;=StatusDate,Tasks[[#This Row],[_ShownFcstFinish]]&lt;=LookaheadEnd),Tasks[[#This Row],[_ShownFcstFinish]]+Tasks[[#This Row],[_Row]]/100000,"")</f>
        <v/>
      </c>
      <c r="GO63" s="43" t="str">
        <f aca="false">IF(Tasks[[#This Row],[_LeafCritical]],Tasks[[#This Row],[_ShownFcstStart]]+Tasks[[#This Row],[_Row]]/100000,"")</f>
        <v/>
      </c>
      <c r="GP63" s="43" t="n">
        <f aca="false">Tasks[[#This Row],[_LeafWork]]*Tasks[[#This Row],[_LeafProgress]]</f>
        <v>0</v>
      </c>
      <c r="GQ63" s="91" t="str">
        <f aca="false">IF(AND(Tasks[[#This Row],[_IsLeaf]]=1,Tasks[[#This Row],[_LeafProgress]]&gt;=1),IF(N(Tasks[[#This Row],[Actual Finish]])&gt;0,Tasks[[#This Row],[Actual Finish]],Tasks[[#This Row],[_ShownFcstFinish]]),"")</f>
        <v/>
      </c>
      <c r="GR63" s="43" t="n">
        <f aca="false">IF(Tasks[[#This Row],[_IsLeaf]]=1,N(Tasks[[#This Row],[Story Points]]),0)</f>
        <v>0</v>
      </c>
      <c r="GS63" s="43" t="str">
        <f aca="false">""</f>
        <v/>
      </c>
      <c r="GT63" s="90" t="b">
        <f aca="false">IF(Tasks[[#This Row],[Task Name]]="",FALSE(),AND(Tasks[[#This Row],[_IsLeaf]]=1,N(Tasks[[#This Row],[_Days]])=0))</f>
        <v>0</v>
      </c>
      <c r="GU63" s="91" t="n">
        <f aca="false">IF(Tasks[[#This Row],[Task Name]]="",0,IF(AND(Tasks[[#This Row],[_IsLeaf]]=1,NOT(Tasks[[#This Row],[_IsMilestone]]),N(Tasks[[#This Row],[Progress]])&gt;0),Tasks[[#This Row],[Start]],0))</f>
        <v>0</v>
      </c>
      <c r="GV63" s="91" t="n">
        <f aca="false">IF(Tasks[[#This Row],[_DoneFrom]]=0,0,IF(Tasks[[#This Row],[Progress]]&gt;=1,Tasks[[#This Row],[Finish]],MAX(Tasks[[#This Row],[_DoneFrom]],Tasks[[#This Row],[Start]]+ROUND((Tasks[[#This Row],[Finish]]-Tasks[[#This Row],[Start]]+1)*Tasks[[#This Row],[Progress]],0)-1)))</f>
        <v>0</v>
      </c>
      <c r="GW63" s="91" t="n">
        <f aca="false">IF(Tasks[[#This Row],[Task Name]]="",0,IF(OR(NOT(Tasks[[#This Row],[_IsLeaf]]=1),Tasks[[#This Row],[_IsMilestone]],N(Tasks[[#This Row],[Progress]])&gt;=1),0,IF(Tasks[[#This Row],[_DoneTo]]&gt;0,Tasks[[#This Row],[_DoneTo]]+1,Tasks[[#This Row],[Start]])))</f>
        <v>0</v>
      </c>
      <c r="GX63" s="91" t="n">
        <f aca="false">IF(Tasks[[#This Row],[_RemFrom]]=0,0,Tasks[[#This Row],[Finish]])</f>
        <v>0</v>
      </c>
      <c r="GY63" s="90" t="b">
        <f aca="false">IF(Tasks[[#This Row],[Task Name]]="",FALSE(),OR(NOT(BaselineSet),N(Tasks[[#This Row],[Baseline Start]])&gt;0))</f>
        <v>0</v>
      </c>
      <c r="GZ6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3" s="92" t="str">
        <f aca="false">IF(Tasks[[#This Row],[_IsLeaf]]=1,Tasks[[#This Row],[_Row]],"")</f>
        <v/>
      </c>
      <c r="HD63" s="92" t="str">
        <f aca="false">IFERROR(INDEX(Tasks[UID],SMALL(Tasks[_PickKey],Tasks[[#This Row],[_Row]]))&amp;" "&amp;INDEX(Tasks[Task Name],SMALL(Tasks[_PickKey],Tasks[[#This Row],[_Row]])),"")</f>
        <v/>
      </c>
      <c r="HE63" s="43" t="str">
        <f aca="false">IF(Tasks[[#This Row],[Task Name]]="","",IF(Tasks[[#This Row],[_IsSummary]],NETWORKDAYS.INTL(Tasks[[#This Row],[Start]],Tasks[[#This Row],[Finish]],WorkWeek,Holidays),N(Tasks[[#This Row],[_Days]])))</f>
        <v/>
      </c>
      <c r="HF63" s="43" t="n">
        <f aca="false">IF(Tasks[[#This Row],[Expected]]="",0,((Tasks[[#This Row],[Pessimistic]]-Tasks[[#This Row],[Optimistic]])/6)^2)</f>
        <v>0</v>
      </c>
      <c r="HG63" s="43" t="n">
        <f aca="false">IF(Tasks[[#This Row],[Expected]]="",0,Tasks[[#This Row],[Expected]]-N(Tasks[[#This Row],[_Days]]))</f>
        <v>0</v>
      </c>
    </row>
    <row r="64" customFormat="false" ht="15" hidden="false" customHeight="false" outlineLevel="0" collapsed="false">
      <c r="A64" s="21" t="str">
        <f aca="false">IF(Tasks[[#This Row],[Task Name]]="","",COUNTA(Tasks[[#Headers],[Task Name]]:Tasks[[#This Row],[Task Name]])-1)</f>
        <v/>
      </c>
      <c r="B64" s="22" t="n">
        <v>72</v>
      </c>
      <c r="C64" s="22"/>
      <c r="D64" s="23"/>
      <c r="E64" s="22"/>
      <c r="F64" s="23"/>
      <c r="G64" s="22"/>
      <c r="H64" s="22"/>
      <c r="I64" s="23"/>
      <c r="J64" s="22"/>
      <c r="K64" s="22"/>
      <c r="L64" s="23"/>
      <c r="M64" s="22"/>
      <c r="N64" s="22"/>
      <c r="O64" s="23"/>
      <c r="P64" s="22"/>
      <c r="Q64" s="22"/>
      <c r="R64" s="23"/>
      <c r="S64" s="23"/>
      <c r="T64" s="84"/>
      <c r="U64" s="23"/>
      <c r="V64" s="84"/>
      <c r="W64" s="23"/>
      <c r="X64" s="84"/>
      <c r="Y64" s="23"/>
      <c r="Z64" s="84"/>
      <c r="AA64" s="23"/>
      <c r="AB64" s="23"/>
      <c r="AC64" s="7"/>
      <c r="AD64" s="7"/>
      <c r="AE64" s="63" t="str">
        <f aca="false">IF(Tasks[[#This Row],[Task Name]]="","",IF(Tasks[[#This Row],[_IsSummary]],MIN(INDEX(Tasks[_ShownFcstStart],Tasks[[#This Row],[_Row]]+1):INDEX(Tasks[_ShownFcstStart],Tasks[[#This Row],[_Row]]+Tasks[[#This Row],[_Descendants]])),Tasks[[#This Row],[_ShownFcstStart]]))</f>
        <v/>
      </c>
      <c r="AF64" s="63" t="str">
        <f aca="false">IF(Tasks[[#This Row],[Task Name]]="","",IF(Tasks[[#This Row],[_IsSummary]],MAX(INDEX(Tasks[_ShownFcstFinish],Tasks[[#This Row],[_Row]]+1):INDEX(Tasks[_ShownFcstFinish],Tasks[[#This Row],[_Row]]+Tasks[[#This Row],[_Descendants]])),Tasks[[#This Row],[_ShownFcstFinish]]))</f>
        <v/>
      </c>
      <c r="AG64" s="21" t="str">
        <f aca="false">""</f>
        <v/>
      </c>
      <c r="AH64" s="23"/>
      <c r="AI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4" s="7"/>
      <c r="AK64" s="22"/>
      <c r="AL64" s="23"/>
      <c r="AM64" s="7"/>
      <c r="AN64" s="47" t="str">
        <f aca="false">IF(Tasks[[#This Row],[Task Name]]="","",IF(Tasks[[#This Row],[Finish]]&gt;=Tasks[[#This Row],[Planned Finish]],NETWORKDAYS.INTL(Tasks[[#This Row],[Planned Finish]],Tasks[[#This Row],[Finish]],WorkWeek,Holidays)-1,1-NETWORKDAYS.INTL(Tasks[[#This Row],[Finish]],Tasks[[#This Row],[Planned Finish]],WorkWeek,Holidays)))</f>
        <v/>
      </c>
      <c r="AO64" s="21" t="str">
        <f aca="false">IF(Tasks[[#This Row],[Task Name]]="","",IF(Tasks[[#This Row],[Progress]]&gt;=1,"Complete",IF(OR(N(Tasks[[#This Row],[Actual Start]])&gt;0,Tasks[[#This Row],[Progress]]&gt;0),IF(Tasks[[#This Row],[Finish Var]]&gt;0,"Behind","In Progress"),IF(Tasks[[#This Row],[Planned Start]]&lt;StatusDate,"Late Start","Not Started"))))</f>
        <v/>
      </c>
      <c r="AP64" s="21" t="str">
        <f aca="false">IF(Tasks[[#This Row],[Task Name]]="","",IF(IF(Tasks[[#This Row],[_IsSummary]],COUNTIF(INDEX(Tasks[_LeafCritical],Tasks[[#This Row],[_Row]]+1):INDEX(Tasks[_LeafCritical],Tasks[[#This Row],[_Row]]+Tasks[[#This Row],[_Descendants]]),TRUE())&gt;0,Tasks[[#This Row],[_LeafCritical]]),"Yes",""))</f>
        <v/>
      </c>
      <c r="AQ64" s="63" t="str">
        <f aca="false">IF(Tasks[[#This Row],[Task Name]]="","",IF(N(Tasks[[#This Row],[Baseline Start]])&gt;0,Tasks[[#This Row],[Baseline Start]],Tasks[[#This Row],[_CalcStart]]))</f>
        <v/>
      </c>
      <c r="AR64" s="63" t="str">
        <f aca="false">IF(Tasks[[#This Row],[Task Name]]="","",IF(N(Tasks[[#This Row],[Baseline Finish]])&gt;0,Tasks[[#This Row],[Baseline Finish]],Tasks[[#This Row],[_CalcFinish]]))</f>
        <v/>
      </c>
      <c r="AS64" s="47" t="str">
        <f aca="false">IF(Tasks[[#This Row],[Task Name]]="","",IF(Tasks[[#This Row],[Start]]&gt;=Tasks[[#This Row],[Planned Start]],NETWORKDAYS.INTL(Tasks[[#This Row],[Planned Start]],Tasks[[#This Row],[Start]],WorkWeek,Holidays)-1,1-NETWORKDAYS.INTL(Tasks[[#This Row],[Start]],Tasks[[#This Row],[Planned Start]],WorkWeek,Holidays)))</f>
        <v/>
      </c>
      <c r="AT64" s="63" t="str">
        <f aca="false">IF(Tasks[[#This Row],[Task Name]]="","",IF(Tasks[[#This Row],[_IsSummary]],MIN(INDEX(Tasks[_LeafLateStart],Tasks[[#This Row],[_Row]]+1):INDEX(Tasks[_LeafLateStart],Tasks[[#This Row],[_Row]]+Tasks[[#This Row],[_Descendants]])),Tasks[[#This Row],[_LeafLateStart]]))</f>
        <v/>
      </c>
      <c r="AU64" s="63" t="str">
        <f aca="false">IF(Tasks[[#This Row],[Task Name]]="","",IF(Tasks[[#This Row],[_IsSummary]],MAX(INDEX(Tasks[_LeafLateFinish],Tasks[[#This Row],[_Row]]+1):INDEX(Tasks[_LeafLateFinish],Tasks[[#This Row],[_Row]]+Tasks[[#This Row],[_Descendants]])),Tasks[[#This Row],[_LeafLateFinish]]))</f>
        <v/>
      </c>
      <c r="AV64" s="47" t="str">
        <f aca="false">IF(Tasks[[#This Row],[Task Name]]="","",IF(Tasks[[#This Row],[_IsSummary]],MIN(INDEX(Tasks[_LeafTotalSlack],Tasks[[#This Row],[_Row]]+1):INDEX(Tasks[_LeafTotalSlack],Tasks[[#This Row],[_Row]]+Tasks[[#This Row],[_Descendants]])),Tasks[[#This Row],[_LeafTotalSlack]]))</f>
        <v/>
      </c>
      <c r="AW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5"/>
      <c r="BA6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t="str">
        <f aca="false">IF(Tasks[[#This Row],[Task Name]]="","",IF(Tasks[[#This Row],[_Level]]&lt;=OutlineShowLevel,"Yes","No"))</f>
        <v/>
      </c>
      <c r="BE64" s="86" t="str">
        <f aca="false">IF(Tasks[[#This Row],[Task Name]]="","",IF(Tasks[[#This Row],[_IsSummary]],SUM(INDEX(Tasks[_LeafTotalWork],Tasks[[#This Row],[_Row]]+1):INDEX(Tasks[_LeafTotalWork],Tasks[[#This Row],[_Row]]+Tasks[[#This Row],[_Descendants]])),Tasks[[#This Row],[_LeafTotalWork]]))</f>
        <v/>
      </c>
      <c r="BF64" s="23"/>
      <c r="BG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t="str">
        <f aca="false">""</f>
        <v/>
      </c>
      <c r="BI64" s="87"/>
      <c r="BJ64" s="22"/>
      <c r="BK64" s="47" t="str">
        <f aca="false">IF(OR(Tasks[[#This Row],[Task Name]]="",Tasks[[#This Row],[Baseline Duration]]=""),"",Tasks[[#This Row],[_SpanDays]]-N(Tasks[[#This Row],[Baseline Duration]]))</f>
        <v/>
      </c>
      <c r="BL64" s="86" t="str">
        <f aca="false">IF(OR(Tasks[[#This Row],[Task Name]]="",Tasks[[#This Row],[Baseline Work]]=""),"",Tasks[[#This Row],[Work]]-N(Tasks[[#This Row],[Baseline Work]]))</f>
        <v/>
      </c>
      <c r="BM64" s="63" t="str">
        <f aca="false">IF(Tasks[[#This Row],[Task Name]]="","",IF(OR(TakeBaseline="Yes",N(Tasks[[#This Row],[Baseline Start]])=0),Tasks[[#This Row],[Start]],Tasks[[#This Row],[Baseline Start]]))</f>
        <v/>
      </c>
      <c r="BN64" s="63" t="str">
        <f aca="false">IF(Tasks[[#This Row],[Task Name]]="","",IF(OR(TakeBaseline="Yes",N(Tasks[[#This Row],[Baseline Finish]])=0),Tasks[[#This Row],[Finish]],Tasks[[#This Row],[Baseline Finish]]))</f>
        <v/>
      </c>
      <c r="BO64" s="21" t="str">
        <f aca="false">IF(Tasks[[#This Row],[Task Name]]="","",IF(OR(TakeBaseline="Yes",N(Tasks[[#This Row],[Baseline Duration]])=0),Tasks[[#This Row],[_SpanDays]],Tasks[[#This Row],[Baseline Duration]]))</f>
        <v/>
      </c>
      <c r="BP64" s="86" t="str">
        <f aca="false">IF(Tasks[[#This Row],[Task Name]]="","",IF(OR(TakeBaseline="Yes",N(Tasks[[#This Row],[Baseline Work]])=0),Tasks[[#This Row],[Work]],Tasks[[#This Row],[Baseline Work]]))</f>
        <v/>
      </c>
      <c r="BQ64" s="7"/>
      <c r="BR64" s="7"/>
      <c r="BS64" s="22"/>
      <c r="BT64" s="88"/>
      <c r="BU64" s="23"/>
      <c r="BV64" s="23"/>
      <c r="BW64" s="23"/>
      <c r="BX64" s="89" t="str">
        <f aca="false">IF(AND(Tasks[[#This Row],[_IsLeaf]]=1,ISNUMBER(Tasks[[#This Row],[Optimistic]]),ISNUMBER(Tasks[[#This Row],[Pessimistic]])),ROUND((Tasks[[#This Row],[Optimistic]]+4*N(Tasks[[#This Row],[_Days]])+Tasks[[#This Row],[Pessimistic]])/6,1),"")</f>
        <v/>
      </c>
      <c r="BY64" s="87"/>
      <c r="BZ64" s="87"/>
      <c r="CA64" s="22"/>
      <c r="CB64" s="43" t="str">
        <f aca="false">IF(Tasks[[#This Row],[Task Name]]="","",MAX(1,N(Tasks[[#This Row],[Level]])))</f>
        <v/>
      </c>
      <c r="CC64" s="43" t="n">
        <f aca="false">ROW()-ROW(Tasks[[#Headers],[ID]])</f>
        <v>59</v>
      </c>
      <c r="CD64" s="43" t="n">
        <f aca="false">IF(OR(Tasks[[#This Row],[Task Name]]="",Tasks[[#This Row],[_Level]]&lt;=1),0,IFERROR(LOOKUP(2,1/(Tasks[[#Headers],[_Level]]:Tasks[[#This Row],[_Level]]=Tasks[[#This Row],[_Level]]-1),ROW(Tasks[[#Headers],[_Level]]:Tasks[[#This Row],[_Level]])),0))</f>
        <v>0</v>
      </c>
      <c r="CE64" s="43" t="n">
        <f aca="false">IFERROR(N(INDEX(Tasks[_Level],Tasks[[#This Row],[_Row]]+1)),0)</f>
        <v>0</v>
      </c>
      <c r="CF64" s="90" t="b">
        <f aca="false">AND(Tasks[[#This Row],[Task Name]]&lt;&gt;"",Tasks[[#This Row],[_NextLevel]]&gt;Tasks[[#This Row],[_Level]])</f>
        <v>0</v>
      </c>
      <c r="CG64" s="43" t="n">
        <f aca="false">IF(Tasks[[#This Row],[_IsSummary]],COUNTIF(Tasks[WBS],Tasks[[#This Row],[WBS]]&amp;".*"),0)</f>
        <v>0</v>
      </c>
      <c r="CH64" s="43" t="n">
        <f aca="false">IF(AND(Tasks[[#This Row],[Task Name]]&lt;&gt;"",NOT(Tasks[[#This Row],[_IsSummary]])),1,0)</f>
        <v>0</v>
      </c>
      <c r="CI64" s="43" t="n">
        <f aca="false">IF(N(Tasks[[#This Row],[_Pred1UID]])=0,0,IFERROR(MATCH(Tasks[[#This Row],[_Pred1UID]],Tasks[UID],0),-1))</f>
        <v>0</v>
      </c>
      <c r="CJ64" s="43" t="n">
        <f aca="false">IF(N(Tasks[[#This Row],[_Pred2UID]])=0,0,IFERROR(MATCH(Tasks[[#This Row],[_Pred2UID]],Tasks[UID],0),-1))</f>
        <v>0</v>
      </c>
      <c r="CK64" s="43" t="n">
        <f aca="false">IF(N(Tasks[[#This Row],[_Pred3UID]])=0,0,IFERROR(MATCH(Tasks[[#This Row],[_Pred3UID]],Tasks[UID],0),-1))</f>
        <v>0</v>
      </c>
      <c r="CL64" s="43" t="n">
        <f aca="false">IF(N(Tasks[[#This Row],[_Pred4UID]])=0,0,IFERROR(MATCH(Tasks[[#This Row],[_Pred4UID]],Tasks[UID],0),-1))</f>
        <v>0</v>
      </c>
      <c r="CM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4" s="91" t="n">
        <f aca="false">IF(OR(Tasks[[#This Row],[_ConstraintCode]]=2,Tasks[[#This Row],[_ConstraintCode]]=3,Tasks[[#This Row],[_ConstraintCode]]=4,Tasks[[#This Row],[_ConstraintCode]]=6),Tasks[[#This Row],[_ConstraintStart]],0)</f>
        <v>0</v>
      </c>
      <c r="CP64" s="91" t="n">
        <f aca="false">IF(OR(Tasks[[#This Row],[_ConstraintCode]]=2,Tasks[[#This Row],[_ConstraintCode]]=3,Tasks[[#This Row],[_ConstraintCode]]=5,Tasks[[#This Row],[_ConstraintCode]]=7),Tasks[[#This Row],[_ConstraintStart]],2958465)</f>
        <v>2958465</v>
      </c>
      <c r="CQ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4" s="91" t="str">
        <f aca="false">IF(NOT(Tasks[[#This Row],[_IsLeaf]]=1),"",IF(N(Tasks[[#This Row],[_Days]])&lt;=0,Tasks[[#This Row],[_LeafCalcStart]],WORKDAY.INTL(Tasks[[#This Row],[_LeafCalcStart]],Tasks[[#This Row],[_Days]]-1,WorkWeek,Holidays)))</f>
        <v/>
      </c>
      <c r="CS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4" s="43" t="str">
        <f aca="false">IF(Tasks[[#This Row],[_Predecessors]]="","",TRIM(MID(SUBSTITUTE(SUBSTITUTE(SUBSTITUTE(UPPER(Tasks[[#This Row],[_Predecessors]]),";",",")," ",""),",",REPT(" ",99)),1,99)))</f>
        <v/>
      </c>
      <c r="CV64" s="43" t="str">
        <f aca="false">IF(Tasks[[#This Row],[_Pred1Text]]="","",IFERROR(VALUE(LEFT(Tasks[[#This Row],[_Pred1Text]],MIN(FIND("F",Tasks[[#This Row],[_Pred1Text]]&amp;"F"),FIND("S",Tasks[[#This Row],[_Pred1Text]]&amp;"S"),FIND("+",Tasks[[#This Row],[_Pred1Text]]&amp;"+"),FIND("-",Tasks[[#This Row],[_Pred1Text]]&amp;"-"))-1)),""))</f>
        <v/>
      </c>
      <c r="CW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4" s="43" t="str">
        <f aca="false">IF(Tasks[[#This Row],[_Pred1Text]]="","",TRIM(MID(SUBSTITUTE(SUBSTITUTE(SUBSTITUTE(UPPER(Tasks[[#This Row],[_Predecessors]]),";",",")," ",""),",",REPT(" ",99)),100,99)))</f>
        <v/>
      </c>
      <c r="CZ64" s="43" t="str">
        <f aca="false">IF(Tasks[[#This Row],[_Pred2Text]]="","",IFERROR(VALUE(LEFT(Tasks[[#This Row],[_Pred2Text]],MIN(FIND("F",Tasks[[#This Row],[_Pred2Text]]&amp;"F"),FIND("S",Tasks[[#This Row],[_Pred2Text]]&amp;"S"),FIND("+",Tasks[[#This Row],[_Pred2Text]]&amp;"+"),FIND("-",Tasks[[#This Row],[_Pred2Text]]&amp;"-"))-1)),""))</f>
        <v/>
      </c>
      <c r="DA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4" s="43" t="str">
        <f aca="false">IF(Tasks[[#This Row],[_Pred2Text]]="","",TRIM(MID(SUBSTITUTE(SUBSTITUTE(SUBSTITUTE(UPPER(Tasks[[#This Row],[_Predecessors]]),";",",")," ",""),",",REPT(" ",99)),199,99)))</f>
        <v/>
      </c>
      <c r="DD64" s="43" t="str">
        <f aca="false">IF(Tasks[[#This Row],[_Pred3Text]]="","",IFERROR(VALUE(LEFT(Tasks[[#This Row],[_Pred3Text]],MIN(FIND("F",Tasks[[#This Row],[_Pred3Text]]&amp;"F"),FIND("S",Tasks[[#This Row],[_Pred3Text]]&amp;"S"),FIND("+",Tasks[[#This Row],[_Pred3Text]]&amp;"+"),FIND("-",Tasks[[#This Row],[_Pred3Text]]&amp;"-"))-1)),""))</f>
        <v/>
      </c>
      <c r="DE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4" s="43" t="str">
        <f aca="false">IF(Tasks[[#This Row],[_Pred3Text]]="","",TRIM(MID(SUBSTITUTE(SUBSTITUTE(SUBSTITUTE(UPPER(Tasks[[#This Row],[_Predecessors]]),";",",")," ",""),",",REPT(" ",99)),298,99)))</f>
        <v/>
      </c>
      <c r="DH64" s="43" t="str">
        <f aca="false">IF(Tasks[[#This Row],[_Pred4Text]]="","",IFERROR(VALUE(LEFT(Tasks[[#This Row],[_Pred4Text]],MIN(FIND("F",Tasks[[#This Row],[_Pred4Text]]&amp;"F"),FIND("S",Tasks[[#This Row],[_Pred4Text]]&amp;"S"),FIND("+",Tasks[[#This Row],[_Pred4Text]]&amp;"+"),FIND("-",Tasks[[#This Row],[_Pred4Text]]&amp;"-"))-1)),""))</f>
        <v/>
      </c>
      <c r="DI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4" s="43" t="str">
        <f aca="false">IF(OR(Tasks[[#This Row],[Task Name]]="",Tasks[[#This Row],[_Resources]]=""),"",TRIM(MID(SUBSTITUTE(Tasks[[#This Row],[_Resources]],",",REPT(" ",99)),1,99)))</f>
        <v/>
      </c>
      <c r="DL64" s="43" t="str">
        <f aca="false">IF(Tasks[[#This Row],[_Res1Text]]="","",TRIM(MID(SUBSTITUTE(Tasks[[#This Row],[_Resources]],",",REPT(" ",99)),100,99)))</f>
        <v/>
      </c>
      <c r="DM64" s="43" t="str">
        <f aca="false">IF(Tasks[[#This Row],[_Res2Text]]="","",TRIM(MID(SUBSTITUTE(Tasks[[#This Row],[_Resources]],",",REPT(" ",99)),199,99)))</f>
        <v/>
      </c>
      <c r="DN64" s="43" t="str">
        <f aca="false">IF(Tasks[[#This Row],[_Res3Text]]="","",TRIM(MID(SUBSTITUTE(Tasks[[#This Row],[_Resources]],",",REPT(" ",99)),298,99)))</f>
        <v/>
      </c>
      <c r="DO64" s="43" t="n">
        <f aca="false">IF(Tasks[[#This Row],[_Res1Text]]="",0,IFERROR(MATCH(TRIM(LEFT(Tasks[[#This Row],[_Res1Text]],FIND("[",Tasks[[#This Row],[_Res1Text]]&amp;"[")-1)),res_Name,0),IFERROR(MATCH(TRIM(LEFT(Tasks[[#This Row],[_Res1Text]],FIND("[",Tasks[[#This Row],[_Res1Text]]&amp;"[")-1)),res_Initials,0),0)))</f>
        <v>0</v>
      </c>
      <c r="DP64" s="43" t="n">
        <f aca="false">IF(Tasks[[#This Row],[_Res2Text]]="",0,IFERROR(MATCH(TRIM(LEFT(Tasks[[#This Row],[_Res2Text]],FIND("[",Tasks[[#This Row],[_Res2Text]]&amp;"[")-1)),res_Name,0),IFERROR(MATCH(TRIM(LEFT(Tasks[[#This Row],[_Res2Text]],FIND("[",Tasks[[#This Row],[_Res2Text]]&amp;"[")-1)),res_Initials,0),0)))</f>
        <v>0</v>
      </c>
      <c r="DQ64" s="43" t="n">
        <f aca="false">IF(Tasks[[#This Row],[_Res3Text]]="",0,IFERROR(MATCH(TRIM(LEFT(Tasks[[#This Row],[_Res3Text]],FIND("[",Tasks[[#This Row],[_Res3Text]]&amp;"[")-1)),res_Name,0),IFERROR(MATCH(TRIM(LEFT(Tasks[[#This Row],[_Res3Text]],FIND("[",Tasks[[#This Row],[_Res3Text]]&amp;"[")-1)),res_Initials,0),0)))</f>
        <v>0</v>
      </c>
      <c r="DR64" s="43" t="n">
        <f aca="false">IF(Tasks[[#This Row],[_Res4Text]]="",0,IFERROR(MATCH(TRIM(LEFT(Tasks[[#This Row],[_Res4Text]],FIND("[",Tasks[[#This Row],[_Res4Text]]&amp;"[")-1)),res_Name,0),IFERROR(MATCH(TRIM(LEFT(Tasks[[#This Row],[_Res4Text]],FIND("[",Tasks[[#This Row],[_Res4Text]]&amp;"[")-1)),res_Initials,0),0)))</f>
        <v>0</v>
      </c>
      <c r="DS64" s="43" t="str">
        <f aca="false">IF(Tasks[[#This Row],[_Res1Text]]="","",IF(Tasks[[#This Row],[_Res1Row]]&gt;0,INDEX(res_Name,Tasks[[#This Row],[_Res1Row]]),TRIM(LEFT(Tasks[[#This Row],[_Res1Text]],FIND("[",Tasks[[#This Row],[_Res1Text]]&amp;"[")-1))))</f>
        <v/>
      </c>
      <c r="DT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4" s="43" t="n">
        <f aca="false">IF(NOT(Tasks[[#This Row],[_IsLeaf]]=1),0,(Tasks[[#This Row],[_Resource1]]&lt;&gt;"")+(Tasks[[#This Row],[_Res2]]&lt;&gt;"")+(Tasks[[#This Row],[_Res3]]&lt;&gt;"")+(Tasks[[#This Row],[_Res4]]&lt;&gt;""))</f>
        <v>0</v>
      </c>
      <c r="DV64" s="43" t="str">
        <f aca="false">IF(Tasks[[#This Row],[_Res2Text]]="","",IF(Tasks[[#This Row],[_Res2Row]]&gt;0,INDEX(res_Name,Tasks[[#This Row],[_Res2Row]]),TRIM(LEFT(Tasks[[#This Row],[_Res2Text]],FIND("[",Tasks[[#This Row],[_Res2Text]]&amp;"[")-1))))</f>
        <v/>
      </c>
      <c r="DW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4" s="43" t="n">
        <f aca="false">IF(OR(NOT(Tasks[[#This Row],[_IsLeaf]]=1),Tasks[[#This Row],[_Res2Row]]=0),0,N(Tasks[[#This Row],[_Days]])*HoursPerDay*IF(Tasks[[#This Row],[_Res2Units]]="",DefaultUnits,Tasks[[#This Row],[_Res2Units]]))</f>
        <v>0</v>
      </c>
      <c r="DY64" s="43" t="n">
        <f aca="false">IF(AND(AND(Tasks[[#This Row],[_IsLeaf]]=1,Tasks[[#This Row],[_LeafTotalWork]]&gt;0),Tasks[[#This Row],[_Res2Work]]&gt;0),Tasks[[#This Row],[_Res2Work]]/(Tasks[[#This Row],[_FinishWorkday]]-Tasks[[#This Row],[_StartWorkday]]+1),0)</f>
        <v>0</v>
      </c>
      <c r="DZ64" s="43" t="n">
        <f aca="false">Tasks[[#This Row],[_Res2WorkPerWD]]*MAX(0,Tasks[[#This Row],[_StartWorkday]]-1)</f>
        <v>0</v>
      </c>
      <c r="EA64" s="43" t="n">
        <f aca="false">Tasks[[#This Row],[_Res2Work]]*Tasks[[#This Row],[_LeafProgress]]</f>
        <v>0</v>
      </c>
      <c r="EB64" s="43" t="str">
        <f aca="false">IF(Tasks[[#This Row],[_Res3Text]]="","",IF(Tasks[[#This Row],[_Res3Row]]&gt;0,INDEX(res_Name,Tasks[[#This Row],[_Res3Row]]),TRIM(LEFT(Tasks[[#This Row],[_Res3Text]],FIND("[",Tasks[[#This Row],[_Res3Text]]&amp;"[")-1))))</f>
        <v/>
      </c>
      <c r="EC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4" s="43" t="n">
        <f aca="false">IF(OR(NOT(Tasks[[#This Row],[_IsLeaf]]=1),Tasks[[#This Row],[_Res3Row]]=0),0,N(Tasks[[#This Row],[_Days]])*HoursPerDay*IF(Tasks[[#This Row],[_Res3Units]]="",DefaultUnits,Tasks[[#This Row],[_Res3Units]]))</f>
        <v>0</v>
      </c>
      <c r="EE64" s="43" t="n">
        <f aca="false">IF(AND(AND(Tasks[[#This Row],[_IsLeaf]]=1,Tasks[[#This Row],[_LeafTotalWork]]&gt;0),Tasks[[#This Row],[_Res3Work]]&gt;0),Tasks[[#This Row],[_Res3Work]]/(Tasks[[#This Row],[_FinishWorkday]]-Tasks[[#This Row],[_StartWorkday]]+1),0)</f>
        <v>0</v>
      </c>
      <c r="EF64" s="43" t="n">
        <f aca="false">Tasks[[#This Row],[_Res3WorkPerWD]]*MAX(0,Tasks[[#This Row],[_StartWorkday]]-1)</f>
        <v>0</v>
      </c>
      <c r="EG64" s="43" t="n">
        <f aca="false">Tasks[[#This Row],[_Res3Work]]*Tasks[[#This Row],[_LeafProgress]]</f>
        <v>0</v>
      </c>
      <c r="EH64" s="43" t="str">
        <f aca="false">IF(Tasks[[#This Row],[_Res4Text]]="","",IF(Tasks[[#This Row],[_Res4Row]]&gt;0,INDEX(res_Name,Tasks[[#This Row],[_Res4Row]]),TRIM(LEFT(Tasks[[#This Row],[_Res4Text]],FIND("[",Tasks[[#This Row],[_Res4Text]]&amp;"[")-1))))</f>
        <v/>
      </c>
      <c r="EI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4" s="43" t="n">
        <f aca="false">IF(OR(NOT(Tasks[[#This Row],[_IsLeaf]]=1),Tasks[[#This Row],[_Res4Row]]=0),0,N(Tasks[[#This Row],[_Days]])*HoursPerDay*IF(Tasks[[#This Row],[_Res4Units]]="",DefaultUnits,Tasks[[#This Row],[_Res4Units]]))</f>
        <v>0</v>
      </c>
      <c r="EK64" s="43" t="n">
        <f aca="false">IF(AND(AND(Tasks[[#This Row],[_IsLeaf]]=1,Tasks[[#This Row],[_LeafTotalWork]]&gt;0),Tasks[[#This Row],[_Res4Work]]&gt;0),Tasks[[#This Row],[_Res4Work]]/(Tasks[[#This Row],[_FinishWorkday]]-Tasks[[#This Row],[_StartWorkday]]+1),0)</f>
        <v>0</v>
      </c>
      <c r="EL64" s="43" t="n">
        <f aca="false">Tasks[[#This Row],[_Res4WorkPerWD]]*MAX(0,Tasks[[#This Row],[_StartWorkday]]-1)</f>
        <v>0</v>
      </c>
      <c r="EM64" s="43" t="n">
        <f aca="false">Tasks[[#This Row],[_Res4Work]]*Tasks[[#This Row],[_LeafProgress]]</f>
        <v>0</v>
      </c>
      <c r="EN64" s="43" t="n">
        <f aca="false">IF(ISNUMBER(Tasks[[#This Row],[% Complete]]),Tasks[[#This Row],[% Complete]],IF(Tasks[[#This Row],[Stage]]="",0,IFERROR(INDEX(stg_Pct,MATCH(Tasks[[#This Row],[Stage]],stg_Name,0)),0)))</f>
        <v>0</v>
      </c>
      <c r="EO64" s="43" t="n">
        <f aca="false">IF(NOT(Tasks[[#This Row],[_IsLeaf]]=1),0,IF(N(Tasks[[#This Row],[Actual Finish]])&gt;0,1,MIN(1,Tasks[[#This Row],[_Pct]])))</f>
        <v>0</v>
      </c>
      <c r="EP64" s="43" t="n">
        <f aca="false">IF(OR(NOT(Tasks[[#This Row],[_IsLeaf]]=1),Tasks[[#This Row],[_Res1Row]]=0),0,N(Tasks[[#This Row],[_Days]])*HoursPerDay*IF(Tasks[[#This Row],[_Units1]]="",DefaultUnits,Tasks[[#This Row],[_Units1]]))</f>
        <v>0</v>
      </c>
      <c r="EQ64" s="43" t="n">
        <f aca="false">Tasks[[#This Row],[_LeafWork]]+Tasks[[#This Row],[_Res2Work]]+Tasks[[#This Row],[_Res3Work]]+Tasks[[#This Row],[_Res4Work]]</f>
        <v>0</v>
      </c>
      <c r="ER6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4" s="43" t="n">
        <f aca="false">IF(NOT(Tasks[[#This Row],[_IsLeaf]]=1),0,MAX(_xlfn.MAXIFS(Tasks[_Row],Tasks[_Pred1UID],Tasks[[#This Row],[UID]]),_xlfn.MAXIFS(Tasks[_Row],Tasks[_Pred2UID],Tasks[[#This Row],[UID]]),_xlfn.MAXIFS(Tasks[_Row],Tasks[_Pred3UID],Tasks[[#This Row],[UID]]),_xlfn.MAXIFS(Tasks[_Row],Tasks[_Pred4UID],Tasks[[#This Row],[UID]])))</f>
        <v>0</v>
      </c>
      <c r="FA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4" s="91" t="str">
        <f aca="false">IF(NOT(Tasks[[#This Row],[_IsLeaf]]=1),"",IF(N(Tasks[[#This Row],[_Days]])&lt;=0,Tasks[[#This Row],[_LeafLateFinish]],WORKDAY.INTL(Tasks[[#This Row],[_LeafLateFinish]],-(Tasks[[#This Row],[_Days]]-1),WorkWeek,Holidays)))</f>
        <v/>
      </c>
      <c r="FD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4" s="90" t="b">
        <f aca="false">AND(Tasks[[#This Row],[_IsLeaf]]=1,Tasks[[#This Row],[_LeafProgress]]&lt;1,N(Tasks[[#This Row],[_LeafTotalSlack]])&lt;=CriticalSlackDays)</f>
        <v>0</v>
      </c>
      <c r="FF64" s="43" t="n">
        <f aca="false">IF(AND(Tasks[[#This Row],[_IsLeaf]]=1,Tasks[[#This Row],[_ConstraintCode]]=1,Tasks[[#This Row],[Mode]]&lt;&gt;"Manual",N(Tasks[[#This Row],[Actual Start]])=0),MAX(0,N(Tasks[[#This Row],[Free Slack]])),0)</f>
        <v>0</v>
      </c>
      <c r="FG64" s="91" t="str">
        <f aca="false">IF(NOT(Tasks[[#This Row],[_IsLeaf]]=1),"",IF(Tasks[[#This Row],[_AlapShift]]=0,Tasks[[#This Row],[_LeafCalcStart]],WORKDAY.INTL(Tasks[[#This Row],[_LeafCalcStart]],Tasks[[#This Row],[_AlapShift]],WorkWeek,Holidays)))</f>
        <v/>
      </c>
      <c r="FH64" s="91" t="str">
        <f aca="false">IF(NOT(Tasks[[#This Row],[_IsLeaf]]=1),"",IF(Tasks[[#This Row],[_AlapShift]]=0,Tasks[[#This Row],[_LeafCalcFinish]],WORKDAY.INTL(Tasks[[#This Row],[_LeafCalcFinish]],Tasks[[#This Row],[_AlapShift]],WorkWeek,Holidays)))</f>
        <v/>
      </c>
      <c r="FI64" s="91" t="str">
        <f aca="false">IF(NOT(Tasks[[#This Row],[_IsLeaf]]=1),"",IF(Tasks[[#This Row],[_AlapShift]]=0,Tasks[[#This Row],[_LeafFcstStart]],WORKDAY.INTL(Tasks[[#This Row],[_LeafFcstStart]],Tasks[[#This Row],[_AlapShift]],WorkWeek,Holidays)))</f>
        <v/>
      </c>
      <c r="FJ64" s="91" t="str">
        <f aca="false">IF(NOT(Tasks[[#This Row],[_IsLeaf]]=1),"",IF(Tasks[[#This Row],[_AlapShift]]=0,Tasks[[#This Row],[_LeafFcstFinish]],WORKDAY.INTL(Tasks[[#This Row],[_LeafFcstFinish]],Tasks[[#This Row],[_AlapShift]],WorkWeek,Holidays)))</f>
        <v/>
      </c>
      <c r="FK64" s="91" t="str">
        <f aca="false">IF(Tasks[[#This Row],[Task Name]]="","",IF(Tasks[[#This Row],[_IsSummary]],MIN(INDEX(Tasks[_ShownCalcStart],Tasks[[#This Row],[_Row]]+1):INDEX(Tasks[_ShownCalcStart],Tasks[[#This Row],[_Row]]+Tasks[[#This Row],[_Descendants]])),Tasks[[#This Row],[_ShownCalcStart]]))</f>
        <v/>
      </c>
      <c r="FL64" s="91" t="str">
        <f aca="false">IF(Tasks[[#This Row],[Task Name]]="","",IF(Tasks[[#This Row],[_IsSummary]],MAX(INDEX(Tasks[_ShownCalcFinish],Tasks[[#This Row],[_Row]]+1):INDEX(Tasks[_ShownCalcFinish],Tasks[[#This Row],[_Row]]+Tasks[[#This Row],[_Descendants]])),Tasks[[#This Row],[_ShownCalcFinish]]))</f>
        <v/>
      </c>
      <c r="FM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4" s="43" t="n">
        <f aca="false">IF(AND(Tasks[[#This Row],[_IsLeaf]]=1,Tasks[[#This Row],[_LeafTotalWork]]&gt;0),NETWORKDAYS.INTL(ProjectStart,Tasks[[#This Row],[_ShownFcstStart]],WorkWeek,Holidays),0)</f>
        <v>0</v>
      </c>
      <c r="FZ64" s="43" t="n">
        <f aca="false">IF(AND(Tasks[[#This Row],[_IsLeaf]]=1,Tasks[[#This Row],[_LeafTotalWork]]&gt;0),MAX(Tasks[[#This Row],[_StartWorkday]],NETWORKDAYS.INTL(ProjectStart,Tasks[[#This Row],[_ShownFcstFinish]],WorkWeek,Holidays)),0)</f>
        <v>0</v>
      </c>
      <c r="GA64" s="43" t="n">
        <f aca="false">IF(AND(Tasks[[#This Row],[_IsLeaf]]=1,Tasks[[#This Row],[_LeafTotalWork]]&gt;0),Tasks[[#This Row],[_LeafWork]]/(Tasks[[#This Row],[_FinishWorkday]]-Tasks[[#This Row],[_StartWorkday]]+1),0)</f>
        <v>0</v>
      </c>
      <c r="GB64" s="43" t="n">
        <f aca="false">Tasks[[#This Row],[_WorkPerWorkday]]*(Tasks[[#This Row],[_StartWorkday]]-1)</f>
        <v>-0</v>
      </c>
      <c r="GC64" s="43" t="n">
        <f aca="false">IF(Tasks[[#This Row],[_IsLeaf]]=1,MAX(N(Tasks[[#This Row],[_Days]]),0.1),0)</f>
        <v>0</v>
      </c>
      <c r="GD64" s="43" t="n">
        <f aca="false">Tasks[[#This Row],[_WeightDur]]*Tasks[[#This Row],[_LeafProgress]]</f>
        <v>0</v>
      </c>
      <c r="GE64" s="43" t="n">
        <f aca="false">Tasks[[#This Row],[_WeightDur]]*Tasks[[#This Row],[_PlannedPct]]</f>
        <v>0</v>
      </c>
      <c r="GF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4" s="43" t="str">
        <f aca="false">IF(AND(Tasks[[#This Row],[_IsLeaf]]=1,N(Tasks[[#This Row],[_Days]])=0,Tasks[[#This Row],[_LeafProgress]]&lt;1),Tasks[[#This Row],[_ShownFcstFinish]]+Tasks[[#This Row],[_Row]]/100000,"")</f>
        <v/>
      </c>
      <c r="GH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4" s="43" t="str">
        <f aca="false">IF(Tasks[[#This Row],[Task Name]]="","",LEFT(Tasks[[#This Row],[WBS]],FIND(".",Tasks[[#This Row],[WBS]]&amp;".")-1))</f>
        <v/>
      </c>
      <c r="GJ64" s="43" t="str">
        <f aca="false">IF(AND(Tasks[[#This Row],[Task Name]]&lt;&gt;"",Tasks[[#This Row],[_Level]]=1),Tasks[[#This Row],[_Row]],"")</f>
        <v/>
      </c>
      <c r="GK64" s="43" t="str">
        <f aca="false">IF(AND(Tasks[[#This Row],[_IsLeaf]]=1,N(Tasks[[#This Row],[_Days]])=0),Tasks[[#This Row],[Planned Finish]]+Tasks[[#This Row],[_Row]]/100000,"")</f>
        <v/>
      </c>
      <c r="GL64" s="43" t="str">
        <f aca="false">IF(AND(Tasks[[#This Row],[_IsLeaf]]=1,Tasks[[#This Row],[_LeafProgress]]&lt;1,OR(N(Tasks[[#This Row],[Finish Var]])&gt;0,Tasks[[#This Row],[Status]]="Late Start")),MAX(0,Tasks[[#This Row],[Finish Var]])+1-Tasks[[#This Row],[_Row]]/1000000,"")</f>
        <v/>
      </c>
      <c r="GM64" s="43" t="str">
        <f aca="false">IF(AND(Tasks[[#This Row],[_IsLeaf]]=1,N(Tasks[[#This Row],[Actual Start]])=0,Tasks[[#This Row],[_ShownFcstStart]]&gt;=StatusDate,Tasks[[#This Row],[_ShownFcstStart]]&lt;=LookaheadEnd),Tasks[[#This Row],[_ShownFcstStart]]+Tasks[[#This Row],[_Row]]/100000,"")</f>
        <v/>
      </c>
      <c r="GN64" s="43" t="str">
        <f aca="false">IF(AND(Tasks[[#This Row],[_IsLeaf]]=1,Tasks[[#This Row],[_LeafProgress]]&lt;1,Tasks[[#This Row],[_ShownFcstFinish]]&gt;=StatusDate,Tasks[[#This Row],[_ShownFcstFinish]]&lt;=LookaheadEnd),Tasks[[#This Row],[_ShownFcstFinish]]+Tasks[[#This Row],[_Row]]/100000,"")</f>
        <v/>
      </c>
      <c r="GO64" s="43" t="str">
        <f aca="false">IF(Tasks[[#This Row],[_LeafCritical]],Tasks[[#This Row],[_ShownFcstStart]]+Tasks[[#This Row],[_Row]]/100000,"")</f>
        <v/>
      </c>
      <c r="GP64" s="43" t="n">
        <f aca="false">Tasks[[#This Row],[_LeafWork]]*Tasks[[#This Row],[_LeafProgress]]</f>
        <v>0</v>
      </c>
      <c r="GQ64" s="91" t="str">
        <f aca="false">IF(AND(Tasks[[#This Row],[_IsLeaf]]=1,Tasks[[#This Row],[_LeafProgress]]&gt;=1),IF(N(Tasks[[#This Row],[Actual Finish]])&gt;0,Tasks[[#This Row],[Actual Finish]],Tasks[[#This Row],[_ShownFcstFinish]]),"")</f>
        <v/>
      </c>
      <c r="GR64" s="43" t="n">
        <f aca="false">IF(Tasks[[#This Row],[_IsLeaf]]=1,N(Tasks[[#This Row],[Story Points]]),0)</f>
        <v>0</v>
      </c>
      <c r="GS64" s="43" t="str">
        <f aca="false">""</f>
        <v/>
      </c>
      <c r="GT64" s="90" t="b">
        <f aca="false">IF(Tasks[[#This Row],[Task Name]]="",FALSE(),AND(Tasks[[#This Row],[_IsLeaf]]=1,N(Tasks[[#This Row],[_Days]])=0))</f>
        <v>0</v>
      </c>
      <c r="GU64" s="91" t="n">
        <f aca="false">IF(Tasks[[#This Row],[Task Name]]="",0,IF(AND(Tasks[[#This Row],[_IsLeaf]]=1,NOT(Tasks[[#This Row],[_IsMilestone]]),N(Tasks[[#This Row],[Progress]])&gt;0),Tasks[[#This Row],[Start]],0))</f>
        <v>0</v>
      </c>
      <c r="GV64" s="91" t="n">
        <f aca="false">IF(Tasks[[#This Row],[_DoneFrom]]=0,0,IF(Tasks[[#This Row],[Progress]]&gt;=1,Tasks[[#This Row],[Finish]],MAX(Tasks[[#This Row],[_DoneFrom]],Tasks[[#This Row],[Start]]+ROUND((Tasks[[#This Row],[Finish]]-Tasks[[#This Row],[Start]]+1)*Tasks[[#This Row],[Progress]],0)-1)))</f>
        <v>0</v>
      </c>
      <c r="GW64" s="91" t="n">
        <f aca="false">IF(Tasks[[#This Row],[Task Name]]="",0,IF(OR(NOT(Tasks[[#This Row],[_IsLeaf]]=1),Tasks[[#This Row],[_IsMilestone]],N(Tasks[[#This Row],[Progress]])&gt;=1),0,IF(Tasks[[#This Row],[_DoneTo]]&gt;0,Tasks[[#This Row],[_DoneTo]]+1,Tasks[[#This Row],[Start]])))</f>
        <v>0</v>
      </c>
      <c r="GX64" s="91" t="n">
        <f aca="false">IF(Tasks[[#This Row],[_RemFrom]]=0,0,Tasks[[#This Row],[Finish]])</f>
        <v>0</v>
      </c>
      <c r="GY64" s="90" t="b">
        <f aca="false">IF(Tasks[[#This Row],[Task Name]]="",FALSE(),OR(NOT(BaselineSet),N(Tasks[[#This Row],[Baseline Start]])&gt;0))</f>
        <v>0</v>
      </c>
      <c r="GZ6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4" s="92" t="str">
        <f aca="false">IF(Tasks[[#This Row],[_IsLeaf]]=1,Tasks[[#This Row],[_Row]],"")</f>
        <v/>
      </c>
      <c r="HD64" s="92" t="str">
        <f aca="false">IFERROR(INDEX(Tasks[UID],SMALL(Tasks[_PickKey],Tasks[[#This Row],[_Row]]))&amp;" "&amp;INDEX(Tasks[Task Name],SMALL(Tasks[_PickKey],Tasks[[#This Row],[_Row]])),"")</f>
        <v/>
      </c>
      <c r="HE64" s="43" t="str">
        <f aca="false">IF(Tasks[[#This Row],[Task Name]]="","",IF(Tasks[[#This Row],[_IsSummary]],NETWORKDAYS.INTL(Tasks[[#This Row],[Start]],Tasks[[#This Row],[Finish]],WorkWeek,Holidays),N(Tasks[[#This Row],[_Days]])))</f>
        <v/>
      </c>
      <c r="HF64" s="43" t="n">
        <f aca="false">IF(Tasks[[#This Row],[Expected]]="",0,((Tasks[[#This Row],[Pessimistic]]-Tasks[[#This Row],[Optimistic]])/6)^2)</f>
        <v>0</v>
      </c>
      <c r="HG64" s="43" t="n">
        <f aca="false">IF(Tasks[[#This Row],[Expected]]="",0,Tasks[[#This Row],[Expected]]-N(Tasks[[#This Row],[_Days]]))</f>
        <v>0</v>
      </c>
    </row>
    <row r="65" customFormat="false" ht="15" hidden="false" customHeight="false" outlineLevel="0" collapsed="false">
      <c r="A65" s="21" t="str">
        <f aca="false">IF(Tasks[[#This Row],[Task Name]]="","",COUNTA(Tasks[[#Headers],[Task Name]]:Tasks[[#This Row],[Task Name]])-1)</f>
        <v/>
      </c>
      <c r="B65" s="22" t="n">
        <v>73</v>
      </c>
      <c r="C65" s="22"/>
      <c r="D65" s="23"/>
      <c r="E65" s="22"/>
      <c r="F65" s="23"/>
      <c r="G65" s="22"/>
      <c r="H65" s="22"/>
      <c r="I65" s="23"/>
      <c r="J65" s="22"/>
      <c r="K65" s="22"/>
      <c r="L65" s="23"/>
      <c r="M65" s="22"/>
      <c r="N65" s="22"/>
      <c r="O65" s="23"/>
      <c r="P65" s="22"/>
      <c r="Q65" s="22"/>
      <c r="R65" s="23"/>
      <c r="S65" s="23"/>
      <c r="T65" s="84"/>
      <c r="U65" s="23"/>
      <c r="V65" s="84"/>
      <c r="W65" s="23"/>
      <c r="X65" s="84"/>
      <c r="Y65" s="23"/>
      <c r="Z65" s="84"/>
      <c r="AA65" s="23"/>
      <c r="AB65" s="23"/>
      <c r="AC65" s="7"/>
      <c r="AD65" s="7"/>
      <c r="AE65" s="63" t="str">
        <f aca="false">IF(Tasks[[#This Row],[Task Name]]="","",IF(Tasks[[#This Row],[_IsSummary]],MIN(INDEX(Tasks[_ShownFcstStart],Tasks[[#This Row],[_Row]]+1):INDEX(Tasks[_ShownFcstStart],Tasks[[#This Row],[_Row]]+Tasks[[#This Row],[_Descendants]])),Tasks[[#This Row],[_ShownFcstStart]]))</f>
        <v/>
      </c>
      <c r="AF65" s="63" t="str">
        <f aca="false">IF(Tasks[[#This Row],[Task Name]]="","",IF(Tasks[[#This Row],[_IsSummary]],MAX(INDEX(Tasks[_ShownFcstFinish],Tasks[[#This Row],[_Row]]+1):INDEX(Tasks[_ShownFcstFinish],Tasks[[#This Row],[_Row]]+Tasks[[#This Row],[_Descendants]])),Tasks[[#This Row],[_ShownFcstFinish]]))</f>
        <v/>
      </c>
      <c r="AG65" s="21" t="str">
        <f aca="false">""</f>
        <v/>
      </c>
      <c r="AH65" s="23"/>
      <c r="AI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5" s="7"/>
      <c r="AK65" s="22"/>
      <c r="AL65" s="23"/>
      <c r="AM65" s="7"/>
      <c r="AN65" s="47" t="str">
        <f aca="false">IF(Tasks[[#This Row],[Task Name]]="","",IF(Tasks[[#This Row],[Finish]]&gt;=Tasks[[#This Row],[Planned Finish]],NETWORKDAYS.INTL(Tasks[[#This Row],[Planned Finish]],Tasks[[#This Row],[Finish]],WorkWeek,Holidays)-1,1-NETWORKDAYS.INTL(Tasks[[#This Row],[Finish]],Tasks[[#This Row],[Planned Finish]],WorkWeek,Holidays)))</f>
        <v/>
      </c>
      <c r="AO65" s="21" t="str">
        <f aca="false">IF(Tasks[[#This Row],[Task Name]]="","",IF(Tasks[[#This Row],[Progress]]&gt;=1,"Complete",IF(OR(N(Tasks[[#This Row],[Actual Start]])&gt;0,Tasks[[#This Row],[Progress]]&gt;0),IF(Tasks[[#This Row],[Finish Var]]&gt;0,"Behind","In Progress"),IF(Tasks[[#This Row],[Planned Start]]&lt;StatusDate,"Late Start","Not Started"))))</f>
        <v/>
      </c>
      <c r="AP65" s="21" t="str">
        <f aca="false">IF(Tasks[[#This Row],[Task Name]]="","",IF(IF(Tasks[[#This Row],[_IsSummary]],COUNTIF(INDEX(Tasks[_LeafCritical],Tasks[[#This Row],[_Row]]+1):INDEX(Tasks[_LeafCritical],Tasks[[#This Row],[_Row]]+Tasks[[#This Row],[_Descendants]]),TRUE())&gt;0,Tasks[[#This Row],[_LeafCritical]]),"Yes",""))</f>
        <v/>
      </c>
      <c r="AQ65" s="63" t="str">
        <f aca="false">IF(Tasks[[#This Row],[Task Name]]="","",IF(N(Tasks[[#This Row],[Baseline Start]])&gt;0,Tasks[[#This Row],[Baseline Start]],Tasks[[#This Row],[_CalcStart]]))</f>
        <v/>
      </c>
      <c r="AR65" s="63" t="str">
        <f aca="false">IF(Tasks[[#This Row],[Task Name]]="","",IF(N(Tasks[[#This Row],[Baseline Finish]])&gt;0,Tasks[[#This Row],[Baseline Finish]],Tasks[[#This Row],[_CalcFinish]]))</f>
        <v/>
      </c>
      <c r="AS65" s="47" t="str">
        <f aca="false">IF(Tasks[[#This Row],[Task Name]]="","",IF(Tasks[[#This Row],[Start]]&gt;=Tasks[[#This Row],[Planned Start]],NETWORKDAYS.INTL(Tasks[[#This Row],[Planned Start]],Tasks[[#This Row],[Start]],WorkWeek,Holidays)-1,1-NETWORKDAYS.INTL(Tasks[[#This Row],[Start]],Tasks[[#This Row],[Planned Start]],WorkWeek,Holidays)))</f>
        <v/>
      </c>
      <c r="AT65" s="63" t="str">
        <f aca="false">IF(Tasks[[#This Row],[Task Name]]="","",IF(Tasks[[#This Row],[_IsSummary]],MIN(INDEX(Tasks[_LeafLateStart],Tasks[[#This Row],[_Row]]+1):INDEX(Tasks[_LeafLateStart],Tasks[[#This Row],[_Row]]+Tasks[[#This Row],[_Descendants]])),Tasks[[#This Row],[_LeafLateStart]]))</f>
        <v/>
      </c>
      <c r="AU65" s="63" t="str">
        <f aca="false">IF(Tasks[[#This Row],[Task Name]]="","",IF(Tasks[[#This Row],[_IsSummary]],MAX(INDEX(Tasks[_LeafLateFinish],Tasks[[#This Row],[_Row]]+1):INDEX(Tasks[_LeafLateFinish],Tasks[[#This Row],[_Row]]+Tasks[[#This Row],[_Descendants]])),Tasks[[#This Row],[_LeafLateFinish]]))</f>
        <v/>
      </c>
      <c r="AV65" s="47" t="str">
        <f aca="false">IF(Tasks[[#This Row],[Task Name]]="","",IF(Tasks[[#This Row],[_IsSummary]],MIN(INDEX(Tasks[_LeafTotalSlack],Tasks[[#This Row],[_Row]]+1):INDEX(Tasks[_LeafTotalSlack],Tasks[[#This Row],[_Row]]+Tasks[[#This Row],[_Descendants]])),Tasks[[#This Row],[_LeafTotalSlack]]))</f>
        <v/>
      </c>
      <c r="AW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5"/>
      <c r="BA6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t="str">
        <f aca="false">IF(Tasks[[#This Row],[Task Name]]="","",IF(Tasks[[#This Row],[_Level]]&lt;=OutlineShowLevel,"Yes","No"))</f>
        <v/>
      </c>
      <c r="BE65" s="86" t="str">
        <f aca="false">IF(Tasks[[#This Row],[Task Name]]="","",IF(Tasks[[#This Row],[_IsSummary]],SUM(INDEX(Tasks[_LeafTotalWork],Tasks[[#This Row],[_Row]]+1):INDEX(Tasks[_LeafTotalWork],Tasks[[#This Row],[_Row]]+Tasks[[#This Row],[_Descendants]])),Tasks[[#This Row],[_LeafTotalWork]]))</f>
        <v/>
      </c>
      <c r="BF65" s="23"/>
      <c r="BG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t="str">
        <f aca="false">""</f>
        <v/>
      </c>
      <c r="BI65" s="87"/>
      <c r="BJ65" s="22"/>
      <c r="BK65" s="47" t="str">
        <f aca="false">IF(OR(Tasks[[#This Row],[Task Name]]="",Tasks[[#This Row],[Baseline Duration]]=""),"",Tasks[[#This Row],[_SpanDays]]-N(Tasks[[#This Row],[Baseline Duration]]))</f>
        <v/>
      </c>
      <c r="BL65" s="86" t="str">
        <f aca="false">IF(OR(Tasks[[#This Row],[Task Name]]="",Tasks[[#This Row],[Baseline Work]]=""),"",Tasks[[#This Row],[Work]]-N(Tasks[[#This Row],[Baseline Work]]))</f>
        <v/>
      </c>
      <c r="BM65" s="63" t="str">
        <f aca="false">IF(Tasks[[#This Row],[Task Name]]="","",IF(OR(TakeBaseline="Yes",N(Tasks[[#This Row],[Baseline Start]])=0),Tasks[[#This Row],[Start]],Tasks[[#This Row],[Baseline Start]]))</f>
        <v/>
      </c>
      <c r="BN65" s="63" t="str">
        <f aca="false">IF(Tasks[[#This Row],[Task Name]]="","",IF(OR(TakeBaseline="Yes",N(Tasks[[#This Row],[Baseline Finish]])=0),Tasks[[#This Row],[Finish]],Tasks[[#This Row],[Baseline Finish]]))</f>
        <v/>
      </c>
      <c r="BO65" s="21" t="str">
        <f aca="false">IF(Tasks[[#This Row],[Task Name]]="","",IF(OR(TakeBaseline="Yes",N(Tasks[[#This Row],[Baseline Duration]])=0),Tasks[[#This Row],[_SpanDays]],Tasks[[#This Row],[Baseline Duration]]))</f>
        <v/>
      </c>
      <c r="BP65" s="86" t="str">
        <f aca="false">IF(Tasks[[#This Row],[Task Name]]="","",IF(OR(TakeBaseline="Yes",N(Tasks[[#This Row],[Baseline Work]])=0),Tasks[[#This Row],[Work]],Tasks[[#This Row],[Baseline Work]]))</f>
        <v/>
      </c>
      <c r="BQ65" s="7"/>
      <c r="BR65" s="7"/>
      <c r="BS65" s="22"/>
      <c r="BT65" s="88"/>
      <c r="BU65" s="23"/>
      <c r="BV65" s="23"/>
      <c r="BW65" s="23"/>
      <c r="BX65" s="89" t="str">
        <f aca="false">IF(AND(Tasks[[#This Row],[_IsLeaf]]=1,ISNUMBER(Tasks[[#This Row],[Optimistic]]),ISNUMBER(Tasks[[#This Row],[Pessimistic]])),ROUND((Tasks[[#This Row],[Optimistic]]+4*N(Tasks[[#This Row],[_Days]])+Tasks[[#This Row],[Pessimistic]])/6,1),"")</f>
        <v/>
      </c>
      <c r="BY65" s="87"/>
      <c r="BZ65" s="87"/>
      <c r="CA65" s="22"/>
      <c r="CB65" s="43" t="str">
        <f aca="false">IF(Tasks[[#This Row],[Task Name]]="","",MAX(1,N(Tasks[[#This Row],[Level]])))</f>
        <v/>
      </c>
      <c r="CC65" s="43" t="n">
        <f aca="false">ROW()-ROW(Tasks[[#Headers],[ID]])</f>
        <v>60</v>
      </c>
      <c r="CD65" s="43" t="n">
        <f aca="false">IF(OR(Tasks[[#This Row],[Task Name]]="",Tasks[[#This Row],[_Level]]&lt;=1),0,IFERROR(LOOKUP(2,1/(Tasks[[#Headers],[_Level]]:Tasks[[#This Row],[_Level]]=Tasks[[#This Row],[_Level]]-1),ROW(Tasks[[#Headers],[_Level]]:Tasks[[#This Row],[_Level]])),0))</f>
        <v>0</v>
      </c>
      <c r="CE65" s="43" t="n">
        <f aca="false">IFERROR(N(INDEX(Tasks[_Level],Tasks[[#This Row],[_Row]]+1)),0)</f>
        <v>0</v>
      </c>
      <c r="CF65" s="90" t="b">
        <f aca="false">AND(Tasks[[#This Row],[Task Name]]&lt;&gt;"",Tasks[[#This Row],[_NextLevel]]&gt;Tasks[[#This Row],[_Level]])</f>
        <v>0</v>
      </c>
      <c r="CG65" s="43" t="n">
        <f aca="false">IF(Tasks[[#This Row],[_IsSummary]],COUNTIF(Tasks[WBS],Tasks[[#This Row],[WBS]]&amp;".*"),0)</f>
        <v>0</v>
      </c>
      <c r="CH65" s="43" t="n">
        <f aca="false">IF(AND(Tasks[[#This Row],[Task Name]]&lt;&gt;"",NOT(Tasks[[#This Row],[_IsSummary]])),1,0)</f>
        <v>0</v>
      </c>
      <c r="CI65" s="43" t="n">
        <f aca="false">IF(N(Tasks[[#This Row],[_Pred1UID]])=0,0,IFERROR(MATCH(Tasks[[#This Row],[_Pred1UID]],Tasks[UID],0),-1))</f>
        <v>0</v>
      </c>
      <c r="CJ65" s="43" t="n">
        <f aca="false">IF(N(Tasks[[#This Row],[_Pred2UID]])=0,0,IFERROR(MATCH(Tasks[[#This Row],[_Pred2UID]],Tasks[UID],0),-1))</f>
        <v>0</v>
      </c>
      <c r="CK65" s="43" t="n">
        <f aca="false">IF(N(Tasks[[#This Row],[_Pred3UID]])=0,0,IFERROR(MATCH(Tasks[[#This Row],[_Pred3UID]],Tasks[UID],0),-1))</f>
        <v>0</v>
      </c>
      <c r="CL65" s="43" t="n">
        <f aca="false">IF(N(Tasks[[#This Row],[_Pred4UID]])=0,0,IFERROR(MATCH(Tasks[[#This Row],[_Pred4UID]],Tasks[UID],0),-1))</f>
        <v>0</v>
      </c>
      <c r="CM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5" s="91" t="n">
        <f aca="false">IF(OR(Tasks[[#This Row],[_ConstraintCode]]=2,Tasks[[#This Row],[_ConstraintCode]]=3,Tasks[[#This Row],[_ConstraintCode]]=4,Tasks[[#This Row],[_ConstraintCode]]=6),Tasks[[#This Row],[_ConstraintStart]],0)</f>
        <v>0</v>
      </c>
      <c r="CP65" s="91" t="n">
        <f aca="false">IF(OR(Tasks[[#This Row],[_ConstraintCode]]=2,Tasks[[#This Row],[_ConstraintCode]]=3,Tasks[[#This Row],[_ConstraintCode]]=5,Tasks[[#This Row],[_ConstraintCode]]=7),Tasks[[#This Row],[_ConstraintStart]],2958465)</f>
        <v>2958465</v>
      </c>
      <c r="CQ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5" s="91" t="str">
        <f aca="false">IF(NOT(Tasks[[#This Row],[_IsLeaf]]=1),"",IF(N(Tasks[[#This Row],[_Days]])&lt;=0,Tasks[[#This Row],[_LeafCalcStart]],WORKDAY.INTL(Tasks[[#This Row],[_LeafCalcStart]],Tasks[[#This Row],[_Days]]-1,WorkWeek,Holidays)))</f>
        <v/>
      </c>
      <c r="CS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5" s="43" t="str">
        <f aca="false">IF(Tasks[[#This Row],[_Predecessors]]="","",TRIM(MID(SUBSTITUTE(SUBSTITUTE(SUBSTITUTE(UPPER(Tasks[[#This Row],[_Predecessors]]),";",",")," ",""),",",REPT(" ",99)),1,99)))</f>
        <v/>
      </c>
      <c r="CV65" s="43" t="str">
        <f aca="false">IF(Tasks[[#This Row],[_Pred1Text]]="","",IFERROR(VALUE(LEFT(Tasks[[#This Row],[_Pred1Text]],MIN(FIND("F",Tasks[[#This Row],[_Pred1Text]]&amp;"F"),FIND("S",Tasks[[#This Row],[_Pred1Text]]&amp;"S"),FIND("+",Tasks[[#This Row],[_Pred1Text]]&amp;"+"),FIND("-",Tasks[[#This Row],[_Pred1Text]]&amp;"-"))-1)),""))</f>
        <v/>
      </c>
      <c r="CW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5" s="43" t="str">
        <f aca="false">IF(Tasks[[#This Row],[_Pred1Text]]="","",TRIM(MID(SUBSTITUTE(SUBSTITUTE(SUBSTITUTE(UPPER(Tasks[[#This Row],[_Predecessors]]),";",",")," ",""),",",REPT(" ",99)),100,99)))</f>
        <v/>
      </c>
      <c r="CZ65" s="43" t="str">
        <f aca="false">IF(Tasks[[#This Row],[_Pred2Text]]="","",IFERROR(VALUE(LEFT(Tasks[[#This Row],[_Pred2Text]],MIN(FIND("F",Tasks[[#This Row],[_Pred2Text]]&amp;"F"),FIND("S",Tasks[[#This Row],[_Pred2Text]]&amp;"S"),FIND("+",Tasks[[#This Row],[_Pred2Text]]&amp;"+"),FIND("-",Tasks[[#This Row],[_Pred2Text]]&amp;"-"))-1)),""))</f>
        <v/>
      </c>
      <c r="DA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5" s="43" t="str">
        <f aca="false">IF(Tasks[[#This Row],[_Pred2Text]]="","",TRIM(MID(SUBSTITUTE(SUBSTITUTE(SUBSTITUTE(UPPER(Tasks[[#This Row],[_Predecessors]]),";",",")," ",""),",",REPT(" ",99)),199,99)))</f>
        <v/>
      </c>
      <c r="DD65" s="43" t="str">
        <f aca="false">IF(Tasks[[#This Row],[_Pred3Text]]="","",IFERROR(VALUE(LEFT(Tasks[[#This Row],[_Pred3Text]],MIN(FIND("F",Tasks[[#This Row],[_Pred3Text]]&amp;"F"),FIND("S",Tasks[[#This Row],[_Pred3Text]]&amp;"S"),FIND("+",Tasks[[#This Row],[_Pred3Text]]&amp;"+"),FIND("-",Tasks[[#This Row],[_Pred3Text]]&amp;"-"))-1)),""))</f>
        <v/>
      </c>
      <c r="DE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5" s="43" t="str">
        <f aca="false">IF(Tasks[[#This Row],[_Pred3Text]]="","",TRIM(MID(SUBSTITUTE(SUBSTITUTE(SUBSTITUTE(UPPER(Tasks[[#This Row],[_Predecessors]]),";",",")," ",""),",",REPT(" ",99)),298,99)))</f>
        <v/>
      </c>
      <c r="DH65" s="43" t="str">
        <f aca="false">IF(Tasks[[#This Row],[_Pred4Text]]="","",IFERROR(VALUE(LEFT(Tasks[[#This Row],[_Pred4Text]],MIN(FIND("F",Tasks[[#This Row],[_Pred4Text]]&amp;"F"),FIND("S",Tasks[[#This Row],[_Pred4Text]]&amp;"S"),FIND("+",Tasks[[#This Row],[_Pred4Text]]&amp;"+"),FIND("-",Tasks[[#This Row],[_Pred4Text]]&amp;"-"))-1)),""))</f>
        <v/>
      </c>
      <c r="DI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5" s="43" t="str">
        <f aca="false">IF(OR(Tasks[[#This Row],[Task Name]]="",Tasks[[#This Row],[_Resources]]=""),"",TRIM(MID(SUBSTITUTE(Tasks[[#This Row],[_Resources]],",",REPT(" ",99)),1,99)))</f>
        <v/>
      </c>
      <c r="DL65" s="43" t="str">
        <f aca="false">IF(Tasks[[#This Row],[_Res1Text]]="","",TRIM(MID(SUBSTITUTE(Tasks[[#This Row],[_Resources]],",",REPT(" ",99)),100,99)))</f>
        <v/>
      </c>
      <c r="DM65" s="43" t="str">
        <f aca="false">IF(Tasks[[#This Row],[_Res2Text]]="","",TRIM(MID(SUBSTITUTE(Tasks[[#This Row],[_Resources]],",",REPT(" ",99)),199,99)))</f>
        <v/>
      </c>
      <c r="DN65" s="43" t="str">
        <f aca="false">IF(Tasks[[#This Row],[_Res3Text]]="","",TRIM(MID(SUBSTITUTE(Tasks[[#This Row],[_Resources]],",",REPT(" ",99)),298,99)))</f>
        <v/>
      </c>
      <c r="DO65" s="43" t="n">
        <f aca="false">IF(Tasks[[#This Row],[_Res1Text]]="",0,IFERROR(MATCH(TRIM(LEFT(Tasks[[#This Row],[_Res1Text]],FIND("[",Tasks[[#This Row],[_Res1Text]]&amp;"[")-1)),res_Name,0),IFERROR(MATCH(TRIM(LEFT(Tasks[[#This Row],[_Res1Text]],FIND("[",Tasks[[#This Row],[_Res1Text]]&amp;"[")-1)),res_Initials,0),0)))</f>
        <v>0</v>
      </c>
      <c r="DP65" s="43" t="n">
        <f aca="false">IF(Tasks[[#This Row],[_Res2Text]]="",0,IFERROR(MATCH(TRIM(LEFT(Tasks[[#This Row],[_Res2Text]],FIND("[",Tasks[[#This Row],[_Res2Text]]&amp;"[")-1)),res_Name,0),IFERROR(MATCH(TRIM(LEFT(Tasks[[#This Row],[_Res2Text]],FIND("[",Tasks[[#This Row],[_Res2Text]]&amp;"[")-1)),res_Initials,0),0)))</f>
        <v>0</v>
      </c>
      <c r="DQ65" s="43" t="n">
        <f aca="false">IF(Tasks[[#This Row],[_Res3Text]]="",0,IFERROR(MATCH(TRIM(LEFT(Tasks[[#This Row],[_Res3Text]],FIND("[",Tasks[[#This Row],[_Res3Text]]&amp;"[")-1)),res_Name,0),IFERROR(MATCH(TRIM(LEFT(Tasks[[#This Row],[_Res3Text]],FIND("[",Tasks[[#This Row],[_Res3Text]]&amp;"[")-1)),res_Initials,0),0)))</f>
        <v>0</v>
      </c>
      <c r="DR65" s="43" t="n">
        <f aca="false">IF(Tasks[[#This Row],[_Res4Text]]="",0,IFERROR(MATCH(TRIM(LEFT(Tasks[[#This Row],[_Res4Text]],FIND("[",Tasks[[#This Row],[_Res4Text]]&amp;"[")-1)),res_Name,0),IFERROR(MATCH(TRIM(LEFT(Tasks[[#This Row],[_Res4Text]],FIND("[",Tasks[[#This Row],[_Res4Text]]&amp;"[")-1)),res_Initials,0),0)))</f>
        <v>0</v>
      </c>
      <c r="DS65" s="43" t="str">
        <f aca="false">IF(Tasks[[#This Row],[_Res1Text]]="","",IF(Tasks[[#This Row],[_Res1Row]]&gt;0,INDEX(res_Name,Tasks[[#This Row],[_Res1Row]]),TRIM(LEFT(Tasks[[#This Row],[_Res1Text]],FIND("[",Tasks[[#This Row],[_Res1Text]]&amp;"[")-1))))</f>
        <v/>
      </c>
      <c r="DT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5" s="43" t="n">
        <f aca="false">IF(NOT(Tasks[[#This Row],[_IsLeaf]]=1),0,(Tasks[[#This Row],[_Resource1]]&lt;&gt;"")+(Tasks[[#This Row],[_Res2]]&lt;&gt;"")+(Tasks[[#This Row],[_Res3]]&lt;&gt;"")+(Tasks[[#This Row],[_Res4]]&lt;&gt;""))</f>
        <v>0</v>
      </c>
      <c r="DV65" s="43" t="str">
        <f aca="false">IF(Tasks[[#This Row],[_Res2Text]]="","",IF(Tasks[[#This Row],[_Res2Row]]&gt;0,INDEX(res_Name,Tasks[[#This Row],[_Res2Row]]),TRIM(LEFT(Tasks[[#This Row],[_Res2Text]],FIND("[",Tasks[[#This Row],[_Res2Text]]&amp;"[")-1))))</f>
        <v/>
      </c>
      <c r="DW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5" s="43" t="n">
        <f aca="false">IF(OR(NOT(Tasks[[#This Row],[_IsLeaf]]=1),Tasks[[#This Row],[_Res2Row]]=0),0,N(Tasks[[#This Row],[_Days]])*HoursPerDay*IF(Tasks[[#This Row],[_Res2Units]]="",DefaultUnits,Tasks[[#This Row],[_Res2Units]]))</f>
        <v>0</v>
      </c>
      <c r="DY65" s="43" t="n">
        <f aca="false">IF(AND(AND(Tasks[[#This Row],[_IsLeaf]]=1,Tasks[[#This Row],[_LeafTotalWork]]&gt;0),Tasks[[#This Row],[_Res2Work]]&gt;0),Tasks[[#This Row],[_Res2Work]]/(Tasks[[#This Row],[_FinishWorkday]]-Tasks[[#This Row],[_StartWorkday]]+1),0)</f>
        <v>0</v>
      </c>
      <c r="DZ65" s="43" t="n">
        <f aca="false">Tasks[[#This Row],[_Res2WorkPerWD]]*MAX(0,Tasks[[#This Row],[_StartWorkday]]-1)</f>
        <v>0</v>
      </c>
      <c r="EA65" s="43" t="n">
        <f aca="false">Tasks[[#This Row],[_Res2Work]]*Tasks[[#This Row],[_LeafProgress]]</f>
        <v>0</v>
      </c>
      <c r="EB65" s="43" t="str">
        <f aca="false">IF(Tasks[[#This Row],[_Res3Text]]="","",IF(Tasks[[#This Row],[_Res3Row]]&gt;0,INDEX(res_Name,Tasks[[#This Row],[_Res3Row]]),TRIM(LEFT(Tasks[[#This Row],[_Res3Text]],FIND("[",Tasks[[#This Row],[_Res3Text]]&amp;"[")-1))))</f>
        <v/>
      </c>
      <c r="EC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5" s="43" t="n">
        <f aca="false">IF(OR(NOT(Tasks[[#This Row],[_IsLeaf]]=1),Tasks[[#This Row],[_Res3Row]]=0),0,N(Tasks[[#This Row],[_Days]])*HoursPerDay*IF(Tasks[[#This Row],[_Res3Units]]="",DefaultUnits,Tasks[[#This Row],[_Res3Units]]))</f>
        <v>0</v>
      </c>
      <c r="EE65" s="43" t="n">
        <f aca="false">IF(AND(AND(Tasks[[#This Row],[_IsLeaf]]=1,Tasks[[#This Row],[_LeafTotalWork]]&gt;0),Tasks[[#This Row],[_Res3Work]]&gt;0),Tasks[[#This Row],[_Res3Work]]/(Tasks[[#This Row],[_FinishWorkday]]-Tasks[[#This Row],[_StartWorkday]]+1),0)</f>
        <v>0</v>
      </c>
      <c r="EF65" s="43" t="n">
        <f aca="false">Tasks[[#This Row],[_Res3WorkPerWD]]*MAX(0,Tasks[[#This Row],[_StartWorkday]]-1)</f>
        <v>0</v>
      </c>
      <c r="EG65" s="43" t="n">
        <f aca="false">Tasks[[#This Row],[_Res3Work]]*Tasks[[#This Row],[_LeafProgress]]</f>
        <v>0</v>
      </c>
      <c r="EH65" s="43" t="str">
        <f aca="false">IF(Tasks[[#This Row],[_Res4Text]]="","",IF(Tasks[[#This Row],[_Res4Row]]&gt;0,INDEX(res_Name,Tasks[[#This Row],[_Res4Row]]),TRIM(LEFT(Tasks[[#This Row],[_Res4Text]],FIND("[",Tasks[[#This Row],[_Res4Text]]&amp;"[")-1))))</f>
        <v/>
      </c>
      <c r="EI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5" s="43" t="n">
        <f aca="false">IF(OR(NOT(Tasks[[#This Row],[_IsLeaf]]=1),Tasks[[#This Row],[_Res4Row]]=0),0,N(Tasks[[#This Row],[_Days]])*HoursPerDay*IF(Tasks[[#This Row],[_Res4Units]]="",DefaultUnits,Tasks[[#This Row],[_Res4Units]]))</f>
        <v>0</v>
      </c>
      <c r="EK65" s="43" t="n">
        <f aca="false">IF(AND(AND(Tasks[[#This Row],[_IsLeaf]]=1,Tasks[[#This Row],[_LeafTotalWork]]&gt;0),Tasks[[#This Row],[_Res4Work]]&gt;0),Tasks[[#This Row],[_Res4Work]]/(Tasks[[#This Row],[_FinishWorkday]]-Tasks[[#This Row],[_StartWorkday]]+1),0)</f>
        <v>0</v>
      </c>
      <c r="EL65" s="43" t="n">
        <f aca="false">Tasks[[#This Row],[_Res4WorkPerWD]]*MAX(0,Tasks[[#This Row],[_StartWorkday]]-1)</f>
        <v>0</v>
      </c>
      <c r="EM65" s="43" t="n">
        <f aca="false">Tasks[[#This Row],[_Res4Work]]*Tasks[[#This Row],[_LeafProgress]]</f>
        <v>0</v>
      </c>
      <c r="EN65" s="43" t="n">
        <f aca="false">IF(ISNUMBER(Tasks[[#This Row],[% Complete]]),Tasks[[#This Row],[% Complete]],IF(Tasks[[#This Row],[Stage]]="",0,IFERROR(INDEX(stg_Pct,MATCH(Tasks[[#This Row],[Stage]],stg_Name,0)),0)))</f>
        <v>0</v>
      </c>
      <c r="EO65" s="43" t="n">
        <f aca="false">IF(NOT(Tasks[[#This Row],[_IsLeaf]]=1),0,IF(N(Tasks[[#This Row],[Actual Finish]])&gt;0,1,MIN(1,Tasks[[#This Row],[_Pct]])))</f>
        <v>0</v>
      </c>
      <c r="EP65" s="43" t="n">
        <f aca="false">IF(OR(NOT(Tasks[[#This Row],[_IsLeaf]]=1),Tasks[[#This Row],[_Res1Row]]=0),0,N(Tasks[[#This Row],[_Days]])*HoursPerDay*IF(Tasks[[#This Row],[_Units1]]="",DefaultUnits,Tasks[[#This Row],[_Units1]]))</f>
        <v>0</v>
      </c>
      <c r="EQ65" s="43" t="n">
        <f aca="false">Tasks[[#This Row],[_LeafWork]]+Tasks[[#This Row],[_Res2Work]]+Tasks[[#This Row],[_Res3Work]]+Tasks[[#This Row],[_Res4Work]]</f>
        <v>0</v>
      </c>
      <c r="ER6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5" s="43" t="n">
        <f aca="false">IF(NOT(Tasks[[#This Row],[_IsLeaf]]=1),0,MAX(_xlfn.MAXIFS(Tasks[_Row],Tasks[_Pred1UID],Tasks[[#This Row],[UID]]),_xlfn.MAXIFS(Tasks[_Row],Tasks[_Pred2UID],Tasks[[#This Row],[UID]]),_xlfn.MAXIFS(Tasks[_Row],Tasks[_Pred3UID],Tasks[[#This Row],[UID]]),_xlfn.MAXIFS(Tasks[_Row],Tasks[_Pred4UID],Tasks[[#This Row],[UID]])))</f>
        <v>0</v>
      </c>
      <c r="FA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5" s="91" t="str">
        <f aca="false">IF(NOT(Tasks[[#This Row],[_IsLeaf]]=1),"",IF(N(Tasks[[#This Row],[_Days]])&lt;=0,Tasks[[#This Row],[_LeafLateFinish]],WORKDAY.INTL(Tasks[[#This Row],[_LeafLateFinish]],-(Tasks[[#This Row],[_Days]]-1),WorkWeek,Holidays)))</f>
        <v/>
      </c>
      <c r="FD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5" s="90" t="b">
        <f aca="false">AND(Tasks[[#This Row],[_IsLeaf]]=1,Tasks[[#This Row],[_LeafProgress]]&lt;1,N(Tasks[[#This Row],[_LeafTotalSlack]])&lt;=CriticalSlackDays)</f>
        <v>0</v>
      </c>
      <c r="FF65" s="43" t="n">
        <f aca="false">IF(AND(Tasks[[#This Row],[_IsLeaf]]=1,Tasks[[#This Row],[_ConstraintCode]]=1,Tasks[[#This Row],[Mode]]&lt;&gt;"Manual",N(Tasks[[#This Row],[Actual Start]])=0),MAX(0,N(Tasks[[#This Row],[Free Slack]])),0)</f>
        <v>0</v>
      </c>
      <c r="FG65" s="91" t="str">
        <f aca="false">IF(NOT(Tasks[[#This Row],[_IsLeaf]]=1),"",IF(Tasks[[#This Row],[_AlapShift]]=0,Tasks[[#This Row],[_LeafCalcStart]],WORKDAY.INTL(Tasks[[#This Row],[_LeafCalcStart]],Tasks[[#This Row],[_AlapShift]],WorkWeek,Holidays)))</f>
        <v/>
      </c>
      <c r="FH65" s="91" t="str">
        <f aca="false">IF(NOT(Tasks[[#This Row],[_IsLeaf]]=1),"",IF(Tasks[[#This Row],[_AlapShift]]=0,Tasks[[#This Row],[_LeafCalcFinish]],WORKDAY.INTL(Tasks[[#This Row],[_LeafCalcFinish]],Tasks[[#This Row],[_AlapShift]],WorkWeek,Holidays)))</f>
        <v/>
      </c>
      <c r="FI65" s="91" t="str">
        <f aca="false">IF(NOT(Tasks[[#This Row],[_IsLeaf]]=1),"",IF(Tasks[[#This Row],[_AlapShift]]=0,Tasks[[#This Row],[_LeafFcstStart]],WORKDAY.INTL(Tasks[[#This Row],[_LeafFcstStart]],Tasks[[#This Row],[_AlapShift]],WorkWeek,Holidays)))</f>
        <v/>
      </c>
      <c r="FJ65" s="91" t="str">
        <f aca="false">IF(NOT(Tasks[[#This Row],[_IsLeaf]]=1),"",IF(Tasks[[#This Row],[_AlapShift]]=0,Tasks[[#This Row],[_LeafFcstFinish]],WORKDAY.INTL(Tasks[[#This Row],[_LeafFcstFinish]],Tasks[[#This Row],[_AlapShift]],WorkWeek,Holidays)))</f>
        <v/>
      </c>
      <c r="FK65" s="91" t="str">
        <f aca="false">IF(Tasks[[#This Row],[Task Name]]="","",IF(Tasks[[#This Row],[_IsSummary]],MIN(INDEX(Tasks[_ShownCalcStart],Tasks[[#This Row],[_Row]]+1):INDEX(Tasks[_ShownCalcStart],Tasks[[#This Row],[_Row]]+Tasks[[#This Row],[_Descendants]])),Tasks[[#This Row],[_ShownCalcStart]]))</f>
        <v/>
      </c>
      <c r="FL65" s="91" t="str">
        <f aca="false">IF(Tasks[[#This Row],[Task Name]]="","",IF(Tasks[[#This Row],[_IsSummary]],MAX(INDEX(Tasks[_ShownCalcFinish],Tasks[[#This Row],[_Row]]+1):INDEX(Tasks[_ShownCalcFinish],Tasks[[#This Row],[_Row]]+Tasks[[#This Row],[_Descendants]])),Tasks[[#This Row],[_ShownCalcFinish]]))</f>
        <v/>
      </c>
      <c r="FM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5" s="43" t="n">
        <f aca="false">IF(AND(Tasks[[#This Row],[_IsLeaf]]=1,Tasks[[#This Row],[_LeafTotalWork]]&gt;0),NETWORKDAYS.INTL(ProjectStart,Tasks[[#This Row],[_ShownFcstStart]],WorkWeek,Holidays),0)</f>
        <v>0</v>
      </c>
      <c r="FZ65" s="43" t="n">
        <f aca="false">IF(AND(Tasks[[#This Row],[_IsLeaf]]=1,Tasks[[#This Row],[_LeafTotalWork]]&gt;0),MAX(Tasks[[#This Row],[_StartWorkday]],NETWORKDAYS.INTL(ProjectStart,Tasks[[#This Row],[_ShownFcstFinish]],WorkWeek,Holidays)),0)</f>
        <v>0</v>
      </c>
      <c r="GA65" s="43" t="n">
        <f aca="false">IF(AND(Tasks[[#This Row],[_IsLeaf]]=1,Tasks[[#This Row],[_LeafTotalWork]]&gt;0),Tasks[[#This Row],[_LeafWork]]/(Tasks[[#This Row],[_FinishWorkday]]-Tasks[[#This Row],[_StartWorkday]]+1),0)</f>
        <v>0</v>
      </c>
      <c r="GB65" s="43" t="n">
        <f aca="false">Tasks[[#This Row],[_WorkPerWorkday]]*(Tasks[[#This Row],[_StartWorkday]]-1)</f>
        <v>-0</v>
      </c>
      <c r="GC65" s="43" t="n">
        <f aca="false">IF(Tasks[[#This Row],[_IsLeaf]]=1,MAX(N(Tasks[[#This Row],[_Days]]),0.1),0)</f>
        <v>0</v>
      </c>
      <c r="GD65" s="43" t="n">
        <f aca="false">Tasks[[#This Row],[_WeightDur]]*Tasks[[#This Row],[_LeafProgress]]</f>
        <v>0</v>
      </c>
      <c r="GE65" s="43" t="n">
        <f aca="false">Tasks[[#This Row],[_WeightDur]]*Tasks[[#This Row],[_PlannedPct]]</f>
        <v>0</v>
      </c>
      <c r="GF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5" s="43" t="str">
        <f aca="false">IF(AND(Tasks[[#This Row],[_IsLeaf]]=1,N(Tasks[[#This Row],[_Days]])=0,Tasks[[#This Row],[_LeafProgress]]&lt;1),Tasks[[#This Row],[_ShownFcstFinish]]+Tasks[[#This Row],[_Row]]/100000,"")</f>
        <v/>
      </c>
      <c r="GH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5" s="43" t="str">
        <f aca="false">IF(Tasks[[#This Row],[Task Name]]="","",LEFT(Tasks[[#This Row],[WBS]],FIND(".",Tasks[[#This Row],[WBS]]&amp;".")-1))</f>
        <v/>
      </c>
      <c r="GJ65" s="43" t="str">
        <f aca="false">IF(AND(Tasks[[#This Row],[Task Name]]&lt;&gt;"",Tasks[[#This Row],[_Level]]=1),Tasks[[#This Row],[_Row]],"")</f>
        <v/>
      </c>
      <c r="GK65" s="43" t="str">
        <f aca="false">IF(AND(Tasks[[#This Row],[_IsLeaf]]=1,N(Tasks[[#This Row],[_Days]])=0),Tasks[[#This Row],[Planned Finish]]+Tasks[[#This Row],[_Row]]/100000,"")</f>
        <v/>
      </c>
      <c r="GL65" s="43" t="str">
        <f aca="false">IF(AND(Tasks[[#This Row],[_IsLeaf]]=1,Tasks[[#This Row],[_LeafProgress]]&lt;1,OR(N(Tasks[[#This Row],[Finish Var]])&gt;0,Tasks[[#This Row],[Status]]="Late Start")),MAX(0,Tasks[[#This Row],[Finish Var]])+1-Tasks[[#This Row],[_Row]]/1000000,"")</f>
        <v/>
      </c>
      <c r="GM65" s="43" t="str">
        <f aca="false">IF(AND(Tasks[[#This Row],[_IsLeaf]]=1,N(Tasks[[#This Row],[Actual Start]])=0,Tasks[[#This Row],[_ShownFcstStart]]&gt;=StatusDate,Tasks[[#This Row],[_ShownFcstStart]]&lt;=LookaheadEnd),Tasks[[#This Row],[_ShownFcstStart]]+Tasks[[#This Row],[_Row]]/100000,"")</f>
        <v/>
      </c>
      <c r="GN65" s="43" t="str">
        <f aca="false">IF(AND(Tasks[[#This Row],[_IsLeaf]]=1,Tasks[[#This Row],[_LeafProgress]]&lt;1,Tasks[[#This Row],[_ShownFcstFinish]]&gt;=StatusDate,Tasks[[#This Row],[_ShownFcstFinish]]&lt;=LookaheadEnd),Tasks[[#This Row],[_ShownFcstFinish]]+Tasks[[#This Row],[_Row]]/100000,"")</f>
        <v/>
      </c>
      <c r="GO65" s="43" t="str">
        <f aca="false">IF(Tasks[[#This Row],[_LeafCritical]],Tasks[[#This Row],[_ShownFcstStart]]+Tasks[[#This Row],[_Row]]/100000,"")</f>
        <v/>
      </c>
      <c r="GP65" s="43" t="n">
        <f aca="false">Tasks[[#This Row],[_LeafWork]]*Tasks[[#This Row],[_LeafProgress]]</f>
        <v>0</v>
      </c>
      <c r="GQ65" s="91" t="str">
        <f aca="false">IF(AND(Tasks[[#This Row],[_IsLeaf]]=1,Tasks[[#This Row],[_LeafProgress]]&gt;=1),IF(N(Tasks[[#This Row],[Actual Finish]])&gt;0,Tasks[[#This Row],[Actual Finish]],Tasks[[#This Row],[_ShownFcstFinish]]),"")</f>
        <v/>
      </c>
      <c r="GR65" s="43" t="n">
        <f aca="false">IF(Tasks[[#This Row],[_IsLeaf]]=1,N(Tasks[[#This Row],[Story Points]]),0)</f>
        <v>0</v>
      </c>
      <c r="GS65" s="43" t="str">
        <f aca="false">""</f>
        <v/>
      </c>
      <c r="GT65" s="90" t="b">
        <f aca="false">IF(Tasks[[#This Row],[Task Name]]="",FALSE(),AND(Tasks[[#This Row],[_IsLeaf]]=1,N(Tasks[[#This Row],[_Days]])=0))</f>
        <v>0</v>
      </c>
      <c r="GU65" s="91" t="n">
        <f aca="false">IF(Tasks[[#This Row],[Task Name]]="",0,IF(AND(Tasks[[#This Row],[_IsLeaf]]=1,NOT(Tasks[[#This Row],[_IsMilestone]]),N(Tasks[[#This Row],[Progress]])&gt;0),Tasks[[#This Row],[Start]],0))</f>
        <v>0</v>
      </c>
      <c r="GV65" s="91" t="n">
        <f aca="false">IF(Tasks[[#This Row],[_DoneFrom]]=0,0,IF(Tasks[[#This Row],[Progress]]&gt;=1,Tasks[[#This Row],[Finish]],MAX(Tasks[[#This Row],[_DoneFrom]],Tasks[[#This Row],[Start]]+ROUND((Tasks[[#This Row],[Finish]]-Tasks[[#This Row],[Start]]+1)*Tasks[[#This Row],[Progress]],0)-1)))</f>
        <v>0</v>
      </c>
      <c r="GW65" s="91" t="n">
        <f aca="false">IF(Tasks[[#This Row],[Task Name]]="",0,IF(OR(NOT(Tasks[[#This Row],[_IsLeaf]]=1),Tasks[[#This Row],[_IsMilestone]],N(Tasks[[#This Row],[Progress]])&gt;=1),0,IF(Tasks[[#This Row],[_DoneTo]]&gt;0,Tasks[[#This Row],[_DoneTo]]+1,Tasks[[#This Row],[Start]])))</f>
        <v>0</v>
      </c>
      <c r="GX65" s="91" t="n">
        <f aca="false">IF(Tasks[[#This Row],[_RemFrom]]=0,0,Tasks[[#This Row],[Finish]])</f>
        <v>0</v>
      </c>
      <c r="GY65" s="90" t="b">
        <f aca="false">IF(Tasks[[#This Row],[Task Name]]="",FALSE(),OR(NOT(BaselineSet),N(Tasks[[#This Row],[Baseline Start]])&gt;0))</f>
        <v>0</v>
      </c>
      <c r="GZ6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5" s="92" t="str">
        <f aca="false">IF(Tasks[[#This Row],[_IsLeaf]]=1,Tasks[[#This Row],[_Row]],"")</f>
        <v/>
      </c>
      <c r="HD65" s="92" t="str">
        <f aca="false">IFERROR(INDEX(Tasks[UID],SMALL(Tasks[_PickKey],Tasks[[#This Row],[_Row]]))&amp;" "&amp;INDEX(Tasks[Task Name],SMALL(Tasks[_PickKey],Tasks[[#This Row],[_Row]])),"")</f>
        <v/>
      </c>
      <c r="HE65" s="43" t="str">
        <f aca="false">IF(Tasks[[#This Row],[Task Name]]="","",IF(Tasks[[#This Row],[_IsSummary]],NETWORKDAYS.INTL(Tasks[[#This Row],[Start]],Tasks[[#This Row],[Finish]],WorkWeek,Holidays),N(Tasks[[#This Row],[_Days]])))</f>
        <v/>
      </c>
      <c r="HF65" s="43" t="n">
        <f aca="false">IF(Tasks[[#This Row],[Expected]]="",0,((Tasks[[#This Row],[Pessimistic]]-Tasks[[#This Row],[Optimistic]])/6)^2)</f>
        <v>0</v>
      </c>
      <c r="HG65" s="43" t="n">
        <f aca="false">IF(Tasks[[#This Row],[Expected]]="",0,Tasks[[#This Row],[Expected]]-N(Tasks[[#This Row],[_Days]]))</f>
        <v>0</v>
      </c>
    </row>
    <row r="66" customFormat="false" ht="15" hidden="false" customHeight="false" outlineLevel="0" collapsed="false">
      <c r="A66" s="21" t="str">
        <f aca="false">IF(Tasks[[#This Row],[Task Name]]="","",COUNTA(Tasks[[#Headers],[Task Name]]:Tasks[[#This Row],[Task Name]])-1)</f>
        <v/>
      </c>
      <c r="B66" s="22" t="n">
        <v>74</v>
      </c>
      <c r="C66" s="22"/>
      <c r="D66" s="23"/>
      <c r="E66" s="22"/>
      <c r="F66" s="23"/>
      <c r="G66" s="22"/>
      <c r="H66" s="22"/>
      <c r="I66" s="23"/>
      <c r="J66" s="22"/>
      <c r="K66" s="22"/>
      <c r="L66" s="23"/>
      <c r="M66" s="22"/>
      <c r="N66" s="22"/>
      <c r="O66" s="23"/>
      <c r="P66" s="22"/>
      <c r="Q66" s="22"/>
      <c r="R66" s="23"/>
      <c r="S66" s="23"/>
      <c r="T66" s="84"/>
      <c r="U66" s="23"/>
      <c r="V66" s="84"/>
      <c r="W66" s="23"/>
      <c r="X66" s="84"/>
      <c r="Y66" s="23"/>
      <c r="Z66" s="84"/>
      <c r="AA66" s="23"/>
      <c r="AB66" s="23"/>
      <c r="AC66" s="7"/>
      <c r="AD66" s="7"/>
      <c r="AE66" s="63" t="str">
        <f aca="false">IF(Tasks[[#This Row],[Task Name]]="","",IF(Tasks[[#This Row],[_IsSummary]],MIN(INDEX(Tasks[_ShownFcstStart],Tasks[[#This Row],[_Row]]+1):INDEX(Tasks[_ShownFcstStart],Tasks[[#This Row],[_Row]]+Tasks[[#This Row],[_Descendants]])),Tasks[[#This Row],[_ShownFcstStart]]))</f>
        <v/>
      </c>
      <c r="AF66" s="63" t="str">
        <f aca="false">IF(Tasks[[#This Row],[Task Name]]="","",IF(Tasks[[#This Row],[_IsSummary]],MAX(INDEX(Tasks[_ShownFcstFinish],Tasks[[#This Row],[_Row]]+1):INDEX(Tasks[_ShownFcstFinish],Tasks[[#This Row],[_Row]]+Tasks[[#This Row],[_Descendants]])),Tasks[[#This Row],[_ShownFcstFinish]]))</f>
        <v/>
      </c>
      <c r="AG66" s="21" t="str">
        <f aca="false">""</f>
        <v/>
      </c>
      <c r="AH66" s="23"/>
      <c r="AI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6" s="7"/>
      <c r="AK66" s="22"/>
      <c r="AL66" s="23"/>
      <c r="AM66" s="7"/>
      <c r="AN66" s="47" t="str">
        <f aca="false">IF(Tasks[[#This Row],[Task Name]]="","",IF(Tasks[[#This Row],[Finish]]&gt;=Tasks[[#This Row],[Planned Finish]],NETWORKDAYS.INTL(Tasks[[#This Row],[Planned Finish]],Tasks[[#This Row],[Finish]],WorkWeek,Holidays)-1,1-NETWORKDAYS.INTL(Tasks[[#This Row],[Finish]],Tasks[[#This Row],[Planned Finish]],WorkWeek,Holidays)))</f>
        <v/>
      </c>
      <c r="AO66" s="21" t="str">
        <f aca="false">IF(Tasks[[#This Row],[Task Name]]="","",IF(Tasks[[#This Row],[Progress]]&gt;=1,"Complete",IF(OR(N(Tasks[[#This Row],[Actual Start]])&gt;0,Tasks[[#This Row],[Progress]]&gt;0),IF(Tasks[[#This Row],[Finish Var]]&gt;0,"Behind","In Progress"),IF(Tasks[[#This Row],[Planned Start]]&lt;StatusDate,"Late Start","Not Started"))))</f>
        <v/>
      </c>
      <c r="AP66" s="21" t="str">
        <f aca="false">IF(Tasks[[#This Row],[Task Name]]="","",IF(IF(Tasks[[#This Row],[_IsSummary]],COUNTIF(INDEX(Tasks[_LeafCritical],Tasks[[#This Row],[_Row]]+1):INDEX(Tasks[_LeafCritical],Tasks[[#This Row],[_Row]]+Tasks[[#This Row],[_Descendants]]),TRUE())&gt;0,Tasks[[#This Row],[_LeafCritical]]),"Yes",""))</f>
        <v/>
      </c>
      <c r="AQ66" s="63" t="str">
        <f aca="false">IF(Tasks[[#This Row],[Task Name]]="","",IF(N(Tasks[[#This Row],[Baseline Start]])&gt;0,Tasks[[#This Row],[Baseline Start]],Tasks[[#This Row],[_CalcStart]]))</f>
        <v/>
      </c>
      <c r="AR66" s="63" t="str">
        <f aca="false">IF(Tasks[[#This Row],[Task Name]]="","",IF(N(Tasks[[#This Row],[Baseline Finish]])&gt;0,Tasks[[#This Row],[Baseline Finish]],Tasks[[#This Row],[_CalcFinish]]))</f>
        <v/>
      </c>
      <c r="AS66" s="47" t="str">
        <f aca="false">IF(Tasks[[#This Row],[Task Name]]="","",IF(Tasks[[#This Row],[Start]]&gt;=Tasks[[#This Row],[Planned Start]],NETWORKDAYS.INTL(Tasks[[#This Row],[Planned Start]],Tasks[[#This Row],[Start]],WorkWeek,Holidays)-1,1-NETWORKDAYS.INTL(Tasks[[#This Row],[Start]],Tasks[[#This Row],[Planned Start]],WorkWeek,Holidays)))</f>
        <v/>
      </c>
      <c r="AT66" s="63" t="str">
        <f aca="false">IF(Tasks[[#This Row],[Task Name]]="","",IF(Tasks[[#This Row],[_IsSummary]],MIN(INDEX(Tasks[_LeafLateStart],Tasks[[#This Row],[_Row]]+1):INDEX(Tasks[_LeafLateStart],Tasks[[#This Row],[_Row]]+Tasks[[#This Row],[_Descendants]])),Tasks[[#This Row],[_LeafLateStart]]))</f>
        <v/>
      </c>
      <c r="AU66" s="63" t="str">
        <f aca="false">IF(Tasks[[#This Row],[Task Name]]="","",IF(Tasks[[#This Row],[_IsSummary]],MAX(INDEX(Tasks[_LeafLateFinish],Tasks[[#This Row],[_Row]]+1):INDEX(Tasks[_LeafLateFinish],Tasks[[#This Row],[_Row]]+Tasks[[#This Row],[_Descendants]])),Tasks[[#This Row],[_LeafLateFinish]]))</f>
        <v/>
      </c>
      <c r="AV66" s="47" t="str">
        <f aca="false">IF(Tasks[[#This Row],[Task Name]]="","",IF(Tasks[[#This Row],[_IsSummary]],MIN(INDEX(Tasks[_LeafTotalSlack],Tasks[[#This Row],[_Row]]+1):INDEX(Tasks[_LeafTotalSlack],Tasks[[#This Row],[_Row]]+Tasks[[#This Row],[_Descendants]])),Tasks[[#This Row],[_LeafTotalSlack]]))</f>
        <v/>
      </c>
      <c r="AW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5"/>
      <c r="BA6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t="str">
        <f aca="false">IF(Tasks[[#This Row],[Task Name]]="","",IF(Tasks[[#This Row],[_Level]]&lt;=OutlineShowLevel,"Yes","No"))</f>
        <v/>
      </c>
      <c r="BE66" s="86" t="str">
        <f aca="false">IF(Tasks[[#This Row],[Task Name]]="","",IF(Tasks[[#This Row],[_IsSummary]],SUM(INDEX(Tasks[_LeafTotalWork],Tasks[[#This Row],[_Row]]+1):INDEX(Tasks[_LeafTotalWork],Tasks[[#This Row],[_Row]]+Tasks[[#This Row],[_Descendants]])),Tasks[[#This Row],[_LeafTotalWork]]))</f>
        <v/>
      </c>
      <c r="BF66" s="23"/>
      <c r="BG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t="str">
        <f aca="false">""</f>
        <v/>
      </c>
      <c r="BI66" s="87"/>
      <c r="BJ66" s="22"/>
      <c r="BK66" s="47" t="str">
        <f aca="false">IF(OR(Tasks[[#This Row],[Task Name]]="",Tasks[[#This Row],[Baseline Duration]]=""),"",Tasks[[#This Row],[_SpanDays]]-N(Tasks[[#This Row],[Baseline Duration]]))</f>
        <v/>
      </c>
      <c r="BL66" s="86" t="str">
        <f aca="false">IF(OR(Tasks[[#This Row],[Task Name]]="",Tasks[[#This Row],[Baseline Work]]=""),"",Tasks[[#This Row],[Work]]-N(Tasks[[#This Row],[Baseline Work]]))</f>
        <v/>
      </c>
      <c r="BM66" s="63" t="str">
        <f aca="false">IF(Tasks[[#This Row],[Task Name]]="","",IF(OR(TakeBaseline="Yes",N(Tasks[[#This Row],[Baseline Start]])=0),Tasks[[#This Row],[Start]],Tasks[[#This Row],[Baseline Start]]))</f>
        <v/>
      </c>
      <c r="BN66" s="63" t="str">
        <f aca="false">IF(Tasks[[#This Row],[Task Name]]="","",IF(OR(TakeBaseline="Yes",N(Tasks[[#This Row],[Baseline Finish]])=0),Tasks[[#This Row],[Finish]],Tasks[[#This Row],[Baseline Finish]]))</f>
        <v/>
      </c>
      <c r="BO66" s="21" t="str">
        <f aca="false">IF(Tasks[[#This Row],[Task Name]]="","",IF(OR(TakeBaseline="Yes",N(Tasks[[#This Row],[Baseline Duration]])=0),Tasks[[#This Row],[_SpanDays]],Tasks[[#This Row],[Baseline Duration]]))</f>
        <v/>
      </c>
      <c r="BP66" s="86" t="str">
        <f aca="false">IF(Tasks[[#This Row],[Task Name]]="","",IF(OR(TakeBaseline="Yes",N(Tasks[[#This Row],[Baseline Work]])=0),Tasks[[#This Row],[Work]],Tasks[[#This Row],[Baseline Work]]))</f>
        <v/>
      </c>
      <c r="BQ66" s="7"/>
      <c r="BR66" s="7"/>
      <c r="BS66" s="22"/>
      <c r="BT66" s="88"/>
      <c r="BU66" s="23"/>
      <c r="BV66" s="23"/>
      <c r="BW66" s="23"/>
      <c r="BX66" s="89" t="str">
        <f aca="false">IF(AND(Tasks[[#This Row],[_IsLeaf]]=1,ISNUMBER(Tasks[[#This Row],[Optimistic]]),ISNUMBER(Tasks[[#This Row],[Pessimistic]])),ROUND((Tasks[[#This Row],[Optimistic]]+4*N(Tasks[[#This Row],[_Days]])+Tasks[[#This Row],[Pessimistic]])/6,1),"")</f>
        <v/>
      </c>
      <c r="BY66" s="87"/>
      <c r="BZ66" s="87"/>
      <c r="CA66" s="22"/>
      <c r="CB66" s="43" t="str">
        <f aca="false">IF(Tasks[[#This Row],[Task Name]]="","",MAX(1,N(Tasks[[#This Row],[Level]])))</f>
        <v/>
      </c>
      <c r="CC66" s="43" t="n">
        <f aca="false">ROW()-ROW(Tasks[[#Headers],[ID]])</f>
        <v>61</v>
      </c>
      <c r="CD66" s="43" t="n">
        <f aca="false">IF(OR(Tasks[[#This Row],[Task Name]]="",Tasks[[#This Row],[_Level]]&lt;=1),0,IFERROR(LOOKUP(2,1/(Tasks[[#Headers],[_Level]]:Tasks[[#This Row],[_Level]]=Tasks[[#This Row],[_Level]]-1),ROW(Tasks[[#Headers],[_Level]]:Tasks[[#This Row],[_Level]])),0))</f>
        <v>0</v>
      </c>
      <c r="CE66" s="43" t="n">
        <f aca="false">IFERROR(N(INDEX(Tasks[_Level],Tasks[[#This Row],[_Row]]+1)),0)</f>
        <v>0</v>
      </c>
      <c r="CF66" s="90" t="b">
        <f aca="false">AND(Tasks[[#This Row],[Task Name]]&lt;&gt;"",Tasks[[#This Row],[_NextLevel]]&gt;Tasks[[#This Row],[_Level]])</f>
        <v>0</v>
      </c>
      <c r="CG66" s="43" t="n">
        <f aca="false">IF(Tasks[[#This Row],[_IsSummary]],COUNTIF(Tasks[WBS],Tasks[[#This Row],[WBS]]&amp;".*"),0)</f>
        <v>0</v>
      </c>
      <c r="CH66" s="43" t="n">
        <f aca="false">IF(AND(Tasks[[#This Row],[Task Name]]&lt;&gt;"",NOT(Tasks[[#This Row],[_IsSummary]])),1,0)</f>
        <v>0</v>
      </c>
      <c r="CI66" s="43" t="n">
        <f aca="false">IF(N(Tasks[[#This Row],[_Pred1UID]])=0,0,IFERROR(MATCH(Tasks[[#This Row],[_Pred1UID]],Tasks[UID],0),-1))</f>
        <v>0</v>
      </c>
      <c r="CJ66" s="43" t="n">
        <f aca="false">IF(N(Tasks[[#This Row],[_Pred2UID]])=0,0,IFERROR(MATCH(Tasks[[#This Row],[_Pred2UID]],Tasks[UID],0),-1))</f>
        <v>0</v>
      </c>
      <c r="CK66" s="43" t="n">
        <f aca="false">IF(N(Tasks[[#This Row],[_Pred3UID]])=0,0,IFERROR(MATCH(Tasks[[#This Row],[_Pred3UID]],Tasks[UID],0),-1))</f>
        <v>0</v>
      </c>
      <c r="CL66" s="43" t="n">
        <f aca="false">IF(N(Tasks[[#This Row],[_Pred4UID]])=0,0,IFERROR(MATCH(Tasks[[#This Row],[_Pred4UID]],Tasks[UID],0),-1))</f>
        <v>0</v>
      </c>
      <c r="CM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6" s="91" t="n">
        <f aca="false">IF(OR(Tasks[[#This Row],[_ConstraintCode]]=2,Tasks[[#This Row],[_ConstraintCode]]=3,Tasks[[#This Row],[_ConstraintCode]]=4,Tasks[[#This Row],[_ConstraintCode]]=6),Tasks[[#This Row],[_ConstraintStart]],0)</f>
        <v>0</v>
      </c>
      <c r="CP66" s="91" t="n">
        <f aca="false">IF(OR(Tasks[[#This Row],[_ConstraintCode]]=2,Tasks[[#This Row],[_ConstraintCode]]=3,Tasks[[#This Row],[_ConstraintCode]]=5,Tasks[[#This Row],[_ConstraintCode]]=7),Tasks[[#This Row],[_ConstraintStart]],2958465)</f>
        <v>2958465</v>
      </c>
      <c r="CQ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6" s="91" t="str">
        <f aca="false">IF(NOT(Tasks[[#This Row],[_IsLeaf]]=1),"",IF(N(Tasks[[#This Row],[_Days]])&lt;=0,Tasks[[#This Row],[_LeafCalcStart]],WORKDAY.INTL(Tasks[[#This Row],[_LeafCalcStart]],Tasks[[#This Row],[_Days]]-1,WorkWeek,Holidays)))</f>
        <v/>
      </c>
      <c r="CS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6" s="43" t="str">
        <f aca="false">IF(Tasks[[#This Row],[_Predecessors]]="","",TRIM(MID(SUBSTITUTE(SUBSTITUTE(SUBSTITUTE(UPPER(Tasks[[#This Row],[_Predecessors]]),";",",")," ",""),",",REPT(" ",99)),1,99)))</f>
        <v/>
      </c>
      <c r="CV66" s="43" t="str">
        <f aca="false">IF(Tasks[[#This Row],[_Pred1Text]]="","",IFERROR(VALUE(LEFT(Tasks[[#This Row],[_Pred1Text]],MIN(FIND("F",Tasks[[#This Row],[_Pred1Text]]&amp;"F"),FIND("S",Tasks[[#This Row],[_Pred1Text]]&amp;"S"),FIND("+",Tasks[[#This Row],[_Pred1Text]]&amp;"+"),FIND("-",Tasks[[#This Row],[_Pred1Text]]&amp;"-"))-1)),""))</f>
        <v/>
      </c>
      <c r="CW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6" s="43" t="str">
        <f aca="false">IF(Tasks[[#This Row],[_Pred1Text]]="","",TRIM(MID(SUBSTITUTE(SUBSTITUTE(SUBSTITUTE(UPPER(Tasks[[#This Row],[_Predecessors]]),";",",")," ",""),",",REPT(" ",99)),100,99)))</f>
        <v/>
      </c>
      <c r="CZ66" s="43" t="str">
        <f aca="false">IF(Tasks[[#This Row],[_Pred2Text]]="","",IFERROR(VALUE(LEFT(Tasks[[#This Row],[_Pred2Text]],MIN(FIND("F",Tasks[[#This Row],[_Pred2Text]]&amp;"F"),FIND("S",Tasks[[#This Row],[_Pred2Text]]&amp;"S"),FIND("+",Tasks[[#This Row],[_Pred2Text]]&amp;"+"),FIND("-",Tasks[[#This Row],[_Pred2Text]]&amp;"-"))-1)),""))</f>
        <v/>
      </c>
      <c r="DA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6" s="43" t="str">
        <f aca="false">IF(Tasks[[#This Row],[_Pred2Text]]="","",TRIM(MID(SUBSTITUTE(SUBSTITUTE(SUBSTITUTE(UPPER(Tasks[[#This Row],[_Predecessors]]),";",",")," ",""),",",REPT(" ",99)),199,99)))</f>
        <v/>
      </c>
      <c r="DD66" s="43" t="str">
        <f aca="false">IF(Tasks[[#This Row],[_Pred3Text]]="","",IFERROR(VALUE(LEFT(Tasks[[#This Row],[_Pred3Text]],MIN(FIND("F",Tasks[[#This Row],[_Pred3Text]]&amp;"F"),FIND("S",Tasks[[#This Row],[_Pred3Text]]&amp;"S"),FIND("+",Tasks[[#This Row],[_Pred3Text]]&amp;"+"),FIND("-",Tasks[[#This Row],[_Pred3Text]]&amp;"-"))-1)),""))</f>
        <v/>
      </c>
      <c r="DE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6" s="43" t="str">
        <f aca="false">IF(Tasks[[#This Row],[_Pred3Text]]="","",TRIM(MID(SUBSTITUTE(SUBSTITUTE(SUBSTITUTE(UPPER(Tasks[[#This Row],[_Predecessors]]),";",",")," ",""),",",REPT(" ",99)),298,99)))</f>
        <v/>
      </c>
      <c r="DH66" s="43" t="str">
        <f aca="false">IF(Tasks[[#This Row],[_Pred4Text]]="","",IFERROR(VALUE(LEFT(Tasks[[#This Row],[_Pred4Text]],MIN(FIND("F",Tasks[[#This Row],[_Pred4Text]]&amp;"F"),FIND("S",Tasks[[#This Row],[_Pred4Text]]&amp;"S"),FIND("+",Tasks[[#This Row],[_Pred4Text]]&amp;"+"),FIND("-",Tasks[[#This Row],[_Pred4Text]]&amp;"-"))-1)),""))</f>
        <v/>
      </c>
      <c r="DI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6" s="43" t="str">
        <f aca="false">IF(OR(Tasks[[#This Row],[Task Name]]="",Tasks[[#This Row],[_Resources]]=""),"",TRIM(MID(SUBSTITUTE(Tasks[[#This Row],[_Resources]],",",REPT(" ",99)),1,99)))</f>
        <v/>
      </c>
      <c r="DL66" s="43" t="str">
        <f aca="false">IF(Tasks[[#This Row],[_Res1Text]]="","",TRIM(MID(SUBSTITUTE(Tasks[[#This Row],[_Resources]],",",REPT(" ",99)),100,99)))</f>
        <v/>
      </c>
      <c r="DM66" s="43" t="str">
        <f aca="false">IF(Tasks[[#This Row],[_Res2Text]]="","",TRIM(MID(SUBSTITUTE(Tasks[[#This Row],[_Resources]],",",REPT(" ",99)),199,99)))</f>
        <v/>
      </c>
      <c r="DN66" s="43" t="str">
        <f aca="false">IF(Tasks[[#This Row],[_Res3Text]]="","",TRIM(MID(SUBSTITUTE(Tasks[[#This Row],[_Resources]],",",REPT(" ",99)),298,99)))</f>
        <v/>
      </c>
      <c r="DO66" s="43" t="n">
        <f aca="false">IF(Tasks[[#This Row],[_Res1Text]]="",0,IFERROR(MATCH(TRIM(LEFT(Tasks[[#This Row],[_Res1Text]],FIND("[",Tasks[[#This Row],[_Res1Text]]&amp;"[")-1)),res_Name,0),IFERROR(MATCH(TRIM(LEFT(Tasks[[#This Row],[_Res1Text]],FIND("[",Tasks[[#This Row],[_Res1Text]]&amp;"[")-1)),res_Initials,0),0)))</f>
        <v>0</v>
      </c>
      <c r="DP66" s="43" t="n">
        <f aca="false">IF(Tasks[[#This Row],[_Res2Text]]="",0,IFERROR(MATCH(TRIM(LEFT(Tasks[[#This Row],[_Res2Text]],FIND("[",Tasks[[#This Row],[_Res2Text]]&amp;"[")-1)),res_Name,0),IFERROR(MATCH(TRIM(LEFT(Tasks[[#This Row],[_Res2Text]],FIND("[",Tasks[[#This Row],[_Res2Text]]&amp;"[")-1)),res_Initials,0),0)))</f>
        <v>0</v>
      </c>
      <c r="DQ66" s="43" t="n">
        <f aca="false">IF(Tasks[[#This Row],[_Res3Text]]="",0,IFERROR(MATCH(TRIM(LEFT(Tasks[[#This Row],[_Res3Text]],FIND("[",Tasks[[#This Row],[_Res3Text]]&amp;"[")-1)),res_Name,0),IFERROR(MATCH(TRIM(LEFT(Tasks[[#This Row],[_Res3Text]],FIND("[",Tasks[[#This Row],[_Res3Text]]&amp;"[")-1)),res_Initials,0),0)))</f>
        <v>0</v>
      </c>
      <c r="DR66" s="43" t="n">
        <f aca="false">IF(Tasks[[#This Row],[_Res4Text]]="",0,IFERROR(MATCH(TRIM(LEFT(Tasks[[#This Row],[_Res4Text]],FIND("[",Tasks[[#This Row],[_Res4Text]]&amp;"[")-1)),res_Name,0),IFERROR(MATCH(TRIM(LEFT(Tasks[[#This Row],[_Res4Text]],FIND("[",Tasks[[#This Row],[_Res4Text]]&amp;"[")-1)),res_Initials,0),0)))</f>
        <v>0</v>
      </c>
      <c r="DS66" s="43" t="str">
        <f aca="false">IF(Tasks[[#This Row],[_Res1Text]]="","",IF(Tasks[[#This Row],[_Res1Row]]&gt;0,INDEX(res_Name,Tasks[[#This Row],[_Res1Row]]),TRIM(LEFT(Tasks[[#This Row],[_Res1Text]],FIND("[",Tasks[[#This Row],[_Res1Text]]&amp;"[")-1))))</f>
        <v/>
      </c>
      <c r="DT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6" s="43" t="n">
        <f aca="false">IF(NOT(Tasks[[#This Row],[_IsLeaf]]=1),0,(Tasks[[#This Row],[_Resource1]]&lt;&gt;"")+(Tasks[[#This Row],[_Res2]]&lt;&gt;"")+(Tasks[[#This Row],[_Res3]]&lt;&gt;"")+(Tasks[[#This Row],[_Res4]]&lt;&gt;""))</f>
        <v>0</v>
      </c>
      <c r="DV66" s="43" t="str">
        <f aca="false">IF(Tasks[[#This Row],[_Res2Text]]="","",IF(Tasks[[#This Row],[_Res2Row]]&gt;0,INDEX(res_Name,Tasks[[#This Row],[_Res2Row]]),TRIM(LEFT(Tasks[[#This Row],[_Res2Text]],FIND("[",Tasks[[#This Row],[_Res2Text]]&amp;"[")-1))))</f>
        <v/>
      </c>
      <c r="DW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6" s="43" t="n">
        <f aca="false">IF(OR(NOT(Tasks[[#This Row],[_IsLeaf]]=1),Tasks[[#This Row],[_Res2Row]]=0),0,N(Tasks[[#This Row],[_Days]])*HoursPerDay*IF(Tasks[[#This Row],[_Res2Units]]="",DefaultUnits,Tasks[[#This Row],[_Res2Units]]))</f>
        <v>0</v>
      </c>
      <c r="DY66" s="43" t="n">
        <f aca="false">IF(AND(AND(Tasks[[#This Row],[_IsLeaf]]=1,Tasks[[#This Row],[_LeafTotalWork]]&gt;0),Tasks[[#This Row],[_Res2Work]]&gt;0),Tasks[[#This Row],[_Res2Work]]/(Tasks[[#This Row],[_FinishWorkday]]-Tasks[[#This Row],[_StartWorkday]]+1),0)</f>
        <v>0</v>
      </c>
      <c r="DZ66" s="43" t="n">
        <f aca="false">Tasks[[#This Row],[_Res2WorkPerWD]]*MAX(0,Tasks[[#This Row],[_StartWorkday]]-1)</f>
        <v>0</v>
      </c>
      <c r="EA66" s="43" t="n">
        <f aca="false">Tasks[[#This Row],[_Res2Work]]*Tasks[[#This Row],[_LeafProgress]]</f>
        <v>0</v>
      </c>
      <c r="EB66" s="43" t="str">
        <f aca="false">IF(Tasks[[#This Row],[_Res3Text]]="","",IF(Tasks[[#This Row],[_Res3Row]]&gt;0,INDEX(res_Name,Tasks[[#This Row],[_Res3Row]]),TRIM(LEFT(Tasks[[#This Row],[_Res3Text]],FIND("[",Tasks[[#This Row],[_Res3Text]]&amp;"[")-1))))</f>
        <v/>
      </c>
      <c r="EC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6" s="43" t="n">
        <f aca="false">IF(OR(NOT(Tasks[[#This Row],[_IsLeaf]]=1),Tasks[[#This Row],[_Res3Row]]=0),0,N(Tasks[[#This Row],[_Days]])*HoursPerDay*IF(Tasks[[#This Row],[_Res3Units]]="",DefaultUnits,Tasks[[#This Row],[_Res3Units]]))</f>
        <v>0</v>
      </c>
      <c r="EE66" s="43" t="n">
        <f aca="false">IF(AND(AND(Tasks[[#This Row],[_IsLeaf]]=1,Tasks[[#This Row],[_LeafTotalWork]]&gt;0),Tasks[[#This Row],[_Res3Work]]&gt;0),Tasks[[#This Row],[_Res3Work]]/(Tasks[[#This Row],[_FinishWorkday]]-Tasks[[#This Row],[_StartWorkday]]+1),0)</f>
        <v>0</v>
      </c>
      <c r="EF66" s="43" t="n">
        <f aca="false">Tasks[[#This Row],[_Res3WorkPerWD]]*MAX(0,Tasks[[#This Row],[_StartWorkday]]-1)</f>
        <v>0</v>
      </c>
      <c r="EG66" s="43" t="n">
        <f aca="false">Tasks[[#This Row],[_Res3Work]]*Tasks[[#This Row],[_LeafProgress]]</f>
        <v>0</v>
      </c>
      <c r="EH66" s="43" t="str">
        <f aca="false">IF(Tasks[[#This Row],[_Res4Text]]="","",IF(Tasks[[#This Row],[_Res4Row]]&gt;0,INDEX(res_Name,Tasks[[#This Row],[_Res4Row]]),TRIM(LEFT(Tasks[[#This Row],[_Res4Text]],FIND("[",Tasks[[#This Row],[_Res4Text]]&amp;"[")-1))))</f>
        <v/>
      </c>
      <c r="EI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6" s="43" t="n">
        <f aca="false">IF(OR(NOT(Tasks[[#This Row],[_IsLeaf]]=1),Tasks[[#This Row],[_Res4Row]]=0),0,N(Tasks[[#This Row],[_Days]])*HoursPerDay*IF(Tasks[[#This Row],[_Res4Units]]="",DefaultUnits,Tasks[[#This Row],[_Res4Units]]))</f>
        <v>0</v>
      </c>
      <c r="EK66" s="43" t="n">
        <f aca="false">IF(AND(AND(Tasks[[#This Row],[_IsLeaf]]=1,Tasks[[#This Row],[_LeafTotalWork]]&gt;0),Tasks[[#This Row],[_Res4Work]]&gt;0),Tasks[[#This Row],[_Res4Work]]/(Tasks[[#This Row],[_FinishWorkday]]-Tasks[[#This Row],[_StartWorkday]]+1),0)</f>
        <v>0</v>
      </c>
      <c r="EL66" s="43" t="n">
        <f aca="false">Tasks[[#This Row],[_Res4WorkPerWD]]*MAX(0,Tasks[[#This Row],[_StartWorkday]]-1)</f>
        <v>0</v>
      </c>
      <c r="EM66" s="43" t="n">
        <f aca="false">Tasks[[#This Row],[_Res4Work]]*Tasks[[#This Row],[_LeafProgress]]</f>
        <v>0</v>
      </c>
      <c r="EN66" s="43" t="n">
        <f aca="false">IF(ISNUMBER(Tasks[[#This Row],[% Complete]]),Tasks[[#This Row],[% Complete]],IF(Tasks[[#This Row],[Stage]]="",0,IFERROR(INDEX(stg_Pct,MATCH(Tasks[[#This Row],[Stage]],stg_Name,0)),0)))</f>
        <v>0</v>
      </c>
      <c r="EO66" s="43" t="n">
        <f aca="false">IF(NOT(Tasks[[#This Row],[_IsLeaf]]=1),0,IF(N(Tasks[[#This Row],[Actual Finish]])&gt;0,1,MIN(1,Tasks[[#This Row],[_Pct]])))</f>
        <v>0</v>
      </c>
      <c r="EP66" s="43" t="n">
        <f aca="false">IF(OR(NOT(Tasks[[#This Row],[_IsLeaf]]=1),Tasks[[#This Row],[_Res1Row]]=0),0,N(Tasks[[#This Row],[_Days]])*HoursPerDay*IF(Tasks[[#This Row],[_Units1]]="",DefaultUnits,Tasks[[#This Row],[_Units1]]))</f>
        <v>0</v>
      </c>
      <c r="EQ66" s="43" t="n">
        <f aca="false">Tasks[[#This Row],[_LeafWork]]+Tasks[[#This Row],[_Res2Work]]+Tasks[[#This Row],[_Res3Work]]+Tasks[[#This Row],[_Res4Work]]</f>
        <v>0</v>
      </c>
      <c r="ER6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6" s="43" t="n">
        <f aca="false">IF(NOT(Tasks[[#This Row],[_IsLeaf]]=1),0,MAX(_xlfn.MAXIFS(Tasks[_Row],Tasks[_Pred1UID],Tasks[[#This Row],[UID]]),_xlfn.MAXIFS(Tasks[_Row],Tasks[_Pred2UID],Tasks[[#This Row],[UID]]),_xlfn.MAXIFS(Tasks[_Row],Tasks[_Pred3UID],Tasks[[#This Row],[UID]]),_xlfn.MAXIFS(Tasks[_Row],Tasks[_Pred4UID],Tasks[[#This Row],[UID]])))</f>
        <v>0</v>
      </c>
      <c r="FA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6" s="91" t="str">
        <f aca="false">IF(NOT(Tasks[[#This Row],[_IsLeaf]]=1),"",IF(N(Tasks[[#This Row],[_Days]])&lt;=0,Tasks[[#This Row],[_LeafLateFinish]],WORKDAY.INTL(Tasks[[#This Row],[_LeafLateFinish]],-(Tasks[[#This Row],[_Days]]-1),WorkWeek,Holidays)))</f>
        <v/>
      </c>
      <c r="FD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6" s="90" t="b">
        <f aca="false">AND(Tasks[[#This Row],[_IsLeaf]]=1,Tasks[[#This Row],[_LeafProgress]]&lt;1,N(Tasks[[#This Row],[_LeafTotalSlack]])&lt;=CriticalSlackDays)</f>
        <v>0</v>
      </c>
      <c r="FF66" s="43" t="n">
        <f aca="false">IF(AND(Tasks[[#This Row],[_IsLeaf]]=1,Tasks[[#This Row],[_ConstraintCode]]=1,Tasks[[#This Row],[Mode]]&lt;&gt;"Manual",N(Tasks[[#This Row],[Actual Start]])=0),MAX(0,N(Tasks[[#This Row],[Free Slack]])),0)</f>
        <v>0</v>
      </c>
      <c r="FG66" s="91" t="str">
        <f aca="false">IF(NOT(Tasks[[#This Row],[_IsLeaf]]=1),"",IF(Tasks[[#This Row],[_AlapShift]]=0,Tasks[[#This Row],[_LeafCalcStart]],WORKDAY.INTL(Tasks[[#This Row],[_LeafCalcStart]],Tasks[[#This Row],[_AlapShift]],WorkWeek,Holidays)))</f>
        <v/>
      </c>
      <c r="FH66" s="91" t="str">
        <f aca="false">IF(NOT(Tasks[[#This Row],[_IsLeaf]]=1),"",IF(Tasks[[#This Row],[_AlapShift]]=0,Tasks[[#This Row],[_LeafCalcFinish]],WORKDAY.INTL(Tasks[[#This Row],[_LeafCalcFinish]],Tasks[[#This Row],[_AlapShift]],WorkWeek,Holidays)))</f>
        <v/>
      </c>
      <c r="FI66" s="91" t="str">
        <f aca="false">IF(NOT(Tasks[[#This Row],[_IsLeaf]]=1),"",IF(Tasks[[#This Row],[_AlapShift]]=0,Tasks[[#This Row],[_LeafFcstStart]],WORKDAY.INTL(Tasks[[#This Row],[_LeafFcstStart]],Tasks[[#This Row],[_AlapShift]],WorkWeek,Holidays)))</f>
        <v/>
      </c>
      <c r="FJ66" s="91" t="str">
        <f aca="false">IF(NOT(Tasks[[#This Row],[_IsLeaf]]=1),"",IF(Tasks[[#This Row],[_AlapShift]]=0,Tasks[[#This Row],[_LeafFcstFinish]],WORKDAY.INTL(Tasks[[#This Row],[_LeafFcstFinish]],Tasks[[#This Row],[_AlapShift]],WorkWeek,Holidays)))</f>
        <v/>
      </c>
      <c r="FK66" s="91" t="str">
        <f aca="false">IF(Tasks[[#This Row],[Task Name]]="","",IF(Tasks[[#This Row],[_IsSummary]],MIN(INDEX(Tasks[_ShownCalcStart],Tasks[[#This Row],[_Row]]+1):INDEX(Tasks[_ShownCalcStart],Tasks[[#This Row],[_Row]]+Tasks[[#This Row],[_Descendants]])),Tasks[[#This Row],[_ShownCalcStart]]))</f>
        <v/>
      </c>
      <c r="FL66" s="91" t="str">
        <f aca="false">IF(Tasks[[#This Row],[Task Name]]="","",IF(Tasks[[#This Row],[_IsSummary]],MAX(INDEX(Tasks[_ShownCalcFinish],Tasks[[#This Row],[_Row]]+1):INDEX(Tasks[_ShownCalcFinish],Tasks[[#This Row],[_Row]]+Tasks[[#This Row],[_Descendants]])),Tasks[[#This Row],[_ShownCalcFinish]]))</f>
        <v/>
      </c>
      <c r="FM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6" s="43" t="n">
        <f aca="false">IF(AND(Tasks[[#This Row],[_IsLeaf]]=1,Tasks[[#This Row],[_LeafTotalWork]]&gt;0),NETWORKDAYS.INTL(ProjectStart,Tasks[[#This Row],[_ShownFcstStart]],WorkWeek,Holidays),0)</f>
        <v>0</v>
      </c>
      <c r="FZ66" s="43" t="n">
        <f aca="false">IF(AND(Tasks[[#This Row],[_IsLeaf]]=1,Tasks[[#This Row],[_LeafTotalWork]]&gt;0),MAX(Tasks[[#This Row],[_StartWorkday]],NETWORKDAYS.INTL(ProjectStart,Tasks[[#This Row],[_ShownFcstFinish]],WorkWeek,Holidays)),0)</f>
        <v>0</v>
      </c>
      <c r="GA66" s="43" t="n">
        <f aca="false">IF(AND(Tasks[[#This Row],[_IsLeaf]]=1,Tasks[[#This Row],[_LeafTotalWork]]&gt;0),Tasks[[#This Row],[_LeafWork]]/(Tasks[[#This Row],[_FinishWorkday]]-Tasks[[#This Row],[_StartWorkday]]+1),0)</f>
        <v>0</v>
      </c>
      <c r="GB66" s="43" t="n">
        <f aca="false">Tasks[[#This Row],[_WorkPerWorkday]]*(Tasks[[#This Row],[_StartWorkday]]-1)</f>
        <v>-0</v>
      </c>
      <c r="GC66" s="43" t="n">
        <f aca="false">IF(Tasks[[#This Row],[_IsLeaf]]=1,MAX(N(Tasks[[#This Row],[_Days]]),0.1),0)</f>
        <v>0</v>
      </c>
      <c r="GD66" s="43" t="n">
        <f aca="false">Tasks[[#This Row],[_WeightDur]]*Tasks[[#This Row],[_LeafProgress]]</f>
        <v>0</v>
      </c>
      <c r="GE66" s="43" t="n">
        <f aca="false">Tasks[[#This Row],[_WeightDur]]*Tasks[[#This Row],[_PlannedPct]]</f>
        <v>0</v>
      </c>
      <c r="GF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6" s="43" t="str">
        <f aca="false">IF(AND(Tasks[[#This Row],[_IsLeaf]]=1,N(Tasks[[#This Row],[_Days]])=0,Tasks[[#This Row],[_LeafProgress]]&lt;1),Tasks[[#This Row],[_ShownFcstFinish]]+Tasks[[#This Row],[_Row]]/100000,"")</f>
        <v/>
      </c>
      <c r="GH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6" s="43" t="str">
        <f aca="false">IF(Tasks[[#This Row],[Task Name]]="","",LEFT(Tasks[[#This Row],[WBS]],FIND(".",Tasks[[#This Row],[WBS]]&amp;".")-1))</f>
        <v/>
      </c>
      <c r="GJ66" s="43" t="str">
        <f aca="false">IF(AND(Tasks[[#This Row],[Task Name]]&lt;&gt;"",Tasks[[#This Row],[_Level]]=1),Tasks[[#This Row],[_Row]],"")</f>
        <v/>
      </c>
      <c r="GK66" s="43" t="str">
        <f aca="false">IF(AND(Tasks[[#This Row],[_IsLeaf]]=1,N(Tasks[[#This Row],[_Days]])=0),Tasks[[#This Row],[Planned Finish]]+Tasks[[#This Row],[_Row]]/100000,"")</f>
        <v/>
      </c>
      <c r="GL66" s="43" t="str">
        <f aca="false">IF(AND(Tasks[[#This Row],[_IsLeaf]]=1,Tasks[[#This Row],[_LeafProgress]]&lt;1,OR(N(Tasks[[#This Row],[Finish Var]])&gt;0,Tasks[[#This Row],[Status]]="Late Start")),MAX(0,Tasks[[#This Row],[Finish Var]])+1-Tasks[[#This Row],[_Row]]/1000000,"")</f>
        <v/>
      </c>
      <c r="GM66" s="43" t="str">
        <f aca="false">IF(AND(Tasks[[#This Row],[_IsLeaf]]=1,N(Tasks[[#This Row],[Actual Start]])=0,Tasks[[#This Row],[_ShownFcstStart]]&gt;=StatusDate,Tasks[[#This Row],[_ShownFcstStart]]&lt;=LookaheadEnd),Tasks[[#This Row],[_ShownFcstStart]]+Tasks[[#This Row],[_Row]]/100000,"")</f>
        <v/>
      </c>
      <c r="GN66" s="43" t="str">
        <f aca="false">IF(AND(Tasks[[#This Row],[_IsLeaf]]=1,Tasks[[#This Row],[_LeafProgress]]&lt;1,Tasks[[#This Row],[_ShownFcstFinish]]&gt;=StatusDate,Tasks[[#This Row],[_ShownFcstFinish]]&lt;=LookaheadEnd),Tasks[[#This Row],[_ShownFcstFinish]]+Tasks[[#This Row],[_Row]]/100000,"")</f>
        <v/>
      </c>
      <c r="GO66" s="43" t="str">
        <f aca="false">IF(Tasks[[#This Row],[_LeafCritical]],Tasks[[#This Row],[_ShownFcstStart]]+Tasks[[#This Row],[_Row]]/100000,"")</f>
        <v/>
      </c>
      <c r="GP66" s="43" t="n">
        <f aca="false">Tasks[[#This Row],[_LeafWork]]*Tasks[[#This Row],[_LeafProgress]]</f>
        <v>0</v>
      </c>
      <c r="GQ66" s="91" t="str">
        <f aca="false">IF(AND(Tasks[[#This Row],[_IsLeaf]]=1,Tasks[[#This Row],[_LeafProgress]]&gt;=1),IF(N(Tasks[[#This Row],[Actual Finish]])&gt;0,Tasks[[#This Row],[Actual Finish]],Tasks[[#This Row],[_ShownFcstFinish]]),"")</f>
        <v/>
      </c>
      <c r="GR66" s="43" t="n">
        <f aca="false">IF(Tasks[[#This Row],[_IsLeaf]]=1,N(Tasks[[#This Row],[Story Points]]),0)</f>
        <v>0</v>
      </c>
      <c r="GS66" s="43" t="str">
        <f aca="false">""</f>
        <v/>
      </c>
      <c r="GT66" s="90" t="b">
        <f aca="false">IF(Tasks[[#This Row],[Task Name]]="",FALSE(),AND(Tasks[[#This Row],[_IsLeaf]]=1,N(Tasks[[#This Row],[_Days]])=0))</f>
        <v>0</v>
      </c>
      <c r="GU66" s="91" t="n">
        <f aca="false">IF(Tasks[[#This Row],[Task Name]]="",0,IF(AND(Tasks[[#This Row],[_IsLeaf]]=1,NOT(Tasks[[#This Row],[_IsMilestone]]),N(Tasks[[#This Row],[Progress]])&gt;0),Tasks[[#This Row],[Start]],0))</f>
        <v>0</v>
      </c>
      <c r="GV66" s="91" t="n">
        <f aca="false">IF(Tasks[[#This Row],[_DoneFrom]]=0,0,IF(Tasks[[#This Row],[Progress]]&gt;=1,Tasks[[#This Row],[Finish]],MAX(Tasks[[#This Row],[_DoneFrom]],Tasks[[#This Row],[Start]]+ROUND((Tasks[[#This Row],[Finish]]-Tasks[[#This Row],[Start]]+1)*Tasks[[#This Row],[Progress]],0)-1)))</f>
        <v>0</v>
      </c>
      <c r="GW66" s="91" t="n">
        <f aca="false">IF(Tasks[[#This Row],[Task Name]]="",0,IF(OR(NOT(Tasks[[#This Row],[_IsLeaf]]=1),Tasks[[#This Row],[_IsMilestone]],N(Tasks[[#This Row],[Progress]])&gt;=1),0,IF(Tasks[[#This Row],[_DoneTo]]&gt;0,Tasks[[#This Row],[_DoneTo]]+1,Tasks[[#This Row],[Start]])))</f>
        <v>0</v>
      </c>
      <c r="GX66" s="91" t="n">
        <f aca="false">IF(Tasks[[#This Row],[_RemFrom]]=0,0,Tasks[[#This Row],[Finish]])</f>
        <v>0</v>
      </c>
      <c r="GY66" s="90" t="b">
        <f aca="false">IF(Tasks[[#This Row],[Task Name]]="",FALSE(),OR(NOT(BaselineSet),N(Tasks[[#This Row],[Baseline Start]])&gt;0))</f>
        <v>0</v>
      </c>
      <c r="GZ6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6" s="92" t="str">
        <f aca="false">IF(Tasks[[#This Row],[_IsLeaf]]=1,Tasks[[#This Row],[_Row]],"")</f>
        <v/>
      </c>
      <c r="HD66" s="92" t="str">
        <f aca="false">IFERROR(INDEX(Tasks[UID],SMALL(Tasks[_PickKey],Tasks[[#This Row],[_Row]]))&amp;" "&amp;INDEX(Tasks[Task Name],SMALL(Tasks[_PickKey],Tasks[[#This Row],[_Row]])),"")</f>
        <v/>
      </c>
      <c r="HE66" s="43" t="str">
        <f aca="false">IF(Tasks[[#This Row],[Task Name]]="","",IF(Tasks[[#This Row],[_IsSummary]],NETWORKDAYS.INTL(Tasks[[#This Row],[Start]],Tasks[[#This Row],[Finish]],WorkWeek,Holidays),N(Tasks[[#This Row],[_Days]])))</f>
        <v/>
      </c>
      <c r="HF66" s="43" t="n">
        <f aca="false">IF(Tasks[[#This Row],[Expected]]="",0,((Tasks[[#This Row],[Pessimistic]]-Tasks[[#This Row],[Optimistic]])/6)^2)</f>
        <v>0</v>
      </c>
      <c r="HG66" s="43" t="n">
        <f aca="false">IF(Tasks[[#This Row],[Expected]]="",0,Tasks[[#This Row],[Expected]]-N(Tasks[[#This Row],[_Days]]))</f>
        <v>0</v>
      </c>
    </row>
    <row r="67" customFormat="false" ht="15" hidden="false" customHeight="false" outlineLevel="0" collapsed="false">
      <c r="A67" s="21" t="str">
        <f aca="false">IF(Tasks[[#This Row],[Task Name]]="","",COUNTA(Tasks[[#Headers],[Task Name]]:Tasks[[#This Row],[Task Name]])-1)</f>
        <v/>
      </c>
      <c r="B67" s="22" t="n">
        <v>75</v>
      </c>
      <c r="C67" s="22"/>
      <c r="D67" s="23"/>
      <c r="E67" s="22"/>
      <c r="F67" s="23"/>
      <c r="G67" s="22"/>
      <c r="H67" s="22"/>
      <c r="I67" s="23"/>
      <c r="J67" s="22"/>
      <c r="K67" s="22"/>
      <c r="L67" s="23"/>
      <c r="M67" s="22"/>
      <c r="N67" s="22"/>
      <c r="O67" s="23"/>
      <c r="P67" s="22"/>
      <c r="Q67" s="22"/>
      <c r="R67" s="23"/>
      <c r="S67" s="23"/>
      <c r="T67" s="84"/>
      <c r="U67" s="23"/>
      <c r="V67" s="84"/>
      <c r="W67" s="23"/>
      <c r="X67" s="84"/>
      <c r="Y67" s="23"/>
      <c r="Z67" s="84"/>
      <c r="AA67" s="23"/>
      <c r="AB67" s="23"/>
      <c r="AC67" s="7"/>
      <c r="AD67" s="7"/>
      <c r="AE67" s="63" t="str">
        <f aca="false">IF(Tasks[[#This Row],[Task Name]]="","",IF(Tasks[[#This Row],[_IsSummary]],MIN(INDEX(Tasks[_ShownFcstStart],Tasks[[#This Row],[_Row]]+1):INDEX(Tasks[_ShownFcstStart],Tasks[[#This Row],[_Row]]+Tasks[[#This Row],[_Descendants]])),Tasks[[#This Row],[_ShownFcstStart]]))</f>
        <v/>
      </c>
      <c r="AF67" s="63" t="str">
        <f aca="false">IF(Tasks[[#This Row],[Task Name]]="","",IF(Tasks[[#This Row],[_IsSummary]],MAX(INDEX(Tasks[_ShownFcstFinish],Tasks[[#This Row],[_Row]]+1):INDEX(Tasks[_ShownFcstFinish],Tasks[[#This Row],[_Row]]+Tasks[[#This Row],[_Descendants]])),Tasks[[#This Row],[_ShownFcstFinish]]))</f>
        <v/>
      </c>
      <c r="AG67" s="21" t="str">
        <f aca="false">""</f>
        <v/>
      </c>
      <c r="AH67" s="23"/>
      <c r="AI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7" s="7"/>
      <c r="AK67" s="22"/>
      <c r="AL67" s="23"/>
      <c r="AM67" s="7"/>
      <c r="AN67" s="47" t="str">
        <f aca="false">IF(Tasks[[#This Row],[Task Name]]="","",IF(Tasks[[#This Row],[Finish]]&gt;=Tasks[[#This Row],[Planned Finish]],NETWORKDAYS.INTL(Tasks[[#This Row],[Planned Finish]],Tasks[[#This Row],[Finish]],WorkWeek,Holidays)-1,1-NETWORKDAYS.INTL(Tasks[[#This Row],[Finish]],Tasks[[#This Row],[Planned Finish]],WorkWeek,Holidays)))</f>
        <v/>
      </c>
      <c r="AO67" s="21" t="str">
        <f aca="false">IF(Tasks[[#This Row],[Task Name]]="","",IF(Tasks[[#This Row],[Progress]]&gt;=1,"Complete",IF(OR(N(Tasks[[#This Row],[Actual Start]])&gt;0,Tasks[[#This Row],[Progress]]&gt;0),IF(Tasks[[#This Row],[Finish Var]]&gt;0,"Behind","In Progress"),IF(Tasks[[#This Row],[Planned Start]]&lt;StatusDate,"Late Start","Not Started"))))</f>
        <v/>
      </c>
      <c r="AP67" s="21" t="str">
        <f aca="false">IF(Tasks[[#This Row],[Task Name]]="","",IF(IF(Tasks[[#This Row],[_IsSummary]],COUNTIF(INDEX(Tasks[_LeafCritical],Tasks[[#This Row],[_Row]]+1):INDEX(Tasks[_LeafCritical],Tasks[[#This Row],[_Row]]+Tasks[[#This Row],[_Descendants]]),TRUE())&gt;0,Tasks[[#This Row],[_LeafCritical]]),"Yes",""))</f>
        <v/>
      </c>
      <c r="AQ67" s="63" t="str">
        <f aca="false">IF(Tasks[[#This Row],[Task Name]]="","",IF(N(Tasks[[#This Row],[Baseline Start]])&gt;0,Tasks[[#This Row],[Baseline Start]],Tasks[[#This Row],[_CalcStart]]))</f>
        <v/>
      </c>
      <c r="AR67" s="63" t="str">
        <f aca="false">IF(Tasks[[#This Row],[Task Name]]="","",IF(N(Tasks[[#This Row],[Baseline Finish]])&gt;0,Tasks[[#This Row],[Baseline Finish]],Tasks[[#This Row],[_CalcFinish]]))</f>
        <v/>
      </c>
      <c r="AS67" s="47" t="str">
        <f aca="false">IF(Tasks[[#This Row],[Task Name]]="","",IF(Tasks[[#This Row],[Start]]&gt;=Tasks[[#This Row],[Planned Start]],NETWORKDAYS.INTL(Tasks[[#This Row],[Planned Start]],Tasks[[#This Row],[Start]],WorkWeek,Holidays)-1,1-NETWORKDAYS.INTL(Tasks[[#This Row],[Start]],Tasks[[#This Row],[Planned Start]],WorkWeek,Holidays)))</f>
        <v/>
      </c>
      <c r="AT67" s="63" t="str">
        <f aca="false">IF(Tasks[[#This Row],[Task Name]]="","",IF(Tasks[[#This Row],[_IsSummary]],MIN(INDEX(Tasks[_LeafLateStart],Tasks[[#This Row],[_Row]]+1):INDEX(Tasks[_LeafLateStart],Tasks[[#This Row],[_Row]]+Tasks[[#This Row],[_Descendants]])),Tasks[[#This Row],[_LeafLateStart]]))</f>
        <v/>
      </c>
      <c r="AU67" s="63" t="str">
        <f aca="false">IF(Tasks[[#This Row],[Task Name]]="","",IF(Tasks[[#This Row],[_IsSummary]],MAX(INDEX(Tasks[_LeafLateFinish],Tasks[[#This Row],[_Row]]+1):INDEX(Tasks[_LeafLateFinish],Tasks[[#This Row],[_Row]]+Tasks[[#This Row],[_Descendants]])),Tasks[[#This Row],[_LeafLateFinish]]))</f>
        <v/>
      </c>
      <c r="AV67" s="47" t="str">
        <f aca="false">IF(Tasks[[#This Row],[Task Name]]="","",IF(Tasks[[#This Row],[_IsSummary]],MIN(INDEX(Tasks[_LeafTotalSlack],Tasks[[#This Row],[_Row]]+1):INDEX(Tasks[_LeafTotalSlack],Tasks[[#This Row],[_Row]]+Tasks[[#This Row],[_Descendants]])),Tasks[[#This Row],[_LeafTotalSlack]]))</f>
        <v/>
      </c>
      <c r="AW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5"/>
      <c r="BA6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t="str">
        <f aca="false">IF(Tasks[[#This Row],[Task Name]]="","",IF(Tasks[[#This Row],[_Level]]&lt;=OutlineShowLevel,"Yes","No"))</f>
        <v/>
      </c>
      <c r="BE67" s="86" t="str">
        <f aca="false">IF(Tasks[[#This Row],[Task Name]]="","",IF(Tasks[[#This Row],[_IsSummary]],SUM(INDEX(Tasks[_LeafTotalWork],Tasks[[#This Row],[_Row]]+1):INDEX(Tasks[_LeafTotalWork],Tasks[[#This Row],[_Row]]+Tasks[[#This Row],[_Descendants]])),Tasks[[#This Row],[_LeafTotalWork]]))</f>
        <v/>
      </c>
      <c r="BF67" s="23"/>
      <c r="BG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t="str">
        <f aca="false">""</f>
        <v/>
      </c>
      <c r="BI67" s="87"/>
      <c r="BJ67" s="22"/>
      <c r="BK67" s="47" t="str">
        <f aca="false">IF(OR(Tasks[[#This Row],[Task Name]]="",Tasks[[#This Row],[Baseline Duration]]=""),"",Tasks[[#This Row],[_SpanDays]]-N(Tasks[[#This Row],[Baseline Duration]]))</f>
        <v/>
      </c>
      <c r="BL67" s="86" t="str">
        <f aca="false">IF(OR(Tasks[[#This Row],[Task Name]]="",Tasks[[#This Row],[Baseline Work]]=""),"",Tasks[[#This Row],[Work]]-N(Tasks[[#This Row],[Baseline Work]]))</f>
        <v/>
      </c>
      <c r="BM67" s="63" t="str">
        <f aca="false">IF(Tasks[[#This Row],[Task Name]]="","",IF(OR(TakeBaseline="Yes",N(Tasks[[#This Row],[Baseline Start]])=0),Tasks[[#This Row],[Start]],Tasks[[#This Row],[Baseline Start]]))</f>
        <v/>
      </c>
      <c r="BN67" s="63" t="str">
        <f aca="false">IF(Tasks[[#This Row],[Task Name]]="","",IF(OR(TakeBaseline="Yes",N(Tasks[[#This Row],[Baseline Finish]])=0),Tasks[[#This Row],[Finish]],Tasks[[#This Row],[Baseline Finish]]))</f>
        <v/>
      </c>
      <c r="BO67" s="21" t="str">
        <f aca="false">IF(Tasks[[#This Row],[Task Name]]="","",IF(OR(TakeBaseline="Yes",N(Tasks[[#This Row],[Baseline Duration]])=0),Tasks[[#This Row],[_SpanDays]],Tasks[[#This Row],[Baseline Duration]]))</f>
        <v/>
      </c>
      <c r="BP67" s="86" t="str">
        <f aca="false">IF(Tasks[[#This Row],[Task Name]]="","",IF(OR(TakeBaseline="Yes",N(Tasks[[#This Row],[Baseline Work]])=0),Tasks[[#This Row],[Work]],Tasks[[#This Row],[Baseline Work]]))</f>
        <v/>
      </c>
      <c r="BQ67" s="7"/>
      <c r="BR67" s="7"/>
      <c r="BS67" s="22"/>
      <c r="BT67" s="88"/>
      <c r="BU67" s="23"/>
      <c r="BV67" s="23"/>
      <c r="BW67" s="23"/>
      <c r="BX67" s="89" t="str">
        <f aca="false">IF(AND(Tasks[[#This Row],[_IsLeaf]]=1,ISNUMBER(Tasks[[#This Row],[Optimistic]]),ISNUMBER(Tasks[[#This Row],[Pessimistic]])),ROUND((Tasks[[#This Row],[Optimistic]]+4*N(Tasks[[#This Row],[_Days]])+Tasks[[#This Row],[Pessimistic]])/6,1),"")</f>
        <v/>
      </c>
      <c r="BY67" s="87"/>
      <c r="BZ67" s="87"/>
      <c r="CA67" s="22"/>
      <c r="CB67" s="43" t="str">
        <f aca="false">IF(Tasks[[#This Row],[Task Name]]="","",MAX(1,N(Tasks[[#This Row],[Level]])))</f>
        <v/>
      </c>
      <c r="CC67" s="43" t="n">
        <f aca="false">ROW()-ROW(Tasks[[#Headers],[ID]])</f>
        <v>62</v>
      </c>
      <c r="CD67" s="43" t="n">
        <f aca="false">IF(OR(Tasks[[#This Row],[Task Name]]="",Tasks[[#This Row],[_Level]]&lt;=1),0,IFERROR(LOOKUP(2,1/(Tasks[[#Headers],[_Level]]:Tasks[[#This Row],[_Level]]=Tasks[[#This Row],[_Level]]-1),ROW(Tasks[[#Headers],[_Level]]:Tasks[[#This Row],[_Level]])),0))</f>
        <v>0</v>
      </c>
      <c r="CE67" s="43" t="n">
        <f aca="false">IFERROR(N(INDEX(Tasks[_Level],Tasks[[#This Row],[_Row]]+1)),0)</f>
        <v>0</v>
      </c>
      <c r="CF67" s="90" t="b">
        <f aca="false">AND(Tasks[[#This Row],[Task Name]]&lt;&gt;"",Tasks[[#This Row],[_NextLevel]]&gt;Tasks[[#This Row],[_Level]])</f>
        <v>0</v>
      </c>
      <c r="CG67" s="43" t="n">
        <f aca="false">IF(Tasks[[#This Row],[_IsSummary]],COUNTIF(Tasks[WBS],Tasks[[#This Row],[WBS]]&amp;".*"),0)</f>
        <v>0</v>
      </c>
      <c r="CH67" s="43" t="n">
        <f aca="false">IF(AND(Tasks[[#This Row],[Task Name]]&lt;&gt;"",NOT(Tasks[[#This Row],[_IsSummary]])),1,0)</f>
        <v>0</v>
      </c>
      <c r="CI67" s="43" t="n">
        <f aca="false">IF(N(Tasks[[#This Row],[_Pred1UID]])=0,0,IFERROR(MATCH(Tasks[[#This Row],[_Pred1UID]],Tasks[UID],0),-1))</f>
        <v>0</v>
      </c>
      <c r="CJ67" s="43" t="n">
        <f aca="false">IF(N(Tasks[[#This Row],[_Pred2UID]])=0,0,IFERROR(MATCH(Tasks[[#This Row],[_Pred2UID]],Tasks[UID],0),-1))</f>
        <v>0</v>
      </c>
      <c r="CK67" s="43" t="n">
        <f aca="false">IF(N(Tasks[[#This Row],[_Pred3UID]])=0,0,IFERROR(MATCH(Tasks[[#This Row],[_Pred3UID]],Tasks[UID],0),-1))</f>
        <v>0</v>
      </c>
      <c r="CL67" s="43" t="n">
        <f aca="false">IF(N(Tasks[[#This Row],[_Pred4UID]])=0,0,IFERROR(MATCH(Tasks[[#This Row],[_Pred4UID]],Tasks[UID],0),-1))</f>
        <v>0</v>
      </c>
      <c r="CM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7" s="91" t="n">
        <f aca="false">IF(OR(Tasks[[#This Row],[_ConstraintCode]]=2,Tasks[[#This Row],[_ConstraintCode]]=3,Tasks[[#This Row],[_ConstraintCode]]=4,Tasks[[#This Row],[_ConstraintCode]]=6),Tasks[[#This Row],[_ConstraintStart]],0)</f>
        <v>0</v>
      </c>
      <c r="CP67" s="91" t="n">
        <f aca="false">IF(OR(Tasks[[#This Row],[_ConstraintCode]]=2,Tasks[[#This Row],[_ConstraintCode]]=3,Tasks[[#This Row],[_ConstraintCode]]=5,Tasks[[#This Row],[_ConstraintCode]]=7),Tasks[[#This Row],[_ConstraintStart]],2958465)</f>
        <v>2958465</v>
      </c>
      <c r="CQ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7" s="91" t="str">
        <f aca="false">IF(NOT(Tasks[[#This Row],[_IsLeaf]]=1),"",IF(N(Tasks[[#This Row],[_Days]])&lt;=0,Tasks[[#This Row],[_LeafCalcStart]],WORKDAY.INTL(Tasks[[#This Row],[_LeafCalcStart]],Tasks[[#This Row],[_Days]]-1,WorkWeek,Holidays)))</f>
        <v/>
      </c>
      <c r="CS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7" s="43" t="str">
        <f aca="false">IF(Tasks[[#This Row],[_Predecessors]]="","",TRIM(MID(SUBSTITUTE(SUBSTITUTE(SUBSTITUTE(UPPER(Tasks[[#This Row],[_Predecessors]]),";",",")," ",""),",",REPT(" ",99)),1,99)))</f>
        <v/>
      </c>
      <c r="CV67" s="43" t="str">
        <f aca="false">IF(Tasks[[#This Row],[_Pred1Text]]="","",IFERROR(VALUE(LEFT(Tasks[[#This Row],[_Pred1Text]],MIN(FIND("F",Tasks[[#This Row],[_Pred1Text]]&amp;"F"),FIND("S",Tasks[[#This Row],[_Pred1Text]]&amp;"S"),FIND("+",Tasks[[#This Row],[_Pred1Text]]&amp;"+"),FIND("-",Tasks[[#This Row],[_Pred1Text]]&amp;"-"))-1)),""))</f>
        <v/>
      </c>
      <c r="CW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7" s="43" t="str">
        <f aca="false">IF(Tasks[[#This Row],[_Pred1Text]]="","",TRIM(MID(SUBSTITUTE(SUBSTITUTE(SUBSTITUTE(UPPER(Tasks[[#This Row],[_Predecessors]]),";",",")," ",""),",",REPT(" ",99)),100,99)))</f>
        <v/>
      </c>
      <c r="CZ67" s="43" t="str">
        <f aca="false">IF(Tasks[[#This Row],[_Pred2Text]]="","",IFERROR(VALUE(LEFT(Tasks[[#This Row],[_Pred2Text]],MIN(FIND("F",Tasks[[#This Row],[_Pred2Text]]&amp;"F"),FIND("S",Tasks[[#This Row],[_Pred2Text]]&amp;"S"),FIND("+",Tasks[[#This Row],[_Pred2Text]]&amp;"+"),FIND("-",Tasks[[#This Row],[_Pred2Text]]&amp;"-"))-1)),""))</f>
        <v/>
      </c>
      <c r="DA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7" s="43" t="str">
        <f aca="false">IF(Tasks[[#This Row],[_Pred2Text]]="","",TRIM(MID(SUBSTITUTE(SUBSTITUTE(SUBSTITUTE(UPPER(Tasks[[#This Row],[_Predecessors]]),";",",")," ",""),",",REPT(" ",99)),199,99)))</f>
        <v/>
      </c>
      <c r="DD67" s="43" t="str">
        <f aca="false">IF(Tasks[[#This Row],[_Pred3Text]]="","",IFERROR(VALUE(LEFT(Tasks[[#This Row],[_Pred3Text]],MIN(FIND("F",Tasks[[#This Row],[_Pred3Text]]&amp;"F"),FIND("S",Tasks[[#This Row],[_Pred3Text]]&amp;"S"),FIND("+",Tasks[[#This Row],[_Pred3Text]]&amp;"+"),FIND("-",Tasks[[#This Row],[_Pred3Text]]&amp;"-"))-1)),""))</f>
        <v/>
      </c>
      <c r="DE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7" s="43" t="str">
        <f aca="false">IF(Tasks[[#This Row],[_Pred3Text]]="","",TRIM(MID(SUBSTITUTE(SUBSTITUTE(SUBSTITUTE(UPPER(Tasks[[#This Row],[_Predecessors]]),";",",")," ",""),",",REPT(" ",99)),298,99)))</f>
        <v/>
      </c>
      <c r="DH67" s="43" t="str">
        <f aca="false">IF(Tasks[[#This Row],[_Pred4Text]]="","",IFERROR(VALUE(LEFT(Tasks[[#This Row],[_Pred4Text]],MIN(FIND("F",Tasks[[#This Row],[_Pred4Text]]&amp;"F"),FIND("S",Tasks[[#This Row],[_Pred4Text]]&amp;"S"),FIND("+",Tasks[[#This Row],[_Pred4Text]]&amp;"+"),FIND("-",Tasks[[#This Row],[_Pred4Text]]&amp;"-"))-1)),""))</f>
        <v/>
      </c>
      <c r="DI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7" s="43" t="str">
        <f aca="false">IF(OR(Tasks[[#This Row],[Task Name]]="",Tasks[[#This Row],[_Resources]]=""),"",TRIM(MID(SUBSTITUTE(Tasks[[#This Row],[_Resources]],",",REPT(" ",99)),1,99)))</f>
        <v/>
      </c>
      <c r="DL67" s="43" t="str">
        <f aca="false">IF(Tasks[[#This Row],[_Res1Text]]="","",TRIM(MID(SUBSTITUTE(Tasks[[#This Row],[_Resources]],",",REPT(" ",99)),100,99)))</f>
        <v/>
      </c>
      <c r="DM67" s="43" t="str">
        <f aca="false">IF(Tasks[[#This Row],[_Res2Text]]="","",TRIM(MID(SUBSTITUTE(Tasks[[#This Row],[_Resources]],",",REPT(" ",99)),199,99)))</f>
        <v/>
      </c>
      <c r="DN67" s="43" t="str">
        <f aca="false">IF(Tasks[[#This Row],[_Res3Text]]="","",TRIM(MID(SUBSTITUTE(Tasks[[#This Row],[_Resources]],",",REPT(" ",99)),298,99)))</f>
        <v/>
      </c>
      <c r="DO67" s="43" t="n">
        <f aca="false">IF(Tasks[[#This Row],[_Res1Text]]="",0,IFERROR(MATCH(TRIM(LEFT(Tasks[[#This Row],[_Res1Text]],FIND("[",Tasks[[#This Row],[_Res1Text]]&amp;"[")-1)),res_Name,0),IFERROR(MATCH(TRIM(LEFT(Tasks[[#This Row],[_Res1Text]],FIND("[",Tasks[[#This Row],[_Res1Text]]&amp;"[")-1)),res_Initials,0),0)))</f>
        <v>0</v>
      </c>
      <c r="DP67" s="43" t="n">
        <f aca="false">IF(Tasks[[#This Row],[_Res2Text]]="",0,IFERROR(MATCH(TRIM(LEFT(Tasks[[#This Row],[_Res2Text]],FIND("[",Tasks[[#This Row],[_Res2Text]]&amp;"[")-1)),res_Name,0),IFERROR(MATCH(TRIM(LEFT(Tasks[[#This Row],[_Res2Text]],FIND("[",Tasks[[#This Row],[_Res2Text]]&amp;"[")-1)),res_Initials,0),0)))</f>
        <v>0</v>
      </c>
      <c r="DQ67" s="43" t="n">
        <f aca="false">IF(Tasks[[#This Row],[_Res3Text]]="",0,IFERROR(MATCH(TRIM(LEFT(Tasks[[#This Row],[_Res3Text]],FIND("[",Tasks[[#This Row],[_Res3Text]]&amp;"[")-1)),res_Name,0),IFERROR(MATCH(TRIM(LEFT(Tasks[[#This Row],[_Res3Text]],FIND("[",Tasks[[#This Row],[_Res3Text]]&amp;"[")-1)),res_Initials,0),0)))</f>
        <v>0</v>
      </c>
      <c r="DR67" s="43" t="n">
        <f aca="false">IF(Tasks[[#This Row],[_Res4Text]]="",0,IFERROR(MATCH(TRIM(LEFT(Tasks[[#This Row],[_Res4Text]],FIND("[",Tasks[[#This Row],[_Res4Text]]&amp;"[")-1)),res_Name,0),IFERROR(MATCH(TRIM(LEFT(Tasks[[#This Row],[_Res4Text]],FIND("[",Tasks[[#This Row],[_Res4Text]]&amp;"[")-1)),res_Initials,0),0)))</f>
        <v>0</v>
      </c>
      <c r="DS67" s="43" t="str">
        <f aca="false">IF(Tasks[[#This Row],[_Res1Text]]="","",IF(Tasks[[#This Row],[_Res1Row]]&gt;0,INDEX(res_Name,Tasks[[#This Row],[_Res1Row]]),TRIM(LEFT(Tasks[[#This Row],[_Res1Text]],FIND("[",Tasks[[#This Row],[_Res1Text]]&amp;"[")-1))))</f>
        <v/>
      </c>
      <c r="DT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7" s="43" t="n">
        <f aca="false">IF(NOT(Tasks[[#This Row],[_IsLeaf]]=1),0,(Tasks[[#This Row],[_Resource1]]&lt;&gt;"")+(Tasks[[#This Row],[_Res2]]&lt;&gt;"")+(Tasks[[#This Row],[_Res3]]&lt;&gt;"")+(Tasks[[#This Row],[_Res4]]&lt;&gt;""))</f>
        <v>0</v>
      </c>
      <c r="DV67" s="43" t="str">
        <f aca="false">IF(Tasks[[#This Row],[_Res2Text]]="","",IF(Tasks[[#This Row],[_Res2Row]]&gt;0,INDEX(res_Name,Tasks[[#This Row],[_Res2Row]]),TRIM(LEFT(Tasks[[#This Row],[_Res2Text]],FIND("[",Tasks[[#This Row],[_Res2Text]]&amp;"[")-1))))</f>
        <v/>
      </c>
      <c r="DW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7" s="43" t="n">
        <f aca="false">IF(OR(NOT(Tasks[[#This Row],[_IsLeaf]]=1),Tasks[[#This Row],[_Res2Row]]=0),0,N(Tasks[[#This Row],[_Days]])*HoursPerDay*IF(Tasks[[#This Row],[_Res2Units]]="",DefaultUnits,Tasks[[#This Row],[_Res2Units]]))</f>
        <v>0</v>
      </c>
      <c r="DY67" s="43" t="n">
        <f aca="false">IF(AND(AND(Tasks[[#This Row],[_IsLeaf]]=1,Tasks[[#This Row],[_LeafTotalWork]]&gt;0),Tasks[[#This Row],[_Res2Work]]&gt;0),Tasks[[#This Row],[_Res2Work]]/(Tasks[[#This Row],[_FinishWorkday]]-Tasks[[#This Row],[_StartWorkday]]+1),0)</f>
        <v>0</v>
      </c>
      <c r="DZ67" s="43" t="n">
        <f aca="false">Tasks[[#This Row],[_Res2WorkPerWD]]*MAX(0,Tasks[[#This Row],[_StartWorkday]]-1)</f>
        <v>0</v>
      </c>
      <c r="EA67" s="43" t="n">
        <f aca="false">Tasks[[#This Row],[_Res2Work]]*Tasks[[#This Row],[_LeafProgress]]</f>
        <v>0</v>
      </c>
      <c r="EB67" s="43" t="str">
        <f aca="false">IF(Tasks[[#This Row],[_Res3Text]]="","",IF(Tasks[[#This Row],[_Res3Row]]&gt;0,INDEX(res_Name,Tasks[[#This Row],[_Res3Row]]),TRIM(LEFT(Tasks[[#This Row],[_Res3Text]],FIND("[",Tasks[[#This Row],[_Res3Text]]&amp;"[")-1))))</f>
        <v/>
      </c>
      <c r="EC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7" s="43" t="n">
        <f aca="false">IF(OR(NOT(Tasks[[#This Row],[_IsLeaf]]=1),Tasks[[#This Row],[_Res3Row]]=0),0,N(Tasks[[#This Row],[_Days]])*HoursPerDay*IF(Tasks[[#This Row],[_Res3Units]]="",DefaultUnits,Tasks[[#This Row],[_Res3Units]]))</f>
        <v>0</v>
      </c>
      <c r="EE67" s="43" t="n">
        <f aca="false">IF(AND(AND(Tasks[[#This Row],[_IsLeaf]]=1,Tasks[[#This Row],[_LeafTotalWork]]&gt;0),Tasks[[#This Row],[_Res3Work]]&gt;0),Tasks[[#This Row],[_Res3Work]]/(Tasks[[#This Row],[_FinishWorkday]]-Tasks[[#This Row],[_StartWorkday]]+1),0)</f>
        <v>0</v>
      </c>
      <c r="EF67" s="43" t="n">
        <f aca="false">Tasks[[#This Row],[_Res3WorkPerWD]]*MAX(0,Tasks[[#This Row],[_StartWorkday]]-1)</f>
        <v>0</v>
      </c>
      <c r="EG67" s="43" t="n">
        <f aca="false">Tasks[[#This Row],[_Res3Work]]*Tasks[[#This Row],[_LeafProgress]]</f>
        <v>0</v>
      </c>
      <c r="EH67" s="43" t="str">
        <f aca="false">IF(Tasks[[#This Row],[_Res4Text]]="","",IF(Tasks[[#This Row],[_Res4Row]]&gt;0,INDEX(res_Name,Tasks[[#This Row],[_Res4Row]]),TRIM(LEFT(Tasks[[#This Row],[_Res4Text]],FIND("[",Tasks[[#This Row],[_Res4Text]]&amp;"[")-1))))</f>
        <v/>
      </c>
      <c r="EI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7" s="43" t="n">
        <f aca="false">IF(OR(NOT(Tasks[[#This Row],[_IsLeaf]]=1),Tasks[[#This Row],[_Res4Row]]=0),0,N(Tasks[[#This Row],[_Days]])*HoursPerDay*IF(Tasks[[#This Row],[_Res4Units]]="",DefaultUnits,Tasks[[#This Row],[_Res4Units]]))</f>
        <v>0</v>
      </c>
      <c r="EK67" s="43" t="n">
        <f aca="false">IF(AND(AND(Tasks[[#This Row],[_IsLeaf]]=1,Tasks[[#This Row],[_LeafTotalWork]]&gt;0),Tasks[[#This Row],[_Res4Work]]&gt;0),Tasks[[#This Row],[_Res4Work]]/(Tasks[[#This Row],[_FinishWorkday]]-Tasks[[#This Row],[_StartWorkday]]+1),0)</f>
        <v>0</v>
      </c>
      <c r="EL67" s="43" t="n">
        <f aca="false">Tasks[[#This Row],[_Res4WorkPerWD]]*MAX(0,Tasks[[#This Row],[_StartWorkday]]-1)</f>
        <v>0</v>
      </c>
      <c r="EM67" s="43" t="n">
        <f aca="false">Tasks[[#This Row],[_Res4Work]]*Tasks[[#This Row],[_LeafProgress]]</f>
        <v>0</v>
      </c>
      <c r="EN67" s="43" t="n">
        <f aca="false">IF(ISNUMBER(Tasks[[#This Row],[% Complete]]),Tasks[[#This Row],[% Complete]],IF(Tasks[[#This Row],[Stage]]="",0,IFERROR(INDEX(stg_Pct,MATCH(Tasks[[#This Row],[Stage]],stg_Name,0)),0)))</f>
        <v>0</v>
      </c>
      <c r="EO67" s="43" t="n">
        <f aca="false">IF(NOT(Tasks[[#This Row],[_IsLeaf]]=1),0,IF(N(Tasks[[#This Row],[Actual Finish]])&gt;0,1,MIN(1,Tasks[[#This Row],[_Pct]])))</f>
        <v>0</v>
      </c>
      <c r="EP67" s="43" t="n">
        <f aca="false">IF(OR(NOT(Tasks[[#This Row],[_IsLeaf]]=1),Tasks[[#This Row],[_Res1Row]]=0),0,N(Tasks[[#This Row],[_Days]])*HoursPerDay*IF(Tasks[[#This Row],[_Units1]]="",DefaultUnits,Tasks[[#This Row],[_Units1]]))</f>
        <v>0</v>
      </c>
      <c r="EQ67" s="43" t="n">
        <f aca="false">Tasks[[#This Row],[_LeafWork]]+Tasks[[#This Row],[_Res2Work]]+Tasks[[#This Row],[_Res3Work]]+Tasks[[#This Row],[_Res4Work]]</f>
        <v>0</v>
      </c>
      <c r="ER6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7" s="43" t="n">
        <f aca="false">IF(NOT(Tasks[[#This Row],[_IsLeaf]]=1),0,MAX(_xlfn.MAXIFS(Tasks[_Row],Tasks[_Pred1UID],Tasks[[#This Row],[UID]]),_xlfn.MAXIFS(Tasks[_Row],Tasks[_Pred2UID],Tasks[[#This Row],[UID]]),_xlfn.MAXIFS(Tasks[_Row],Tasks[_Pred3UID],Tasks[[#This Row],[UID]]),_xlfn.MAXIFS(Tasks[_Row],Tasks[_Pred4UID],Tasks[[#This Row],[UID]])))</f>
        <v>0</v>
      </c>
      <c r="FA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7" s="91" t="str">
        <f aca="false">IF(NOT(Tasks[[#This Row],[_IsLeaf]]=1),"",IF(N(Tasks[[#This Row],[_Days]])&lt;=0,Tasks[[#This Row],[_LeafLateFinish]],WORKDAY.INTL(Tasks[[#This Row],[_LeafLateFinish]],-(Tasks[[#This Row],[_Days]]-1),WorkWeek,Holidays)))</f>
        <v/>
      </c>
      <c r="FD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7" s="90" t="b">
        <f aca="false">AND(Tasks[[#This Row],[_IsLeaf]]=1,Tasks[[#This Row],[_LeafProgress]]&lt;1,N(Tasks[[#This Row],[_LeafTotalSlack]])&lt;=CriticalSlackDays)</f>
        <v>0</v>
      </c>
      <c r="FF67" s="43" t="n">
        <f aca="false">IF(AND(Tasks[[#This Row],[_IsLeaf]]=1,Tasks[[#This Row],[_ConstraintCode]]=1,Tasks[[#This Row],[Mode]]&lt;&gt;"Manual",N(Tasks[[#This Row],[Actual Start]])=0),MAX(0,N(Tasks[[#This Row],[Free Slack]])),0)</f>
        <v>0</v>
      </c>
      <c r="FG67" s="91" t="str">
        <f aca="false">IF(NOT(Tasks[[#This Row],[_IsLeaf]]=1),"",IF(Tasks[[#This Row],[_AlapShift]]=0,Tasks[[#This Row],[_LeafCalcStart]],WORKDAY.INTL(Tasks[[#This Row],[_LeafCalcStart]],Tasks[[#This Row],[_AlapShift]],WorkWeek,Holidays)))</f>
        <v/>
      </c>
      <c r="FH67" s="91" t="str">
        <f aca="false">IF(NOT(Tasks[[#This Row],[_IsLeaf]]=1),"",IF(Tasks[[#This Row],[_AlapShift]]=0,Tasks[[#This Row],[_LeafCalcFinish]],WORKDAY.INTL(Tasks[[#This Row],[_LeafCalcFinish]],Tasks[[#This Row],[_AlapShift]],WorkWeek,Holidays)))</f>
        <v/>
      </c>
      <c r="FI67" s="91" t="str">
        <f aca="false">IF(NOT(Tasks[[#This Row],[_IsLeaf]]=1),"",IF(Tasks[[#This Row],[_AlapShift]]=0,Tasks[[#This Row],[_LeafFcstStart]],WORKDAY.INTL(Tasks[[#This Row],[_LeafFcstStart]],Tasks[[#This Row],[_AlapShift]],WorkWeek,Holidays)))</f>
        <v/>
      </c>
      <c r="FJ67" s="91" t="str">
        <f aca="false">IF(NOT(Tasks[[#This Row],[_IsLeaf]]=1),"",IF(Tasks[[#This Row],[_AlapShift]]=0,Tasks[[#This Row],[_LeafFcstFinish]],WORKDAY.INTL(Tasks[[#This Row],[_LeafFcstFinish]],Tasks[[#This Row],[_AlapShift]],WorkWeek,Holidays)))</f>
        <v/>
      </c>
      <c r="FK67" s="91" t="str">
        <f aca="false">IF(Tasks[[#This Row],[Task Name]]="","",IF(Tasks[[#This Row],[_IsSummary]],MIN(INDEX(Tasks[_ShownCalcStart],Tasks[[#This Row],[_Row]]+1):INDEX(Tasks[_ShownCalcStart],Tasks[[#This Row],[_Row]]+Tasks[[#This Row],[_Descendants]])),Tasks[[#This Row],[_ShownCalcStart]]))</f>
        <v/>
      </c>
      <c r="FL67" s="91" t="str">
        <f aca="false">IF(Tasks[[#This Row],[Task Name]]="","",IF(Tasks[[#This Row],[_IsSummary]],MAX(INDEX(Tasks[_ShownCalcFinish],Tasks[[#This Row],[_Row]]+1):INDEX(Tasks[_ShownCalcFinish],Tasks[[#This Row],[_Row]]+Tasks[[#This Row],[_Descendants]])),Tasks[[#This Row],[_ShownCalcFinish]]))</f>
        <v/>
      </c>
      <c r="FM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7" s="43" t="n">
        <f aca="false">IF(AND(Tasks[[#This Row],[_IsLeaf]]=1,Tasks[[#This Row],[_LeafTotalWork]]&gt;0),NETWORKDAYS.INTL(ProjectStart,Tasks[[#This Row],[_ShownFcstStart]],WorkWeek,Holidays),0)</f>
        <v>0</v>
      </c>
      <c r="FZ67" s="43" t="n">
        <f aca="false">IF(AND(Tasks[[#This Row],[_IsLeaf]]=1,Tasks[[#This Row],[_LeafTotalWork]]&gt;0),MAX(Tasks[[#This Row],[_StartWorkday]],NETWORKDAYS.INTL(ProjectStart,Tasks[[#This Row],[_ShownFcstFinish]],WorkWeek,Holidays)),0)</f>
        <v>0</v>
      </c>
      <c r="GA67" s="43" t="n">
        <f aca="false">IF(AND(Tasks[[#This Row],[_IsLeaf]]=1,Tasks[[#This Row],[_LeafTotalWork]]&gt;0),Tasks[[#This Row],[_LeafWork]]/(Tasks[[#This Row],[_FinishWorkday]]-Tasks[[#This Row],[_StartWorkday]]+1),0)</f>
        <v>0</v>
      </c>
      <c r="GB67" s="43" t="n">
        <f aca="false">Tasks[[#This Row],[_WorkPerWorkday]]*(Tasks[[#This Row],[_StartWorkday]]-1)</f>
        <v>-0</v>
      </c>
      <c r="GC67" s="43" t="n">
        <f aca="false">IF(Tasks[[#This Row],[_IsLeaf]]=1,MAX(N(Tasks[[#This Row],[_Days]]),0.1),0)</f>
        <v>0</v>
      </c>
      <c r="GD67" s="43" t="n">
        <f aca="false">Tasks[[#This Row],[_WeightDur]]*Tasks[[#This Row],[_LeafProgress]]</f>
        <v>0</v>
      </c>
      <c r="GE67" s="43" t="n">
        <f aca="false">Tasks[[#This Row],[_WeightDur]]*Tasks[[#This Row],[_PlannedPct]]</f>
        <v>0</v>
      </c>
      <c r="GF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7" s="43" t="str">
        <f aca="false">IF(AND(Tasks[[#This Row],[_IsLeaf]]=1,N(Tasks[[#This Row],[_Days]])=0,Tasks[[#This Row],[_LeafProgress]]&lt;1),Tasks[[#This Row],[_ShownFcstFinish]]+Tasks[[#This Row],[_Row]]/100000,"")</f>
        <v/>
      </c>
      <c r="GH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7" s="43" t="str">
        <f aca="false">IF(Tasks[[#This Row],[Task Name]]="","",LEFT(Tasks[[#This Row],[WBS]],FIND(".",Tasks[[#This Row],[WBS]]&amp;".")-1))</f>
        <v/>
      </c>
      <c r="GJ67" s="43" t="str">
        <f aca="false">IF(AND(Tasks[[#This Row],[Task Name]]&lt;&gt;"",Tasks[[#This Row],[_Level]]=1),Tasks[[#This Row],[_Row]],"")</f>
        <v/>
      </c>
      <c r="GK67" s="43" t="str">
        <f aca="false">IF(AND(Tasks[[#This Row],[_IsLeaf]]=1,N(Tasks[[#This Row],[_Days]])=0),Tasks[[#This Row],[Planned Finish]]+Tasks[[#This Row],[_Row]]/100000,"")</f>
        <v/>
      </c>
      <c r="GL67" s="43" t="str">
        <f aca="false">IF(AND(Tasks[[#This Row],[_IsLeaf]]=1,Tasks[[#This Row],[_LeafProgress]]&lt;1,OR(N(Tasks[[#This Row],[Finish Var]])&gt;0,Tasks[[#This Row],[Status]]="Late Start")),MAX(0,Tasks[[#This Row],[Finish Var]])+1-Tasks[[#This Row],[_Row]]/1000000,"")</f>
        <v/>
      </c>
      <c r="GM67" s="43" t="str">
        <f aca="false">IF(AND(Tasks[[#This Row],[_IsLeaf]]=1,N(Tasks[[#This Row],[Actual Start]])=0,Tasks[[#This Row],[_ShownFcstStart]]&gt;=StatusDate,Tasks[[#This Row],[_ShownFcstStart]]&lt;=LookaheadEnd),Tasks[[#This Row],[_ShownFcstStart]]+Tasks[[#This Row],[_Row]]/100000,"")</f>
        <v/>
      </c>
      <c r="GN67" s="43" t="str">
        <f aca="false">IF(AND(Tasks[[#This Row],[_IsLeaf]]=1,Tasks[[#This Row],[_LeafProgress]]&lt;1,Tasks[[#This Row],[_ShownFcstFinish]]&gt;=StatusDate,Tasks[[#This Row],[_ShownFcstFinish]]&lt;=LookaheadEnd),Tasks[[#This Row],[_ShownFcstFinish]]+Tasks[[#This Row],[_Row]]/100000,"")</f>
        <v/>
      </c>
      <c r="GO67" s="43" t="str">
        <f aca="false">IF(Tasks[[#This Row],[_LeafCritical]],Tasks[[#This Row],[_ShownFcstStart]]+Tasks[[#This Row],[_Row]]/100000,"")</f>
        <v/>
      </c>
      <c r="GP67" s="43" t="n">
        <f aca="false">Tasks[[#This Row],[_LeafWork]]*Tasks[[#This Row],[_LeafProgress]]</f>
        <v>0</v>
      </c>
      <c r="GQ67" s="91" t="str">
        <f aca="false">IF(AND(Tasks[[#This Row],[_IsLeaf]]=1,Tasks[[#This Row],[_LeafProgress]]&gt;=1),IF(N(Tasks[[#This Row],[Actual Finish]])&gt;0,Tasks[[#This Row],[Actual Finish]],Tasks[[#This Row],[_ShownFcstFinish]]),"")</f>
        <v/>
      </c>
      <c r="GR67" s="43" t="n">
        <f aca="false">IF(Tasks[[#This Row],[_IsLeaf]]=1,N(Tasks[[#This Row],[Story Points]]),0)</f>
        <v>0</v>
      </c>
      <c r="GS67" s="43" t="str">
        <f aca="false">""</f>
        <v/>
      </c>
      <c r="GT67" s="90" t="b">
        <f aca="false">IF(Tasks[[#This Row],[Task Name]]="",FALSE(),AND(Tasks[[#This Row],[_IsLeaf]]=1,N(Tasks[[#This Row],[_Days]])=0))</f>
        <v>0</v>
      </c>
      <c r="GU67" s="91" t="n">
        <f aca="false">IF(Tasks[[#This Row],[Task Name]]="",0,IF(AND(Tasks[[#This Row],[_IsLeaf]]=1,NOT(Tasks[[#This Row],[_IsMilestone]]),N(Tasks[[#This Row],[Progress]])&gt;0),Tasks[[#This Row],[Start]],0))</f>
        <v>0</v>
      </c>
      <c r="GV67" s="91" t="n">
        <f aca="false">IF(Tasks[[#This Row],[_DoneFrom]]=0,0,IF(Tasks[[#This Row],[Progress]]&gt;=1,Tasks[[#This Row],[Finish]],MAX(Tasks[[#This Row],[_DoneFrom]],Tasks[[#This Row],[Start]]+ROUND((Tasks[[#This Row],[Finish]]-Tasks[[#This Row],[Start]]+1)*Tasks[[#This Row],[Progress]],0)-1)))</f>
        <v>0</v>
      </c>
      <c r="GW67" s="91" t="n">
        <f aca="false">IF(Tasks[[#This Row],[Task Name]]="",0,IF(OR(NOT(Tasks[[#This Row],[_IsLeaf]]=1),Tasks[[#This Row],[_IsMilestone]],N(Tasks[[#This Row],[Progress]])&gt;=1),0,IF(Tasks[[#This Row],[_DoneTo]]&gt;0,Tasks[[#This Row],[_DoneTo]]+1,Tasks[[#This Row],[Start]])))</f>
        <v>0</v>
      </c>
      <c r="GX67" s="91" t="n">
        <f aca="false">IF(Tasks[[#This Row],[_RemFrom]]=0,0,Tasks[[#This Row],[Finish]])</f>
        <v>0</v>
      </c>
      <c r="GY67" s="90" t="b">
        <f aca="false">IF(Tasks[[#This Row],[Task Name]]="",FALSE(),OR(NOT(BaselineSet),N(Tasks[[#This Row],[Baseline Start]])&gt;0))</f>
        <v>0</v>
      </c>
      <c r="GZ6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7" s="92" t="str">
        <f aca="false">IF(Tasks[[#This Row],[_IsLeaf]]=1,Tasks[[#This Row],[_Row]],"")</f>
        <v/>
      </c>
      <c r="HD67" s="92" t="str">
        <f aca="false">IFERROR(INDEX(Tasks[UID],SMALL(Tasks[_PickKey],Tasks[[#This Row],[_Row]]))&amp;" "&amp;INDEX(Tasks[Task Name],SMALL(Tasks[_PickKey],Tasks[[#This Row],[_Row]])),"")</f>
        <v/>
      </c>
      <c r="HE67" s="43" t="str">
        <f aca="false">IF(Tasks[[#This Row],[Task Name]]="","",IF(Tasks[[#This Row],[_IsSummary]],NETWORKDAYS.INTL(Tasks[[#This Row],[Start]],Tasks[[#This Row],[Finish]],WorkWeek,Holidays),N(Tasks[[#This Row],[_Days]])))</f>
        <v/>
      </c>
      <c r="HF67" s="43" t="n">
        <f aca="false">IF(Tasks[[#This Row],[Expected]]="",0,((Tasks[[#This Row],[Pessimistic]]-Tasks[[#This Row],[Optimistic]])/6)^2)</f>
        <v>0</v>
      </c>
      <c r="HG67" s="43" t="n">
        <f aca="false">IF(Tasks[[#This Row],[Expected]]="",0,Tasks[[#This Row],[Expected]]-N(Tasks[[#This Row],[_Days]]))</f>
        <v>0</v>
      </c>
    </row>
    <row r="68" customFormat="false" ht="15" hidden="false" customHeight="false" outlineLevel="0" collapsed="false">
      <c r="A68" s="21" t="str">
        <f aca="false">IF(Tasks[[#This Row],[Task Name]]="","",COUNTA(Tasks[[#Headers],[Task Name]]:Tasks[[#This Row],[Task Name]])-1)</f>
        <v/>
      </c>
      <c r="B68" s="22" t="n">
        <v>76</v>
      </c>
      <c r="C68" s="22"/>
      <c r="D68" s="23"/>
      <c r="E68" s="22"/>
      <c r="F68" s="23"/>
      <c r="G68" s="22"/>
      <c r="H68" s="22"/>
      <c r="I68" s="23"/>
      <c r="J68" s="22"/>
      <c r="K68" s="22"/>
      <c r="L68" s="23"/>
      <c r="M68" s="22"/>
      <c r="N68" s="22"/>
      <c r="O68" s="23"/>
      <c r="P68" s="22"/>
      <c r="Q68" s="22"/>
      <c r="R68" s="23"/>
      <c r="S68" s="23"/>
      <c r="T68" s="84"/>
      <c r="U68" s="23"/>
      <c r="V68" s="84"/>
      <c r="W68" s="23"/>
      <c r="X68" s="84"/>
      <c r="Y68" s="23"/>
      <c r="Z68" s="84"/>
      <c r="AA68" s="23"/>
      <c r="AB68" s="23"/>
      <c r="AC68" s="7"/>
      <c r="AD68" s="7"/>
      <c r="AE68" s="63" t="str">
        <f aca="false">IF(Tasks[[#This Row],[Task Name]]="","",IF(Tasks[[#This Row],[_IsSummary]],MIN(INDEX(Tasks[_ShownFcstStart],Tasks[[#This Row],[_Row]]+1):INDEX(Tasks[_ShownFcstStart],Tasks[[#This Row],[_Row]]+Tasks[[#This Row],[_Descendants]])),Tasks[[#This Row],[_ShownFcstStart]]))</f>
        <v/>
      </c>
      <c r="AF68" s="63" t="str">
        <f aca="false">IF(Tasks[[#This Row],[Task Name]]="","",IF(Tasks[[#This Row],[_IsSummary]],MAX(INDEX(Tasks[_ShownFcstFinish],Tasks[[#This Row],[_Row]]+1):INDEX(Tasks[_ShownFcstFinish],Tasks[[#This Row],[_Row]]+Tasks[[#This Row],[_Descendants]])),Tasks[[#This Row],[_ShownFcstFinish]]))</f>
        <v/>
      </c>
      <c r="AG68" s="21" t="str">
        <f aca="false">""</f>
        <v/>
      </c>
      <c r="AH68" s="23"/>
      <c r="AI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8" s="7"/>
      <c r="AK68" s="22"/>
      <c r="AL68" s="23"/>
      <c r="AM68" s="7"/>
      <c r="AN68" s="47" t="str">
        <f aca="false">IF(Tasks[[#This Row],[Task Name]]="","",IF(Tasks[[#This Row],[Finish]]&gt;=Tasks[[#This Row],[Planned Finish]],NETWORKDAYS.INTL(Tasks[[#This Row],[Planned Finish]],Tasks[[#This Row],[Finish]],WorkWeek,Holidays)-1,1-NETWORKDAYS.INTL(Tasks[[#This Row],[Finish]],Tasks[[#This Row],[Planned Finish]],WorkWeek,Holidays)))</f>
        <v/>
      </c>
      <c r="AO68" s="21" t="str">
        <f aca="false">IF(Tasks[[#This Row],[Task Name]]="","",IF(Tasks[[#This Row],[Progress]]&gt;=1,"Complete",IF(OR(N(Tasks[[#This Row],[Actual Start]])&gt;0,Tasks[[#This Row],[Progress]]&gt;0),IF(Tasks[[#This Row],[Finish Var]]&gt;0,"Behind","In Progress"),IF(Tasks[[#This Row],[Planned Start]]&lt;StatusDate,"Late Start","Not Started"))))</f>
        <v/>
      </c>
      <c r="AP68" s="21" t="str">
        <f aca="false">IF(Tasks[[#This Row],[Task Name]]="","",IF(IF(Tasks[[#This Row],[_IsSummary]],COUNTIF(INDEX(Tasks[_LeafCritical],Tasks[[#This Row],[_Row]]+1):INDEX(Tasks[_LeafCritical],Tasks[[#This Row],[_Row]]+Tasks[[#This Row],[_Descendants]]),TRUE())&gt;0,Tasks[[#This Row],[_LeafCritical]]),"Yes",""))</f>
        <v/>
      </c>
      <c r="AQ68" s="63" t="str">
        <f aca="false">IF(Tasks[[#This Row],[Task Name]]="","",IF(N(Tasks[[#This Row],[Baseline Start]])&gt;0,Tasks[[#This Row],[Baseline Start]],Tasks[[#This Row],[_CalcStart]]))</f>
        <v/>
      </c>
      <c r="AR68" s="63" t="str">
        <f aca="false">IF(Tasks[[#This Row],[Task Name]]="","",IF(N(Tasks[[#This Row],[Baseline Finish]])&gt;0,Tasks[[#This Row],[Baseline Finish]],Tasks[[#This Row],[_CalcFinish]]))</f>
        <v/>
      </c>
      <c r="AS68" s="47" t="str">
        <f aca="false">IF(Tasks[[#This Row],[Task Name]]="","",IF(Tasks[[#This Row],[Start]]&gt;=Tasks[[#This Row],[Planned Start]],NETWORKDAYS.INTL(Tasks[[#This Row],[Planned Start]],Tasks[[#This Row],[Start]],WorkWeek,Holidays)-1,1-NETWORKDAYS.INTL(Tasks[[#This Row],[Start]],Tasks[[#This Row],[Planned Start]],WorkWeek,Holidays)))</f>
        <v/>
      </c>
      <c r="AT68" s="63" t="str">
        <f aca="false">IF(Tasks[[#This Row],[Task Name]]="","",IF(Tasks[[#This Row],[_IsSummary]],MIN(INDEX(Tasks[_LeafLateStart],Tasks[[#This Row],[_Row]]+1):INDEX(Tasks[_LeafLateStart],Tasks[[#This Row],[_Row]]+Tasks[[#This Row],[_Descendants]])),Tasks[[#This Row],[_LeafLateStart]]))</f>
        <v/>
      </c>
      <c r="AU68" s="63" t="str">
        <f aca="false">IF(Tasks[[#This Row],[Task Name]]="","",IF(Tasks[[#This Row],[_IsSummary]],MAX(INDEX(Tasks[_LeafLateFinish],Tasks[[#This Row],[_Row]]+1):INDEX(Tasks[_LeafLateFinish],Tasks[[#This Row],[_Row]]+Tasks[[#This Row],[_Descendants]])),Tasks[[#This Row],[_LeafLateFinish]]))</f>
        <v/>
      </c>
      <c r="AV68" s="47" t="str">
        <f aca="false">IF(Tasks[[#This Row],[Task Name]]="","",IF(Tasks[[#This Row],[_IsSummary]],MIN(INDEX(Tasks[_LeafTotalSlack],Tasks[[#This Row],[_Row]]+1):INDEX(Tasks[_LeafTotalSlack],Tasks[[#This Row],[_Row]]+Tasks[[#This Row],[_Descendants]])),Tasks[[#This Row],[_LeafTotalSlack]]))</f>
        <v/>
      </c>
      <c r="AW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5"/>
      <c r="BA6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t="str">
        <f aca="false">IF(Tasks[[#This Row],[Task Name]]="","",IF(Tasks[[#This Row],[_Level]]&lt;=OutlineShowLevel,"Yes","No"))</f>
        <v/>
      </c>
      <c r="BE68" s="86" t="str">
        <f aca="false">IF(Tasks[[#This Row],[Task Name]]="","",IF(Tasks[[#This Row],[_IsSummary]],SUM(INDEX(Tasks[_LeafTotalWork],Tasks[[#This Row],[_Row]]+1):INDEX(Tasks[_LeafTotalWork],Tasks[[#This Row],[_Row]]+Tasks[[#This Row],[_Descendants]])),Tasks[[#This Row],[_LeafTotalWork]]))</f>
        <v/>
      </c>
      <c r="BF68" s="23"/>
      <c r="BG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t="str">
        <f aca="false">""</f>
        <v/>
      </c>
      <c r="BI68" s="87"/>
      <c r="BJ68" s="22"/>
      <c r="BK68" s="47" t="str">
        <f aca="false">IF(OR(Tasks[[#This Row],[Task Name]]="",Tasks[[#This Row],[Baseline Duration]]=""),"",Tasks[[#This Row],[_SpanDays]]-N(Tasks[[#This Row],[Baseline Duration]]))</f>
        <v/>
      </c>
      <c r="BL68" s="86" t="str">
        <f aca="false">IF(OR(Tasks[[#This Row],[Task Name]]="",Tasks[[#This Row],[Baseline Work]]=""),"",Tasks[[#This Row],[Work]]-N(Tasks[[#This Row],[Baseline Work]]))</f>
        <v/>
      </c>
      <c r="BM68" s="63" t="str">
        <f aca="false">IF(Tasks[[#This Row],[Task Name]]="","",IF(OR(TakeBaseline="Yes",N(Tasks[[#This Row],[Baseline Start]])=0),Tasks[[#This Row],[Start]],Tasks[[#This Row],[Baseline Start]]))</f>
        <v/>
      </c>
      <c r="BN68" s="63" t="str">
        <f aca="false">IF(Tasks[[#This Row],[Task Name]]="","",IF(OR(TakeBaseline="Yes",N(Tasks[[#This Row],[Baseline Finish]])=0),Tasks[[#This Row],[Finish]],Tasks[[#This Row],[Baseline Finish]]))</f>
        <v/>
      </c>
      <c r="BO68" s="21" t="str">
        <f aca="false">IF(Tasks[[#This Row],[Task Name]]="","",IF(OR(TakeBaseline="Yes",N(Tasks[[#This Row],[Baseline Duration]])=0),Tasks[[#This Row],[_SpanDays]],Tasks[[#This Row],[Baseline Duration]]))</f>
        <v/>
      </c>
      <c r="BP68" s="86" t="str">
        <f aca="false">IF(Tasks[[#This Row],[Task Name]]="","",IF(OR(TakeBaseline="Yes",N(Tasks[[#This Row],[Baseline Work]])=0),Tasks[[#This Row],[Work]],Tasks[[#This Row],[Baseline Work]]))</f>
        <v/>
      </c>
      <c r="BQ68" s="7"/>
      <c r="BR68" s="7"/>
      <c r="BS68" s="22"/>
      <c r="BT68" s="88"/>
      <c r="BU68" s="23"/>
      <c r="BV68" s="23"/>
      <c r="BW68" s="23"/>
      <c r="BX68" s="89" t="str">
        <f aca="false">IF(AND(Tasks[[#This Row],[_IsLeaf]]=1,ISNUMBER(Tasks[[#This Row],[Optimistic]]),ISNUMBER(Tasks[[#This Row],[Pessimistic]])),ROUND((Tasks[[#This Row],[Optimistic]]+4*N(Tasks[[#This Row],[_Days]])+Tasks[[#This Row],[Pessimistic]])/6,1),"")</f>
        <v/>
      </c>
      <c r="BY68" s="87"/>
      <c r="BZ68" s="87"/>
      <c r="CA68" s="22"/>
      <c r="CB68" s="43" t="str">
        <f aca="false">IF(Tasks[[#This Row],[Task Name]]="","",MAX(1,N(Tasks[[#This Row],[Level]])))</f>
        <v/>
      </c>
      <c r="CC68" s="43" t="n">
        <f aca="false">ROW()-ROW(Tasks[[#Headers],[ID]])</f>
        <v>63</v>
      </c>
      <c r="CD68" s="43" t="n">
        <f aca="false">IF(OR(Tasks[[#This Row],[Task Name]]="",Tasks[[#This Row],[_Level]]&lt;=1),0,IFERROR(LOOKUP(2,1/(Tasks[[#Headers],[_Level]]:Tasks[[#This Row],[_Level]]=Tasks[[#This Row],[_Level]]-1),ROW(Tasks[[#Headers],[_Level]]:Tasks[[#This Row],[_Level]])),0))</f>
        <v>0</v>
      </c>
      <c r="CE68" s="43" t="n">
        <f aca="false">IFERROR(N(INDEX(Tasks[_Level],Tasks[[#This Row],[_Row]]+1)),0)</f>
        <v>0</v>
      </c>
      <c r="CF68" s="90" t="b">
        <f aca="false">AND(Tasks[[#This Row],[Task Name]]&lt;&gt;"",Tasks[[#This Row],[_NextLevel]]&gt;Tasks[[#This Row],[_Level]])</f>
        <v>0</v>
      </c>
      <c r="CG68" s="43" t="n">
        <f aca="false">IF(Tasks[[#This Row],[_IsSummary]],COUNTIF(Tasks[WBS],Tasks[[#This Row],[WBS]]&amp;".*"),0)</f>
        <v>0</v>
      </c>
      <c r="CH68" s="43" t="n">
        <f aca="false">IF(AND(Tasks[[#This Row],[Task Name]]&lt;&gt;"",NOT(Tasks[[#This Row],[_IsSummary]])),1,0)</f>
        <v>0</v>
      </c>
      <c r="CI68" s="43" t="n">
        <f aca="false">IF(N(Tasks[[#This Row],[_Pred1UID]])=0,0,IFERROR(MATCH(Tasks[[#This Row],[_Pred1UID]],Tasks[UID],0),-1))</f>
        <v>0</v>
      </c>
      <c r="CJ68" s="43" t="n">
        <f aca="false">IF(N(Tasks[[#This Row],[_Pred2UID]])=0,0,IFERROR(MATCH(Tasks[[#This Row],[_Pred2UID]],Tasks[UID],0),-1))</f>
        <v>0</v>
      </c>
      <c r="CK68" s="43" t="n">
        <f aca="false">IF(N(Tasks[[#This Row],[_Pred3UID]])=0,0,IFERROR(MATCH(Tasks[[#This Row],[_Pred3UID]],Tasks[UID],0),-1))</f>
        <v>0</v>
      </c>
      <c r="CL68" s="43" t="n">
        <f aca="false">IF(N(Tasks[[#This Row],[_Pred4UID]])=0,0,IFERROR(MATCH(Tasks[[#This Row],[_Pred4UID]],Tasks[UID],0),-1))</f>
        <v>0</v>
      </c>
      <c r="CM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8" s="91" t="n">
        <f aca="false">IF(OR(Tasks[[#This Row],[_ConstraintCode]]=2,Tasks[[#This Row],[_ConstraintCode]]=3,Tasks[[#This Row],[_ConstraintCode]]=4,Tasks[[#This Row],[_ConstraintCode]]=6),Tasks[[#This Row],[_ConstraintStart]],0)</f>
        <v>0</v>
      </c>
      <c r="CP68" s="91" t="n">
        <f aca="false">IF(OR(Tasks[[#This Row],[_ConstraintCode]]=2,Tasks[[#This Row],[_ConstraintCode]]=3,Tasks[[#This Row],[_ConstraintCode]]=5,Tasks[[#This Row],[_ConstraintCode]]=7),Tasks[[#This Row],[_ConstraintStart]],2958465)</f>
        <v>2958465</v>
      </c>
      <c r="CQ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8" s="91" t="str">
        <f aca="false">IF(NOT(Tasks[[#This Row],[_IsLeaf]]=1),"",IF(N(Tasks[[#This Row],[_Days]])&lt;=0,Tasks[[#This Row],[_LeafCalcStart]],WORKDAY.INTL(Tasks[[#This Row],[_LeafCalcStart]],Tasks[[#This Row],[_Days]]-1,WorkWeek,Holidays)))</f>
        <v/>
      </c>
      <c r="CS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8" s="43" t="str">
        <f aca="false">IF(Tasks[[#This Row],[_Predecessors]]="","",TRIM(MID(SUBSTITUTE(SUBSTITUTE(SUBSTITUTE(UPPER(Tasks[[#This Row],[_Predecessors]]),";",",")," ",""),",",REPT(" ",99)),1,99)))</f>
        <v/>
      </c>
      <c r="CV68" s="43" t="str">
        <f aca="false">IF(Tasks[[#This Row],[_Pred1Text]]="","",IFERROR(VALUE(LEFT(Tasks[[#This Row],[_Pred1Text]],MIN(FIND("F",Tasks[[#This Row],[_Pred1Text]]&amp;"F"),FIND("S",Tasks[[#This Row],[_Pred1Text]]&amp;"S"),FIND("+",Tasks[[#This Row],[_Pred1Text]]&amp;"+"),FIND("-",Tasks[[#This Row],[_Pred1Text]]&amp;"-"))-1)),""))</f>
        <v/>
      </c>
      <c r="CW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8" s="43" t="str">
        <f aca="false">IF(Tasks[[#This Row],[_Pred1Text]]="","",TRIM(MID(SUBSTITUTE(SUBSTITUTE(SUBSTITUTE(UPPER(Tasks[[#This Row],[_Predecessors]]),";",",")," ",""),",",REPT(" ",99)),100,99)))</f>
        <v/>
      </c>
      <c r="CZ68" s="43" t="str">
        <f aca="false">IF(Tasks[[#This Row],[_Pred2Text]]="","",IFERROR(VALUE(LEFT(Tasks[[#This Row],[_Pred2Text]],MIN(FIND("F",Tasks[[#This Row],[_Pred2Text]]&amp;"F"),FIND("S",Tasks[[#This Row],[_Pred2Text]]&amp;"S"),FIND("+",Tasks[[#This Row],[_Pred2Text]]&amp;"+"),FIND("-",Tasks[[#This Row],[_Pred2Text]]&amp;"-"))-1)),""))</f>
        <v/>
      </c>
      <c r="DA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8" s="43" t="str">
        <f aca="false">IF(Tasks[[#This Row],[_Pred2Text]]="","",TRIM(MID(SUBSTITUTE(SUBSTITUTE(SUBSTITUTE(UPPER(Tasks[[#This Row],[_Predecessors]]),";",",")," ",""),",",REPT(" ",99)),199,99)))</f>
        <v/>
      </c>
      <c r="DD68" s="43" t="str">
        <f aca="false">IF(Tasks[[#This Row],[_Pred3Text]]="","",IFERROR(VALUE(LEFT(Tasks[[#This Row],[_Pred3Text]],MIN(FIND("F",Tasks[[#This Row],[_Pred3Text]]&amp;"F"),FIND("S",Tasks[[#This Row],[_Pred3Text]]&amp;"S"),FIND("+",Tasks[[#This Row],[_Pred3Text]]&amp;"+"),FIND("-",Tasks[[#This Row],[_Pred3Text]]&amp;"-"))-1)),""))</f>
        <v/>
      </c>
      <c r="DE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8" s="43" t="str">
        <f aca="false">IF(Tasks[[#This Row],[_Pred3Text]]="","",TRIM(MID(SUBSTITUTE(SUBSTITUTE(SUBSTITUTE(UPPER(Tasks[[#This Row],[_Predecessors]]),";",",")," ",""),",",REPT(" ",99)),298,99)))</f>
        <v/>
      </c>
      <c r="DH68" s="43" t="str">
        <f aca="false">IF(Tasks[[#This Row],[_Pred4Text]]="","",IFERROR(VALUE(LEFT(Tasks[[#This Row],[_Pred4Text]],MIN(FIND("F",Tasks[[#This Row],[_Pred4Text]]&amp;"F"),FIND("S",Tasks[[#This Row],[_Pred4Text]]&amp;"S"),FIND("+",Tasks[[#This Row],[_Pred4Text]]&amp;"+"),FIND("-",Tasks[[#This Row],[_Pred4Text]]&amp;"-"))-1)),""))</f>
        <v/>
      </c>
      <c r="DI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8" s="43" t="str">
        <f aca="false">IF(OR(Tasks[[#This Row],[Task Name]]="",Tasks[[#This Row],[_Resources]]=""),"",TRIM(MID(SUBSTITUTE(Tasks[[#This Row],[_Resources]],",",REPT(" ",99)),1,99)))</f>
        <v/>
      </c>
      <c r="DL68" s="43" t="str">
        <f aca="false">IF(Tasks[[#This Row],[_Res1Text]]="","",TRIM(MID(SUBSTITUTE(Tasks[[#This Row],[_Resources]],",",REPT(" ",99)),100,99)))</f>
        <v/>
      </c>
      <c r="DM68" s="43" t="str">
        <f aca="false">IF(Tasks[[#This Row],[_Res2Text]]="","",TRIM(MID(SUBSTITUTE(Tasks[[#This Row],[_Resources]],",",REPT(" ",99)),199,99)))</f>
        <v/>
      </c>
      <c r="DN68" s="43" t="str">
        <f aca="false">IF(Tasks[[#This Row],[_Res3Text]]="","",TRIM(MID(SUBSTITUTE(Tasks[[#This Row],[_Resources]],",",REPT(" ",99)),298,99)))</f>
        <v/>
      </c>
      <c r="DO68" s="43" t="n">
        <f aca="false">IF(Tasks[[#This Row],[_Res1Text]]="",0,IFERROR(MATCH(TRIM(LEFT(Tasks[[#This Row],[_Res1Text]],FIND("[",Tasks[[#This Row],[_Res1Text]]&amp;"[")-1)),res_Name,0),IFERROR(MATCH(TRIM(LEFT(Tasks[[#This Row],[_Res1Text]],FIND("[",Tasks[[#This Row],[_Res1Text]]&amp;"[")-1)),res_Initials,0),0)))</f>
        <v>0</v>
      </c>
      <c r="DP68" s="43" t="n">
        <f aca="false">IF(Tasks[[#This Row],[_Res2Text]]="",0,IFERROR(MATCH(TRIM(LEFT(Tasks[[#This Row],[_Res2Text]],FIND("[",Tasks[[#This Row],[_Res2Text]]&amp;"[")-1)),res_Name,0),IFERROR(MATCH(TRIM(LEFT(Tasks[[#This Row],[_Res2Text]],FIND("[",Tasks[[#This Row],[_Res2Text]]&amp;"[")-1)),res_Initials,0),0)))</f>
        <v>0</v>
      </c>
      <c r="DQ68" s="43" t="n">
        <f aca="false">IF(Tasks[[#This Row],[_Res3Text]]="",0,IFERROR(MATCH(TRIM(LEFT(Tasks[[#This Row],[_Res3Text]],FIND("[",Tasks[[#This Row],[_Res3Text]]&amp;"[")-1)),res_Name,0),IFERROR(MATCH(TRIM(LEFT(Tasks[[#This Row],[_Res3Text]],FIND("[",Tasks[[#This Row],[_Res3Text]]&amp;"[")-1)),res_Initials,0),0)))</f>
        <v>0</v>
      </c>
      <c r="DR68" s="43" t="n">
        <f aca="false">IF(Tasks[[#This Row],[_Res4Text]]="",0,IFERROR(MATCH(TRIM(LEFT(Tasks[[#This Row],[_Res4Text]],FIND("[",Tasks[[#This Row],[_Res4Text]]&amp;"[")-1)),res_Name,0),IFERROR(MATCH(TRIM(LEFT(Tasks[[#This Row],[_Res4Text]],FIND("[",Tasks[[#This Row],[_Res4Text]]&amp;"[")-1)),res_Initials,0),0)))</f>
        <v>0</v>
      </c>
      <c r="DS68" s="43" t="str">
        <f aca="false">IF(Tasks[[#This Row],[_Res1Text]]="","",IF(Tasks[[#This Row],[_Res1Row]]&gt;0,INDEX(res_Name,Tasks[[#This Row],[_Res1Row]]),TRIM(LEFT(Tasks[[#This Row],[_Res1Text]],FIND("[",Tasks[[#This Row],[_Res1Text]]&amp;"[")-1))))</f>
        <v/>
      </c>
      <c r="DT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8" s="43" t="n">
        <f aca="false">IF(NOT(Tasks[[#This Row],[_IsLeaf]]=1),0,(Tasks[[#This Row],[_Resource1]]&lt;&gt;"")+(Tasks[[#This Row],[_Res2]]&lt;&gt;"")+(Tasks[[#This Row],[_Res3]]&lt;&gt;"")+(Tasks[[#This Row],[_Res4]]&lt;&gt;""))</f>
        <v>0</v>
      </c>
      <c r="DV68" s="43" t="str">
        <f aca="false">IF(Tasks[[#This Row],[_Res2Text]]="","",IF(Tasks[[#This Row],[_Res2Row]]&gt;0,INDEX(res_Name,Tasks[[#This Row],[_Res2Row]]),TRIM(LEFT(Tasks[[#This Row],[_Res2Text]],FIND("[",Tasks[[#This Row],[_Res2Text]]&amp;"[")-1))))</f>
        <v/>
      </c>
      <c r="DW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8" s="43" t="n">
        <f aca="false">IF(OR(NOT(Tasks[[#This Row],[_IsLeaf]]=1),Tasks[[#This Row],[_Res2Row]]=0),0,N(Tasks[[#This Row],[_Days]])*HoursPerDay*IF(Tasks[[#This Row],[_Res2Units]]="",DefaultUnits,Tasks[[#This Row],[_Res2Units]]))</f>
        <v>0</v>
      </c>
      <c r="DY68" s="43" t="n">
        <f aca="false">IF(AND(AND(Tasks[[#This Row],[_IsLeaf]]=1,Tasks[[#This Row],[_LeafTotalWork]]&gt;0),Tasks[[#This Row],[_Res2Work]]&gt;0),Tasks[[#This Row],[_Res2Work]]/(Tasks[[#This Row],[_FinishWorkday]]-Tasks[[#This Row],[_StartWorkday]]+1),0)</f>
        <v>0</v>
      </c>
      <c r="DZ68" s="43" t="n">
        <f aca="false">Tasks[[#This Row],[_Res2WorkPerWD]]*MAX(0,Tasks[[#This Row],[_StartWorkday]]-1)</f>
        <v>0</v>
      </c>
      <c r="EA68" s="43" t="n">
        <f aca="false">Tasks[[#This Row],[_Res2Work]]*Tasks[[#This Row],[_LeafProgress]]</f>
        <v>0</v>
      </c>
      <c r="EB68" s="43" t="str">
        <f aca="false">IF(Tasks[[#This Row],[_Res3Text]]="","",IF(Tasks[[#This Row],[_Res3Row]]&gt;0,INDEX(res_Name,Tasks[[#This Row],[_Res3Row]]),TRIM(LEFT(Tasks[[#This Row],[_Res3Text]],FIND("[",Tasks[[#This Row],[_Res3Text]]&amp;"[")-1))))</f>
        <v/>
      </c>
      <c r="EC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8" s="43" t="n">
        <f aca="false">IF(OR(NOT(Tasks[[#This Row],[_IsLeaf]]=1),Tasks[[#This Row],[_Res3Row]]=0),0,N(Tasks[[#This Row],[_Days]])*HoursPerDay*IF(Tasks[[#This Row],[_Res3Units]]="",DefaultUnits,Tasks[[#This Row],[_Res3Units]]))</f>
        <v>0</v>
      </c>
      <c r="EE68" s="43" t="n">
        <f aca="false">IF(AND(AND(Tasks[[#This Row],[_IsLeaf]]=1,Tasks[[#This Row],[_LeafTotalWork]]&gt;0),Tasks[[#This Row],[_Res3Work]]&gt;0),Tasks[[#This Row],[_Res3Work]]/(Tasks[[#This Row],[_FinishWorkday]]-Tasks[[#This Row],[_StartWorkday]]+1),0)</f>
        <v>0</v>
      </c>
      <c r="EF68" s="43" t="n">
        <f aca="false">Tasks[[#This Row],[_Res3WorkPerWD]]*MAX(0,Tasks[[#This Row],[_StartWorkday]]-1)</f>
        <v>0</v>
      </c>
      <c r="EG68" s="43" t="n">
        <f aca="false">Tasks[[#This Row],[_Res3Work]]*Tasks[[#This Row],[_LeafProgress]]</f>
        <v>0</v>
      </c>
      <c r="EH68" s="43" t="str">
        <f aca="false">IF(Tasks[[#This Row],[_Res4Text]]="","",IF(Tasks[[#This Row],[_Res4Row]]&gt;0,INDEX(res_Name,Tasks[[#This Row],[_Res4Row]]),TRIM(LEFT(Tasks[[#This Row],[_Res4Text]],FIND("[",Tasks[[#This Row],[_Res4Text]]&amp;"[")-1))))</f>
        <v/>
      </c>
      <c r="EI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8" s="43" t="n">
        <f aca="false">IF(OR(NOT(Tasks[[#This Row],[_IsLeaf]]=1),Tasks[[#This Row],[_Res4Row]]=0),0,N(Tasks[[#This Row],[_Days]])*HoursPerDay*IF(Tasks[[#This Row],[_Res4Units]]="",DefaultUnits,Tasks[[#This Row],[_Res4Units]]))</f>
        <v>0</v>
      </c>
      <c r="EK68" s="43" t="n">
        <f aca="false">IF(AND(AND(Tasks[[#This Row],[_IsLeaf]]=1,Tasks[[#This Row],[_LeafTotalWork]]&gt;0),Tasks[[#This Row],[_Res4Work]]&gt;0),Tasks[[#This Row],[_Res4Work]]/(Tasks[[#This Row],[_FinishWorkday]]-Tasks[[#This Row],[_StartWorkday]]+1),0)</f>
        <v>0</v>
      </c>
      <c r="EL68" s="43" t="n">
        <f aca="false">Tasks[[#This Row],[_Res4WorkPerWD]]*MAX(0,Tasks[[#This Row],[_StartWorkday]]-1)</f>
        <v>0</v>
      </c>
      <c r="EM68" s="43" t="n">
        <f aca="false">Tasks[[#This Row],[_Res4Work]]*Tasks[[#This Row],[_LeafProgress]]</f>
        <v>0</v>
      </c>
      <c r="EN68" s="43" t="n">
        <f aca="false">IF(ISNUMBER(Tasks[[#This Row],[% Complete]]),Tasks[[#This Row],[% Complete]],IF(Tasks[[#This Row],[Stage]]="",0,IFERROR(INDEX(stg_Pct,MATCH(Tasks[[#This Row],[Stage]],stg_Name,0)),0)))</f>
        <v>0</v>
      </c>
      <c r="EO68" s="43" t="n">
        <f aca="false">IF(NOT(Tasks[[#This Row],[_IsLeaf]]=1),0,IF(N(Tasks[[#This Row],[Actual Finish]])&gt;0,1,MIN(1,Tasks[[#This Row],[_Pct]])))</f>
        <v>0</v>
      </c>
      <c r="EP68" s="43" t="n">
        <f aca="false">IF(OR(NOT(Tasks[[#This Row],[_IsLeaf]]=1),Tasks[[#This Row],[_Res1Row]]=0),0,N(Tasks[[#This Row],[_Days]])*HoursPerDay*IF(Tasks[[#This Row],[_Units1]]="",DefaultUnits,Tasks[[#This Row],[_Units1]]))</f>
        <v>0</v>
      </c>
      <c r="EQ68" s="43" t="n">
        <f aca="false">Tasks[[#This Row],[_LeafWork]]+Tasks[[#This Row],[_Res2Work]]+Tasks[[#This Row],[_Res3Work]]+Tasks[[#This Row],[_Res4Work]]</f>
        <v>0</v>
      </c>
      <c r="ER6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8" s="43" t="n">
        <f aca="false">IF(NOT(Tasks[[#This Row],[_IsLeaf]]=1),0,MAX(_xlfn.MAXIFS(Tasks[_Row],Tasks[_Pred1UID],Tasks[[#This Row],[UID]]),_xlfn.MAXIFS(Tasks[_Row],Tasks[_Pred2UID],Tasks[[#This Row],[UID]]),_xlfn.MAXIFS(Tasks[_Row],Tasks[_Pred3UID],Tasks[[#This Row],[UID]]),_xlfn.MAXIFS(Tasks[_Row],Tasks[_Pred4UID],Tasks[[#This Row],[UID]])))</f>
        <v>0</v>
      </c>
      <c r="FA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8" s="91" t="str">
        <f aca="false">IF(NOT(Tasks[[#This Row],[_IsLeaf]]=1),"",IF(N(Tasks[[#This Row],[_Days]])&lt;=0,Tasks[[#This Row],[_LeafLateFinish]],WORKDAY.INTL(Tasks[[#This Row],[_LeafLateFinish]],-(Tasks[[#This Row],[_Days]]-1),WorkWeek,Holidays)))</f>
        <v/>
      </c>
      <c r="FD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8" s="90" t="b">
        <f aca="false">AND(Tasks[[#This Row],[_IsLeaf]]=1,Tasks[[#This Row],[_LeafProgress]]&lt;1,N(Tasks[[#This Row],[_LeafTotalSlack]])&lt;=CriticalSlackDays)</f>
        <v>0</v>
      </c>
      <c r="FF68" s="43" t="n">
        <f aca="false">IF(AND(Tasks[[#This Row],[_IsLeaf]]=1,Tasks[[#This Row],[_ConstraintCode]]=1,Tasks[[#This Row],[Mode]]&lt;&gt;"Manual",N(Tasks[[#This Row],[Actual Start]])=0),MAX(0,N(Tasks[[#This Row],[Free Slack]])),0)</f>
        <v>0</v>
      </c>
      <c r="FG68" s="91" t="str">
        <f aca="false">IF(NOT(Tasks[[#This Row],[_IsLeaf]]=1),"",IF(Tasks[[#This Row],[_AlapShift]]=0,Tasks[[#This Row],[_LeafCalcStart]],WORKDAY.INTL(Tasks[[#This Row],[_LeafCalcStart]],Tasks[[#This Row],[_AlapShift]],WorkWeek,Holidays)))</f>
        <v/>
      </c>
      <c r="FH68" s="91" t="str">
        <f aca="false">IF(NOT(Tasks[[#This Row],[_IsLeaf]]=1),"",IF(Tasks[[#This Row],[_AlapShift]]=0,Tasks[[#This Row],[_LeafCalcFinish]],WORKDAY.INTL(Tasks[[#This Row],[_LeafCalcFinish]],Tasks[[#This Row],[_AlapShift]],WorkWeek,Holidays)))</f>
        <v/>
      </c>
      <c r="FI68" s="91" t="str">
        <f aca="false">IF(NOT(Tasks[[#This Row],[_IsLeaf]]=1),"",IF(Tasks[[#This Row],[_AlapShift]]=0,Tasks[[#This Row],[_LeafFcstStart]],WORKDAY.INTL(Tasks[[#This Row],[_LeafFcstStart]],Tasks[[#This Row],[_AlapShift]],WorkWeek,Holidays)))</f>
        <v/>
      </c>
      <c r="FJ68" s="91" t="str">
        <f aca="false">IF(NOT(Tasks[[#This Row],[_IsLeaf]]=1),"",IF(Tasks[[#This Row],[_AlapShift]]=0,Tasks[[#This Row],[_LeafFcstFinish]],WORKDAY.INTL(Tasks[[#This Row],[_LeafFcstFinish]],Tasks[[#This Row],[_AlapShift]],WorkWeek,Holidays)))</f>
        <v/>
      </c>
      <c r="FK68" s="91" t="str">
        <f aca="false">IF(Tasks[[#This Row],[Task Name]]="","",IF(Tasks[[#This Row],[_IsSummary]],MIN(INDEX(Tasks[_ShownCalcStart],Tasks[[#This Row],[_Row]]+1):INDEX(Tasks[_ShownCalcStart],Tasks[[#This Row],[_Row]]+Tasks[[#This Row],[_Descendants]])),Tasks[[#This Row],[_ShownCalcStart]]))</f>
        <v/>
      </c>
      <c r="FL68" s="91" t="str">
        <f aca="false">IF(Tasks[[#This Row],[Task Name]]="","",IF(Tasks[[#This Row],[_IsSummary]],MAX(INDEX(Tasks[_ShownCalcFinish],Tasks[[#This Row],[_Row]]+1):INDEX(Tasks[_ShownCalcFinish],Tasks[[#This Row],[_Row]]+Tasks[[#This Row],[_Descendants]])),Tasks[[#This Row],[_ShownCalcFinish]]))</f>
        <v/>
      </c>
      <c r="FM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8" s="43" t="n">
        <f aca="false">IF(AND(Tasks[[#This Row],[_IsLeaf]]=1,Tasks[[#This Row],[_LeafTotalWork]]&gt;0),NETWORKDAYS.INTL(ProjectStart,Tasks[[#This Row],[_ShownFcstStart]],WorkWeek,Holidays),0)</f>
        <v>0</v>
      </c>
      <c r="FZ68" s="43" t="n">
        <f aca="false">IF(AND(Tasks[[#This Row],[_IsLeaf]]=1,Tasks[[#This Row],[_LeafTotalWork]]&gt;0),MAX(Tasks[[#This Row],[_StartWorkday]],NETWORKDAYS.INTL(ProjectStart,Tasks[[#This Row],[_ShownFcstFinish]],WorkWeek,Holidays)),0)</f>
        <v>0</v>
      </c>
      <c r="GA68" s="43" t="n">
        <f aca="false">IF(AND(Tasks[[#This Row],[_IsLeaf]]=1,Tasks[[#This Row],[_LeafTotalWork]]&gt;0),Tasks[[#This Row],[_LeafWork]]/(Tasks[[#This Row],[_FinishWorkday]]-Tasks[[#This Row],[_StartWorkday]]+1),0)</f>
        <v>0</v>
      </c>
      <c r="GB68" s="43" t="n">
        <f aca="false">Tasks[[#This Row],[_WorkPerWorkday]]*(Tasks[[#This Row],[_StartWorkday]]-1)</f>
        <v>-0</v>
      </c>
      <c r="GC68" s="43" t="n">
        <f aca="false">IF(Tasks[[#This Row],[_IsLeaf]]=1,MAX(N(Tasks[[#This Row],[_Days]]),0.1),0)</f>
        <v>0</v>
      </c>
      <c r="GD68" s="43" t="n">
        <f aca="false">Tasks[[#This Row],[_WeightDur]]*Tasks[[#This Row],[_LeafProgress]]</f>
        <v>0</v>
      </c>
      <c r="GE68" s="43" t="n">
        <f aca="false">Tasks[[#This Row],[_WeightDur]]*Tasks[[#This Row],[_PlannedPct]]</f>
        <v>0</v>
      </c>
      <c r="GF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8" s="43" t="str">
        <f aca="false">IF(AND(Tasks[[#This Row],[_IsLeaf]]=1,N(Tasks[[#This Row],[_Days]])=0,Tasks[[#This Row],[_LeafProgress]]&lt;1),Tasks[[#This Row],[_ShownFcstFinish]]+Tasks[[#This Row],[_Row]]/100000,"")</f>
        <v/>
      </c>
      <c r="GH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8" s="43" t="str">
        <f aca="false">IF(Tasks[[#This Row],[Task Name]]="","",LEFT(Tasks[[#This Row],[WBS]],FIND(".",Tasks[[#This Row],[WBS]]&amp;".")-1))</f>
        <v/>
      </c>
      <c r="GJ68" s="43" t="str">
        <f aca="false">IF(AND(Tasks[[#This Row],[Task Name]]&lt;&gt;"",Tasks[[#This Row],[_Level]]=1),Tasks[[#This Row],[_Row]],"")</f>
        <v/>
      </c>
      <c r="GK68" s="43" t="str">
        <f aca="false">IF(AND(Tasks[[#This Row],[_IsLeaf]]=1,N(Tasks[[#This Row],[_Days]])=0),Tasks[[#This Row],[Planned Finish]]+Tasks[[#This Row],[_Row]]/100000,"")</f>
        <v/>
      </c>
      <c r="GL68" s="43" t="str">
        <f aca="false">IF(AND(Tasks[[#This Row],[_IsLeaf]]=1,Tasks[[#This Row],[_LeafProgress]]&lt;1,OR(N(Tasks[[#This Row],[Finish Var]])&gt;0,Tasks[[#This Row],[Status]]="Late Start")),MAX(0,Tasks[[#This Row],[Finish Var]])+1-Tasks[[#This Row],[_Row]]/1000000,"")</f>
        <v/>
      </c>
      <c r="GM68" s="43" t="str">
        <f aca="false">IF(AND(Tasks[[#This Row],[_IsLeaf]]=1,N(Tasks[[#This Row],[Actual Start]])=0,Tasks[[#This Row],[_ShownFcstStart]]&gt;=StatusDate,Tasks[[#This Row],[_ShownFcstStart]]&lt;=LookaheadEnd),Tasks[[#This Row],[_ShownFcstStart]]+Tasks[[#This Row],[_Row]]/100000,"")</f>
        <v/>
      </c>
      <c r="GN68" s="43" t="str">
        <f aca="false">IF(AND(Tasks[[#This Row],[_IsLeaf]]=1,Tasks[[#This Row],[_LeafProgress]]&lt;1,Tasks[[#This Row],[_ShownFcstFinish]]&gt;=StatusDate,Tasks[[#This Row],[_ShownFcstFinish]]&lt;=LookaheadEnd),Tasks[[#This Row],[_ShownFcstFinish]]+Tasks[[#This Row],[_Row]]/100000,"")</f>
        <v/>
      </c>
      <c r="GO68" s="43" t="str">
        <f aca="false">IF(Tasks[[#This Row],[_LeafCritical]],Tasks[[#This Row],[_ShownFcstStart]]+Tasks[[#This Row],[_Row]]/100000,"")</f>
        <v/>
      </c>
      <c r="GP68" s="43" t="n">
        <f aca="false">Tasks[[#This Row],[_LeafWork]]*Tasks[[#This Row],[_LeafProgress]]</f>
        <v>0</v>
      </c>
      <c r="GQ68" s="91" t="str">
        <f aca="false">IF(AND(Tasks[[#This Row],[_IsLeaf]]=1,Tasks[[#This Row],[_LeafProgress]]&gt;=1),IF(N(Tasks[[#This Row],[Actual Finish]])&gt;0,Tasks[[#This Row],[Actual Finish]],Tasks[[#This Row],[_ShownFcstFinish]]),"")</f>
        <v/>
      </c>
      <c r="GR68" s="43" t="n">
        <f aca="false">IF(Tasks[[#This Row],[_IsLeaf]]=1,N(Tasks[[#This Row],[Story Points]]),0)</f>
        <v>0</v>
      </c>
      <c r="GS68" s="43" t="str">
        <f aca="false">""</f>
        <v/>
      </c>
      <c r="GT68" s="90" t="b">
        <f aca="false">IF(Tasks[[#This Row],[Task Name]]="",FALSE(),AND(Tasks[[#This Row],[_IsLeaf]]=1,N(Tasks[[#This Row],[_Days]])=0))</f>
        <v>0</v>
      </c>
      <c r="GU68" s="91" t="n">
        <f aca="false">IF(Tasks[[#This Row],[Task Name]]="",0,IF(AND(Tasks[[#This Row],[_IsLeaf]]=1,NOT(Tasks[[#This Row],[_IsMilestone]]),N(Tasks[[#This Row],[Progress]])&gt;0),Tasks[[#This Row],[Start]],0))</f>
        <v>0</v>
      </c>
      <c r="GV68" s="91" t="n">
        <f aca="false">IF(Tasks[[#This Row],[_DoneFrom]]=0,0,IF(Tasks[[#This Row],[Progress]]&gt;=1,Tasks[[#This Row],[Finish]],MAX(Tasks[[#This Row],[_DoneFrom]],Tasks[[#This Row],[Start]]+ROUND((Tasks[[#This Row],[Finish]]-Tasks[[#This Row],[Start]]+1)*Tasks[[#This Row],[Progress]],0)-1)))</f>
        <v>0</v>
      </c>
      <c r="GW68" s="91" t="n">
        <f aca="false">IF(Tasks[[#This Row],[Task Name]]="",0,IF(OR(NOT(Tasks[[#This Row],[_IsLeaf]]=1),Tasks[[#This Row],[_IsMilestone]],N(Tasks[[#This Row],[Progress]])&gt;=1),0,IF(Tasks[[#This Row],[_DoneTo]]&gt;0,Tasks[[#This Row],[_DoneTo]]+1,Tasks[[#This Row],[Start]])))</f>
        <v>0</v>
      </c>
      <c r="GX68" s="91" t="n">
        <f aca="false">IF(Tasks[[#This Row],[_RemFrom]]=0,0,Tasks[[#This Row],[Finish]])</f>
        <v>0</v>
      </c>
      <c r="GY68" s="90" t="b">
        <f aca="false">IF(Tasks[[#This Row],[Task Name]]="",FALSE(),OR(NOT(BaselineSet),N(Tasks[[#This Row],[Baseline Start]])&gt;0))</f>
        <v>0</v>
      </c>
      <c r="GZ6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8" s="92" t="str">
        <f aca="false">IF(Tasks[[#This Row],[_IsLeaf]]=1,Tasks[[#This Row],[_Row]],"")</f>
        <v/>
      </c>
      <c r="HD68" s="92" t="str">
        <f aca="false">IFERROR(INDEX(Tasks[UID],SMALL(Tasks[_PickKey],Tasks[[#This Row],[_Row]]))&amp;" "&amp;INDEX(Tasks[Task Name],SMALL(Tasks[_PickKey],Tasks[[#This Row],[_Row]])),"")</f>
        <v/>
      </c>
      <c r="HE68" s="43" t="str">
        <f aca="false">IF(Tasks[[#This Row],[Task Name]]="","",IF(Tasks[[#This Row],[_IsSummary]],NETWORKDAYS.INTL(Tasks[[#This Row],[Start]],Tasks[[#This Row],[Finish]],WorkWeek,Holidays),N(Tasks[[#This Row],[_Days]])))</f>
        <v/>
      </c>
      <c r="HF68" s="43" t="n">
        <f aca="false">IF(Tasks[[#This Row],[Expected]]="",0,((Tasks[[#This Row],[Pessimistic]]-Tasks[[#This Row],[Optimistic]])/6)^2)</f>
        <v>0</v>
      </c>
      <c r="HG68" s="43" t="n">
        <f aca="false">IF(Tasks[[#This Row],[Expected]]="",0,Tasks[[#This Row],[Expected]]-N(Tasks[[#This Row],[_Days]]))</f>
        <v>0</v>
      </c>
    </row>
    <row r="69" customFormat="false" ht="15" hidden="false" customHeight="false" outlineLevel="0" collapsed="false">
      <c r="A69" s="21" t="str">
        <f aca="false">IF(Tasks[[#This Row],[Task Name]]="","",COUNTA(Tasks[[#Headers],[Task Name]]:Tasks[[#This Row],[Task Name]])-1)</f>
        <v/>
      </c>
      <c r="B69" s="22" t="n">
        <v>77</v>
      </c>
      <c r="C69" s="22"/>
      <c r="D69" s="23"/>
      <c r="E69" s="22"/>
      <c r="F69" s="23"/>
      <c r="G69" s="22"/>
      <c r="H69" s="22"/>
      <c r="I69" s="23"/>
      <c r="J69" s="22"/>
      <c r="K69" s="22"/>
      <c r="L69" s="23"/>
      <c r="M69" s="22"/>
      <c r="N69" s="22"/>
      <c r="O69" s="23"/>
      <c r="P69" s="22"/>
      <c r="Q69" s="22"/>
      <c r="R69" s="23"/>
      <c r="S69" s="23"/>
      <c r="T69" s="84"/>
      <c r="U69" s="23"/>
      <c r="V69" s="84"/>
      <c r="W69" s="23"/>
      <c r="X69" s="84"/>
      <c r="Y69" s="23"/>
      <c r="Z69" s="84"/>
      <c r="AA69" s="23"/>
      <c r="AB69" s="23"/>
      <c r="AC69" s="7"/>
      <c r="AD69" s="7"/>
      <c r="AE69" s="63" t="str">
        <f aca="false">IF(Tasks[[#This Row],[Task Name]]="","",IF(Tasks[[#This Row],[_IsSummary]],MIN(INDEX(Tasks[_ShownFcstStart],Tasks[[#This Row],[_Row]]+1):INDEX(Tasks[_ShownFcstStart],Tasks[[#This Row],[_Row]]+Tasks[[#This Row],[_Descendants]])),Tasks[[#This Row],[_ShownFcstStart]]))</f>
        <v/>
      </c>
      <c r="AF69" s="63" t="str">
        <f aca="false">IF(Tasks[[#This Row],[Task Name]]="","",IF(Tasks[[#This Row],[_IsSummary]],MAX(INDEX(Tasks[_ShownFcstFinish],Tasks[[#This Row],[_Row]]+1):INDEX(Tasks[_ShownFcstFinish],Tasks[[#This Row],[_Row]]+Tasks[[#This Row],[_Descendants]])),Tasks[[#This Row],[_ShownFcstFinish]]))</f>
        <v/>
      </c>
      <c r="AG69" s="21" t="str">
        <f aca="false">""</f>
        <v/>
      </c>
      <c r="AH69" s="23"/>
      <c r="AI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9" s="7"/>
      <c r="AK69" s="22"/>
      <c r="AL69" s="23"/>
      <c r="AM69" s="7"/>
      <c r="AN69" s="47" t="str">
        <f aca="false">IF(Tasks[[#This Row],[Task Name]]="","",IF(Tasks[[#This Row],[Finish]]&gt;=Tasks[[#This Row],[Planned Finish]],NETWORKDAYS.INTL(Tasks[[#This Row],[Planned Finish]],Tasks[[#This Row],[Finish]],WorkWeek,Holidays)-1,1-NETWORKDAYS.INTL(Tasks[[#This Row],[Finish]],Tasks[[#This Row],[Planned Finish]],WorkWeek,Holidays)))</f>
        <v/>
      </c>
      <c r="AO69" s="21" t="str">
        <f aca="false">IF(Tasks[[#This Row],[Task Name]]="","",IF(Tasks[[#This Row],[Progress]]&gt;=1,"Complete",IF(OR(N(Tasks[[#This Row],[Actual Start]])&gt;0,Tasks[[#This Row],[Progress]]&gt;0),IF(Tasks[[#This Row],[Finish Var]]&gt;0,"Behind","In Progress"),IF(Tasks[[#This Row],[Planned Start]]&lt;StatusDate,"Late Start","Not Started"))))</f>
        <v/>
      </c>
      <c r="AP69" s="21" t="str">
        <f aca="false">IF(Tasks[[#This Row],[Task Name]]="","",IF(IF(Tasks[[#This Row],[_IsSummary]],COUNTIF(INDEX(Tasks[_LeafCritical],Tasks[[#This Row],[_Row]]+1):INDEX(Tasks[_LeafCritical],Tasks[[#This Row],[_Row]]+Tasks[[#This Row],[_Descendants]]),TRUE())&gt;0,Tasks[[#This Row],[_LeafCritical]]),"Yes",""))</f>
        <v/>
      </c>
      <c r="AQ69" s="63" t="str">
        <f aca="false">IF(Tasks[[#This Row],[Task Name]]="","",IF(N(Tasks[[#This Row],[Baseline Start]])&gt;0,Tasks[[#This Row],[Baseline Start]],Tasks[[#This Row],[_CalcStart]]))</f>
        <v/>
      </c>
      <c r="AR69" s="63" t="str">
        <f aca="false">IF(Tasks[[#This Row],[Task Name]]="","",IF(N(Tasks[[#This Row],[Baseline Finish]])&gt;0,Tasks[[#This Row],[Baseline Finish]],Tasks[[#This Row],[_CalcFinish]]))</f>
        <v/>
      </c>
      <c r="AS69" s="47" t="str">
        <f aca="false">IF(Tasks[[#This Row],[Task Name]]="","",IF(Tasks[[#This Row],[Start]]&gt;=Tasks[[#This Row],[Planned Start]],NETWORKDAYS.INTL(Tasks[[#This Row],[Planned Start]],Tasks[[#This Row],[Start]],WorkWeek,Holidays)-1,1-NETWORKDAYS.INTL(Tasks[[#This Row],[Start]],Tasks[[#This Row],[Planned Start]],WorkWeek,Holidays)))</f>
        <v/>
      </c>
      <c r="AT69" s="63" t="str">
        <f aca="false">IF(Tasks[[#This Row],[Task Name]]="","",IF(Tasks[[#This Row],[_IsSummary]],MIN(INDEX(Tasks[_LeafLateStart],Tasks[[#This Row],[_Row]]+1):INDEX(Tasks[_LeafLateStart],Tasks[[#This Row],[_Row]]+Tasks[[#This Row],[_Descendants]])),Tasks[[#This Row],[_LeafLateStart]]))</f>
        <v/>
      </c>
      <c r="AU69" s="63" t="str">
        <f aca="false">IF(Tasks[[#This Row],[Task Name]]="","",IF(Tasks[[#This Row],[_IsSummary]],MAX(INDEX(Tasks[_LeafLateFinish],Tasks[[#This Row],[_Row]]+1):INDEX(Tasks[_LeafLateFinish],Tasks[[#This Row],[_Row]]+Tasks[[#This Row],[_Descendants]])),Tasks[[#This Row],[_LeafLateFinish]]))</f>
        <v/>
      </c>
      <c r="AV69" s="47" t="str">
        <f aca="false">IF(Tasks[[#This Row],[Task Name]]="","",IF(Tasks[[#This Row],[_IsSummary]],MIN(INDEX(Tasks[_LeafTotalSlack],Tasks[[#This Row],[_Row]]+1):INDEX(Tasks[_LeafTotalSlack],Tasks[[#This Row],[_Row]]+Tasks[[#This Row],[_Descendants]])),Tasks[[#This Row],[_LeafTotalSlack]]))</f>
        <v/>
      </c>
      <c r="AW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5"/>
      <c r="BA6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t="str">
        <f aca="false">IF(Tasks[[#This Row],[Task Name]]="","",IF(Tasks[[#This Row],[_Level]]&lt;=OutlineShowLevel,"Yes","No"))</f>
        <v/>
      </c>
      <c r="BE69" s="86" t="str">
        <f aca="false">IF(Tasks[[#This Row],[Task Name]]="","",IF(Tasks[[#This Row],[_IsSummary]],SUM(INDEX(Tasks[_LeafTotalWork],Tasks[[#This Row],[_Row]]+1):INDEX(Tasks[_LeafTotalWork],Tasks[[#This Row],[_Row]]+Tasks[[#This Row],[_Descendants]])),Tasks[[#This Row],[_LeafTotalWork]]))</f>
        <v/>
      </c>
      <c r="BF69" s="23"/>
      <c r="BG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t="str">
        <f aca="false">""</f>
        <v/>
      </c>
      <c r="BI69" s="87"/>
      <c r="BJ69" s="22"/>
      <c r="BK69" s="47" t="str">
        <f aca="false">IF(OR(Tasks[[#This Row],[Task Name]]="",Tasks[[#This Row],[Baseline Duration]]=""),"",Tasks[[#This Row],[_SpanDays]]-N(Tasks[[#This Row],[Baseline Duration]]))</f>
        <v/>
      </c>
      <c r="BL69" s="86" t="str">
        <f aca="false">IF(OR(Tasks[[#This Row],[Task Name]]="",Tasks[[#This Row],[Baseline Work]]=""),"",Tasks[[#This Row],[Work]]-N(Tasks[[#This Row],[Baseline Work]]))</f>
        <v/>
      </c>
      <c r="BM69" s="63" t="str">
        <f aca="false">IF(Tasks[[#This Row],[Task Name]]="","",IF(OR(TakeBaseline="Yes",N(Tasks[[#This Row],[Baseline Start]])=0),Tasks[[#This Row],[Start]],Tasks[[#This Row],[Baseline Start]]))</f>
        <v/>
      </c>
      <c r="BN69" s="63" t="str">
        <f aca="false">IF(Tasks[[#This Row],[Task Name]]="","",IF(OR(TakeBaseline="Yes",N(Tasks[[#This Row],[Baseline Finish]])=0),Tasks[[#This Row],[Finish]],Tasks[[#This Row],[Baseline Finish]]))</f>
        <v/>
      </c>
      <c r="BO69" s="21" t="str">
        <f aca="false">IF(Tasks[[#This Row],[Task Name]]="","",IF(OR(TakeBaseline="Yes",N(Tasks[[#This Row],[Baseline Duration]])=0),Tasks[[#This Row],[_SpanDays]],Tasks[[#This Row],[Baseline Duration]]))</f>
        <v/>
      </c>
      <c r="BP69" s="86" t="str">
        <f aca="false">IF(Tasks[[#This Row],[Task Name]]="","",IF(OR(TakeBaseline="Yes",N(Tasks[[#This Row],[Baseline Work]])=0),Tasks[[#This Row],[Work]],Tasks[[#This Row],[Baseline Work]]))</f>
        <v/>
      </c>
      <c r="BQ69" s="7"/>
      <c r="BR69" s="7"/>
      <c r="BS69" s="22"/>
      <c r="BT69" s="88"/>
      <c r="BU69" s="23"/>
      <c r="BV69" s="23"/>
      <c r="BW69" s="23"/>
      <c r="BX69" s="89" t="str">
        <f aca="false">IF(AND(Tasks[[#This Row],[_IsLeaf]]=1,ISNUMBER(Tasks[[#This Row],[Optimistic]]),ISNUMBER(Tasks[[#This Row],[Pessimistic]])),ROUND((Tasks[[#This Row],[Optimistic]]+4*N(Tasks[[#This Row],[_Days]])+Tasks[[#This Row],[Pessimistic]])/6,1),"")</f>
        <v/>
      </c>
      <c r="BY69" s="87"/>
      <c r="BZ69" s="87"/>
      <c r="CA69" s="22"/>
      <c r="CB69" s="43" t="str">
        <f aca="false">IF(Tasks[[#This Row],[Task Name]]="","",MAX(1,N(Tasks[[#This Row],[Level]])))</f>
        <v/>
      </c>
      <c r="CC69" s="43" t="n">
        <f aca="false">ROW()-ROW(Tasks[[#Headers],[ID]])</f>
        <v>64</v>
      </c>
      <c r="CD69" s="43" t="n">
        <f aca="false">IF(OR(Tasks[[#This Row],[Task Name]]="",Tasks[[#This Row],[_Level]]&lt;=1),0,IFERROR(LOOKUP(2,1/(Tasks[[#Headers],[_Level]]:Tasks[[#This Row],[_Level]]=Tasks[[#This Row],[_Level]]-1),ROW(Tasks[[#Headers],[_Level]]:Tasks[[#This Row],[_Level]])),0))</f>
        <v>0</v>
      </c>
      <c r="CE69" s="43" t="n">
        <f aca="false">IFERROR(N(INDEX(Tasks[_Level],Tasks[[#This Row],[_Row]]+1)),0)</f>
        <v>0</v>
      </c>
      <c r="CF69" s="90" t="b">
        <f aca="false">AND(Tasks[[#This Row],[Task Name]]&lt;&gt;"",Tasks[[#This Row],[_NextLevel]]&gt;Tasks[[#This Row],[_Level]])</f>
        <v>0</v>
      </c>
      <c r="CG69" s="43" t="n">
        <f aca="false">IF(Tasks[[#This Row],[_IsSummary]],COUNTIF(Tasks[WBS],Tasks[[#This Row],[WBS]]&amp;".*"),0)</f>
        <v>0</v>
      </c>
      <c r="CH69" s="43" t="n">
        <f aca="false">IF(AND(Tasks[[#This Row],[Task Name]]&lt;&gt;"",NOT(Tasks[[#This Row],[_IsSummary]])),1,0)</f>
        <v>0</v>
      </c>
      <c r="CI69" s="43" t="n">
        <f aca="false">IF(N(Tasks[[#This Row],[_Pred1UID]])=0,0,IFERROR(MATCH(Tasks[[#This Row],[_Pred1UID]],Tasks[UID],0),-1))</f>
        <v>0</v>
      </c>
      <c r="CJ69" s="43" t="n">
        <f aca="false">IF(N(Tasks[[#This Row],[_Pred2UID]])=0,0,IFERROR(MATCH(Tasks[[#This Row],[_Pred2UID]],Tasks[UID],0),-1))</f>
        <v>0</v>
      </c>
      <c r="CK69" s="43" t="n">
        <f aca="false">IF(N(Tasks[[#This Row],[_Pred3UID]])=0,0,IFERROR(MATCH(Tasks[[#This Row],[_Pred3UID]],Tasks[UID],0),-1))</f>
        <v>0</v>
      </c>
      <c r="CL69" s="43" t="n">
        <f aca="false">IF(N(Tasks[[#This Row],[_Pred4UID]])=0,0,IFERROR(MATCH(Tasks[[#This Row],[_Pred4UID]],Tasks[UID],0),-1))</f>
        <v>0</v>
      </c>
      <c r="CM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9" s="91" t="n">
        <f aca="false">IF(OR(Tasks[[#This Row],[_ConstraintCode]]=2,Tasks[[#This Row],[_ConstraintCode]]=3,Tasks[[#This Row],[_ConstraintCode]]=4,Tasks[[#This Row],[_ConstraintCode]]=6),Tasks[[#This Row],[_ConstraintStart]],0)</f>
        <v>0</v>
      </c>
      <c r="CP69" s="91" t="n">
        <f aca="false">IF(OR(Tasks[[#This Row],[_ConstraintCode]]=2,Tasks[[#This Row],[_ConstraintCode]]=3,Tasks[[#This Row],[_ConstraintCode]]=5,Tasks[[#This Row],[_ConstraintCode]]=7),Tasks[[#This Row],[_ConstraintStart]],2958465)</f>
        <v>2958465</v>
      </c>
      <c r="CQ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9" s="91" t="str">
        <f aca="false">IF(NOT(Tasks[[#This Row],[_IsLeaf]]=1),"",IF(N(Tasks[[#This Row],[_Days]])&lt;=0,Tasks[[#This Row],[_LeafCalcStart]],WORKDAY.INTL(Tasks[[#This Row],[_LeafCalcStart]],Tasks[[#This Row],[_Days]]-1,WorkWeek,Holidays)))</f>
        <v/>
      </c>
      <c r="CS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9" s="43" t="str">
        <f aca="false">IF(Tasks[[#This Row],[_Predecessors]]="","",TRIM(MID(SUBSTITUTE(SUBSTITUTE(SUBSTITUTE(UPPER(Tasks[[#This Row],[_Predecessors]]),";",",")," ",""),",",REPT(" ",99)),1,99)))</f>
        <v/>
      </c>
      <c r="CV69" s="43" t="str">
        <f aca="false">IF(Tasks[[#This Row],[_Pred1Text]]="","",IFERROR(VALUE(LEFT(Tasks[[#This Row],[_Pred1Text]],MIN(FIND("F",Tasks[[#This Row],[_Pred1Text]]&amp;"F"),FIND("S",Tasks[[#This Row],[_Pred1Text]]&amp;"S"),FIND("+",Tasks[[#This Row],[_Pred1Text]]&amp;"+"),FIND("-",Tasks[[#This Row],[_Pred1Text]]&amp;"-"))-1)),""))</f>
        <v/>
      </c>
      <c r="CW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9" s="43" t="str">
        <f aca="false">IF(Tasks[[#This Row],[_Pred1Text]]="","",TRIM(MID(SUBSTITUTE(SUBSTITUTE(SUBSTITUTE(UPPER(Tasks[[#This Row],[_Predecessors]]),";",",")," ",""),",",REPT(" ",99)),100,99)))</f>
        <v/>
      </c>
      <c r="CZ69" s="43" t="str">
        <f aca="false">IF(Tasks[[#This Row],[_Pred2Text]]="","",IFERROR(VALUE(LEFT(Tasks[[#This Row],[_Pred2Text]],MIN(FIND("F",Tasks[[#This Row],[_Pred2Text]]&amp;"F"),FIND("S",Tasks[[#This Row],[_Pred2Text]]&amp;"S"),FIND("+",Tasks[[#This Row],[_Pred2Text]]&amp;"+"),FIND("-",Tasks[[#This Row],[_Pred2Text]]&amp;"-"))-1)),""))</f>
        <v/>
      </c>
      <c r="DA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9" s="43" t="str">
        <f aca="false">IF(Tasks[[#This Row],[_Pred2Text]]="","",TRIM(MID(SUBSTITUTE(SUBSTITUTE(SUBSTITUTE(UPPER(Tasks[[#This Row],[_Predecessors]]),";",",")," ",""),",",REPT(" ",99)),199,99)))</f>
        <v/>
      </c>
      <c r="DD69" s="43" t="str">
        <f aca="false">IF(Tasks[[#This Row],[_Pred3Text]]="","",IFERROR(VALUE(LEFT(Tasks[[#This Row],[_Pred3Text]],MIN(FIND("F",Tasks[[#This Row],[_Pred3Text]]&amp;"F"),FIND("S",Tasks[[#This Row],[_Pred3Text]]&amp;"S"),FIND("+",Tasks[[#This Row],[_Pred3Text]]&amp;"+"),FIND("-",Tasks[[#This Row],[_Pred3Text]]&amp;"-"))-1)),""))</f>
        <v/>
      </c>
      <c r="DE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9" s="43" t="str">
        <f aca="false">IF(Tasks[[#This Row],[_Pred3Text]]="","",TRIM(MID(SUBSTITUTE(SUBSTITUTE(SUBSTITUTE(UPPER(Tasks[[#This Row],[_Predecessors]]),";",",")," ",""),",",REPT(" ",99)),298,99)))</f>
        <v/>
      </c>
      <c r="DH69" s="43" t="str">
        <f aca="false">IF(Tasks[[#This Row],[_Pred4Text]]="","",IFERROR(VALUE(LEFT(Tasks[[#This Row],[_Pred4Text]],MIN(FIND("F",Tasks[[#This Row],[_Pred4Text]]&amp;"F"),FIND("S",Tasks[[#This Row],[_Pred4Text]]&amp;"S"),FIND("+",Tasks[[#This Row],[_Pred4Text]]&amp;"+"),FIND("-",Tasks[[#This Row],[_Pred4Text]]&amp;"-"))-1)),""))</f>
        <v/>
      </c>
      <c r="DI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9" s="43" t="str">
        <f aca="false">IF(OR(Tasks[[#This Row],[Task Name]]="",Tasks[[#This Row],[_Resources]]=""),"",TRIM(MID(SUBSTITUTE(Tasks[[#This Row],[_Resources]],",",REPT(" ",99)),1,99)))</f>
        <v/>
      </c>
      <c r="DL69" s="43" t="str">
        <f aca="false">IF(Tasks[[#This Row],[_Res1Text]]="","",TRIM(MID(SUBSTITUTE(Tasks[[#This Row],[_Resources]],",",REPT(" ",99)),100,99)))</f>
        <v/>
      </c>
      <c r="DM69" s="43" t="str">
        <f aca="false">IF(Tasks[[#This Row],[_Res2Text]]="","",TRIM(MID(SUBSTITUTE(Tasks[[#This Row],[_Resources]],",",REPT(" ",99)),199,99)))</f>
        <v/>
      </c>
      <c r="DN69" s="43" t="str">
        <f aca="false">IF(Tasks[[#This Row],[_Res3Text]]="","",TRIM(MID(SUBSTITUTE(Tasks[[#This Row],[_Resources]],",",REPT(" ",99)),298,99)))</f>
        <v/>
      </c>
      <c r="DO69" s="43" t="n">
        <f aca="false">IF(Tasks[[#This Row],[_Res1Text]]="",0,IFERROR(MATCH(TRIM(LEFT(Tasks[[#This Row],[_Res1Text]],FIND("[",Tasks[[#This Row],[_Res1Text]]&amp;"[")-1)),res_Name,0),IFERROR(MATCH(TRIM(LEFT(Tasks[[#This Row],[_Res1Text]],FIND("[",Tasks[[#This Row],[_Res1Text]]&amp;"[")-1)),res_Initials,0),0)))</f>
        <v>0</v>
      </c>
      <c r="DP69" s="43" t="n">
        <f aca="false">IF(Tasks[[#This Row],[_Res2Text]]="",0,IFERROR(MATCH(TRIM(LEFT(Tasks[[#This Row],[_Res2Text]],FIND("[",Tasks[[#This Row],[_Res2Text]]&amp;"[")-1)),res_Name,0),IFERROR(MATCH(TRIM(LEFT(Tasks[[#This Row],[_Res2Text]],FIND("[",Tasks[[#This Row],[_Res2Text]]&amp;"[")-1)),res_Initials,0),0)))</f>
        <v>0</v>
      </c>
      <c r="DQ69" s="43" t="n">
        <f aca="false">IF(Tasks[[#This Row],[_Res3Text]]="",0,IFERROR(MATCH(TRIM(LEFT(Tasks[[#This Row],[_Res3Text]],FIND("[",Tasks[[#This Row],[_Res3Text]]&amp;"[")-1)),res_Name,0),IFERROR(MATCH(TRIM(LEFT(Tasks[[#This Row],[_Res3Text]],FIND("[",Tasks[[#This Row],[_Res3Text]]&amp;"[")-1)),res_Initials,0),0)))</f>
        <v>0</v>
      </c>
      <c r="DR69" s="43" t="n">
        <f aca="false">IF(Tasks[[#This Row],[_Res4Text]]="",0,IFERROR(MATCH(TRIM(LEFT(Tasks[[#This Row],[_Res4Text]],FIND("[",Tasks[[#This Row],[_Res4Text]]&amp;"[")-1)),res_Name,0),IFERROR(MATCH(TRIM(LEFT(Tasks[[#This Row],[_Res4Text]],FIND("[",Tasks[[#This Row],[_Res4Text]]&amp;"[")-1)),res_Initials,0),0)))</f>
        <v>0</v>
      </c>
      <c r="DS69" s="43" t="str">
        <f aca="false">IF(Tasks[[#This Row],[_Res1Text]]="","",IF(Tasks[[#This Row],[_Res1Row]]&gt;0,INDEX(res_Name,Tasks[[#This Row],[_Res1Row]]),TRIM(LEFT(Tasks[[#This Row],[_Res1Text]],FIND("[",Tasks[[#This Row],[_Res1Text]]&amp;"[")-1))))</f>
        <v/>
      </c>
      <c r="DT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9" s="43" t="n">
        <f aca="false">IF(NOT(Tasks[[#This Row],[_IsLeaf]]=1),0,(Tasks[[#This Row],[_Resource1]]&lt;&gt;"")+(Tasks[[#This Row],[_Res2]]&lt;&gt;"")+(Tasks[[#This Row],[_Res3]]&lt;&gt;"")+(Tasks[[#This Row],[_Res4]]&lt;&gt;""))</f>
        <v>0</v>
      </c>
      <c r="DV69" s="43" t="str">
        <f aca="false">IF(Tasks[[#This Row],[_Res2Text]]="","",IF(Tasks[[#This Row],[_Res2Row]]&gt;0,INDEX(res_Name,Tasks[[#This Row],[_Res2Row]]),TRIM(LEFT(Tasks[[#This Row],[_Res2Text]],FIND("[",Tasks[[#This Row],[_Res2Text]]&amp;"[")-1))))</f>
        <v/>
      </c>
      <c r="DW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9" s="43" t="n">
        <f aca="false">IF(OR(NOT(Tasks[[#This Row],[_IsLeaf]]=1),Tasks[[#This Row],[_Res2Row]]=0),0,N(Tasks[[#This Row],[_Days]])*HoursPerDay*IF(Tasks[[#This Row],[_Res2Units]]="",DefaultUnits,Tasks[[#This Row],[_Res2Units]]))</f>
        <v>0</v>
      </c>
      <c r="DY69" s="43" t="n">
        <f aca="false">IF(AND(AND(Tasks[[#This Row],[_IsLeaf]]=1,Tasks[[#This Row],[_LeafTotalWork]]&gt;0),Tasks[[#This Row],[_Res2Work]]&gt;0),Tasks[[#This Row],[_Res2Work]]/(Tasks[[#This Row],[_FinishWorkday]]-Tasks[[#This Row],[_StartWorkday]]+1),0)</f>
        <v>0</v>
      </c>
      <c r="DZ69" s="43" t="n">
        <f aca="false">Tasks[[#This Row],[_Res2WorkPerWD]]*MAX(0,Tasks[[#This Row],[_StartWorkday]]-1)</f>
        <v>0</v>
      </c>
      <c r="EA69" s="43" t="n">
        <f aca="false">Tasks[[#This Row],[_Res2Work]]*Tasks[[#This Row],[_LeafProgress]]</f>
        <v>0</v>
      </c>
      <c r="EB69" s="43" t="str">
        <f aca="false">IF(Tasks[[#This Row],[_Res3Text]]="","",IF(Tasks[[#This Row],[_Res3Row]]&gt;0,INDEX(res_Name,Tasks[[#This Row],[_Res3Row]]),TRIM(LEFT(Tasks[[#This Row],[_Res3Text]],FIND("[",Tasks[[#This Row],[_Res3Text]]&amp;"[")-1))))</f>
        <v/>
      </c>
      <c r="EC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9" s="43" t="n">
        <f aca="false">IF(OR(NOT(Tasks[[#This Row],[_IsLeaf]]=1),Tasks[[#This Row],[_Res3Row]]=0),0,N(Tasks[[#This Row],[_Days]])*HoursPerDay*IF(Tasks[[#This Row],[_Res3Units]]="",DefaultUnits,Tasks[[#This Row],[_Res3Units]]))</f>
        <v>0</v>
      </c>
      <c r="EE69" s="43" t="n">
        <f aca="false">IF(AND(AND(Tasks[[#This Row],[_IsLeaf]]=1,Tasks[[#This Row],[_LeafTotalWork]]&gt;0),Tasks[[#This Row],[_Res3Work]]&gt;0),Tasks[[#This Row],[_Res3Work]]/(Tasks[[#This Row],[_FinishWorkday]]-Tasks[[#This Row],[_StartWorkday]]+1),0)</f>
        <v>0</v>
      </c>
      <c r="EF69" s="43" t="n">
        <f aca="false">Tasks[[#This Row],[_Res3WorkPerWD]]*MAX(0,Tasks[[#This Row],[_StartWorkday]]-1)</f>
        <v>0</v>
      </c>
      <c r="EG69" s="43" t="n">
        <f aca="false">Tasks[[#This Row],[_Res3Work]]*Tasks[[#This Row],[_LeafProgress]]</f>
        <v>0</v>
      </c>
      <c r="EH69" s="43" t="str">
        <f aca="false">IF(Tasks[[#This Row],[_Res4Text]]="","",IF(Tasks[[#This Row],[_Res4Row]]&gt;0,INDEX(res_Name,Tasks[[#This Row],[_Res4Row]]),TRIM(LEFT(Tasks[[#This Row],[_Res4Text]],FIND("[",Tasks[[#This Row],[_Res4Text]]&amp;"[")-1))))</f>
        <v/>
      </c>
      <c r="EI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9" s="43" t="n">
        <f aca="false">IF(OR(NOT(Tasks[[#This Row],[_IsLeaf]]=1),Tasks[[#This Row],[_Res4Row]]=0),0,N(Tasks[[#This Row],[_Days]])*HoursPerDay*IF(Tasks[[#This Row],[_Res4Units]]="",DefaultUnits,Tasks[[#This Row],[_Res4Units]]))</f>
        <v>0</v>
      </c>
      <c r="EK69" s="43" t="n">
        <f aca="false">IF(AND(AND(Tasks[[#This Row],[_IsLeaf]]=1,Tasks[[#This Row],[_LeafTotalWork]]&gt;0),Tasks[[#This Row],[_Res4Work]]&gt;0),Tasks[[#This Row],[_Res4Work]]/(Tasks[[#This Row],[_FinishWorkday]]-Tasks[[#This Row],[_StartWorkday]]+1),0)</f>
        <v>0</v>
      </c>
      <c r="EL69" s="43" t="n">
        <f aca="false">Tasks[[#This Row],[_Res4WorkPerWD]]*MAX(0,Tasks[[#This Row],[_StartWorkday]]-1)</f>
        <v>0</v>
      </c>
      <c r="EM69" s="43" t="n">
        <f aca="false">Tasks[[#This Row],[_Res4Work]]*Tasks[[#This Row],[_LeafProgress]]</f>
        <v>0</v>
      </c>
      <c r="EN69" s="43" t="n">
        <f aca="false">IF(ISNUMBER(Tasks[[#This Row],[% Complete]]),Tasks[[#This Row],[% Complete]],IF(Tasks[[#This Row],[Stage]]="",0,IFERROR(INDEX(stg_Pct,MATCH(Tasks[[#This Row],[Stage]],stg_Name,0)),0)))</f>
        <v>0</v>
      </c>
      <c r="EO69" s="43" t="n">
        <f aca="false">IF(NOT(Tasks[[#This Row],[_IsLeaf]]=1),0,IF(N(Tasks[[#This Row],[Actual Finish]])&gt;0,1,MIN(1,Tasks[[#This Row],[_Pct]])))</f>
        <v>0</v>
      </c>
      <c r="EP69" s="43" t="n">
        <f aca="false">IF(OR(NOT(Tasks[[#This Row],[_IsLeaf]]=1),Tasks[[#This Row],[_Res1Row]]=0),0,N(Tasks[[#This Row],[_Days]])*HoursPerDay*IF(Tasks[[#This Row],[_Units1]]="",DefaultUnits,Tasks[[#This Row],[_Units1]]))</f>
        <v>0</v>
      </c>
      <c r="EQ69" s="43" t="n">
        <f aca="false">Tasks[[#This Row],[_LeafWork]]+Tasks[[#This Row],[_Res2Work]]+Tasks[[#This Row],[_Res3Work]]+Tasks[[#This Row],[_Res4Work]]</f>
        <v>0</v>
      </c>
      <c r="ER6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9" s="43" t="n">
        <f aca="false">IF(NOT(Tasks[[#This Row],[_IsLeaf]]=1),0,MAX(_xlfn.MAXIFS(Tasks[_Row],Tasks[_Pred1UID],Tasks[[#This Row],[UID]]),_xlfn.MAXIFS(Tasks[_Row],Tasks[_Pred2UID],Tasks[[#This Row],[UID]]),_xlfn.MAXIFS(Tasks[_Row],Tasks[_Pred3UID],Tasks[[#This Row],[UID]]),_xlfn.MAXIFS(Tasks[_Row],Tasks[_Pred4UID],Tasks[[#This Row],[UID]])))</f>
        <v>0</v>
      </c>
      <c r="FA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9" s="91" t="str">
        <f aca="false">IF(NOT(Tasks[[#This Row],[_IsLeaf]]=1),"",IF(N(Tasks[[#This Row],[_Days]])&lt;=0,Tasks[[#This Row],[_LeafLateFinish]],WORKDAY.INTL(Tasks[[#This Row],[_LeafLateFinish]],-(Tasks[[#This Row],[_Days]]-1),WorkWeek,Holidays)))</f>
        <v/>
      </c>
      <c r="FD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9" s="90" t="b">
        <f aca="false">AND(Tasks[[#This Row],[_IsLeaf]]=1,Tasks[[#This Row],[_LeafProgress]]&lt;1,N(Tasks[[#This Row],[_LeafTotalSlack]])&lt;=CriticalSlackDays)</f>
        <v>0</v>
      </c>
      <c r="FF69" s="43" t="n">
        <f aca="false">IF(AND(Tasks[[#This Row],[_IsLeaf]]=1,Tasks[[#This Row],[_ConstraintCode]]=1,Tasks[[#This Row],[Mode]]&lt;&gt;"Manual",N(Tasks[[#This Row],[Actual Start]])=0),MAX(0,N(Tasks[[#This Row],[Free Slack]])),0)</f>
        <v>0</v>
      </c>
      <c r="FG69" s="91" t="str">
        <f aca="false">IF(NOT(Tasks[[#This Row],[_IsLeaf]]=1),"",IF(Tasks[[#This Row],[_AlapShift]]=0,Tasks[[#This Row],[_LeafCalcStart]],WORKDAY.INTL(Tasks[[#This Row],[_LeafCalcStart]],Tasks[[#This Row],[_AlapShift]],WorkWeek,Holidays)))</f>
        <v/>
      </c>
      <c r="FH69" s="91" t="str">
        <f aca="false">IF(NOT(Tasks[[#This Row],[_IsLeaf]]=1),"",IF(Tasks[[#This Row],[_AlapShift]]=0,Tasks[[#This Row],[_LeafCalcFinish]],WORKDAY.INTL(Tasks[[#This Row],[_LeafCalcFinish]],Tasks[[#This Row],[_AlapShift]],WorkWeek,Holidays)))</f>
        <v/>
      </c>
      <c r="FI69" s="91" t="str">
        <f aca="false">IF(NOT(Tasks[[#This Row],[_IsLeaf]]=1),"",IF(Tasks[[#This Row],[_AlapShift]]=0,Tasks[[#This Row],[_LeafFcstStart]],WORKDAY.INTL(Tasks[[#This Row],[_LeafFcstStart]],Tasks[[#This Row],[_AlapShift]],WorkWeek,Holidays)))</f>
        <v/>
      </c>
      <c r="FJ69" s="91" t="str">
        <f aca="false">IF(NOT(Tasks[[#This Row],[_IsLeaf]]=1),"",IF(Tasks[[#This Row],[_AlapShift]]=0,Tasks[[#This Row],[_LeafFcstFinish]],WORKDAY.INTL(Tasks[[#This Row],[_LeafFcstFinish]],Tasks[[#This Row],[_AlapShift]],WorkWeek,Holidays)))</f>
        <v/>
      </c>
      <c r="FK69" s="91" t="str">
        <f aca="false">IF(Tasks[[#This Row],[Task Name]]="","",IF(Tasks[[#This Row],[_IsSummary]],MIN(INDEX(Tasks[_ShownCalcStart],Tasks[[#This Row],[_Row]]+1):INDEX(Tasks[_ShownCalcStart],Tasks[[#This Row],[_Row]]+Tasks[[#This Row],[_Descendants]])),Tasks[[#This Row],[_ShownCalcStart]]))</f>
        <v/>
      </c>
      <c r="FL69" s="91" t="str">
        <f aca="false">IF(Tasks[[#This Row],[Task Name]]="","",IF(Tasks[[#This Row],[_IsSummary]],MAX(INDEX(Tasks[_ShownCalcFinish],Tasks[[#This Row],[_Row]]+1):INDEX(Tasks[_ShownCalcFinish],Tasks[[#This Row],[_Row]]+Tasks[[#This Row],[_Descendants]])),Tasks[[#This Row],[_ShownCalcFinish]]))</f>
        <v/>
      </c>
      <c r="FM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9" s="43" t="n">
        <f aca="false">IF(AND(Tasks[[#This Row],[_IsLeaf]]=1,Tasks[[#This Row],[_LeafTotalWork]]&gt;0),NETWORKDAYS.INTL(ProjectStart,Tasks[[#This Row],[_ShownFcstStart]],WorkWeek,Holidays),0)</f>
        <v>0</v>
      </c>
      <c r="FZ69" s="43" t="n">
        <f aca="false">IF(AND(Tasks[[#This Row],[_IsLeaf]]=1,Tasks[[#This Row],[_LeafTotalWork]]&gt;0),MAX(Tasks[[#This Row],[_StartWorkday]],NETWORKDAYS.INTL(ProjectStart,Tasks[[#This Row],[_ShownFcstFinish]],WorkWeek,Holidays)),0)</f>
        <v>0</v>
      </c>
      <c r="GA69" s="43" t="n">
        <f aca="false">IF(AND(Tasks[[#This Row],[_IsLeaf]]=1,Tasks[[#This Row],[_LeafTotalWork]]&gt;0),Tasks[[#This Row],[_LeafWork]]/(Tasks[[#This Row],[_FinishWorkday]]-Tasks[[#This Row],[_StartWorkday]]+1),0)</f>
        <v>0</v>
      </c>
      <c r="GB69" s="43" t="n">
        <f aca="false">Tasks[[#This Row],[_WorkPerWorkday]]*(Tasks[[#This Row],[_StartWorkday]]-1)</f>
        <v>-0</v>
      </c>
      <c r="GC69" s="43" t="n">
        <f aca="false">IF(Tasks[[#This Row],[_IsLeaf]]=1,MAX(N(Tasks[[#This Row],[_Days]]),0.1),0)</f>
        <v>0</v>
      </c>
      <c r="GD69" s="43" t="n">
        <f aca="false">Tasks[[#This Row],[_WeightDur]]*Tasks[[#This Row],[_LeafProgress]]</f>
        <v>0</v>
      </c>
      <c r="GE69" s="43" t="n">
        <f aca="false">Tasks[[#This Row],[_WeightDur]]*Tasks[[#This Row],[_PlannedPct]]</f>
        <v>0</v>
      </c>
      <c r="GF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9" s="43" t="str">
        <f aca="false">IF(AND(Tasks[[#This Row],[_IsLeaf]]=1,N(Tasks[[#This Row],[_Days]])=0,Tasks[[#This Row],[_LeafProgress]]&lt;1),Tasks[[#This Row],[_ShownFcstFinish]]+Tasks[[#This Row],[_Row]]/100000,"")</f>
        <v/>
      </c>
      <c r="GH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9" s="43" t="str">
        <f aca="false">IF(Tasks[[#This Row],[Task Name]]="","",LEFT(Tasks[[#This Row],[WBS]],FIND(".",Tasks[[#This Row],[WBS]]&amp;".")-1))</f>
        <v/>
      </c>
      <c r="GJ69" s="43" t="str">
        <f aca="false">IF(AND(Tasks[[#This Row],[Task Name]]&lt;&gt;"",Tasks[[#This Row],[_Level]]=1),Tasks[[#This Row],[_Row]],"")</f>
        <v/>
      </c>
      <c r="GK69" s="43" t="str">
        <f aca="false">IF(AND(Tasks[[#This Row],[_IsLeaf]]=1,N(Tasks[[#This Row],[_Days]])=0),Tasks[[#This Row],[Planned Finish]]+Tasks[[#This Row],[_Row]]/100000,"")</f>
        <v/>
      </c>
      <c r="GL69" s="43" t="str">
        <f aca="false">IF(AND(Tasks[[#This Row],[_IsLeaf]]=1,Tasks[[#This Row],[_LeafProgress]]&lt;1,OR(N(Tasks[[#This Row],[Finish Var]])&gt;0,Tasks[[#This Row],[Status]]="Late Start")),MAX(0,Tasks[[#This Row],[Finish Var]])+1-Tasks[[#This Row],[_Row]]/1000000,"")</f>
        <v/>
      </c>
      <c r="GM69" s="43" t="str">
        <f aca="false">IF(AND(Tasks[[#This Row],[_IsLeaf]]=1,N(Tasks[[#This Row],[Actual Start]])=0,Tasks[[#This Row],[_ShownFcstStart]]&gt;=StatusDate,Tasks[[#This Row],[_ShownFcstStart]]&lt;=LookaheadEnd),Tasks[[#This Row],[_ShownFcstStart]]+Tasks[[#This Row],[_Row]]/100000,"")</f>
        <v/>
      </c>
      <c r="GN69" s="43" t="str">
        <f aca="false">IF(AND(Tasks[[#This Row],[_IsLeaf]]=1,Tasks[[#This Row],[_LeafProgress]]&lt;1,Tasks[[#This Row],[_ShownFcstFinish]]&gt;=StatusDate,Tasks[[#This Row],[_ShownFcstFinish]]&lt;=LookaheadEnd),Tasks[[#This Row],[_ShownFcstFinish]]+Tasks[[#This Row],[_Row]]/100000,"")</f>
        <v/>
      </c>
      <c r="GO69" s="43" t="str">
        <f aca="false">IF(Tasks[[#This Row],[_LeafCritical]],Tasks[[#This Row],[_ShownFcstStart]]+Tasks[[#This Row],[_Row]]/100000,"")</f>
        <v/>
      </c>
      <c r="GP69" s="43" t="n">
        <f aca="false">Tasks[[#This Row],[_LeafWork]]*Tasks[[#This Row],[_LeafProgress]]</f>
        <v>0</v>
      </c>
      <c r="GQ69" s="91" t="str">
        <f aca="false">IF(AND(Tasks[[#This Row],[_IsLeaf]]=1,Tasks[[#This Row],[_LeafProgress]]&gt;=1),IF(N(Tasks[[#This Row],[Actual Finish]])&gt;0,Tasks[[#This Row],[Actual Finish]],Tasks[[#This Row],[_ShownFcstFinish]]),"")</f>
        <v/>
      </c>
      <c r="GR69" s="43" t="n">
        <f aca="false">IF(Tasks[[#This Row],[_IsLeaf]]=1,N(Tasks[[#This Row],[Story Points]]),0)</f>
        <v>0</v>
      </c>
      <c r="GS69" s="43" t="str">
        <f aca="false">""</f>
        <v/>
      </c>
      <c r="GT69" s="90" t="b">
        <f aca="false">IF(Tasks[[#This Row],[Task Name]]="",FALSE(),AND(Tasks[[#This Row],[_IsLeaf]]=1,N(Tasks[[#This Row],[_Days]])=0))</f>
        <v>0</v>
      </c>
      <c r="GU69" s="91" t="n">
        <f aca="false">IF(Tasks[[#This Row],[Task Name]]="",0,IF(AND(Tasks[[#This Row],[_IsLeaf]]=1,NOT(Tasks[[#This Row],[_IsMilestone]]),N(Tasks[[#This Row],[Progress]])&gt;0),Tasks[[#This Row],[Start]],0))</f>
        <v>0</v>
      </c>
      <c r="GV69" s="91" t="n">
        <f aca="false">IF(Tasks[[#This Row],[_DoneFrom]]=0,0,IF(Tasks[[#This Row],[Progress]]&gt;=1,Tasks[[#This Row],[Finish]],MAX(Tasks[[#This Row],[_DoneFrom]],Tasks[[#This Row],[Start]]+ROUND((Tasks[[#This Row],[Finish]]-Tasks[[#This Row],[Start]]+1)*Tasks[[#This Row],[Progress]],0)-1)))</f>
        <v>0</v>
      </c>
      <c r="GW69" s="91" t="n">
        <f aca="false">IF(Tasks[[#This Row],[Task Name]]="",0,IF(OR(NOT(Tasks[[#This Row],[_IsLeaf]]=1),Tasks[[#This Row],[_IsMilestone]],N(Tasks[[#This Row],[Progress]])&gt;=1),0,IF(Tasks[[#This Row],[_DoneTo]]&gt;0,Tasks[[#This Row],[_DoneTo]]+1,Tasks[[#This Row],[Start]])))</f>
        <v>0</v>
      </c>
      <c r="GX69" s="91" t="n">
        <f aca="false">IF(Tasks[[#This Row],[_RemFrom]]=0,0,Tasks[[#This Row],[Finish]])</f>
        <v>0</v>
      </c>
      <c r="GY69" s="90" t="b">
        <f aca="false">IF(Tasks[[#This Row],[Task Name]]="",FALSE(),OR(NOT(BaselineSet),N(Tasks[[#This Row],[Baseline Start]])&gt;0))</f>
        <v>0</v>
      </c>
      <c r="GZ6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9" s="92" t="str">
        <f aca="false">IF(Tasks[[#This Row],[_IsLeaf]]=1,Tasks[[#This Row],[_Row]],"")</f>
        <v/>
      </c>
      <c r="HD69" s="92" t="str">
        <f aca="false">IFERROR(INDEX(Tasks[UID],SMALL(Tasks[_PickKey],Tasks[[#This Row],[_Row]]))&amp;" "&amp;INDEX(Tasks[Task Name],SMALL(Tasks[_PickKey],Tasks[[#This Row],[_Row]])),"")</f>
        <v/>
      </c>
      <c r="HE69" s="43" t="str">
        <f aca="false">IF(Tasks[[#This Row],[Task Name]]="","",IF(Tasks[[#This Row],[_IsSummary]],NETWORKDAYS.INTL(Tasks[[#This Row],[Start]],Tasks[[#This Row],[Finish]],WorkWeek,Holidays),N(Tasks[[#This Row],[_Days]])))</f>
        <v/>
      </c>
      <c r="HF69" s="43" t="n">
        <f aca="false">IF(Tasks[[#This Row],[Expected]]="",0,((Tasks[[#This Row],[Pessimistic]]-Tasks[[#This Row],[Optimistic]])/6)^2)</f>
        <v>0</v>
      </c>
      <c r="HG69" s="43" t="n">
        <f aca="false">IF(Tasks[[#This Row],[Expected]]="",0,Tasks[[#This Row],[Expected]]-N(Tasks[[#This Row],[_Days]]))</f>
        <v>0</v>
      </c>
    </row>
    <row r="70" customFormat="false" ht="15" hidden="false" customHeight="false" outlineLevel="0" collapsed="false">
      <c r="A70" s="21" t="str">
        <f aca="false">IF(Tasks[[#This Row],[Task Name]]="","",COUNTA(Tasks[[#Headers],[Task Name]]:Tasks[[#This Row],[Task Name]])-1)</f>
        <v/>
      </c>
      <c r="B70" s="22" t="n">
        <v>78</v>
      </c>
      <c r="C70" s="22"/>
      <c r="D70" s="23"/>
      <c r="E70" s="22"/>
      <c r="F70" s="23"/>
      <c r="G70" s="22"/>
      <c r="H70" s="22"/>
      <c r="I70" s="23"/>
      <c r="J70" s="22"/>
      <c r="K70" s="22"/>
      <c r="L70" s="23"/>
      <c r="M70" s="22"/>
      <c r="N70" s="22"/>
      <c r="O70" s="23"/>
      <c r="P70" s="22"/>
      <c r="Q70" s="22"/>
      <c r="R70" s="23"/>
      <c r="S70" s="23"/>
      <c r="T70" s="84"/>
      <c r="U70" s="23"/>
      <c r="V70" s="84"/>
      <c r="W70" s="23"/>
      <c r="X70" s="84"/>
      <c r="Y70" s="23"/>
      <c r="Z70" s="84"/>
      <c r="AA70" s="23"/>
      <c r="AB70" s="23"/>
      <c r="AC70" s="7"/>
      <c r="AD70" s="7"/>
      <c r="AE70" s="63" t="str">
        <f aca="false">IF(Tasks[[#This Row],[Task Name]]="","",IF(Tasks[[#This Row],[_IsSummary]],MIN(INDEX(Tasks[_ShownFcstStart],Tasks[[#This Row],[_Row]]+1):INDEX(Tasks[_ShownFcstStart],Tasks[[#This Row],[_Row]]+Tasks[[#This Row],[_Descendants]])),Tasks[[#This Row],[_ShownFcstStart]]))</f>
        <v/>
      </c>
      <c r="AF70" s="63" t="str">
        <f aca="false">IF(Tasks[[#This Row],[Task Name]]="","",IF(Tasks[[#This Row],[_IsSummary]],MAX(INDEX(Tasks[_ShownFcstFinish],Tasks[[#This Row],[_Row]]+1):INDEX(Tasks[_ShownFcstFinish],Tasks[[#This Row],[_Row]]+Tasks[[#This Row],[_Descendants]])),Tasks[[#This Row],[_ShownFcstFinish]]))</f>
        <v/>
      </c>
      <c r="AG70" s="21" t="str">
        <f aca="false">""</f>
        <v/>
      </c>
      <c r="AH70" s="23"/>
      <c r="AI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0" s="7"/>
      <c r="AK70" s="22"/>
      <c r="AL70" s="23"/>
      <c r="AM70" s="7"/>
      <c r="AN70" s="47" t="str">
        <f aca="false">IF(Tasks[[#This Row],[Task Name]]="","",IF(Tasks[[#This Row],[Finish]]&gt;=Tasks[[#This Row],[Planned Finish]],NETWORKDAYS.INTL(Tasks[[#This Row],[Planned Finish]],Tasks[[#This Row],[Finish]],WorkWeek,Holidays)-1,1-NETWORKDAYS.INTL(Tasks[[#This Row],[Finish]],Tasks[[#This Row],[Planned Finish]],WorkWeek,Holidays)))</f>
        <v/>
      </c>
      <c r="AO70" s="21" t="str">
        <f aca="false">IF(Tasks[[#This Row],[Task Name]]="","",IF(Tasks[[#This Row],[Progress]]&gt;=1,"Complete",IF(OR(N(Tasks[[#This Row],[Actual Start]])&gt;0,Tasks[[#This Row],[Progress]]&gt;0),IF(Tasks[[#This Row],[Finish Var]]&gt;0,"Behind","In Progress"),IF(Tasks[[#This Row],[Planned Start]]&lt;StatusDate,"Late Start","Not Started"))))</f>
        <v/>
      </c>
      <c r="AP70" s="21" t="str">
        <f aca="false">IF(Tasks[[#This Row],[Task Name]]="","",IF(IF(Tasks[[#This Row],[_IsSummary]],COUNTIF(INDEX(Tasks[_LeafCritical],Tasks[[#This Row],[_Row]]+1):INDEX(Tasks[_LeafCritical],Tasks[[#This Row],[_Row]]+Tasks[[#This Row],[_Descendants]]),TRUE())&gt;0,Tasks[[#This Row],[_LeafCritical]]),"Yes",""))</f>
        <v/>
      </c>
      <c r="AQ70" s="63" t="str">
        <f aca="false">IF(Tasks[[#This Row],[Task Name]]="","",IF(N(Tasks[[#This Row],[Baseline Start]])&gt;0,Tasks[[#This Row],[Baseline Start]],Tasks[[#This Row],[_CalcStart]]))</f>
        <v/>
      </c>
      <c r="AR70" s="63" t="str">
        <f aca="false">IF(Tasks[[#This Row],[Task Name]]="","",IF(N(Tasks[[#This Row],[Baseline Finish]])&gt;0,Tasks[[#This Row],[Baseline Finish]],Tasks[[#This Row],[_CalcFinish]]))</f>
        <v/>
      </c>
      <c r="AS70" s="47" t="str">
        <f aca="false">IF(Tasks[[#This Row],[Task Name]]="","",IF(Tasks[[#This Row],[Start]]&gt;=Tasks[[#This Row],[Planned Start]],NETWORKDAYS.INTL(Tasks[[#This Row],[Planned Start]],Tasks[[#This Row],[Start]],WorkWeek,Holidays)-1,1-NETWORKDAYS.INTL(Tasks[[#This Row],[Start]],Tasks[[#This Row],[Planned Start]],WorkWeek,Holidays)))</f>
        <v/>
      </c>
      <c r="AT70" s="63" t="str">
        <f aca="false">IF(Tasks[[#This Row],[Task Name]]="","",IF(Tasks[[#This Row],[_IsSummary]],MIN(INDEX(Tasks[_LeafLateStart],Tasks[[#This Row],[_Row]]+1):INDEX(Tasks[_LeafLateStart],Tasks[[#This Row],[_Row]]+Tasks[[#This Row],[_Descendants]])),Tasks[[#This Row],[_LeafLateStart]]))</f>
        <v/>
      </c>
      <c r="AU70" s="63" t="str">
        <f aca="false">IF(Tasks[[#This Row],[Task Name]]="","",IF(Tasks[[#This Row],[_IsSummary]],MAX(INDEX(Tasks[_LeafLateFinish],Tasks[[#This Row],[_Row]]+1):INDEX(Tasks[_LeafLateFinish],Tasks[[#This Row],[_Row]]+Tasks[[#This Row],[_Descendants]])),Tasks[[#This Row],[_LeafLateFinish]]))</f>
        <v/>
      </c>
      <c r="AV70" s="47" t="str">
        <f aca="false">IF(Tasks[[#This Row],[Task Name]]="","",IF(Tasks[[#This Row],[_IsSummary]],MIN(INDEX(Tasks[_LeafTotalSlack],Tasks[[#This Row],[_Row]]+1):INDEX(Tasks[_LeafTotalSlack],Tasks[[#This Row],[_Row]]+Tasks[[#This Row],[_Descendants]])),Tasks[[#This Row],[_LeafTotalSlack]]))</f>
        <v/>
      </c>
      <c r="AW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5"/>
      <c r="BA7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t="str">
        <f aca="false">IF(Tasks[[#This Row],[Task Name]]="","",IF(Tasks[[#This Row],[_Level]]&lt;=OutlineShowLevel,"Yes","No"))</f>
        <v/>
      </c>
      <c r="BE70" s="86" t="str">
        <f aca="false">IF(Tasks[[#This Row],[Task Name]]="","",IF(Tasks[[#This Row],[_IsSummary]],SUM(INDEX(Tasks[_LeafTotalWork],Tasks[[#This Row],[_Row]]+1):INDEX(Tasks[_LeafTotalWork],Tasks[[#This Row],[_Row]]+Tasks[[#This Row],[_Descendants]])),Tasks[[#This Row],[_LeafTotalWork]]))</f>
        <v/>
      </c>
      <c r="BF70" s="23"/>
      <c r="BG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t="str">
        <f aca="false">""</f>
        <v/>
      </c>
      <c r="BI70" s="87"/>
      <c r="BJ70" s="22"/>
      <c r="BK70" s="47" t="str">
        <f aca="false">IF(OR(Tasks[[#This Row],[Task Name]]="",Tasks[[#This Row],[Baseline Duration]]=""),"",Tasks[[#This Row],[_SpanDays]]-N(Tasks[[#This Row],[Baseline Duration]]))</f>
        <v/>
      </c>
      <c r="BL70" s="86" t="str">
        <f aca="false">IF(OR(Tasks[[#This Row],[Task Name]]="",Tasks[[#This Row],[Baseline Work]]=""),"",Tasks[[#This Row],[Work]]-N(Tasks[[#This Row],[Baseline Work]]))</f>
        <v/>
      </c>
      <c r="BM70" s="63" t="str">
        <f aca="false">IF(Tasks[[#This Row],[Task Name]]="","",IF(OR(TakeBaseline="Yes",N(Tasks[[#This Row],[Baseline Start]])=0),Tasks[[#This Row],[Start]],Tasks[[#This Row],[Baseline Start]]))</f>
        <v/>
      </c>
      <c r="BN70" s="63" t="str">
        <f aca="false">IF(Tasks[[#This Row],[Task Name]]="","",IF(OR(TakeBaseline="Yes",N(Tasks[[#This Row],[Baseline Finish]])=0),Tasks[[#This Row],[Finish]],Tasks[[#This Row],[Baseline Finish]]))</f>
        <v/>
      </c>
      <c r="BO70" s="21" t="str">
        <f aca="false">IF(Tasks[[#This Row],[Task Name]]="","",IF(OR(TakeBaseline="Yes",N(Tasks[[#This Row],[Baseline Duration]])=0),Tasks[[#This Row],[_SpanDays]],Tasks[[#This Row],[Baseline Duration]]))</f>
        <v/>
      </c>
      <c r="BP70" s="86" t="str">
        <f aca="false">IF(Tasks[[#This Row],[Task Name]]="","",IF(OR(TakeBaseline="Yes",N(Tasks[[#This Row],[Baseline Work]])=0),Tasks[[#This Row],[Work]],Tasks[[#This Row],[Baseline Work]]))</f>
        <v/>
      </c>
      <c r="BQ70" s="7"/>
      <c r="BR70" s="7"/>
      <c r="BS70" s="22"/>
      <c r="BT70" s="88"/>
      <c r="BU70" s="23"/>
      <c r="BV70" s="23"/>
      <c r="BW70" s="23"/>
      <c r="BX70" s="89" t="str">
        <f aca="false">IF(AND(Tasks[[#This Row],[_IsLeaf]]=1,ISNUMBER(Tasks[[#This Row],[Optimistic]]),ISNUMBER(Tasks[[#This Row],[Pessimistic]])),ROUND((Tasks[[#This Row],[Optimistic]]+4*N(Tasks[[#This Row],[_Days]])+Tasks[[#This Row],[Pessimistic]])/6,1),"")</f>
        <v/>
      </c>
      <c r="BY70" s="87"/>
      <c r="BZ70" s="87"/>
      <c r="CA70" s="22"/>
      <c r="CB70" s="43" t="str">
        <f aca="false">IF(Tasks[[#This Row],[Task Name]]="","",MAX(1,N(Tasks[[#This Row],[Level]])))</f>
        <v/>
      </c>
      <c r="CC70" s="43" t="n">
        <f aca="false">ROW()-ROW(Tasks[[#Headers],[ID]])</f>
        <v>65</v>
      </c>
      <c r="CD70" s="43" t="n">
        <f aca="false">IF(OR(Tasks[[#This Row],[Task Name]]="",Tasks[[#This Row],[_Level]]&lt;=1),0,IFERROR(LOOKUP(2,1/(Tasks[[#Headers],[_Level]]:Tasks[[#This Row],[_Level]]=Tasks[[#This Row],[_Level]]-1),ROW(Tasks[[#Headers],[_Level]]:Tasks[[#This Row],[_Level]])),0))</f>
        <v>0</v>
      </c>
      <c r="CE70" s="43" t="n">
        <f aca="false">IFERROR(N(INDEX(Tasks[_Level],Tasks[[#This Row],[_Row]]+1)),0)</f>
        <v>0</v>
      </c>
      <c r="CF70" s="90" t="b">
        <f aca="false">AND(Tasks[[#This Row],[Task Name]]&lt;&gt;"",Tasks[[#This Row],[_NextLevel]]&gt;Tasks[[#This Row],[_Level]])</f>
        <v>0</v>
      </c>
      <c r="CG70" s="43" t="n">
        <f aca="false">IF(Tasks[[#This Row],[_IsSummary]],COUNTIF(Tasks[WBS],Tasks[[#This Row],[WBS]]&amp;".*"),0)</f>
        <v>0</v>
      </c>
      <c r="CH70" s="43" t="n">
        <f aca="false">IF(AND(Tasks[[#This Row],[Task Name]]&lt;&gt;"",NOT(Tasks[[#This Row],[_IsSummary]])),1,0)</f>
        <v>0</v>
      </c>
      <c r="CI70" s="43" t="n">
        <f aca="false">IF(N(Tasks[[#This Row],[_Pred1UID]])=0,0,IFERROR(MATCH(Tasks[[#This Row],[_Pred1UID]],Tasks[UID],0),-1))</f>
        <v>0</v>
      </c>
      <c r="CJ70" s="43" t="n">
        <f aca="false">IF(N(Tasks[[#This Row],[_Pred2UID]])=0,0,IFERROR(MATCH(Tasks[[#This Row],[_Pred2UID]],Tasks[UID],0),-1))</f>
        <v>0</v>
      </c>
      <c r="CK70" s="43" t="n">
        <f aca="false">IF(N(Tasks[[#This Row],[_Pred3UID]])=0,0,IFERROR(MATCH(Tasks[[#This Row],[_Pred3UID]],Tasks[UID],0),-1))</f>
        <v>0</v>
      </c>
      <c r="CL70" s="43" t="n">
        <f aca="false">IF(N(Tasks[[#This Row],[_Pred4UID]])=0,0,IFERROR(MATCH(Tasks[[#This Row],[_Pred4UID]],Tasks[UID],0),-1))</f>
        <v>0</v>
      </c>
      <c r="CM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0" s="91" t="n">
        <f aca="false">IF(OR(Tasks[[#This Row],[_ConstraintCode]]=2,Tasks[[#This Row],[_ConstraintCode]]=3,Tasks[[#This Row],[_ConstraintCode]]=4,Tasks[[#This Row],[_ConstraintCode]]=6),Tasks[[#This Row],[_ConstraintStart]],0)</f>
        <v>0</v>
      </c>
      <c r="CP70" s="91" t="n">
        <f aca="false">IF(OR(Tasks[[#This Row],[_ConstraintCode]]=2,Tasks[[#This Row],[_ConstraintCode]]=3,Tasks[[#This Row],[_ConstraintCode]]=5,Tasks[[#This Row],[_ConstraintCode]]=7),Tasks[[#This Row],[_ConstraintStart]],2958465)</f>
        <v>2958465</v>
      </c>
      <c r="CQ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0" s="91" t="str">
        <f aca="false">IF(NOT(Tasks[[#This Row],[_IsLeaf]]=1),"",IF(N(Tasks[[#This Row],[_Days]])&lt;=0,Tasks[[#This Row],[_LeafCalcStart]],WORKDAY.INTL(Tasks[[#This Row],[_LeafCalcStart]],Tasks[[#This Row],[_Days]]-1,WorkWeek,Holidays)))</f>
        <v/>
      </c>
      <c r="CS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0" s="43" t="str">
        <f aca="false">IF(Tasks[[#This Row],[_Predecessors]]="","",TRIM(MID(SUBSTITUTE(SUBSTITUTE(SUBSTITUTE(UPPER(Tasks[[#This Row],[_Predecessors]]),";",",")," ",""),",",REPT(" ",99)),1,99)))</f>
        <v/>
      </c>
      <c r="CV70" s="43" t="str">
        <f aca="false">IF(Tasks[[#This Row],[_Pred1Text]]="","",IFERROR(VALUE(LEFT(Tasks[[#This Row],[_Pred1Text]],MIN(FIND("F",Tasks[[#This Row],[_Pred1Text]]&amp;"F"),FIND("S",Tasks[[#This Row],[_Pred1Text]]&amp;"S"),FIND("+",Tasks[[#This Row],[_Pred1Text]]&amp;"+"),FIND("-",Tasks[[#This Row],[_Pred1Text]]&amp;"-"))-1)),""))</f>
        <v/>
      </c>
      <c r="CW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0" s="43" t="str">
        <f aca="false">IF(Tasks[[#This Row],[_Pred1Text]]="","",TRIM(MID(SUBSTITUTE(SUBSTITUTE(SUBSTITUTE(UPPER(Tasks[[#This Row],[_Predecessors]]),";",",")," ",""),",",REPT(" ",99)),100,99)))</f>
        <v/>
      </c>
      <c r="CZ70" s="43" t="str">
        <f aca="false">IF(Tasks[[#This Row],[_Pred2Text]]="","",IFERROR(VALUE(LEFT(Tasks[[#This Row],[_Pred2Text]],MIN(FIND("F",Tasks[[#This Row],[_Pred2Text]]&amp;"F"),FIND("S",Tasks[[#This Row],[_Pred2Text]]&amp;"S"),FIND("+",Tasks[[#This Row],[_Pred2Text]]&amp;"+"),FIND("-",Tasks[[#This Row],[_Pred2Text]]&amp;"-"))-1)),""))</f>
        <v/>
      </c>
      <c r="DA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0" s="43" t="str">
        <f aca="false">IF(Tasks[[#This Row],[_Pred2Text]]="","",TRIM(MID(SUBSTITUTE(SUBSTITUTE(SUBSTITUTE(UPPER(Tasks[[#This Row],[_Predecessors]]),";",",")," ",""),",",REPT(" ",99)),199,99)))</f>
        <v/>
      </c>
      <c r="DD70" s="43" t="str">
        <f aca="false">IF(Tasks[[#This Row],[_Pred3Text]]="","",IFERROR(VALUE(LEFT(Tasks[[#This Row],[_Pred3Text]],MIN(FIND("F",Tasks[[#This Row],[_Pred3Text]]&amp;"F"),FIND("S",Tasks[[#This Row],[_Pred3Text]]&amp;"S"),FIND("+",Tasks[[#This Row],[_Pred3Text]]&amp;"+"),FIND("-",Tasks[[#This Row],[_Pred3Text]]&amp;"-"))-1)),""))</f>
        <v/>
      </c>
      <c r="DE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0" s="43" t="str">
        <f aca="false">IF(Tasks[[#This Row],[_Pred3Text]]="","",TRIM(MID(SUBSTITUTE(SUBSTITUTE(SUBSTITUTE(UPPER(Tasks[[#This Row],[_Predecessors]]),";",",")," ",""),",",REPT(" ",99)),298,99)))</f>
        <v/>
      </c>
      <c r="DH70" s="43" t="str">
        <f aca="false">IF(Tasks[[#This Row],[_Pred4Text]]="","",IFERROR(VALUE(LEFT(Tasks[[#This Row],[_Pred4Text]],MIN(FIND("F",Tasks[[#This Row],[_Pred4Text]]&amp;"F"),FIND("S",Tasks[[#This Row],[_Pred4Text]]&amp;"S"),FIND("+",Tasks[[#This Row],[_Pred4Text]]&amp;"+"),FIND("-",Tasks[[#This Row],[_Pred4Text]]&amp;"-"))-1)),""))</f>
        <v/>
      </c>
      <c r="DI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0" s="43" t="str">
        <f aca="false">IF(OR(Tasks[[#This Row],[Task Name]]="",Tasks[[#This Row],[_Resources]]=""),"",TRIM(MID(SUBSTITUTE(Tasks[[#This Row],[_Resources]],",",REPT(" ",99)),1,99)))</f>
        <v/>
      </c>
      <c r="DL70" s="43" t="str">
        <f aca="false">IF(Tasks[[#This Row],[_Res1Text]]="","",TRIM(MID(SUBSTITUTE(Tasks[[#This Row],[_Resources]],",",REPT(" ",99)),100,99)))</f>
        <v/>
      </c>
      <c r="DM70" s="43" t="str">
        <f aca="false">IF(Tasks[[#This Row],[_Res2Text]]="","",TRIM(MID(SUBSTITUTE(Tasks[[#This Row],[_Resources]],",",REPT(" ",99)),199,99)))</f>
        <v/>
      </c>
      <c r="DN70" s="43" t="str">
        <f aca="false">IF(Tasks[[#This Row],[_Res3Text]]="","",TRIM(MID(SUBSTITUTE(Tasks[[#This Row],[_Resources]],",",REPT(" ",99)),298,99)))</f>
        <v/>
      </c>
      <c r="DO70" s="43" t="n">
        <f aca="false">IF(Tasks[[#This Row],[_Res1Text]]="",0,IFERROR(MATCH(TRIM(LEFT(Tasks[[#This Row],[_Res1Text]],FIND("[",Tasks[[#This Row],[_Res1Text]]&amp;"[")-1)),res_Name,0),IFERROR(MATCH(TRIM(LEFT(Tasks[[#This Row],[_Res1Text]],FIND("[",Tasks[[#This Row],[_Res1Text]]&amp;"[")-1)),res_Initials,0),0)))</f>
        <v>0</v>
      </c>
      <c r="DP70" s="43" t="n">
        <f aca="false">IF(Tasks[[#This Row],[_Res2Text]]="",0,IFERROR(MATCH(TRIM(LEFT(Tasks[[#This Row],[_Res2Text]],FIND("[",Tasks[[#This Row],[_Res2Text]]&amp;"[")-1)),res_Name,0),IFERROR(MATCH(TRIM(LEFT(Tasks[[#This Row],[_Res2Text]],FIND("[",Tasks[[#This Row],[_Res2Text]]&amp;"[")-1)),res_Initials,0),0)))</f>
        <v>0</v>
      </c>
      <c r="DQ70" s="43" t="n">
        <f aca="false">IF(Tasks[[#This Row],[_Res3Text]]="",0,IFERROR(MATCH(TRIM(LEFT(Tasks[[#This Row],[_Res3Text]],FIND("[",Tasks[[#This Row],[_Res3Text]]&amp;"[")-1)),res_Name,0),IFERROR(MATCH(TRIM(LEFT(Tasks[[#This Row],[_Res3Text]],FIND("[",Tasks[[#This Row],[_Res3Text]]&amp;"[")-1)),res_Initials,0),0)))</f>
        <v>0</v>
      </c>
      <c r="DR70" s="43" t="n">
        <f aca="false">IF(Tasks[[#This Row],[_Res4Text]]="",0,IFERROR(MATCH(TRIM(LEFT(Tasks[[#This Row],[_Res4Text]],FIND("[",Tasks[[#This Row],[_Res4Text]]&amp;"[")-1)),res_Name,0),IFERROR(MATCH(TRIM(LEFT(Tasks[[#This Row],[_Res4Text]],FIND("[",Tasks[[#This Row],[_Res4Text]]&amp;"[")-1)),res_Initials,0),0)))</f>
        <v>0</v>
      </c>
      <c r="DS70" s="43" t="str">
        <f aca="false">IF(Tasks[[#This Row],[_Res1Text]]="","",IF(Tasks[[#This Row],[_Res1Row]]&gt;0,INDEX(res_Name,Tasks[[#This Row],[_Res1Row]]),TRIM(LEFT(Tasks[[#This Row],[_Res1Text]],FIND("[",Tasks[[#This Row],[_Res1Text]]&amp;"[")-1))))</f>
        <v/>
      </c>
      <c r="DT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0" s="43" t="n">
        <f aca="false">IF(NOT(Tasks[[#This Row],[_IsLeaf]]=1),0,(Tasks[[#This Row],[_Resource1]]&lt;&gt;"")+(Tasks[[#This Row],[_Res2]]&lt;&gt;"")+(Tasks[[#This Row],[_Res3]]&lt;&gt;"")+(Tasks[[#This Row],[_Res4]]&lt;&gt;""))</f>
        <v>0</v>
      </c>
      <c r="DV70" s="43" t="str">
        <f aca="false">IF(Tasks[[#This Row],[_Res2Text]]="","",IF(Tasks[[#This Row],[_Res2Row]]&gt;0,INDEX(res_Name,Tasks[[#This Row],[_Res2Row]]),TRIM(LEFT(Tasks[[#This Row],[_Res2Text]],FIND("[",Tasks[[#This Row],[_Res2Text]]&amp;"[")-1))))</f>
        <v/>
      </c>
      <c r="DW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0" s="43" t="n">
        <f aca="false">IF(OR(NOT(Tasks[[#This Row],[_IsLeaf]]=1),Tasks[[#This Row],[_Res2Row]]=0),0,N(Tasks[[#This Row],[_Days]])*HoursPerDay*IF(Tasks[[#This Row],[_Res2Units]]="",DefaultUnits,Tasks[[#This Row],[_Res2Units]]))</f>
        <v>0</v>
      </c>
      <c r="DY70" s="43" t="n">
        <f aca="false">IF(AND(AND(Tasks[[#This Row],[_IsLeaf]]=1,Tasks[[#This Row],[_LeafTotalWork]]&gt;0),Tasks[[#This Row],[_Res2Work]]&gt;0),Tasks[[#This Row],[_Res2Work]]/(Tasks[[#This Row],[_FinishWorkday]]-Tasks[[#This Row],[_StartWorkday]]+1),0)</f>
        <v>0</v>
      </c>
      <c r="DZ70" s="43" t="n">
        <f aca="false">Tasks[[#This Row],[_Res2WorkPerWD]]*MAX(0,Tasks[[#This Row],[_StartWorkday]]-1)</f>
        <v>0</v>
      </c>
      <c r="EA70" s="43" t="n">
        <f aca="false">Tasks[[#This Row],[_Res2Work]]*Tasks[[#This Row],[_LeafProgress]]</f>
        <v>0</v>
      </c>
      <c r="EB70" s="43" t="str">
        <f aca="false">IF(Tasks[[#This Row],[_Res3Text]]="","",IF(Tasks[[#This Row],[_Res3Row]]&gt;0,INDEX(res_Name,Tasks[[#This Row],[_Res3Row]]),TRIM(LEFT(Tasks[[#This Row],[_Res3Text]],FIND("[",Tasks[[#This Row],[_Res3Text]]&amp;"[")-1))))</f>
        <v/>
      </c>
      <c r="EC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0" s="43" t="n">
        <f aca="false">IF(OR(NOT(Tasks[[#This Row],[_IsLeaf]]=1),Tasks[[#This Row],[_Res3Row]]=0),0,N(Tasks[[#This Row],[_Days]])*HoursPerDay*IF(Tasks[[#This Row],[_Res3Units]]="",DefaultUnits,Tasks[[#This Row],[_Res3Units]]))</f>
        <v>0</v>
      </c>
      <c r="EE70" s="43" t="n">
        <f aca="false">IF(AND(AND(Tasks[[#This Row],[_IsLeaf]]=1,Tasks[[#This Row],[_LeafTotalWork]]&gt;0),Tasks[[#This Row],[_Res3Work]]&gt;0),Tasks[[#This Row],[_Res3Work]]/(Tasks[[#This Row],[_FinishWorkday]]-Tasks[[#This Row],[_StartWorkday]]+1),0)</f>
        <v>0</v>
      </c>
      <c r="EF70" s="43" t="n">
        <f aca="false">Tasks[[#This Row],[_Res3WorkPerWD]]*MAX(0,Tasks[[#This Row],[_StartWorkday]]-1)</f>
        <v>0</v>
      </c>
      <c r="EG70" s="43" t="n">
        <f aca="false">Tasks[[#This Row],[_Res3Work]]*Tasks[[#This Row],[_LeafProgress]]</f>
        <v>0</v>
      </c>
      <c r="EH70" s="43" t="str">
        <f aca="false">IF(Tasks[[#This Row],[_Res4Text]]="","",IF(Tasks[[#This Row],[_Res4Row]]&gt;0,INDEX(res_Name,Tasks[[#This Row],[_Res4Row]]),TRIM(LEFT(Tasks[[#This Row],[_Res4Text]],FIND("[",Tasks[[#This Row],[_Res4Text]]&amp;"[")-1))))</f>
        <v/>
      </c>
      <c r="EI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0" s="43" t="n">
        <f aca="false">IF(OR(NOT(Tasks[[#This Row],[_IsLeaf]]=1),Tasks[[#This Row],[_Res4Row]]=0),0,N(Tasks[[#This Row],[_Days]])*HoursPerDay*IF(Tasks[[#This Row],[_Res4Units]]="",DefaultUnits,Tasks[[#This Row],[_Res4Units]]))</f>
        <v>0</v>
      </c>
      <c r="EK70" s="43" t="n">
        <f aca="false">IF(AND(AND(Tasks[[#This Row],[_IsLeaf]]=1,Tasks[[#This Row],[_LeafTotalWork]]&gt;0),Tasks[[#This Row],[_Res4Work]]&gt;0),Tasks[[#This Row],[_Res4Work]]/(Tasks[[#This Row],[_FinishWorkday]]-Tasks[[#This Row],[_StartWorkday]]+1),0)</f>
        <v>0</v>
      </c>
      <c r="EL70" s="43" t="n">
        <f aca="false">Tasks[[#This Row],[_Res4WorkPerWD]]*MAX(0,Tasks[[#This Row],[_StartWorkday]]-1)</f>
        <v>0</v>
      </c>
      <c r="EM70" s="43" t="n">
        <f aca="false">Tasks[[#This Row],[_Res4Work]]*Tasks[[#This Row],[_LeafProgress]]</f>
        <v>0</v>
      </c>
      <c r="EN70" s="43" t="n">
        <f aca="false">IF(ISNUMBER(Tasks[[#This Row],[% Complete]]),Tasks[[#This Row],[% Complete]],IF(Tasks[[#This Row],[Stage]]="",0,IFERROR(INDEX(stg_Pct,MATCH(Tasks[[#This Row],[Stage]],stg_Name,0)),0)))</f>
        <v>0</v>
      </c>
      <c r="EO70" s="43" t="n">
        <f aca="false">IF(NOT(Tasks[[#This Row],[_IsLeaf]]=1),0,IF(N(Tasks[[#This Row],[Actual Finish]])&gt;0,1,MIN(1,Tasks[[#This Row],[_Pct]])))</f>
        <v>0</v>
      </c>
      <c r="EP70" s="43" t="n">
        <f aca="false">IF(OR(NOT(Tasks[[#This Row],[_IsLeaf]]=1),Tasks[[#This Row],[_Res1Row]]=0),0,N(Tasks[[#This Row],[_Days]])*HoursPerDay*IF(Tasks[[#This Row],[_Units1]]="",DefaultUnits,Tasks[[#This Row],[_Units1]]))</f>
        <v>0</v>
      </c>
      <c r="EQ70" s="43" t="n">
        <f aca="false">Tasks[[#This Row],[_LeafWork]]+Tasks[[#This Row],[_Res2Work]]+Tasks[[#This Row],[_Res3Work]]+Tasks[[#This Row],[_Res4Work]]</f>
        <v>0</v>
      </c>
      <c r="ER7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0" s="43" t="n">
        <f aca="false">IF(NOT(Tasks[[#This Row],[_IsLeaf]]=1),0,MAX(_xlfn.MAXIFS(Tasks[_Row],Tasks[_Pred1UID],Tasks[[#This Row],[UID]]),_xlfn.MAXIFS(Tasks[_Row],Tasks[_Pred2UID],Tasks[[#This Row],[UID]]),_xlfn.MAXIFS(Tasks[_Row],Tasks[_Pred3UID],Tasks[[#This Row],[UID]]),_xlfn.MAXIFS(Tasks[_Row],Tasks[_Pred4UID],Tasks[[#This Row],[UID]])))</f>
        <v>0</v>
      </c>
      <c r="FA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0" s="91" t="str">
        <f aca="false">IF(NOT(Tasks[[#This Row],[_IsLeaf]]=1),"",IF(N(Tasks[[#This Row],[_Days]])&lt;=0,Tasks[[#This Row],[_LeafLateFinish]],WORKDAY.INTL(Tasks[[#This Row],[_LeafLateFinish]],-(Tasks[[#This Row],[_Days]]-1),WorkWeek,Holidays)))</f>
        <v/>
      </c>
      <c r="FD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0" s="90" t="b">
        <f aca="false">AND(Tasks[[#This Row],[_IsLeaf]]=1,Tasks[[#This Row],[_LeafProgress]]&lt;1,N(Tasks[[#This Row],[_LeafTotalSlack]])&lt;=CriticalSlackDays)</f>
        <v>0</v>
      </c>
      <c r="FF70" s="43" t="n">
        <f aca="false">IF(AND(Tasks[[#This Row],[_IsLeaf]]=1,Tasks[[#This Row],[_ConstraintCode]]=1,Tasks[[#This Row],[Mode]]&lt;&gt;"Manual",N(Tasks[[#This Row],[Actual Start]])=0),MAX(0,N(Tasks[[#This Row],[Free Slack]])),0)</f>
        <v>0</v>
      </c>
      <c r="FG70" s="91" t="str">
        <f aca="false">IF(NOT(Tasks[[#This Row],[_IsLeaf]]=1),"",IF(Tasks[[#This Row],[_AlapShift]]=0,Tasks[[#This Row],[_LeafCalcStart]],WORKDAY.INTL(Tasks[[#This Row],[_LeafCalcStart]],Tasks[[#This Row],[_AlapShift]],WorkWeek,Holidays)))</f>
        <v/>
      </c>
      <c r="FH70" s="91" t="str">
        <f aca="false">IF(NOT(Tasks[[#This Row],[_IsLeaf]]=1),"",IF(Tasks[[#This Row],[_AlapShift]]=0,Tasks[[#This Row],[_LeafCalcFinish]],WORKDAY.INTL(Tasks[[#This Row],[_LeafCalcFinish]],Tasks[[#This Row],[_AlapShift]],WorkWeek,Holidays)))</f>
        <v/>
      </c>
      <c r="FI70" s="91" t="str">
        <f aca="false">IF(NOT(Tasks[[#This Row],[_IsLeaf]]=1),"",IF(Tasks[[#This Row],[_AlapShift]]=0,Tasks[[#This Row],[_LeafFcstStart]],WORKDAY.INTL(Tasks[[#This Row],[_LeafFcstStart]],Tasks[[#This Row],[_AlapShift]],WorkWeek,Holidays)))</f>
        <v/>
      </c>
      <c r="FJ70" s="91" t="str">
        <f aca="false">IF(NOT(Tasks[[#This Row],[_IsLeaf]]=1),"",IF(Tasks[[#This Row],[_AlapShift]]=0,Tasks[[#This Row],[_LeafFcstFinish]],WORKDAY.INTL(Tasks[[#This Row],[_LeafFcstFinish]],Tasks[[#This Row],[_AlapShift]],WorkWeek,Holidays)))</f>
        <v/>
      </c>
      <c r="FK70" s="91" t="str">
        <f aca="false">IF(Tasks[[#This Row],[Task Name]]="","",IF(Tasks[[#This Row],[_IsSummary]],MIN(INDEX(Tasks[_ShownCalcStart],Tasks[[#This Row],[_Row]]+1):INDEX(Tasks[_ShownCalcStart],Tasks[[#This Row],[_Row]]+Tasks[[#This Row],[_Descendants]])),Tasks[[#This Row],[_ShownCalcStart]]))</f>
        <v/>
      </c>
      <c r="FL70" s="91" t="str">
        <f aca="false">IF(Tasks[[#This Row],[Task Name]]="","",IF(Tasks[[#This Row],[_IsSummary]],MAX(INDEX(Tasks[_ShownCalcFinish],Tasks[[#This Row],[_Row]]+1):INDEX(Tasks[_ShownCalcFinish],Tasks[[#This Row],[_Row]]+Tasks[[#This Row],[_Descendants]])),Tasks[[#This Row],[_ShownCalcFinish]]))</f>
        <v/>
      </c>
      <c r="FM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0" s="43" t="n">
        <f aca="false">IF(AND(Tasks[[#This Row],[_IsLeaf]]=1,Tasks[[#This Row],[_LeafTotalWork]]&gt;0),NETWORKDAYS.INTL(ProjectStart,Tasks[[#This Row],[_ShownFcstStart]],WorkWeek,Holidays),0)</f>
        <v>0</v>
      </c>
      <c r="FZ70" s="43" t="n">
        <f aca="false">IF(AND(Tasks[[#This Row],[_IsLeaf]]=1,Tasks[[#This Row],[_LeafTotalWork]]&gt;0),MAX(Tasks[[#This Row],[_StartWorkday]],NETWORKDAYS.INTL(ProjectStart,Tasks[[#This Row],[_ShownFcstFinish]],WorkWeek,Holidays)),0)</f>
        <v>0</v>
      </c>
      <c r="GA70" s="43" t="n">
        <f aca="false">IF(AND(Tasks[[#This Row],[_IsLeaf]]=1,Tasks[[#This Row],[_LeafTotalWork]]&gt;0),Tasks[[#This Row],[_LeafWork]]/(Tasks[[#This Row],[_FinishWorkday]]-Tasks[[#This Row],[_StartWorkday]]+1),0)</f>
        <v>0</v>
      </c>
      <c r="GB70" s="43" t="n">
        <f aca="false">Tasks[[#This Row],[_WorkPerWorkday]]*(Tasks[[#This Row],[_StartWorkday]]-1)</f>
        <v>-0</v>
      </c>
      <c r="GC70" s="43" t="n">
        <f aca="false">IF(Tasks[[#This Row],[_IsLeaf]]=1,MAX(N(Tasks[[#This Row],[_Days]]),0.1),0)</f>
        <v>0</v>
      </c>
      <c r="GD70" s="43" t="n">
        <f aca="false">Tasks[[#This Row],[_WeightDur]]*Tasks[[#This Row],[_LeafProgress]]</f>
        <v>0</v>
      </c>
      <c r="GE70" s="43" t="n">
        <f aca="false">Tasks[[#This Row],[_WeightDur]]*Tasks[[#This Row],[_PlannedPct]]</f>
        <v>0</v>
      </c>
      <c r="GF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0" s="43" t="str">
        <f aca="false">IF(AND(Tasks[[#This Row],[_IsLeaf]]=1,N(Tasks[[#This Row],[_Days]])=0,Tasks[[#This Row],[_LeafProgress]]&lt;1),Tasks[[#This Row],[_ShownFcstFinish]]+Tasks[[#This Row],[_Row]]/100000,"")</f>
        <v/>
      </c>
      <c r="GH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0" s="43" t="str">
        <f aca="false">IF(Tasks[[#This Row],[Task Name]]="","",LEFT(Tasks[[#This Row],[WBS]],FIND(".",Tasks[[#This Row],[WBS]]&amp;".")-1))</f>
        <v/>
      </c>
      <c r="GJ70" s="43" t="str">
        <f aca="false">IF(AND(Tasks[[#This Row],[Task Name]]&lt;&gt;"",Tasks[[#This Row],[_Level]]=1),Tasks[[#This Row],[_Row]],"")</f>
        <v/>
      </c>
      <c r="GK70" s="43" t="str">
        <f aca="false">IF(AND(Tasks[[#This Row],[_IsLeaf]]=1,N(Tasks[[#This Row],[_Days]])=0),Tasks[[#This Row],[Planned Finish]]+Tasks[[#This Row],[_Row]]/100000,"")</f>
        <v/>
      </c>
      <c r="GL70" s="43" t="str">
        <f aca="false">IF(AND(Tasks[[#This Row],[_IsLeaf]]=1,Tasks[[#This Row],[_LeafProgress]]&lt;1,OR(N(Tasks[[#This Row],[Finish Var]])&gt;0,Tasks[[#This Row],[Status]]="Late Start")),MAX(0,Tasks[[#This Row],[Finish Var]])+1-Tasks[[#This Row],[_Row]]/1000000,"")</f>
        <v/>
      </c>
      <c r="GM70" s="43" t="str">
        <f aca="false">IF(AND(Tasks[[#This Row],[_IsLeaf]]=1,N(Tasks[[#This Row],[Actual Start]])=0,Tasks[[#This Row],[_ShownFcstStart]]&gt;=StatusDate,Tasks[[#This Row],[_ShownFcstStart]]&lt;=LookaheadEnd),Tasks[[#This Row],[_ShownFcstStart]]+Tasks[[#This Row],[_Row]]/100000,"")</f>
        <v/>
      </c>
      <c r="GN70" s="43" t="str">
        <f aca="false">IF(AND(Tasks[[#This Row],[_IsLeaf]]=1,Tasks[[#This Row],[_LeafProgress]]&lt;1,Tasks[[#This Row],[_ShownFcstFinish]]&gt;=StatusDate,Tasks[[#This Row],[_ShownFcstFinish]]&lt;=LookaheadEnd),Tasks[[#This Row],[_ShownFcstFinish]]+Tasks[[#This Row],[_Row]]/100000,"")</f>
        <v/>
      </c>
      <c r="GO70" s="43" t="str">
        <f aca="false">IF(Tasks[[#This Row],[_LeafCritical]],Tasks[[#This Row],[_ShownFcstStart]]+Tasks[[#This Row],[_Row]]/100000,"")</f>
        <v/>
      </c>
      <c r="GP70" s="43" t="n">
        <f aca="false">Tasks[[#This Row],[_LeafWork]]*Tasks[[#This Row],[_LeafProgress]]</f>
        <v>0</v>
      </c>
      <c r="GQ70" s="91" t="str">
        <f aca="false">IF(AND(Tasks[[#This Row],[_IsLeaf]]=1,Tasks[[#This Row],[_LeafProgress]]&gt;=1),IF(N(Tasks[[#This Row],[Actual Finish]])&gt;0,Tasks[[#This Row],[Actual Finish]],Tasks[[#This Row],[_ShownFcstFinish]]),"")</f>
        <v/>
      </c>
      <c r="GR70" s="43" t="n">
        <f aca="false">IF(Tasks[[#This Row],[_IsLeaf]]=1,N(Tasks[[#This Row],[Story Points]]),0)</f>
        <v>0</v>
      </c>
      <c r="GS70" s="43" t="str">
        <f aca="false">""</f>
        <v/>
      </c>
      <c r="GT70" s="90" t="b">
        <f aca="false">IF(Tasks[[#This Row],[Task Name]]="",FALSE(),AND(Tasks[[#This Row],[_IsLeaf]]=1,N(Tasks[[#This Row],[_Days]])=0))</f>
        <v>0</v>
      </c>
      <c r="GU70" s="91" t="n">
        <f aca="false">IF(Tasks[[#This Row],[Task Name]]="",0,IF(AND(Tasks[[#This Row],[_IsLeaf]]=1,NOT(Tasks[[#This Row],[_IsMilestone]]),N(Tasks[[#This Row],[Progress]])&gt;0),Tasks[[#This Row],[Start]],0))</f>
        <v>0</v>
      </c>
      <c r="GV70" s="91" t="n">
        <f aca="false">IF(Tasks[[#This Row],[_DoneFrom]]=0,0,IF(Tasks[[#This Row],[Progress]]&gt;=1,Tasks[[#This Row],[Finish]],MAX(Tasks[[#This Row],[_DoneFrom]],Tasks[[#This Row],[Start]]+ROUND((Tasks[[#This Row],[Finish]]-Tasks[[#This Row],[Start]]+1)*Tasks[[#This Row],[Progress]],0)-1)))</f>
        <v>0</v>
      </c>
      <c r="GW70" s="91" t="n">
        <f aca="false">IF(Tasks[[#This Row],[Task Name]]="",0,IF(OR(NOT(Tasks[[#This Row],[_IsLeaf]]=1),Tasks[[#This Row],[_IsMilestone]],N(Tasks[[#This Row],[Progress]])&gt;=1),0,IF(Tasks[[#This Row],[_DoneTo]]&gt;0,Tasks[[#This Row],[_DoneTo]]+1,Tasks[[#This Row],[Start]])))</f>
        <v>0</v>
      </c>
      <c r="GX70" s="91" t="n">
        <f aca="false">IF(Tasks[[#This Row],[_RemFrom]]=0,0,Tasks[[#This Row],[Finish]])</f>
        <v>0</v>
      </c>
      <c r="GY70" s="90" t="b">
        <f aca="false">IF(Tasks[[#This Row],[Task Name]]="",FALSE(),OR(NOT(BaselineSet),N(Tasks[[#This Row],[Baseline Start]])&gt;0))</f>
        <v>0</v>
      </c>
      <c r="GZ7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0" s="92" t="str">
        <f aca="false">IF(Tasks[[#This Row],[_IsLeaf]]=1,Tasks[[#This Row],[_Row]],"")</f>
        <v/>
      </c>
      <c r="HD70" s="92" t="str">
        <f aca="false">IFERROR(INDEX(Tasks[UID],SMALL(Tasks[_PickKey],Tasks[[#This Row],[_Row]]))&amp;" "&amp;INDEX(Tasks[Task Name],SMALL(Tasks[_PickKey],Tasks[[#This Row],[_Row]])),"")</f>
        <v/>
      </c>
      <c r="HE70" s="43" t="str">
        <f aca="false">IF(Tasks[[#This Row],[Task Name]]="","",IF(Tasks[[#This Row],[_IsSummary]],NETWORKDAYS.INTL(Tasks[[#This Row],[Start]],Tasks[[#This Row],[Finish]],WorkWeek,Holidays),N(Tasks[[#This Row],[_Days]])))</f>
        <v/>
      </c>
      <c r="HF70" s="43" t="n">
        <f aca="false">IF(Tasks[[#This Row],[Expected]]="",0,((Tasks[[#This Row],[Pessimistic]]-Tasks[[#This Row],[Optimistic]])/6)^2)</f>
        <v>0</v>
      </c>
      <c r="HG70" s="43" t="n">
        <f aca="false">IF(Tasks[[#This Row],[Expected]]="",0,Tasks[[#This Row],[Expected]]-N(Tasks[[#This Row],[_Days]]))</f>
        <v>0</v>
      </c>
    </row>
    <row r="71" customFormat="false" ht="15" hidden="false" customHeight="false" outlineLevel="0" collapsed="false">
      <c r="A71" s="21" t="str">
        <f aca="false">IF(Tasks[[#This Row],[Task Name]]="","",COUNTA(Tasks[[#Headers],[Task Name]]:Tasks[[#This Row],[Task Name]])-1)</f>
        <v/>
      </c>
      <c r="B71" s="22" t="n">
        <v>79</v>
      </c>
      <c r="C71" s="22"/>
      <c r="D71" s="23"/>
      <c r="E71" s="22"/>
      <c r="F71" s="23"/>
      <c r="G71" s="22"/>
      <c r="H71" s="22"/>
      <c r="I71" s="23"/>
      <c r="J71" s="22"/>
      <c r="K71" s="22"/>
      <c r="L71" s="23"/>
      <c r="M71" s="22"/>
      <c r="N71" s="22"/>
      <c r="O71" s="23"/>
      <c r="P71" s="22"/>
      <c r="Q71" s="22"/>
      <c r="R71" s="23"/>
      <c r="S71" s="23"/>
      <c r="T71" s="84"/>
      <c r="U71" s="23"/>
      <c r="V71" s="84"/>
      <c r="W71" s="23"/>
      <c r="X71" s="84"/>
      <c r="Y71" s="23"/>
      <c r="Z71" s="84"/>
      <c r="AA71" s="23"/>
      <c r="AB71" s="23"/>
      <c r="AC71" s="7"/>
      <c r="AD71" s="7"/>
      <c r="AE71" s="63" t="str">
        <f aca="false">IF(Tasks[[#This Row],[Task Name]]="","",IF(Tasks[[#This Row],[_IsSummary]],MIN(INDEX(Tasks[_ShownFcstStart],Tasks[[#This Row],[_Row]]+1):INDEX(Tasks[_ShownFcstStart],Tasks[[#This Row],[_Row]]+Tasks[[#This Row],[_Descendants]])),Tasks[[#This Row],[_ShownFcstStart]]))</f>
        <v/>
      </c>
      <c r="AF71" s="63" t="str">
        <f aca="false">IF(Tasks[[#This Row],[Task Name]]="","",IF(Tasks[[#This Row],[_IsSummary]],MAX(INDEX(Tasks[_ShownFcstFinish],Tasks[[#This Row],[_Row]]+1):INDEX(Tasks[_ShownFcstFinish],Tasks[[#This Row],[_Row]]+Tasks[[#This Row],[_Descendants]])),Tasks[[#This Row],[_ShownFcstFinish]]))</f>
        <v/>
      </c>
      <c r="AG71" s="21" t="str">
        <f aca="false">""</f>
        <v/>
      </c>
      <c r="AH71" s="23"/>
      <c r="AI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1" s="7"/>
      <c r="AK71" s="22"/>
      <c r="AL71" s="23"/>
      <c r="AM71" s="7"/>
      <c r="AN71" s="47" t="str">
        <f aca="false">IF(Tasks[[#This Row],[Task Name]]="","",IF(Tasks[[#This Row],[Finish]]&gt;=Tasks[[#This Row],[Planned Finish]],NETWORKDAYS.INTL(Tasks[[#This Row],[Planned Finish]],Tasks[[#This Row],[Finish]],WorkWeek,Holidays)-1,1-NETWORKDAYS.INTL(Tasks[[#This Row],[Finish]],Tasks[[#This Row],[Planned Finish]],WorkWeek,Holidays)))</f>
        <v/>
      </c>
      <c r="AO71" s="21" t="str">
        <f aca="false">IF(Tasks[[#This Row],[Task Name]]="","",IF(Tasks[[#This Row],[Progress]]&gt;=1,"Complete",IF(OR(N(Tasks[[#This Row],[Actual Start]])&gt;0,Tasks[[#This Row],[Progress]]&gt;0),IF(Tasks[[#This Row],[Finish Var]]&gt;0,"Behind","In Progress"),IF(Tasks[[#This Row],[Planned Start]]&lt;StatusDate,"Late Start","Not Started"))))</f>
        <v/>
      </c>
      <c r="AP71" s="21" t="str">
        <f aca="false">IF(Tasks[[#This Row],[Task Name]]="","",IF(IF(Tasks[[#This Row],[_IsSummary]],COUNTIF(INDEX(Tasks[_LeafCritical],Tasks[[#This Row],[_Row]]+1):INDEX(Tasks[_LeafCritical],Tasks[[#This Row],[_Row]]+Tasks[[#This Row],[_Descendants]]),TRUE())&gt;0,Tasks[[#This Row],[_LeafCritical]]),"Yes",""))</f>
        <v/>
      </c>
      <c r="AQ71" s="63" t="str">
        <f aca="false">IF(Tasks[[#This Row],[Task Name]]="","",IF(N(Tasks[[#This Row],[Baseline Start]])&gt;0,Tasks[[#This Row],[Baseline Start]],Tasks[[#This Row],[_CalcStart]]))</f>
        <v/>
      </c>
      <c r="AR71" s="63" t="str">
        <f aca="false">IF(Tasks[[#This Row],[Task Name]]="","",IF(N(Tasks[[#This Row],[Baseline Finish]])&gt;0,Tasks[[#This Row],[Baseline Finish]],Tasks[[#This Row],[_CalcFinish]]))</f>
        <v/>
      </c>
      <c r="AS71" s="47" t="str">
        <f aca="false">IF(Tasks[[#This Row],[Task Name]]="","",IF(Tasks[[#This Row],[Start]]&gt;=Tasks[[#This Row],[Planned Start]],NETWORKDAYS.INTL(Tasks[[#This Row],[Planned Start]],Tasks[[#This Row],[Start]],WorkWeek,Holidays)-1,1-NETWORKDAYS.INTL(Tasks[[#This Row],[Start]],Tasks[[#This Row],[Planned Start]],WorkWeek,Holidays)))</f>
        <v/>
      </c>
      <c r="AT71" s="63" t="str">
        <f aca="false">IF(Tasks[[#This Row],[Task Name]]="","",IF(Tasks[[#This Row],[_IsSummary]],MIN(INDEX(Tasks[_LeafLateStart],Tasks[[#This Row],[_Row]]+1):INDEX(Tasks[_LeafLateStart],Tasks[[#This Row],[_Row]]+Tasks[[#This Row],[_Descendants]])),Tasks[[#This Row],[_LeafLateStart]]))</f>
        <v/>
      </c>
      <c r="AU71" s="63" t="str">
        <f aca="false">IF(Tasks[[#This Row],[Task Name]]="","",IF(Tasks[[#This Row],[_IsSummary]],MAX(INDEX(Tasks[_LeafLateFinish],Tasks[[#This Row],[_Row]]+1):INDEX(Tasks[_LeafLateFinish],Tasks[[#This Row],[_Row]]+Tasks[[#This Row],[_Descendants]])),Tasks[[#This Row],[_LeafLateFinish]]))</f>
        <v/>
      </c>
      <c r="AV71" s="47" t="str">
        <f aca="false">IF(Tasks[[#This Row],[Task Name]]="","",IF(Tasks[[#This Row],[_IsSummary]],MIN(INDEX(Tasks[_LeafTotalSlack],Tasks[[#This Row],[_Row]]+1):INDEX(Tasks[_LeafTotalSlack],Tasks[[#This Row],[_Row]]+Tasks[[#This Row],[_Descendants]])),Tasks[[#This Row],[_LeafTotalSlack]]))</f>
        <v/>
      </c>
      <c r="AW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5"/>
      <c r="BA7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t="str">
        <f aca="false">IF(Tasks[[#This Row],[Task Name]]="","",IF(Tasks[[#This Row],[_Level]]&lt;=OutlineShowLevel,"Yes","No"))</f>
        <v/>
      </c>
      <c r="BE71" s="86" t="str">
        <f aca="false">IF(Tasks[[#This Row],[Task Name]]="","",IF(Tasks[[#This Row],[_IsSummary]],SUM(INDEX(Tasks[_LeafTotalWork],Tasks[[#This Row],[_Row]]+1):INDEX(Tasks[_LeafTotalWork],Tasks[[#This Row],[_Row]]+Tasks[[#This Row],[_Descendants]])),Tasks[[#This Row],[_LeafTotalWork]]))</f>
        <v/>
      </c>
      <c r="BF71" s="23"/>
      <c r="BG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t="str">
        <f aca="false">""</f>
        <v/>
      </c>
      <c r="BI71" s="87"/>
      <c r="BJ71" s="22"/>
      <c r="BK71" s="47" t="str">
        <f aca="false">IF(OR(Tasks[[#This Row],[Task Name]]="",Tasks[[#This Row],[Baseline Duration]]=""),"",Tasks[[#This Row],[_SpanDays]]-N(Tasks[[#This Row],[Baseline Duration]]))</f>
        <v/>
      </c>
      <c r="BL71" s="86" t="str">
        <f aca="false">IF(OR(Tasks[[#This Row],[Task Name]]="",Tasks[[#This Row],[Baseline Work]]=""),"",Tasks[[#This Row],[Work]]-N(Tasks[[#This Row],[Baseline Work]]))</f>
        <v/>
      </c>
      <c r="BM71" s="63" t="str">
        <f aca="false">IF(Tasks[[#This Row],[Task Name]]="","",IF(OR(TakeBaseline="Yes",N(Tasks[[#This Row],[Baseline Start]])=0),Tasks[[#This Row],[Start]],Tasks[[#This Row],[Baseline Start]]))</f>
        <v/>
      </c>
      <c r="BN71" s="63" t="str">
        <f aca="false">IF(Tasks[[#This Row],[Task Name]]="","",IF(OR(TakeBaseline="Yes",N(Tasks[[#This Row],[Baseline Finish]])=0),Tasks[[#This Row],[Finish]],Tasks[[#This Row],[Baseline Finish]]))</f>
        <v/>
      </c>
      <c r="BO71" s="21" t="str">
        <f aca="false">IF(Tasks[[#This Row],[Task Name]]="","",IF(OR(TakeBaseline="Yes",N(Tasks[[#This Row],[Baseline Duration]])=0),Tasks[[#This Row],[_SpanDays]],Tasks[[#This Row],[Baseline Duration]]))</f>
        <v/>
      </c>
      <c r="BP71" s="86" t="str">
        <f aca="false">IF(Tasks[[#This Row],[Task Name]]="","",IF(OR(TakeBaseline="Yes",N(Tasks[[#This Row],[Baseline Work]])=0),Tasks[[#This Row],[Work]],Tasks[[#This Row],[Baseline Work]]))</f>
        <v/>
      </c>
      <c r="BQ71" s="7"/>
      <c r="BR71" s="7"/>
      <c r="BS71" s="22"/>
      <c r="BT71" s="88"/>
      <c r="BU71" s="23"/>
      <c r="BV71" s="23"/>
      <c r="BW71" s="23"/>
      <c r="BX71" s="89" t="str">
        <f aca="false">IF(AND(Tasks[[#This Row],[_IsLeaf]]=1,ISNUMBER(Tasks[[#This Row],[Optimistic]]),ISNUMBER(Tasks[[#This Row],[Pessimistic]])),ROUND((Tasks[[#This Row],[Optimistic]]+4*N(Tasks[[#This Row],[_Days]])+Tasks[[#This Row],[Pessimistic]])/6,1),"")</f>
        <v/>
      </c>
      <c r="BY71" s="87"/>
      <c r="BZ71" s="87"/>
      <c r="CA71" s="22"/>
      <c r="CB71" s="43" t="str">
        <f aca="false">IF(Tasks[[#This Row],[Task Name]]="","",MAX(1,N(Tasks[[#This Row],[Level]])))</f>
        <v/>
      </c>
      <c r="CC71" s="43" t="n">
        <f aca="false">ROW()-ROW(Tasks[[#Headers],[ID]])</f>
        <v>66</v>
      </c>
      <c r="CD71" s="43" t="n">
        <f aca="false">IF(OR(Tasks[[#This Row],[Task Name]]="",Tasks[[#This Row],[_Level]]&lt;=1),0,IFERROR(LOOKUP(2,1/(Tasks[[#Headers],[_Level]]:Tasks[[#This Row],[_Level]]=Tasks[[#This Row],[_Level]]-1),ROW(Tasks[[#Headers],[_Level]]:Tasks[[#This Row],[_Level]])),0))</f>
        <v>0</v>
      </c>
      <c r="CE71" s="43" t="n">
        <f aca="false">IFERROR(N(INDEX(Tasks[_Level],Tasks[[#This Row],[_Row]]+1)),0)</f>
        <v>0</v>
      </c>
      <c r="CF71" s="90" t="b">
        <f aca="false">AND(Tasks[[#This Row],[Task Name]]&lt;&gt;"",Tasks[[#This Row],[_NextLevel]]&gt;Tasks[[#This Row],[_Level]])</f>
        <v>0</v>
      </c>
      <c r="CG71" s="43" t="n">
        <f aca="false">IF(Tasks[[#This Row],[_IsSummary]],COUNTIF(Tasks[WBS],Tasks[[#This Row],[WBS]]&amp;".*"),0)</f>
        <v>0</v>
      </c>
      <c r="CH71" s="43" t="n">
        <f aca="false">IF(AND(Tasks[[#This Row],[Task Name]]&lt;&gt;"",NOT(Tasks[[#This Row],[_IsSummary]])),1,0)</f>
        <v>0</v>
      </c>
      <c r="CI71" s="43" t="n">
        <f aca="false">IF(N(Tasks[[#This Row],[_Pred1UID]])=0,0,IFERROR(MATCH(Tasks[[#This Row],[_Pred1UID]],Tasks[UID],0),-1))</f>
        <v>0</v>
      </c>
      <c r="CJ71" s="43" t="n">
        <f aca="false">IF(N(Tasks[[#This Row],[_Pred2UID]])=0,0,IFERROR(MATCH(Tasks[[#This Row],[_Pred2UID]],Tasks[UID],0),-1))</f>
        <v>0</v>
      </c>
      <c r="CK71" s="43" t="n">
        <f aca="false">IF(N(Tasks[[#This Row],[_Pred3UID]])=0,0,IFERROR(MATCH(Tasks[[#This Row],[_Pred3UID]],Tasks[UID],0),-1))</f>
        <v>0</v>
      </c>
      <c r="CL71" s="43" t="n">
        <f aca="false">IF(N(Tasks[[#This Row],[_Pred4UID]])=0,0,IFERROR(MATCH(Tasks[[#This Row],[_Pred4UID]],Tasks[UID],0),-1))</f>
        <v>0</v>
      </c>
      <c r="CM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1" s="91" t="n">
        <f aca="false">IF(OR(Tasks[[#This Row],[_ConstraintCode]]=2,Tasks[[#This Row],[_ConstraintCode]]=3,Tasks[[#This Row],[_ConstraintCode]]=4,Tasks[[#This Row],[_ConstraintCode]]=6),Tasks[[#This Row],[_ConstraintStart]],0)</f>
        <v>0</v>
      </c>
      <c r="CP71" s="91" t="n">
        <f aca="false">IF(OR(Tasks[[#This Row],[_ConstraintCode]]=2,Tasks[[#This Row],[_ConstraintCode]]=3,Tasks[[#This Row],[_ConstraintCode]]=5,Tasks[[#This Row],[_ConstraintCode]]=7),Tasks[[#This Row],[_ConstraintStart]],2958465)</f>
        <v>2958465</v>
      </c>
      <c r="CQ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1" s="91" t="str">
        <f aca="false">IF(NOT(Tasks[[#This Row],[_IsLeaf]]=1),"",IF(N(Tasks[[#This Row],[_Days]])&lt;=0,Tasks[[#This Row],[_LeafCalcStart]],WORKDAY.INTL(Tasks[[#This Row],[_LeafCalcStart]],Tasks[[#This Row],[_Days]]-1,WorkWeek,Holidays)))</f>
        <v/>
      </c>
      <c r="CS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1" s="43" t="str">
        <f aca="false">IF(Tasks[[#This Row],[_Predecessors]]="","",TRIM(MID(SUBSTITUTE(SUBSTITUTE(SUBSTITUTE(UPPER(Tasks[[#This Row],[_Predecessors]]),";",",")," ",""),",",REPT(" ",99)),1,99)))</f>
        <v/>
      </c>
      <c r="CV71" s="43" t="str">
        <f aca="false">IF(Tasks[[#This Row],[_Pred1Text]]="","",IFERROR(VALUE(LEFT(Tasks[[#This Row],[_Pred1Text]],MIN(FIND("F",Tasks[[#This Row],[_Pred1Text]]&amp;"F"),FIND("S",Tasks[[#This Row],[_Pred1Text]]&amp;"S"),FIND("+",Tasks[[#This Row],[_Pred1Text]]&amp;"+"),FIND("-",Tasks[[#This Row],[_Pred1Text]]&amp;"-"))-1)),""))</f>
        <v/>
      </c>
      <c r="CW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1" s="43" t="str">
        <f aca="false">IF(Tasks[[#This Row],[_Pred1Text]]="","",TRIM(MID(SUBSTITUTE(SUBSTITUTE(SUBSTITUTE(UPPER(Tasks[[#This Row],[_Predecessors]]),";",",")," ",""),",",REPT(" ",99)),100,99)))</f>
        <v/>
      </c>
      <c r="CZ71" s="43" t="str">
        <f aca="false">IF(Tasks[[#This Row],[_Pred2Text]]="","",IFERROR(VALUE(LEFT(Tasks[[#This Row],[_Pred2Text]],MIN(FIND("F",Tasks[[#This Row],[_Pred2Text]]&amp;"F"),FIND("S",Tasks[[#This Row],[_Pred2Text]]&amp;"S"),FIND("+",Tasks[[#This Row],[_Pred2Text]]&amp;"+"),FIND("-",Tasks[[#This Row],[_Pred2Text]]&amp;"-"))-1)),""))</f>
        <v/>
      </c>
      <c r="DA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1" s="43" t="str">
        <f aca="false">IF(Tasks[[#This Row],[_Pred2Text]]="","",TRIM(MID(SUBSTITUTE(SUBSTITUTE(SUBSTITUTE(UPPER(Tasks[[#This Row],[_Predecessors]]),";",",")," ",""),",",REPT(" ",99)),199,99)))</f>
        <v/>
      </c>
      <c r="DD71" s="43" t="str">
        <f aca="false">IF(Tasks[[#This Row],[_Pred3Text]]="","",IFERROR(VALUE(LEFT(Tasks[[#This Row],[_Pred3Text]],MIN(FIND("F",Tasks[[#This Row],[_Pred3Text]]&amp;"F"),FIND("S",Tasks[[#This Row],[_Pred3Text]]&amp;"S"),FIND("+",Tasks[[#This Row],[_Pred3Text]]&amp;"+"),FIND("-",Tasks[[#This Row],[_Pred3Text]]&amp;"-"))-1)),""))</f>
        <v/>
      </c>
      <c r="DE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1" s="43" t="str">
        <f aca="false">IF(Tasks[[#This Row],[_Pred3Text]]="","",TRIM(MID(SUBSTITUTE(SUBSTITUTE(SUBSTITUTE(UPPER(Tasks[[#This Row],[_Predecessors]]),";",",")," ",""),",",REPT(" ",99)),298,99)))</f>
        <v/>
      </c>
      <c r="DH71" s="43" t="str">
        <f aca="false">IF(Tasks[[#This Row],[_Pred4Text]]="","",IFERROR(VALUE(LEFT(Tasks[[#This Row],[_Pred4Text]],MIN(FIND("F",Tasks[[#This Row],[_Pred4Text]]&amp;"F"),FIND("S",Tasks[[#This Row],[_Pred4Text]]&amp;"S"),FIND("+",Tasks[[#This Row],[_Pred4Text]]&amp;"+"),FIND("-",Tasks[[#This Row],[_Pred4Text]]&amp;"-"))-1)),""))</f>
        <v/>
      </c>
      <c r="DI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1" s="43" t="str">
        <f aca="false">IF(OR(Tasks[[#This Row],[Task Name]]="",Tasks[[#This Row],[_Resources]]=""),"",TRIM(MID(SUBSTITUTE(Tasks[[#This Row],[_Resources]],",",REPT(" ",99)),1,99)))</f>
        <v/>
      </c>
      <c r="DL71" s="43" t="str">
        <f aca="false">IF(Tasks[[#This Row],[_Res1Text]]="","",TRIM(MID(SUBSTITUTE(Tasks[[#This Row],[_Resources]],",",REPT(" ",99)),100,99)))</f>
        <v/>
      </c>
      <c r="DM71" s="43" t="str">
        <f aca="false">IF(Tasks[[#This Row],[_Res2Text]]="","",TRIM(MID(SUBSTITUTE(Tasks[[#This Row],[_Resources]],",",REPT(" ",99)),199,99)))</f>
        <v/>
      </c>
      <c r="DN71" s="43" t="str">
        <f aca="false">IF(Tasks[[#This Row],[_Res3Text]]="","",TRIM(MID(SUBSTITUTE(Tasks[[#This Row],[_Resources]],",",REPT(" ",99)),298,99)))</f>
        <v/>
      </c>
      <c r="DO71" s="43" t="n">
        <f aca="false">IF(Tasks[[#This Row],[_Res1Text]]="",0,IFERROR(MATCH(TRIM(LEFT(Tasks[[#This Row],[_Res1Text]],FIND("[",Tasks[[#This Row],[_Res1Text]]&amp;"[")-1)),res_Name,0),IFERROR(MATCH(TRIM(LEFT(Tasks[[#This Row],[_Res1Text]],FIND("[",Tasks[[#This Row],[_Res1Text]]&amp;"[")-1)),res_Initials,0),0)))</f>
        <v>0</v>
      </c>
      <c r="DP71" s="43" t="n">
        <f aca="false">IF(Tasks[[#This Row],[_Res2Text]]="",0,IFERROR(MATCH(TRIM(LEFT(Tasks[[#This Row],[_Res2Text]],FIND("[",Tasks[[#This Row],[_Res2Text]]&amp;"[")-1)),res_Name,0),IFERROR(MATCH(TRIM(LEFT(Tasks[[#This Row],[_Res2Text]],FIND("[",Tasks[[#This Row],[_Res2Text]]&amp;"[")-1)),res_Initials,0),0)))</f>
        <v>0</v>
      </c>
      <c r="DQ71" s="43" t="n">
        <f aca="false">IF(Tasks[[#This Row],[_Res3Text]]="",0,IFERROR(MATCH(TRIM(LEFT(Tasks[[#This Row],[_Res3Text]],FIND("[",Tasks[[#This Row],[_Res3Text]]&amp;"[")-1)),res_Name,0),IFERROR(MATCH(TRIM(LEFT(Tasks[[#This Row],[_Res3Text]],FIND("[",Tasks[[#This Row],[_Res3Text]]&amp;"[")-1)),res_Initials,0),0)))</f>
        <v>0</v>
      </c>
      <c r="DR71" s="43" t="n">
        <f aca="false">IF(Tasks[[#This Row],[_Res4Text]]="",0,IFERROR(MATCH(TRIM(LEFT(Tasks[[#This Row],[_Res4Text]],FIND("[",Tasks[[#This Row],[_Res4Text]]&amp;"[")-1)),res_Name,0),IFERROR(MATCH(TRIM(LEFT(Tasks[[#This Row],[_Res4Text]],FIND("[",Tasks[[#This Row],[_Res4Text]]&amp;"[")-1)),res_Initials,0),0)))</f>
        <v>0</v>
      </c>
      <c r="DS71" s="43" t="str">
        <f aca="false">IF(Tasks[[#This Row],[_Res1Text]]="","",IF(Tasks[[#This Row],[_Res1Row]]&gt;0,INDEX(res_Name,Tasks[[#This Row],[_Res1Row]]),TRIM(LEFT(Tasks[[#This Row],[_Res1Text]],FIND("[",Tasks[[#This Row],[_Res1Text]]&amp;"[")-1))))</f>
        <v/>
      </c>
      <c r="DT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1" s="43" t="n">
        <f aca="false">IF(NOT(Tasks[[#This Row],[_IsLeaf]]=1),0,(Tasks[[#This Row],[_Resource1]]&lt;&gt;"")+(Tasks[[#This Row],[_Res2]]&lt;&gt;"")+(Tasks[[#This Row],[_Res3]]&lt;&gt;"")+(Tasks[[#This Row],[_Res4]]&lt;&gt;""))</f>
        <v>0</v>
      </c>
      <c r="DV71" s="43" t="str">
        <f aca="false">IF(Tasks[[#This Row],[_Res2Text]]="","",IF(Tasks[[#This Row],[_Res2Row]]&gt;0,INDEX(res_Name,Tasks[[#This Row],[_Res2Row]]),TRIM(LEFT(Tasks[[#This Row],[_Res2Text]],FIND("[",Tasks[[#This Row],[_Res2Text]]&amp;"[")-1))))</f>
        <v/>
      </c>
      <c r="DW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1" s="43" t="n">
        <f aca="false">IF(OR(NOT(Tasks[[#This Row],[_IsLeaf]]=1),Tasks[[#This Row],[_Res2Row]]=0),0,N(Tasks[[#This Row],[_Days]])*HoursPerDay*IF(Tasks[[#This Row],[_Res2Units]]="",DefaultUnits,Tasks[[#This Row],[_Res2Units]]))</f>
        <v>0</v>
      </c>
      <c r="DY71" s="43" t="n">
        <f aca="false">IF(AND(AND(Tasks[[#This Row],[_IsLeaf]]=1,Tasks[[#This Row],[_LeafTotalWork]]&gt;0),Tasks[[#This Row],[_Res2Work]]&gt;0),Tasks[[#This Row],[_Res2Work]]/(Tasks[[#This Row],[_FinishWorkday]]-Tasks[[#This Row],[_StartWorkday]]+1),0)</f>
        <v>0</v>
      </c>
      <c r="DZ71" s="43" t="n">
        <f aca="false">Tasks[[#This Row],[_Res2WorkPerWD]]*MAX(0,Tasks[[#This Row],[_StartWorkday]]-1)</f>
        <v>0</v>
      </c>
      <c r="EA71" s="43" t="n">
        <f aca="false">Tasks[[#This Row],[_Res2Work]]*Tasks[[#This Row],[_LeafProgress]]</f>
        <v>0</v>
      </c>
      <c r="EB71" s="43" t="str">
        <f aca="false">IF(Tasks[[#This Row],[_Res3Text]]="","",IF(Tasks[[#This Row],[_Res3Row]]&gt;0,INDEX(res_Name,Tasks[[#This Row],[_Res3Row]]),TRIM(LEFT(Tasks[[#This Row],[_Res3Text]],FIND("[",Tasks[[#This Row],[_Res3Text]]&amp;"[")-1))))</f>
        <v/>
      </c>
      <c r="EC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1" s="43" t="n">
        <f aca="false">IF(OR(NOT(Tasks[[#This Row],[_IsLeaf]]=1),Tasks[[#This Row],[_Res3Row]]=0),0,N(Tasks[[#This Row],[_Days]])*HoursPerDay*IF(Tasks[[#This Row],[_Res3Units]]="",DefaultUnits,Tasks[[#This Row],[_Res3Units]]))</f>
        <v>0</v>
      </c>
      <c r="EE71" s="43" t="n">
        <f aca="false">IF(AND(AND(Tasks[[#This Row],[_IsLeaf]]=1,Tasks[[#This Row],[_LeafTotalWork]]&gt;0),Tasks[[#This Row],[_Res3Work]]&gt;0),Tasks[[#This Row],[_Res3Work]]/(Tasks[[#This Row],[_FinishWorkday]]-Tasks[[#This Row],[_StartWorkday]]+1),0)</f>
        <v>0</v>
      </c>
      <c r="EF71" s="43" t="n">
        <f aca="false">Tasks[[#This Row],[_Res3WorkPerWD]]*MAX(0,Tasks[[#This Row],[_StartWorkday]]-1)</f>
        <v>0</v>
      </c>
      <c r="EG71" s="43" t="n">
        <f aca="false">Tasks[[#This Row],[_Res3Work]]*Tasks[[#This Row],[_LeafProgress]]</f>
        <v>0</v>
      </c>
      <c r="EH71" s="43" t="str">
        <f aca="false">IF(Tasks[[#This Row],[_Res4Text]]="","",IF(Tasks[[#This Row],[_Res4Row]]&gt;0,INDEX(res_Name,Tasks[[#This Row],[_Res4Row]]),TRIM(LEFT(Tasks[[#This Row],[_Res4Text]],FIND("[",Tasks[[#This Row],[_Res4Text]]&amp;"[")-1))))</f>
        <v/>
      </c>
      <c r="EI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1" s="43" t="n">
        <f aca="false">IF(OR(NOT(Tasks[[#This Row],[_IsLeaf]]=1),Tasks[[#This Row],[_Res4Row]]=0),0,N(Tasks[[#This Row],[_Days]])*HoursPerDay*IF(Tasks[[#This Row],[_Res4Units]]="",DefaultUnits,Tasks[[#This Row],[_Res4Units]]))</f>
        <v>0</v>
      </c>
      <c r="EK71" s="43" t="n">
        <f aca="false">IF(AND(AND(Tasks[[#This Row],[_IsLeaf]]=1,Tasks[[#This Row],[_LeafTotalWork]]&gt;0),Tasks[[#This Row],[_Res4Work]]&gt;0),Tasks[[#This Row],[_Res4Work]]/(Tasks[[#This Row],[_FinishWorkday]]-Tasks[[#This Row],[_StartWorkday]]+1),0)</f>
        <v>0</v>
      </c>
      <c r="EL71" s="43" t="n">
        <f aca="false">Tasks[[#This Row],[_Res4WorkPerWD]]*MAX(0,Tasks[[#This Row],[_StartWorkday]]-1)</f>
        <v>0</v>
      </c>
      <c r="EM71" s="43" t="n">
        <f aca="false">Tasks[[#This Row],[_Res4Work]]*Tasks[[#This Row],[_LeafProgress]]</f>
        <v>0</v>
      </c>
      <c r="EN71" s="43" t="n">
        <f aca="false">IF(ISNUMBER(Tasks[[#This Row],[% Complete]]),Tasks[[#This Row],[% Complete]],IF(Tasks[[#This Row],[Stage]]="",0,IFERROR(INDEX(stg_Pct,MATCH(Tasks[[#This Row],[Stage]],stg_Name,0)),0)))</f>
        <v>0</v>
      </c>
      <c r="EO71" s="43" t="n">
        <f aca="false">IF(NOT(Tasks[[#This Row],[_IsLeaf]]=1),0,IF(N(Tasks[[#This Row],[Actual Finish]])&gt;0,1,MIN(1,Tasks[[#This Row],[_Pct]])))</f>
        <v>0</v>
      </c>
      <c r="EP71" s="43" t="n">
        <f aca="false">IF(OR(NOT(Tasks[[#This Row],[_IsLeaf]]=1),Tasks[[#This Row],[_Res1Row]]=0),0,N(Tasks[[#This Row],[_Days]])*HoursPerDay*IF(Tasks[[#This Row],[_Units1]]="",DefaultUnits,Tasks[[#This Row],[_Units1]]))</f>
        <v>0</v>
      </c>
      <c r="EQ71" s="43" t="n">
        <f aca="false">Tasks[[#This Row],[_LeafWork]]+Tasks[[#This Row],[_Res2Work]]+Tasks[[#This Row],[_Res3Work]]+Tasks[[#This Row],[_Res4Work]]</f>
        <v>0</v>
      </c>
      <c r="ER7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1" s="43" t="n">
        <f aca="false">IF(NOT(Tasks[[#This Row],[_IsLeaf]]=1),0,MAX(_xlfn.MAXIFS(Tasks[_Row],Tasks[_Pred1UID],Tasks[[#This Row],[UID]]),_xlfn.MAXIFS(Tasks[_Row],Tasks[_Pred2UID],Tasks[[#This Row],[UID]]),_xlfn.MAXIFS(Tasks[_Row],Tasks[_Pred3UID],Tasks[[#This Row],[UID]]),_xlfn.MAXIFS(Tasks[_Row],Tasks[_Pred4UID],Tasks[[#This Row],[UID]])))</f>
        <v>0</v>
      </c>
      <c r="FA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1" s="91" t="str">
        <f aca="false">IF(NOT(Tasks[[#This Row],[_IsLeaf]]=1),"",IF(N(Tasks[[#This Row],[_Days]])&lt;=0,Tasks[[#This Row],[_LeafLateFinish]],WORKDAY.INTL(Tasks[[#This Row],[_LeafLateFinish]],-(Tasks[[#This Row],[_Days]]-1),WorkWeek,Holidays)))</f>
        <v/>
      </c>
      <c r="FD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1" s="90" t="b">
        <f aca="false">AND(Tasks[[#This Row],[_IsLeaf]]=1,Tasks[[#This Row],[_LeafProgress]]&lt;1,N(Tasks[[#This Row],[_LeafTotalSlack]])&lt;=CriticalSlackDays)</f>
        <v>0</v>
      </c>
      <c r="FF71" s="43" t="n">
        <f aca="false">IF(AND(Tasks[[#This Row],[_IsLeaf]]=1,Tasks[[#This Row],[_ConstraintCode]]=1,Tasks[[#This Row],[Mode]]&lt;&gt;"Manual",N(Tasks[[#This Row],[Actual Start]])=0),MAX(0,N(Tasks[[#This Row],[Free Slack]])),0)</f>
        <v>0</v>
      </c>
      <c r="FG71" s="91" t="str">
        <f aca="false">IF(NOT(Tasks[[#This Row],[_IsLeaf]]=1),"",IF(Tasks[[#This Row],[_AlapShift]]=0,Tasks[[#This Row],[_LeafCalcStart]],WORKDAY.INTL(Tasks[[#This Row],[_LeafCalcStart]],Tasks[[#This Row],[_AlapShift]],WorkWeek,Holidays)))</f>
        <v/>
      </c>
      <c r="FH71" s="91" t="str">
        <f aca="false">IF(NOT(Tasks[[#This Row],[_IsLeaf]]=1),"",IF(Tasks[[#This Row],[_AlapShift]]=0,Tasks[[#This Row],[_LeafCalcFinish]],WORKDAY.INTL(Tasks[[#This Row],[_LeafCalcFinish]],Tasks[[#This Row],[_AlapShift]],WorkWeek,Holidays)))</f>
        <v/>
      </c>
      <c r="FI71" s="91" t="str">
        <f aca="false">IF(NOT(Tasks[[#This Row],[_IsLeaf]]=1),"",IF(Tasks[[#This Row],[_AlapShift]]=0,Tasks[[#This Row],[_LeafFcstStart]],WORKDAY.INTL(Tasks[[#This Row],[_LeafFcstStart]],Tasks[[#This Row],[_AlapShift]],WorkWeek,Holidays)))</f>
        <v/>
      </c>
      <c r="FJ71" s="91" t="str">
        <f aca="false">IF(NOT(Tasks[[#This Row],[_IsLeaf]]=1),"",IF(Tasks[[#This Row],[_AlapShift]]=0,Tasks[[#This Row],[_LeafFcstFinish]],WORKDAY.INTL(Tasks[[#This Row],[_LeafFcstFinish]],Tasks[[#This Row],[_AlapShift]],WorkWeek,Holidays)))</f>
        <v/>
      </c>
      <c r="FK71" s="91" t="str">
        <f aca="false">IF(Tasks[[#This Row],[Task Name]]="","",IF(Tasks[[#This Row],[_IsSummary]],MIN(INDEX(Tasks[_ShownCalcStart],Tasks[[#This Row],[_Row]]+1):INDEX(Tasks[_ShownCalcStart],Tasks[[#This Row],[_Row]]+Tasks[[#This Row],[_Descendants]])),Tasks[[#This Row],[_ShownCalcStart]]))</f>
        <v/>
      </c>
      <c r="FL71" s="91" t="str">
        <f aca="false">IF(Tasks[[#This Row],[Task Name]]="","",IF(Tasks[[#This Row],[_IsSummary]],MAX(INDEX(Tasks[_ShownCalcFinish],Tasks[[#This Row],[_Row]]+1):INDEX(Tasks[_ShownCalcFinish],Tasks[[#This Row],[_Row]]+Tasks[[#This Row],[_Descendants]])),Tasks[[#This Row],[_ShownCalcFinish]]))</f>
        <v/>
      </c>
      <c r="FM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1" s="43" t="n">
        <f aca="false">IF(AND(Tasks[[#This Row],[_IsLeaf]]=1,Tasks[[#This Row],[_LeafTotalWork]]&gt;0),NETWORKDAYS.INTL(ProjectStart,Tasks[[#This Row],[_ShownFcstStart]],WorkWeek,Holidays),0)</f>
        <v>0</v>
      </c>
      <c r="FZ71" s="43" t="n">
        <f aca="false">IF(AND(Tasks[[#This Row],[_IsLeaf]]=1,Tasks[[#This Row],[_LeafTotalWork]]&gt;0),MAX(Tasks[[#This Row],[_StartWorkday]],NETWORKDAYS.INTL(ProjectStart,Tasks[[#This Row],[_ShownFcstFinish]],WorkWeek,Holidays)),0)</f>
        <v>0</v>
      </c>
      <c r="GA71" s="43" t="n">
        <f aca="false">IF(AND(Tasks[[#This Row],[_IsLeaf]]=1,Tasks[[#This Row],[_LeafTotalWork]]&gt;0),Tasks[[#This Row],[_LeafWork]]/(Tasks[[#This Row],[_FinishWorkday]]-Tasks[[#This Row],[_StartWorkday]]+1),0)</f>
        <v>0</v>
      </c>
      <c r="GB71" s="43" t="n">
        <f aca="false">Tasks[[#This Row],[_WorkPerWorkday]]*(Tasks[[#This Row],[_StartWorkday]]-1)</f>
        <v>-0</v>
      </c>
      <c r="GC71" s="43" t="n">
        <f aca="false">IF(Tasks[[#This Row],[_IsLeaf]]=1,MAX(N(Tasks[[#This Row],[_Days]]),0.1),0)</f>
        <v>0</v>
      </c>
      <c r="GD71" s="43" t="n">
        <f aca="false">Tasks[[#This Row],[_WeightDur]]*Tasks[[#This Row],[_LeafProgress]]</f>
        <v>0</v>
      </c>
      <c r="GE71" s="43" t="n">
        <f aca="false">Tasks[[#This Row],[_WeightDur]]*Tasks[[#This Row],[_PlannedPct]]</f>
        <v>0</v>
      </c>
      <c r="GF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1" s="43" t="str">
        <f aca="false">IF(AND(Tasks[[#This Row],[_IsLeaf]]=1,N(Tasks[[#This Row],[_Days]])=0,Tasks[[#This Row],[_LeafProgress]]&lt;1),Tasks[[#This Row],[_ShownFcstFinish]]+Tasks[[#This Row],[_Row]]/100000,"")</f>
        <v/>
      </c>
      <c r="GH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1" s="43" t="str">
        <f aca="false">IF(Tasks[[#This Row],[Task Name]]="","",LEFT(Tasks[[#This Row],[WBS]],FIND(".",Tasks[[#This Row],[WBS]]&amp;".")-1))</f>
        <v/>
      </c>
      <c r="GJ71" s="43" t="str">
        <f aca="false">IF(AND(Tasks[[#This Row],[Task Name]]&lt;&gt;"",Tasks[[#This Row],[_Level]]=1),Tasks[[#This Row],[_Row]],"")</f>
        <v/>
      </c>
      <c r="GK71" s="43" t="str">
        <f aca="false">IF(AND(Tasks[[#This Row],[_IsLeaf]]=1,N(Tasks[[#This Row],[_Days]])=0),Tasks[[#This Row],[Planned Finish]]+Tasks[[#This Row],[_Row]]/100000,"")</f>
        <v/>
      </c>
      <c r="GL71" s="43" t="str">
        <f aca="false">IF(AND(Tasks[[#This Row],[_IsLeaf]]=1,Tasks[[#This Row],[_LeafProgress]]&lt;1,OR(N(Tasks[[#This Row],[Finish Var]])&gt;0,Tasks[[#This Row],[Status]]="Late Start")),MAX(0,Tasks[[#This Row],[Finish Var]])+1-Tasks[[#This Row],[_Row]]/1000000,"")</f>
        <v/>
      </c>
      <c r="GM71" s="43" t="str">
        <f aca="false">IF(AND(Tasks[[#This Row],[_IsLeaf]]=1,N(Tasks[[#This Row],[Actual Start]])=0,Tasks[[#This Row],[_ShownFcstStart]]&gt;=StatusDate,Tasks[[#This Row],[_ShownFcstStart]]&lt;=LookaheadEnd),Tasks[[#This Row],[_ShownFcstStart]]+Tasks[[#This Row],[_Row]]/100000,"")</f>
        <v/>
      </c>
      <c r="GN71" s="43" t="str">
        <f aca="false">IF(AND(Tasks[[#This Row],[_IsLeaf]]=1,Tasks[[#This Row],[_LeafProgress]]&lt;1,Tasks[[#This Row],[_ShownFcstFinish]]&gt;=StatusDate,Tasks[[#This Row],[_ShownFcstFinish]]&lt;=LookaheadEnd),Tasks[[#This Row],[_ShownFcstFinish]]+Tasks[[#This Row],[_Row]]/100000,"")</f>
        <v/>
      </c>
      <c r="GO71" s="43" t="str">
        <f aca="false">IF(Tasks[[#This Row],[_LeafCritical]],Tasks[[#This Row],[_ShownFcstStart]]+Tasks[[#This Row],[_Row]]/100000,"")</f>
        <v/>
      </c>
      <c r="GP71" s="43" t="n">
        <f aca="false">Tasks[[#This Row],[_LeafWork]]*Tasks[[#This Row],[_LeafProgress]]</f>
        <v>0</v>
      </c>
      <c r="GQ71" s="91" t="str">
        <f aca="false">IF(AND(Tasks[[#This Row],[_IsLeaf]]=1,Tasks[[#This Row],[_LeafProgress]]&gt;=1),IF(N(Tasks[[#This Row],[Actual Finish]])&gt;0,Tasks[[#This Row],[Actual Finish]],Tasks[[#This Row],[_ShownFcstFinish]]),"")</f>
        <v/>
      </c>
      <c r="GR71" s="43" t="n">
        <f aca="false">IF(Tasks[[#This Row],[_IsLeaf]]=1,N(Tasks[[#This Row],[Story Points]]),0)</f>
        <v>0</v>
      </c>
      <c r="GS71" s="43" t="str">
        <f aca="false">""</f>
        <v/>
      </c>
      <c r="GT71" s="90" t="b">
        <f aca="false">IF(Tasks[[#This Row],[Task Name]]="",FALSE(),AND(Tasks[[#This Row],[_IsLeaf]]=1,N(Tasks[[#This Row],[_Days]])=0))</f>
        <v>0</v>
      </c>
      <c r="GU71" s="91" t="n">
        <f aca="false">IF(Tasks[[#This Row],[Task Name]]="",0,IF(AND(Tasks[[#This Row],[_IsLeaf]]=1,NOT(Tasks[[#This Row],[_IsMilestone]]),N(Tasks[[#This Row],[Progress]])&gt;0),Tasks[[#This Row],[Start]],0))</f>
        <v>0</v>
      </c>
      <c r="GV71" s="91" t="n">
        <f aca="false">IF(Tasks[[#This Row],[_DoneFrom]]=0,0,IF(Tasks[[#This Row],[Progress]]&gt;=1,Tasks[[#This Row],[Finish]],MAX(Tasks[[#This Row],[_DoneFrom]],Tasks[[#This Row],[Start]]+ROUND((Tasks[[#This Row],[Finish]]-Tasks[[#This Row],[Start]]+1)*Tasks[[#This Row],[Progress]],0)-1)))</f>
        <v>0</v>
      </c>
      <c r="GW71" s="91" t="n">
        <f aca="false">IF(Tasks[[#This Row],[Task Name]]="",0,IF(OR(NOT(Tasks[[#This Row],[_IsLeaf]]=1),Tasks[[#This Row],[_IsMilestone]],N(Tasks[[#This Row],[Progress]])&gt;=1),0,IF(Tasks[[#This Row],[_DoneTo]]&gt;0,Tasks[[#This Row],[_DoneTo]]+1,Tasks[[#This Row],[Start]])))</f>
        <v>0</v>
      </c>
      <c r="GX71" s="91" t="n">
        <f aca="false">IF(Tasks[[#This Row],[_RemFrom]]=0,0,Tasks[[#This Row],[Finish]])</f>
        <v>0</v>
      </c>
      <c r="GY71" s="90" t="b">
        <f aca="false">IF(Tasks[[#This Row],[Task Name]]="",FALSE(),OR(NOT(BaselineSet),N(Tasks[[#This Row],[Baseline Start]])&gt;0))</f>
        <v>0</v>
      </c>
      <c r="GZ7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1" s="92" t="str">
        <f aca="false">IF(Tasks[[#This Row],[_IsLeaf]]=1,Tasks[[#This Row],[_Row]],"")</f>
        <v/>
      </c>
      <c r="HD71" s="92" t="str">
        <f aca="false">IFERROR(INDEX(Tasks[UID],SMALL(Tasks[_PickKey],Tasks[[#This Row],[_Row]]))&amp;" "&amp;INDEX(Tasks[Task Name],SMALL(Tasks[_PickKey],Tasks[[#This Row],[_Row]])),"")</f>
        <v/>
      </c>
      <c r="HE71" s="43" t="str">
        <f aca="false">IF(Tasks[[#This Row],[Task Name]]="","",IF(Tasks[[#This Row],[_IsSummary]],NETWORKDAYS.INTL(Tasks[[#This Row],[Start]],Tasks[[#This Row],[Finish]],WorkWeek,Holidays),N(Tasks[[#This Row],[_Days]])))</f>
        <v/>
      </c>
      <c r="HF71" s="43" t="n">
        <f aca="false">IF(Tasks[[#This Row],[Expected]]="",0,((Tasks[[#This Row],[Pessimistic]]-Tasks[[#This Row],[Optimistic]])/6)^2)</f>
        <v>0</v>
      </c>
      <c r="HG71" s="43" t="n">
        <f aca="false">IF(Tasks[[#This Row],[Expected]]="",0,Tasks[[#This Row],[Expected]]-N(Tasks[[#This Row],[_Days]]))</f>
        <v>0</v>
      </c>
    </row>
    <row r="72" customFormat="false" ht="15" hidden="false" customHeight="false" outlineLevel="0" collapsed="false">
      <c r="A72" s="21" t="str">
        <f aca="false">IF(Tasks[[#This Row],[Task Name]]="","",COUNTA(Tasks[[#Headers],[Task Name]]:Tasks[[#This Row],[Task Name]])-1)</f>
        <v/>
      </c>
      <c r="B72" s="22" t="n">
        <v>80</v>
      </c>
      <c r="C72" s="22"/>
      <c r="D72" s="23"/>
      <c r="E72" s="22"/>
      <c r="F72" s="23"/>
      <c r="G72" s="22"/>
      <c r="H72" s="22"/>
      <c r="I72" s="23"/>
      <c r="J72" s="22"/>
      <c r="K72" s="22"/>
      <c r="L72" s="23"/>
      <c r="M72" s="22"/>
      <c r="N72" s="22"/>
      <c r="O72" s="23"/>
      <c r="P72" s="22"/>
      <c r="Q72" s="22"/>
      <c r="R72" s="23"/>
      <c r="S72" s="23"/>
      <c r="T72" s="84"/>
      <c r="U72" s="23"/>
      <c r="V72" s="84"/>
      <c r="W72" s="23"/>
      <c r="X72" s="84"/>
      <c r="Y72" s="23"/>
      <c r="Z72" s="84"/>
      <c r="AA72" s="23"/>
      <c r="AB72" s="23"/>
      <c r="AC72" s="7"/>
      <c r="AD72" s="7"/>
      <c r="AE72" s="63" t="str">
        <f aca="false">IF(Tasks[[#This Row],[Task Name]]="","",IF(Tasks[[#This Row],[_IsSummary]],MIN(INDEX(Tasks[_ShownFcstStart],Tasks[[#This Row],[_Row]]+1):INDEX(Tasks[_ShownFcstStart],Tasks[[#This Row],[_Row]]+Tasks[[#This Row],[_Descendants]])),Tasks[[#This Row],[_ShownFcstStart]]))</f>
        <v/>
      </c>
      <c r="AF72" s="63" t="str">
        <f aca="false">IF(Tasks[[#This Row],[Task Name]]="","",IF(Tasks[[#This Row],[_IsSummary]],MAX(INDEX(Tasks[_ShownFcstFinish],Tasks[[#This Row],[_Row]]+1):INDEX(Tasks[_ShownFcstFinish],Tasks[[#This Row],[_Row]]+Tasks[[#This Row],[_Descendants]])),Tasks[[#This Row],[_ShownFcstFinish]]))</f>
        <v/>
      </c>
      <c r="AG72" s="21" t="str">
        <f aca="false">""</f>
        <v/>
      </c>
      <c r="AH72" s="23"/>
      <c r="AI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2" s="7"/>
      <c r="AK72" s="22"/>
      <c r="AL72" s="23"/>
      <c r="AM72" s="7"/>
      <c r="AN72" s="47" t="str">
        <f aca="false">IF(Tasks[[#This Row],[Task Name]]="","",IF(Tasks[[#This Row],[Finish]]&gt;=Tasks[[#This Row],[Planned Finish]],NETWORKDAYS.INTL(Tasks[[#This Row],[Planned Finish]],Tasks[[#This Row],[Finish]],WorkWeek,Holidays)-1,1-NETWORKDAYS.INTL(Tasks[[#This Row],[Finish]],Tasks[[#This Row],[Planned Finish]],WorkWeek,Holidays)))</f>
        <v/>
      </c>
      <c r="AO72" s="21" t="str">
        <f aca="false">IF(Tasks[[#This Row],[Task Name]]="","",IF(Tasks[[#This Row],[Progress]]&gt;=1,"Complete",IF(OR(N(Tasks[[#This Row],[Actual Start]])&gt;0,Tasks[[#This Row],[Progress]]&gt;0),IF(Tasks[[#This Row],[Finish Var]]&gt;0,"Behind","In Progress"),IF(Tasks[[#This Row],[Planned Start]]&lt;StatusDate,"Late Start","Not Started"))))</f>
        <v/>
      </c>
      <c r="AP72" s="21" t="str">
        <f aca="false">IF(Tasks[[#This Row],[Task Name]]="","",IF(IF(Tasks[[#This Row],[_IsSummary]],COUNTIF(INDEX(Tasks[_LeafCritical],Tasks[[#This Row],[_Row]]+1):INDEX(Tasks[_LeafCritical],Tasks[[#This Row],[_Row]]+Tasks[[#This Row],[_Descendants]]),TRUE())&gt;0,Tasks[[#This Row],[_LeafCritical]]),"Yes",""))</f>
        <v/>
      </c>
      <c r="AQ72" s="63" t="str">
        <f aca="false">IF(Tasks[[#This Row],[Task Name]]="","",IF(N(Tasks[[#This Row],[Baseline Start]])&gt;0,Tasks[[#This Row],[Baseline Start]],Tasks[[#This Row],[_CalcStart]]))</f>
        <v/>
      </c>
      <c r="AR72" s="63" t="str">
        <f aca="false">IF(Tasks[[#This Row],[Task Name]]="","",IF(N(Tasks[[#This Row],[Baseline Finish]])&gt;0,Tasks[[#This Row],[Baseline Finish]],Tasks[[#This Row],[_CalcFinish]]))</f>
        <v/>
      </c>
      <c r="AS72" s="47" t="str">
        <f aca="false">IF(Tasks[[#This Row],[Task Name]]="","",IF(Tasks[[#This Row],[Start]]&gt;=Tasks[[#This Row],[Planned Start]],NETWORKDAYS.INTL(Tasks[[#This Row],[Planned Start]],Tasks[[#This Row],[Start]],WorkWeek,Holidays)-1,1-NETWORKDAYS.INTL(Tasks[[#This Row],[Start]],Tasks[[#This Row],[Planned Start]],WorkWeek,Holidays)))</f>
        <v/>
      </c>
      <c r="AT72" s="63" t="str">
        <f aca="false">IF(Tasks[[#This Row],[Task Name]]="","",IF(Tasks[[#This Row],[_IsSummary]],MIN(INDEX(Tasks[_LeafLateStart],Tasks[[#This Row],[_Row]]+1):INDEX(Tasks[_LeafLateStart],Tasks[[#This Row],[_Row]]+Tasks[[#This Row],[_Descendants]])),Tasks[[#This Row],[_LeafLateStart]]))</f>
        <v/>
      </c>
      <c r="AU72" s="63" t="str">
        <f aca="false">IF(Tasks[[#This Row],[Task Name]]="","",IF(Tasks[[#This Row],[_IsSummary]],MAX(INDEX(Tasks[_LeafLateFinish],Tasks[[#This Row],[_Row]]+1):INDEX(Tasks[_LeafLateFinish],Tasks[[#This Row],[_Row]]+Tasks[[#This Row],[_Descendants]])),Tasks[[#This Row],[_LeafLateFinish]]))</f>
        <v/>
      </c>
      <c r="AV72" s="47" t="str">
        <f aca="false">IF(Tasks[[#This Row],[Task Name]]="","",IF(Tasks[[#This Row],[_IsSummary]],MIN(INDEX(Tasks[_LeafTotalSlack],Tasks[[#This Row],[_Row]]+1):INDEX(Tasks[_LeafTotalSlack],Tasks[[#This Row],[_Row]]+Tasks[[#This Row],[_Descendants]])),Tasks[[#This Row],[_LeafTotalSlack]]))</f>
        <v/>
      </c>
      <c r="AW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5"/>
      <c r="BA7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t="str">
        <f aca="false">IF(Tasks[[#This Row],[Task Name]]="","",IF(Tasks[[#This Row],[_Level]]&lt;=OutlineShowLevel,"Yes","No"))</f>
        <v/>
      </c>
      <c r="BE72" s="86" t="str">
        <f aca="false">IF(Tasks[[#This Row],[Task Name]]="","",IF(Tasks[[#This Row],[_IsSummary]],SUM(INDEX(Tasks[_LeafTotalWork],Tasks[[#This Row],[_Row]]+1):INDEX(Tasks[_LeafTotalWork],Tasks[[#This Row],[_Row]]+Tasks[[#This Row],[_Descendants]])),Tasks[[#This Row],[_LeafTotalWork]]))</f>
        <v/>
      </c>
      <c r="BF72" s="23"/>
      <c r="BG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t="str">
        <f aca="false">""</f>
        <v/>
      </c>
      <c r="BI72" s="87"/>
      <c r="BJ72" s="22"/>
      <c r="BK72" s="47" t="str">
        <f aca="false">IF(OR(Tasks[[#This Row],[Task Name]]="",Tasks[[#This Row],[Baseline Duration]]=""),"",Tasks[[#This Row],[_SpanDays]]-N(Tasks[[#This Row],[Baseline Duration]]))</f>
        <v/>
      </c>
      <c r="BL72" s="86" t="str">
        <f aca="false">IF(OR(Tasks[[#This Row],[Task Name]]="",Tasks[[#This Row],[Baseline Work]]=""),"",Tasks[[#This Row],[Work]]-N(Tasks[[#This Row],[Baseline Work]]))</f>
        <v/>
      </c>
      <c r="BM72" s="63" t="str">
        <f aca="false">IF(Tasks[[#This Row],[Task Name]]="","",IF(OR(TakeBaseline="Yes",N(Tasks[[#This Row],[Baseline Start]])=0),Tasks[[#This Row],[Start]],Tasks[[#This Row],[Baseline Start]]))</f>
        <v/>
      </c>
      <c r="BN72" s="63" t="str">
        <f aca="false">IF(Tasks[[#This Row],[Task Name]]="","",IF(OR(TakeBaseline="Yes",N(Tasks[[#This Row],[Baseline Finish]])=0),Tasks[[#This Row],[Finish]],Tasks[[#This Row],[Baseline Finish]]))</f>
        <v/>
      </c>
      <c r="BO72" s="21" t="str">
        <f aca="false">IF(Tasks[[#This Row],[Task Name]]="","",IF(OR(TakeBaseline="Yes",N(Tasks[[#This Row],[Baseline Duration]])=0),Tasks[[#This Row],[_SpanDays]],Tasks[[#This Row],[Baseline Duration]]))</f>
        <v/>
      </c>
      <c r="BP72" s="86" t="str">
        <f aca="false">IF(Tasks[[#This Row],[Task Name]]="","",IF(OR(TakeBaseline="Yes",N(Tasks[[#This Row],[Baseline Work]])=0),Tasks[[#This Row],[Work]],Tasks[[#This Row],[Baseline Work]]))</f>
        <v/>
      </c>
      <c r="BQ72" s="7"/>
      <c r="BR72" s="7"/>
      <c r="BS72" s="22"/>
      <c r="BT72" s="88"/>
      <c r="BU72" s="23"/>
      <c r="BV72" s="23"/>
      <c r="BW72" s="23"/>
      <c r="BX72" s="89" t="str">
        <f aca="false">IF(AND(Tasks[[#This Row],[_IsLeaf]]=1,ISNUMBER(Tasks[[#This Row],[Optimistic]]),ISNUMBER(Tasks[[#This Row],[Pessimistic]])),ROUND((Tasks[[#This Row],[Optimistic]]+4*N(Tasks[[#This Row],[_Days]])+Tasks[[#This Row],[Pessimistic]])/6,1),"")</f>
        <v/>
      </c>
      <c r="BY72" s="87"/>
      <c r="BZ72" s="87"/>
      <c r="CA72" s="22"/>
      <c r="CB72" s="43" t="str">
        <f aca="false">IF(Tasks[[#This Row],[Task Name]]="","",MAX(1,N(Tasks[[#This Row],[Level]])))</f>
        <v/>
      </c>
      <c r="CC72" s="43" t="n">
        <f aca="false">ROW()-ROW(Tasks[[#Headers],[ID]])</f>
        <v>67</v>
      </c>
      <c r="CD72" s="43" t="n">
        <f aca="false">IF(OR(Tasks[[#This Row],[Task Name]]="",Tasks[[#This Row],[_Level]]&lt;=1),0,IFERROR(LOOKUP(2,1/(Tasks[[#Headers],[_Level]]:Tasks[[#This Row],[_Level]]=Tasks[[#This Row],[_Level]]-1),ROW(Tasks[[#Headers],[_Level]]:Tasks[[#This Row],[_Level]])),0))</f>
        <v>0</v>
      </c>
      <c r="CE72" s="43" t="n">
        <f aca="false">IFERROR(N(INDEX(Tasks[_Level],Tasks[[#This Row],[_Row]]+1)),0)</f>
        <v>0</v>
      </c>
      <c r="CF72" s="90" t="b">
        <f aca="false">AND(Tasks[[#This Row],[Task Name]]&lt;&gt;"",Tasks[[#This Row],[_NextLevel]]&gt;Tasks[[#This Row],[_Level]])</f>
        <v>0</v>
      </c>
      <c r="CG72" s="43" t="n">
        <f aca="false">IF(Tasks[[#This Row],[_IsSummary]],COUNTIF(Tasks[WBS],Tasks[[#This Row],[WBS]]&amp;".*"),0)</f>
        <v>0</v>
      </c>
      <c r="CH72" s="43" t="n">
        <f aca="false">IF(AND(Tasks[[#This Row],[Task Name]]&lt;&gt;"",NOT(Tasks[[#This Row],[_IsSummary]])),1,0)</f>
        <v>0</v>
      </c>
      <c r="CI72" s="43" t="n">
        <f aca="false">IF(N(Tasks[[#This Row],[_Pred1UID]])=0,0,IFERROR(MATCH(Tasks[[#This Row],[_Pred1UID]],Tasks[UID],0),-1))</f>
        <v>0</v>
      </c>
      <c r="CJ72" s="43" t="n">
        <f aca="false">IF(N(Tasks[[#This Row],[_Pred2UID]])=0,0,IFERROR(MATCH(Tasks[[#This Row],[_Pred2UID]],Tasks[UID],0),-1))</f>
        <v>0</v>
      </c>
      <c r="CK72" s="43" t="n">
        <f aca="false">IF(N(Tasks[[#This Row],[_Pred3UID]])=0,0,IFERROR(MATCH(Tasks[[#This Row],[_Pred3UID]],Tasks[UID],0),-1))</f>
        <v>0</v>
      </c>
      <c r="CL72" s="43" t="n">
        <f aca="false">IF(N(Tasks[[#This Row],[_Pred4UID]])=0,0,IFERROR(MATCH(Tasks[[#This Row],[_Pred4UID]],Tasks[UID],0),-1))</f>
        <v>0</v>
      </c>
      <c r="CM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2" s="91" t="n">
        <f aca="false">IF(OR(Tasks[[#This Row],[_ConstraintCode]]=2,Tasks[[#This Row],[_ConstraintCode]]=3,Tasks[[#This Row],[_ConstraintCode]]=4,Tasks[[#This Row],[_ConstraintCode]]=6),Tasks[[#This Row],[_ConstraintStart]],0)</f>
        <v>0</v>
      </c>
      <c r="CP72" s="91" t="n">
        <f aca="false">IF(OR(Tasks[[#This Row],[_ConstraintCode]]=2,Tasks[[#This Row],[_ConstraintCode]]=3,Tasks[[#This Row],[_ConstraintCode]]=5,Tasks[[#This Row],[_ConstraintCode]]=7),Tasks[[#This Row],[_ConstraintStart]],2958465)</f>
        <v>2958465</v>
      </c>
      <c r="CQ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2" s="91" t="str">
        <f aca="false">IF(NOT(Tasks[[#This Row],[_IsLeaf]]=1),"",IF(N(Tasks[[#This Row],[_Days]])&lt;=0,Tasks[[#This Row],[_LeafCalcStart]],WORKDAY.INTL(Tasks[[#This Row],[_LeafCalcStart]],Tasks[[#This Row],[_Days]]-1,WorkWeek,Holidays)))</f>
        <v/>
      </c>
      <c r="CS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2" s="43" t="str">
        <f aca="false">IF(Tasks[[#This Row],[_Predecessors]]="","",TRIM(MID(SUBSTITUTE(SUBSTITUTE(SUBSTITUTE(UPPER(Tasks[[#This Row],[_Predecessors]]),";",",")," ",""),",",REPT(" ",99)),1,99)))</f>
        <v/>
      </c>
      <c r="CV72" s="43" t="str">
        <f aca="false">IF(Tasks[[#This Row],[_Pred1Text]]="","",IFERROR(VALUE(LEFT(Tasks[[#This Row],[_Pred1Text]],MIN(FIND("F",Tasks[[#This Row],[_Pred1Text]]&amp;"F"),FIND("S",Tasks[[#This Row],[_Pred1Text]]&amp;"S"),FIND("+",Tasks[[#This Row],[_Pred1Text]]&amp;"+"),FIND("-",Tasks[[#This Row],[_Pred1Text]]&amp;"-"))-1)),""))</f>
        <v/>
      </c>
      <c r="CW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2" s="43" t="str">
        <f aca="false">IF(Tasks[[#This Row],[_Pred1Text]]="","",TRIM(MID(SUBSTITUTE(SUBSTITUTE(SUBSTITUTE(UPPER(Tasks[[#This Row],[_Predecessors]]),";",",")," ",""),",",REPT(" ",99)),100,99)))</f>
        <v/>
      </c>
      <c r="CZ72" s="43" t="str">
        <f aca="false">IF(Tasks[[#This Row],[_Pred2Text]]="","",IFERROR(VALUE(LEFT(Tasks[[#This Row],[_Pred2Text]],MIN(FIND("F",Tasks[[#This Row],[_Pred2Text]]&amp;"F"),FIND("S",Tasks[[#This Row],[_Pred2Text]]&amp;"S"),FIND("+",Tasks[[#This Row],[_Pred2Text]]&amp;"+"),FIND("-",Tasks[[#This Row],[_Pred2Text]]&amp;"-"))-1)),""))</f>
        <v/>
      </c>
      <c r="DA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2" s="43" t="str">
        <f aca="false">IF(Tasks[[#This Row],[_Pred2Text]]="","",TRIM(MID(SUBSTITUTE(SUBSTITUTE(SUBSTITUTE(UPPER(Tasks[[#This Row],[_Predecessors]]),";",",")," ",""),",",REPT(" ",99)),199,99)))</f>
        <v/>
      </c>
      <c r="DD72" s="43" t="str">
        <f aca="false">IF(Tasks[[#This Row],[_Pred3Text]]="","",IFERROR(VALUE(LEFT(Tasks[[#This Row],[_Pred3Text]],MIN(FIND("F",Tasks[[#This Row],[_Pred3Text]]&amp;"F"),FIND("S",Tasks[[#This Row],[_Pred3Text]]&amp;"S"),FIND("+",Tasks[[#This Row],[_Pred3Text]]&amp;"+"),FIND("-",Tasks[[#This Row],[_Pred3Text]]&amp;"-"))-1)),""))</f>
        <v/>
      </c>
      <c r="DE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2" s="43" t="str">
        <f aca="false">IF(Tasks[[#This Row],[_Pred3Text]]="","",TRIM(MID(SUBSTITUTE(SUBSTITUTE(SUBSTITUTE(UPPER(Tasks[[#This Row],[_Predecessors]]),";",",")," ",""),",",REPT(" ",99)),298,99)))</f>
        <v/>
      </c>
      <c r="DH72" s="43" t="str">
        <f aca="false">IF(Tasks[[#This Row],[_Pred4Text]]="","",IFERROR(VALUE(LEFT(Tasks[[#This Row],[_Pred4Text]],MIN(FIND("F",Tasks[[#This Row],[_Pred4Text]]&amp;"F"),FIND("S",Tasks[[#This Row],[_Pred4Text]]&amp;"S"),FIND("+",Tasks[[#This Row],[_Pred4Text]]&amp;"+"),FIND("-",Tasks[[#This Row],[_Pred4Text]]&amp;"-"))-1)),""))</f>
        <v/>
      </c>
      <c r="DI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2" s="43" t="str">
        <f aca="false">IF(OR(Tasks[[#This Row],[Task Name]]="",Tasks[[#This Row],[_Resources]]=""),"",TRIM(MID(SUBSTITUTE(Tasks[[#This Row],[_Resources]],",",REPT(" ",99)),1,99)))</f>
        <v/>
      </c>
      <c r="DL72" s="43" t="str">
        <f aca="false">IF(Tasks[[#This Row],[_Res1Text]]="","",TRIM(MID(SUBSTITUTE(Tasks[[#This Row],[_Resources]],",",REPT(" ",99)),100,99)))</f>
        <v/>
      </c>
      <c r="DM72" s="43" t="str">
        <f aca="false">IF(Tasks[[#This Row],[_Res2Text]]="","",TRIM(MID(SUBSTITUTE(Tasks[[#This Row],[_Resources]],",",REPT(" ",99)),199,99)))</f>
        <v/>
      </c>
      <c r="DN72" s="43" t="str">
        <f aca="false">IF(Tasks[[#This Row],[_Res3Text]]="","",TRIM(MID(SUBSTITUTE(Tasks[[#This Row],[_Resources]],",",REPT(" ",99)),298,99)))</f>
        <v/>
      </c>
      <c r="DO72" s="43" t="n">
        <f aca="false">IF(Tasks[[#This Row],[_Res1Text]]="",0,IFERROR(MATCH(TRIM(LEFT(Tasks[[#This Row],[_Res1Text]],FIND("[",Tasks[[#This Row],[_Res1Text]]&amp;"[")-1)),res_Name,0),IFERROR(MATCH(TRIM(LEFT(Tasks[[#This Row],[_Res1Text]],FIND("[",Tasks[[#This Row],[_Res1Text]]&amp;"[")-1)),res_Initials,0),0)))</f>
        <v>0</v>
      </c>
      <c r="DP72" s="43" t="n">
        <f aca="false">IF(Tasks[[#This Row],[_Res2Text]]="",0,IFERROR(MATCH(TRIM(LEFT(Tasks[[#This Row],[_Res2Text]],FIND("[",Tasks[[#This Row],[_Res2Text]]&amp;"[")-1)),res_Name,0),IFERROR(MATCH(TRIM(LEFT(Tasks[[#This Row],[_Res2Text]],FIND("[",Tasks[[#This Row],[_Res2Text]]&amp;"[")-1)),res_Initials,0),0)))</f>
        <v>0</v>
      </c>
      <c r="DQ72" s="43" t="n">
        <f aca="false">IF(Tasks[[#This Row],[_Res3Text]]="",0,IFERROR(MATCH(TRIM(LEFT(Tasks[[#This Row],[_Res3Text]],FIND("[",Tasks[[#This Row],[_Res3Text]]&amp;"[")-1)),res_Name,0),IFERROR(MATCH(TRIM(LEFT(Tasks[[#This Row],[_Res3Text]],FIND("[",Tasks[[#This Row],[_Res3Text]]&amp;"[")-1)),res_Initials,0),0)))</f>
        <v>0</v>
      </c>
      <c r="DR72" s="43" t="n">
        <f aca="false">IF(Tasks[[#This Row],[_Res4Text]]="",0,IFERROR(MATCH(TRIM(LEFT(Tasks[[#This Row],[_Res4Text]],FIND("[",Tasks[[#This Row],[_Res4Text]]&amp;"[")-1)),res_Name,0),IFERROR(MATCH(TRIM(LEFT(Tasks[[#This Row],[_Res4Text]],FIND("[",Tasks[[#This Row],[_Res4Text]]&amp;"[")-1)),res_Initials,0),0)))</f>
        <v>0</v>
      </c>
      <c r="DS72" s="43" t="str">
        <f aca="false">IF(Tasks[[#This Row],[_Res1Text]]="","",IF(Tasks[[#This Row],[_Res1Row]]&gt;0,INDEX(res_Name,Tasks[[#This Row],[_Res1Row]]),TRIM(LEFT(Tasks[[#This Row],[_Res1Text]],FIND("[",Tasks[[#This Row],[_Res1Text]]&amp;"[")-1))))</f>
        <v/>
      </c>
      <c r="DT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2" s="43" t="n">
        <f aca="false">IF(NOT(Tasks[[#This Row],[_IsLeaf]]=1),0,(Tasks[[#This Row],[_Resource1]]&lt;&gt;"")+(Tasks[[#This Row],[_Res2]]&lt;&gt;"")+(Tasks[[#This Row],[_Res3]]&lt;&gt;"")+(Tasks[[#This Row],[_Res4]]&lt;&gt;""))</f>
        <v>0</v>
      </c>
      <c r="DV72" s="43" t="str">
        <f aca="false">IF(Tasks[[#This Row],[_Res2Text]]="","",IF(Tasks[[#This Row],[_Res2Row]]&gt;0,INDEX(res_Name,Tasks[[#This Row],[_Res2Row]]),TRIM(LEFT(Tasks[[#This Row],[_Res2Text]],FIND("[",Tasks[[#This Row],[_Res2Text]]&amp;"[")-1))))</f>
        <v/>
      </c>
      <c r="DW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2" s="43" t="n">
        <f aca="false">IF(OR(NOT(Tasks[[#This Row],[_IsLeaf]]=1),Tasks[[#This Row],[_Res2Row]]=0),0,N(Tasks[[#This Row],[_Days]])*HoursPerDay*IF(Tasks[[#This Row],[_Res2Units]]="",DefaultUnits,Tasks[[#This Row],[_Res2Units]]))</f>
        <v>0</v>
      </c>
      <c r="DY72" s="43" t="n">
        <f aca="false">IF(AND(AND(Tasks[[#This Row],[_IsLeaf]]=1,Tasks[[#This Row],[_LeafTotalWork]]&gt;0),Tasks[[#This Row],[_Res2Work]]&gt;0),Tasks[[#This Row],[_Res2Work]]/(Tasks[[#This Row],[_FinishWorkday]]-Tasks[[#This Row],[_StartWorkday]]+1),0)</f>
        <v>0</v>
      </c>
      <c r="DZ72" s="43" t="n">
        <f aca="false">Tasks[[#This Row],[_Res2WorkPerWD]]*MAX(0,Tasks[[#This Row],[_StartWorkday]]-1)</f>
        <v>0</v>
      </c>
      <c r="EA72" s="43" t="n">
        <f aca="false">Tasks[[#This Row],[_Res2Work]]*Tasks[[#This Row],[_LeafProgress]]</f>
        <v>0</v>
      </c>
      <c r="EB72" s="43" t="str">
        <f aca="false">IF(Tasks[[#This Row],[_Res3Text]]="","",IF(Tasks[[#This Row],[_Res3Row]]&gt;0,INDEX(res_Name,Tasks[[#This Row],[_Res3Row]]),TRIM(LEFT(Tasks[[#This Row],[_Res3Text]],FIND("[",Tasks[[#This Row],[_Res3Text]]&amp;"[")-1))))</f>
        <v/>
      </c>
      <c r="EC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2" s="43" t="n">
        <f aca="false">IF(OR(NOT(Tasks[[#This Row],[_IsLeaf]]=1),Tasks[[#This Row],[_Res3Row]]=0),0,N(Tasks[[#This Row],[_Days]])*HoursPerDay*IF(Tasks[[#This Row],[_Res3Units]]="",DefaultUnits,Tasks[[#This Row],[_Res3Units]]))</f>
        <v>0</v>
      </c>
      <c r="EE72" s="43" t="n">
        <f aca="false">IF(AND(AND(Tasks[[#This Row],[_IsLeaf]]=1,Tasks[[#This Row],[_LeafTotalWork]]&gt;0),Tasks[[#This Row],[_Res3Work]]&gt;0),Tasks[[#This Row],[_Res3Work]]/(Tasks[[#This Row],[_FinishWorkday]]-Tasks[[#This Row],[_StartWorkday]]+1),0)</f>
        <v>0</v>
      </c>
      <c r="EF72" s="43" t="n">
        <f aca="false">Tasks[[#This Row],[_Res3WorkPerWD]]*MAX(0,Tasks[[#This Row],[_StartWorkday]]-1)</f>
        <v>0</v>
      </c>
      <c r="EG72" s="43" t="n">
        <f aca="false">Tasks[[#This Row],[_Res3Work]]*Tasks[[#This Row],[_LeafProgress]]</f>
        <v>0</v>
      </c>
      <c r="EH72" s="43" t="str">
        <f aca="false">IF(Tasks[[#This Row],[_Res4Text]]="","",IF(Tasks[[#This Row],[_Res4Row]]&gt;0,INDEX(res_Name,Tasks[[#This Row],[_Res4Row]]),TRIM(LEFT(Tasks[[#This Row],[_Res4Text]],FIND("[",Tasks[[#This Row],[_Res4Text]]&amp;"[")-1))))</f>
        <v/>
      </c>
      <c r="EI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2" s="43" t="n">
        <f aca="false">IF(OR(NOT(Tasks[[#This Row],[_IsLeaf]]=1),Tasks[[#This Row],[_Res4Row]]=0),0,N(Tasks[[#This Row],[_Days]])*HoursPerDay*IF(Tasks[[#This Row],[_Res4Units]]="",DefaultUnits,Tasks[[#This Row],[_Res4Units]]))</f>
        <v>0</v>
      </c>
      <c r="EK72" s="43" t="n">
        <f aca="false">IF(AND(AND(Tasks[[#This Row],[_IsLeaf]]=1,Tasks[[#This Row],[_LeafTotalWork]]&gt;0),Tasks[[#This Row],[_Res4Work]]&gt;0),Tasks[[#This Row],[_Res4Work]]/(Tasks[[#This Row],[_FinishWorkday]]-Tasks[[#This Row],[_StartWorkday]]+1),0)</f>
        <v>0</v>
      </c>
      <c r="EL72" s="43" t="n">
        <f aca="false">Tasks[[#This Row],[_Res4WorkPerWD]]*MAX(0,Tasks[[#This Row],[_StartWorkday]]-1)</f>
        <v>0</v>
      </c>
      <c r="EM72" s="43" t="n">
        <f aca="false">Tasks[[#This Row],[_Res4Work]]*Tasks[[#This Row],[_LeafProgress]]</f>
        <v>0</v>
      </c>
      <c r="EN72" s="43" t="n">
        <f aca="false">IF(ISNUMBER(Tasks[[#This Row],[% Complete]]),Tasks[[#This Row],[% Complete]],IF(Tasks[[#This Row],[Stage]]="",0,IFERROR(INDEX(stg_Pct,MATCH(Tasks[[#This Row],[Stage]],stg_Name,0)),0)))</f>
        <v>0</v>
      </c>
      <c r="EO72" s="43" t="n">
        <f aca="false">IF(NOT(Tasks[[#This Row],[_IsLeaf]]=1),0,IF(N(Tasks[[#This Row],[Actual Finish]])&gt;0,1,MIN(1,Tasks[[#This Row],[_Pct]])))</f>
        <v>0</v>
      </c>
      <c r="EP72" s="43" t="n">
        <f aca="false">IF(OR(NOT(Tasks[[#This Row],[_IsLeaf]]=1),Tasks[[#This Row],[_Res1Row]]=0),0,N(Tasks[[#This Row],[_Days]])*HoursPerDay*IF(Tasks[[#This Row],[_Units1]]="",DefaultUnits,Tasks[[#This Row],[_Units1]]))</f>
        <v>0</v>
      </c>
      <c r="EQ72" s="43" t="n">
        <f aca="false">Tasks[[#This Row],[_LeafWork]]+Tasks[[#This Row],[_Res2Work]]+Tasks[[#This Row],[_Res3Work]]+Tasks[[#This Row],[_Res4Work]]</f>
        <v>0</v>
      </c>
      <c r="ER7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2" s="43" t="n">
        <f aca="false">IF(NOT(Tasks[[#This Row],[_IsLeaf]]=1),0,MAX(_xlfn.MAXIFS(Tasks[_Row],Tasks[_Pred1UID],Tasks[[#This Row],[UID]]),_xlfn.MAXIFS(Tasks[_Row],Tasks[_Pred2UID],Tasks[[#This Row],[UID]]),_xlfn.MAXIFS(Tasks[_Row],Tasks[_Pred3UID],Tasks[[#This Row],[UID]]),_xlfn.MAXIFS(Tasks[_Row],Tasks[_Pred4UID],Tasks[[#This Row],[UID]])))</f>
        <v>0</v>
      </c>
      <c r="FA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2" s="91" t="str">
        <f aca="false">IF(NOT(Tasks[[#This Row],[_IsLeaf]]=1),"",IF(N(Tasks[[#This Row],[_Days]])&lt;=0,Tasks[[#This Row],[_LeafLateFinish]],WORKDAY.INTL(Tasks[[#This Row],[_LeafLateFinish]],-(Tasks[[#This Row],[_Days]]-1),WorkWeek,Holidays)))</f>
        <v/>
      </c>
      <c r="FD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2" s="90" t="b">
        <f aca="false">AND(Tasks[[#This Row],[_IsLeaf]]=1,Tasks[[#This Row],[_LeafProgress]]&lt;1,N(Tasks[[#This Row],[_LeafTotalSlack]])&lt;=CriticalSlackDays)</f>
        <v>0</v>
      </c>
      <c r="FF72" s="43" t="n">
        <f aca="false">IF(AND(Tasks[[#This Row],[_IsLeaf]]=1,Tasks[[#This Row],[_ConstraintCode]]=1,Tasks[[#This Row],[Mode]]&lt;&gt;"Manual",N(Tasks[[#This Row],[Actual Start]])=0),MAX(0,N(Tasks[[#This Row],[Free Slack]])),0)</f>
        <v>0</v>
      </c>
      <c r="FG72" s="91" t="str">
        <f aca="false">IF(NOT(Tasks[[#This Row],[_IsLeaf]]=1),"",IF(Tasks[[#This Row],[_AlapShift]]=0,Tasks[[#This Row],[_LeafCalcStart]],WORKDAY.INTL(Tasks[[#This Row],[_LeafCalcStart]],Tasks[[#This Row],[_AlapShift]],WorkWeek,Holidays)))</f>
        <v/>
      </c>
      <c r="FH72" s="91" t="str">
        <f aca="false">IF(NOT(Tasks[[#This Row],[_IsLeaf]]=1),"",IF(Tasks[[#This Row],[_AlapShift]]=0,Tasks[[#This Row],[_LeafCalcFinish]],WORKDAY.INTL(Tasks[[#This Row],[_LeafCalcFinish]],Tasks[[#This Row],[_AlapShift]],WorkWeek,Holidays)))</f>
        <v/>
      </c>
      <c r="FI72" s="91" t="str">
        <f aca="false">IF(NOT(Tasks[[#This Row],[_IsLeaf]]=1),"",IF(Tasks[[#This Row],[_AlapShift]]=0,Tasks[[#This Row],[_LeafFcstStart]],WORKDAY.INTL(Tasks[[#This Row],[_LeafFcstStart]],Tasks[[#This Row],[_AlapShift]],WorkWeek,Holidays)))</f>
        <v/>
      </c>
      <c r="FJ72" s="91" t="str">
        <f aca="false">IF(NOT(Tasks[[#This Row],[_IsLeaf]]=1),"",IF(Tasks[[#This Row],[_AlapShift]]=0,Tasks[[#This Row],[_LeafFcstFinish]],WORKDAY.INTL(Tasks[[#This Row],[_LeafFcstFinish]],Tasks[[#This Row],[_AlapShift]],WorkWeek,Holidays)))</f>
        <v/>
      </c>
      <c r="FK72" s="91" t="str">
        <f aca="false">IF(Tasks[[#This Row],[Task Name]]="","",IF(Tasks[[#This Row],[_IsSummary]],MIN(INDEX(Tasks[_ShownCalcStart],Tasks[[#This Row],[_Row]]+1):INDEX(Tasks[_ShownCalcStart],Tasks[[#This Row],[_Row]]+Tasks[[#This Row],[_Descendants]])),Tasks[[#This Row],[_ShownCalcStart]]))</f>
        <v/>
      </c>
      <c r="FL72" s="91" t="str">
        <f aca="false">IF(Tasks[[#This Row],[Task Name]]="","",IF(Tasks[[#This Row],[_IsSummary]],MAX(INDEX(Tasks[_ShownCalcFinish],Tasks[[#This Row],[_Row]]+1):INDEX(Tasks[_ShownCalcFinish],Tasks[[#This Row],[_Row]]+Tasks[[#This Row],[_Descendants]])),Tasks[[#This Row],[_ShownCalcFinish]]))</f>
        <v/>
      </c>
      <c r="FM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2" s="43" t="n">
        <f aca="false">IF(AND(Tasks[[#This Row],[_IsLeaf]]=1,Tasks[[#This Row],[_LeafTotalWork]]&gt;0),NETWORKDAYS.INTL(ProjectStart,Tasks[[#This Row],[_ShownFcstStart]],WorkWeek,Holidays),0)</f>
        <v>0</v>
      </c>
      <c r="FZ72" s="43" t="n">
        <f aca="false">IF(AND(Tasks[[#This Row],[_IsLeaf]]=1,Tasks[[#This Row],[_LeafTotalWork]]&gt;0),MAX(Tasks[[#This Row],[_StartWorkday]],NETWORKDAYS.INTL(ProjectStart,Tasks[[#This Row],[_ShownFcstFinish]],WorkWeek,Holidays)),0)</f>
        <v>0</v>
      </c>
      <c r="GA72" s="43" t="n">
        <f aca="false">IF(AND(Tasks[[#This Row],[_IsLeaf]]=1,Tasks[[#This Row],[_LeafTotalWork]]&gt;0),Tasks[[#This Row],[_LeafWork]]/(Tasks[[#This Row],[_FinishWorkday]]-Tasks[[#This Row],[_StartWorkday]]+1),0)</f>
        <v>0</v>
      </c>
      <c r="GB72" s="43" t="n">
        <f aca="false">Tasks[[#This Row],[_WorkPerWorkday]]*(Tasks[[#This Row],[_StartWorkday]]-1)</f>
        <v>-0</v>
      </c>
      <c r="GC72" s="43" t="n">
        <f aca="false">IF(Tasks[[#This Row],[_IsLeaf]]=1,MAX(N(Tasks[[#This Row],[_Days]]),0.1),0)</f>
        <v>0</v>
      </c>
      <c r="GD72" s="43" t="n">
        <f aca="false">Tasks[[#This Row],[_WeightDur]]*Tasks[[#This Row],[_LeafProgress]]</f>
        <v>0</v>
      </c>
      <c r="GE72" s="43" t="n">
        <f aca="false">Tasks[[#This Row],[_WeightDur]]*Tasks[[#This Row],[_PlannedPct]]</f>
        <v>0</v>
      </c>
      <c r="GF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2" s="43" t="str">
        <f aca="false">IF(AND(Tasks[[#This Row],[_IsLeaf]]=1,N(Tasks[[#This Row],[_Days]])=0,Tasks[[#This Row],[_LeafProgress]]&lt;1),Tasks[[#This Row],[_ShownFcstFinish]]+Tasks[[#This Row],[_Row]]/100000,"")</f>
        <v/>
      </c>
      <c r="GH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2" s="43" t="str">
        <f aca="false">IF(Tasks[[#This Row],[Task Name]]="","",LEFT(Tasks[[#This Row],[WBS]],FIND(".",Tasks[[#This Row],[WBS]]&amp;".")-1))</f>
        <v/>
      </c>
      <c r="GJ72" s="43" t="str">
        <f aca="false">IF(AND(Tasks[[#This Row],[Task Name]]&lt;&gt;"",Tasks[[#This Row],[_Level]]=1),Tasks[[#This Row],[_Row]],"")</f>
        <v/>
      </c>
      <c r="GK72" s="43" t="str">
        <f aca="false">IF(AND(Tasks[[#This Row],[_IsLeaf]]=1,N(Tasks[[#This Row],[_Days]])=0),Tasks[[#This Row],[Planned Finish]]+Tasks[[#This Row],[_Row]]/100000,"")</f>
        <v/>
      </c>
      <c r="GL72" s="43" t="str">
        <f aca="false">IF(AND(Tasks[[#This Row],[_IsLeaf]]=1,Tasks[[#This Row],[_LeafProgress]]&lt;1,OR(N(Tasks[[#This Row],[Finish Var]])&gt;0,Tasks[[#This Row],[Status]]="Late Start")),MAX(0,Tasks[[#This Row],[Finish Var]])+1-Tasks[[#This Row],[_Row]]/1000000,"")</f>
        <v/>
      </c>
      <c r="GM72" s="43" t="str">
        <f aca="false">IF(AND(Tasks[[#This Row],[_IsLeaf]]=1,N(Tasks[[#This Row],[Actual Start]])=0,Tasks[[#This Row],[_ShownFcstStart]]&gt;=StatusDate,Tasks[[#This Row],[_ShownFcstStart]]&lt;=LookaheadEnd),Tasks[[#This Row],[_ShownFcstStart]]+Tasks[[#This Row],[_Row]]/100000,"")</f>
        <v/>
      </c>
      <c r="GN72" s="43" t="str">
        <f aca="false">IF(AND(Tasks[[#This Row],[_IsLeaf]]=1,Tasks[[#This Row],[_LeafProgress]]&lt;1,Tasks[[#This Row],[_ShownFcstFinish]]&gt;=StatusDate,Tasks[[#This Row],[_ShownFcstFinish]]&lt;=LookaheadEnd),Tasks[[#This Row],[_ShownFcstFinish]]+Tasks[[#This Row],[_Row]]/100000,"")</f>
        <v/>
      </c>
      <c r="GO72" s="43" t="str">
        <f aca="false">IF(Tasks[[#This Row],[_LeafCritical]],Tasks[[#This Row],[_ShownFcstStart]]+Tasks[[#This Row],[_Row]]/100000,"")</f>
        <v/>
      </c>
      <c r="GP72" s="43" t="n">
        <f aca="false">Tasks[[#This Row],[_LeafWork]]*Tasks[[#This Row],[_LeafProgress]]</f>
        <v>0</v>
      </c>
      <c r="GQ72" s="91" t="str">
        <f aca="false">IF(AND(Tasks[[#This Row],[_IsLeaf]]=1,Tasks[[#This Row],[_LeafProgress]]&gt;=1),IF(N(Tasks[[#This Row],[Actual Finish]])&gt;0,Tasks[[#This Row],[Actual Finish]],Tasks[[#This Row],[_ShownFcstFinish]]),"")</f>
        <v/>
      </c>
      <c r="GR72" s="43" t="n">
        <f aca="false">IF(Tasks[[#This Row],[_IsLeaf]]=1,N(Tasks[[#This Row],[Story Points]]),0)</f>
        <v>0</v>
      </c>
      <c r="GS72" s="43" t="str">
        <f aca="false">""</f>
        <v/>
      </c>
      <c r="GT72" s="90" t="b">
        <f aca="false">IF(Tasks[[#This Row],[Task Name]]="",FALSE(),AND(Tasks[[#This Row],[_IsLeaf]]=1,N(Tasks[[#This Row],[_Days]])=0))</f>
        <v>0</v>
      </c>
      <c r="GU72" s="91" t="n">
        <f aca="false">IF(Tasks[[#This Row],[Task Name]]="",0,IF(AND(Tasks[[#This Row],[_IsLeaf]]=1,NOT(Tasks[[#This Row],[_IsMilestone]]),N(Tasks[[#This Row],[Progress]])&gt;0),Tasks[[#This Row],[Start]],0))</f>
        <v>0</v>
      </c>
      <c r="GV72" s="91" t="n">
        <f aca="false">IF(Tasks[[#This Row],[_DoneFrom]]=0,0,IF(Tasks[[#This Row],[Progress]]&gt;=1,Tasks[[#This Row],[Finish]],MAX(Tasks[[#This Row],[_DoneFrom]],Tasks[[#This Row],[Start]]+ROUND((Tasks[[#This Row],[Finish]]-Tasks[[#This Row],[Start]]+1)*Tasks[[#This Row],[Progress]],0)-1)))</f>
        <v>0</v>
      </c>
      <c r="GW72" s="91" t="n">
        <f aca="false">IF(Tasks[[#This Row],[Task Name]]="",0,IF(OR(NOT(Tasks[[#This Row],[_IsLeaf]]=1),Tasks[[#This Row],[_IsMilestone]],N(Tasks[[#This Row],[Progress]])&gt;=1),0,IF(Tasks[[#This Row],[_DoneTo]]&gt;0,Tasks[[#This Row],[_DoneTo]]+1,Tasks[[#This Row],[Start]])))</f>
        <v>0</v>
      </c>
      <c r="GX72" s="91" t="n">
        <f aca="false">IF(Tasks[[#This Row],[_RemFrom]]=0,0,Tasks[[#This Row],[Finish]])</f>
        <v>0</v>
      </c>
      <c r="GY72" s="90" t="b">
        <f aca="false">IF(Tasks[[#This Row],[Task Name]]="",FALSE(),OR(NOT(BaselineSet),N(Tasks[[#This Row],[Baseline Start]])&gt;0))</f>
        <v>0</v>
      </c>
      <c r="GZ7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2" s="92" t="str">
        <f aca="false">IF(Tasks[[#This Row],[_IsLeaf]]=1,Tasks[[#This Row],[_Row]],"")</f>
        <v/>
      </c>
      <c r="HD72" s="92" t="str">
        <f aca="false">IFERROR(INDEX(Tasks[UID],SMALL(Tasks[_PickKey],Tasks[[#This Row],[_Row]]))&amp;" "&amp;INDEX(Tasks[Task Name],SMALL(Tasks[_PickKey],Tasks[[#This Row],[_Row]])),"")</f>
        <v/>
      </c>
      <c r="HE72" s="43" t="str">
        <f aca="false">IF(Tasks[[#This Row],[Task Name]]="","",IF(Tasks[[#This Row],[_IsSummary]],NETWORKDAYS.INTL(Tasks[[#This Row],[Start]],Tasks[[#This Row],[Finish]],WorkWeek,Holidays),N(Tasks[[#This Row],[_Days]])))</f>
        <v/>
      </c>
      <c r="HF72" s="43" t="n">
        <f aca="false">IF(Tasks[[#This Row],[Expected]]="",0,((Tasks[[#This Row],[Pessimistic]]-Tasks[[#This Row],[Optimistic]])/6)^2)</f>
        <v>0</v>
      </c>
      <c r="HG72" s="43" t="n">
        <f aca="false">IF(Tasks[[#This Row],[Expected]]="",0,Tasks[[#This Row],[Expected]]-N(Tasks[[#This Row],[_Days]]))</f>
        <v>0</v>
      </c>
    </row>
    <row r="73" customFormat="false" ht="15" hidden="false" customHeight="false" outlineLevel="0" collapsed="false">
      <c r="A73" s="21" t="str">
        <f aca="false">IF(Tasks[[#This Row],[Task Name]]="","",COUNTA(Tasks[[#Headers],[Task Name]]:Tasks[[#This Row],[Task Name]])-1)</f>
        <v/>
      </c>
      <c r="B73" s="22" t="n">
        <v>81</v>
      </c>
      <c r="C73" s="22"/>
      <c r="D73" s="23"/>
      <c r="E73" s="22"/>
      <c r="F73" s="23"/>
      <c r="G73" s="22"/>
      <c r="H73" s="22"/>
      <c r="I73" s="23"/>
      <c r="J73" s="22"/>
      <c r="K73" s="22"/>
      <c r="L73" s="23"/>
      <c r="M73" s="22"/>
      <c r="N73" s="22"/>
      <c r="O73" s="23"/>
      <c r="P73" s="22"/>
      <c r="Q73" s="22"/>
      <c r="R73" s="23"/>
      <c r="S73" s="23"/>
      <c r="T73" s="84"/>
      <c r="U73" s="23"/>
      <c r="V73" s="84"/>
      <c r="W73" s="23"/>
      <c r="X73" s="84"/>
      <c r="Y73" s="23"/>
      <c r="Z73" s="84"/>
      <c r="AA73" s="23"/>
      <c r="AB73" s="23"/>
      <c r="AC73" s="7"/>
      <c r="AD73" s="7"/>
      <c r="AE73" s="63" t="str">
        <f aca="false">IF(Tasks[[#This Row],[Task Name]]="","",IF(Tasks[[#This Row],[_IsSummary]],MIN(INDEX(Tasks[_ShownFcstStart],Tasks[[#This Row],[_Row]]+1):INDEX(Tasks[_ShownFcstStart],Tasks[[#This Row],[_Row]]+Tasks[[#This Row],[_Descendants]])),Tasks[[#This Row],[_ShownFcstStart]]))</f>
        <v/>
      </c>
      <c r="AF73" s="63" t="str">
        <f aca="false">IF(Tasks[[#This Row],[Task Name]]="","",IF(Tasks[[#This Row],[_IsSummary]],MAX(INDEX(Tasks[_ShownFcstFinish],Tasks[[#This Row],[_Row]]+1):INDEX(Tasks[_ShownFcstFinish],Tasks[[#This Row],[_Row]]+Tasks[[#This Row],[_Descendants]])),Tasks[[#This Row],[_ShownFcstFinish]]))</f>
        <v/>
      </c>
      <c r="AG73" s="21" t="str">
        <f aca="false">""</f>
        <v/>
      </c>
      <c r="AH73" s="23"/>
      <c r="AI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3" s="7"/>
      <c r="AK73" s="22"/>
      <c r="AL73" s="23"/>
      <c r="AM73" s="7"/>
      <c r="AN73" s="47" t="str">
        <f aca="false">IF(Tasks[[#This Row],[Task Name]]="","",IF(Tasks[[#This Row],[Finish]]&gt;=Tasks[[#This Row],[Planned Finish]],NETWORKDAYS.INTL(Tasks[[#This Row],[Planned Finish]],Tasks[[#This Row],[Finish]],WorkWeek,Holidays)-1,1-NETWORKDAYS.INTL(Tasks[[#This Row],[Finish]],Tasks[[#This Row],[Planned Finish]],WorkWeek,Holidays)))</f>
        <v/>
      </c>
      <c r="AO73" s="21" t="str">
        <f aca="false">IF(Tasks[[#This Row],[Task Name]]="","",IF(Tasks[[#This Row],[Progress]]&gt;=1,"Complete",IF(OR(N(Tasks[[#This Row],[Actual Start]])&gt;0,Tasks[[#This Row],[Progress]]&gt;0),IF(Tasks[[#This Row],[Finish Var]]&gt;0,"Behind","In Progress"),IF(Tasks[[#This Row],[Planned Start]]&lt;StatusDate,"Late Start","Not Started"))))</f>
        <v/>
      </c>
      <c r="AP73" s="21" t="str">
        <f aca="false">IF(Tasks[[#This Row],[Task Name]]="","",IF(IF(Tasks[[#This Row],[_IsSummary]],COUNTIF(INDEX(Tasks[_LeafCritical],Tasks[[#This Row],[_Row]]+1):INDEX(Tasks[_LeafCritical],Tasks[[#This Row],[_Row]]+Tasks[[#This Row],[_Descendants]]),TRUE())&gt;0,Tasks[[#This Row],[_LeafCritical]]),"Yes",""))</f>
        <v/>
      </c>
      <c r="AQ73" s="63" t="str">
        <f aca="false">IF(Tasks[[#This Row],[Task Name]]="","",IF(N(Tasks[[#This Row],[Baseline Start]])&gt;0,Tasks[[#This Row],[Baseline Start]],Tasks[[#This Row],[_CalcStart]]))</f>
        <v/>
      </c>
      <c r="AR73" s="63" t="str">
        <f aca="false">IF(Tasks[[#This Row],[Task Name]]="","",IF(N(Tasks[[#This Row],[Baseline Finish]])&gt;0,Tasks[[#This Row],[Baseline Finish]],Tasks[[#This Row],[_CalcFinish]]))</f>
        <v/>
      </c>
      <c r="AS73" s="47" t="str">
        <f aca="false">IF(Tasks[[#This Row],[Task Name]]="","",IF(Tasks[[#This Row],[Start]]&gt;=Tasks[[#This Row],[Planned Start]],NETWORKDAYS.INTL(Tasks[[#This Row],[Planned Start]],Tasks[[#This Row],[Start]],WorkWeek,Holidays)-1,1-NETWORKDAYS.INTL(Tasks[[#This Row],[Start]],Tasks[[#This Row],[Planned Start]],WorkWeek,Holidays)))</f>
        <v/>
      </c>
      <c r="AT73" s="63" t="str">
        <f aca="false">IF(Tasks[[#This Row],[Task Name]]="","",IF(Tasks[[#This Row],[_IsSummary]],MIN(INDEX(Tasks[_LeafLateStart],Tasks[[#This Row],[_Row]]+1):INDEX(Tasks[_LeafLateStart],Tasks[[#This Row],[_Row]]+Tasks[[#This Row],[_Descendants]])),Tasks[[#This Row],[_LeafLateStart]]))</f>
        <v/>
      </c>
      <c r="AU73" s="63" t="str">
        <f aca="false">IF(Tasks[[#This Row],[Task Name]]="","",IF(Tasks[[#This Row],[_IsSummary]],MAX(INDEX(Tasks[_LeafLateFinish],Tasks[[#This Row],[_Row]]+1):INDEX(Tasks[_LeafLateFinish],Tasks[[#This Row],[_Row]]+Tasks[[#This Row],[_Descendants]])),Tasks[[#This Row],[_LeafLateFinish]]))</f>
        <v/>
      </c>
      <c r="AV73" s="47" t="str">
        <f aca="false">IF(Tasks[[#This Row],[Task Name]]="","",IF(Tasks[[#This Row],[_IsSummary]],MIN(INDEX(Tasks[_LeafTotalSlack],Tasks[[#This Row],[_Row]]+1):INDEX(Tasks[_LeafTotalSlack],Tasks[[#This Row],[_Row]]+Tasks[[#This Row],[_Descendants]])),Tasks[[#This Row],[_LeafTotalSlack]]))</f>
        <v/>
      </c>
      <c r="AW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5"/>
      <c r="BA7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t="str">
        <f aca="false">IF(Tasks[[#This Row],[Task Name]]="","",IF(Tasks[[#This Row],[_Level]]&lt;=OutlineShowLevel,"Yes","No"))</f>
        <v/>
      </c>
      <c r="BE73" s="86" t="str">
        <f aca="false">IF(Tasks[[#This Row],[Task Name]]="","",IF(Tasks[[#This Row],[_IsSummary]],SUM(INDEX(Tasks[_LeafTotalWork],Tasks[[#This Row],[_Row]]+1):INDEX(Tasks[_LeafTotalWork],Tasks[[#This Row],[_Row]]+Tasks[[#This Row],[_Descendants]])),Tasks[[#This Row],[_LeafTotalWork]]))</f>
        <v/>
      </c>
      <c r="BF73" s="23"/>
      <c r="BG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t="str">
        <f aca="false">""</f>
        <v/>
      </c>
      <c r="BI73" s="87"/>
      <c r="BJ73" s="22"/>
      <c r="BK73" s="47" t="str">
        <f aca="false">IF(OR(Tasks[[#This Row],[Task Name]]="",Tasks[[#This Row],[Baseline Duration]]=""),"",Tasks[[#This Row],[_SpanDays]]-N(Tasks[[#This Row],[Baseline Duration]]))</f>
        <v/>
      </c>
      <c r="BL73" s="86" t="str">
        <f aca="false">IF(OR(Tasks[[#This Row],[Task Name]]="",Tasks[[#This Row],[Baseline Work]]=""),"",Tasks[[#This Row],[Work]]-N(Tasks[[#This Row],[Baseline Work]]))</f>
        <v/>
      </c>
      <c r="BM73" s="63" t="str">
        <f aca="false">IF(Tasks[[#This Row],[Task Name]]="","",IF(OR(TakeBaseline="Yes",N(Tasks[[#This Row],[Baseline Start]])=0),Tasks[[#This Row],[Start]],Tasks[[#This Row],[Baseline Start]]))</f>
        <v/>
      </c>
      <c r="BN73" s="63" t="str">
        <f aca="false">IF(Tasks[[#This Row],[Task Name]]="","",IF(OR(TakeBaseline="Yes",N(Tasks[[#This Row],[Baseline Finish]])=0),Tasks[[#This Row],[Finish]],Tasks[[#This Row],[Baseline Finish]]))</f>
        <v/>
      </c>
      <c r="BO73" s="21" t="str">
        <f aca="false">IF(Tasks[[#This Row],[Task Name]]="","",IF(OR(TakeBaseline="Yes",N(Tasks[[#This Row],[Baseline Duration]])=0),Tasks[[#This Row],[_SpanDays]],Tasks[[#This Row],[Baseline Duration]]))</f>
        <v/>
      </c>
      <c r="BP73" s="86" t="str">
        <f aca="false">IF(Tasks[[#This Row],[Task Name]]="","",IF(OR(TakeBaseline="Yes",N(Tasks[[#This Row],[Baseline Work]])=0),Tasks[[#This Row],[Work]],Tasks[[#This Row],[Baseline Work]]))</f>
        <v/>
      </c>
      <c r="BQ73" s="7"/>
      <c r="BR73" s="7"/>
      <c r="BS73" s="22"/>
      <c r="BT73" s="88"/>
      <c r="BU73" s="23"/>
      <c r="BV73" s="23"/>
      <c r="BW73" s="23"/>
      <c r="BX73" s="89" t="str">
        <f aca="false">IF(AND(Tasks[[#This Row],[_IsLeaf]]=1,ISNUMBER(Tasks[[#This Row],[Optimistic]]),ISNUMBER(Tasks[[#This Row],[Pessimistic]])),ROUND((Tasks[[#This Row],[Optimistic]]+4*N(Tasks[[#This Row],[_Days]])+Tasks[[#This Row],[Pessimistic]])/6,1),"")</f>
        <v/>
      </c>
      <c r="BY73" s="87"/>
      <c r="BZ73" s="87"/>
      <c r="CA73" s="22"/>
      <c r="CB73" s="43" t="str">
        <f aca="false">IF(Tasks[[#This Row],[Task Name]]="","",MAX(1,N(Tasks[[#This Row],[Level]])))</f>
        <v/>
      </c>
      <c r="CC73" s="43" t="n">
        <f aca="false">ROW()-ROW(Tasks[[#Headers],[ID]])</f>
        <v>68</v>
      </c>
      <c r="CD73" s="43" t="n">
        <f aca="false">IF(OR(Tasks[[#This Row],[Task Name]]="",Tasks[[#This Row],[_Level]]&lt;=1),0,IFERROR(LOOKUP(2,1/(Tasks[[#Headers],[_Level]]:Tasks[[#This Row],[_Level]]=Tasks[[#This Row],[_Level]]-1),ROW(Tasks[[#Headers],[_Level]]:Tasks[[#This Row],[_Level]])),0))</f>
        <v>0</v>
      </c>
      <c r="CE73" s="43" t="n">
        <f aca="false">IFERROR(N(INDEX(Tasks[_Level],Tasks[[#This Row],[_Row]]+1)),0)</f>
        <v>0</v>
      </c>
      <c r="CF73" s="90" t="b">
        <f aca="false">AND(Tasks[[#This Row],[Task Name]]&lt;&gt;"",Tasks[[#This Row],[_NextLevel]]&gt;Tasks[[#This Row],[_Level]])</f>
        <v>0</v>
      </c>
      <c r="CG73" s="43" t="n">
        <f aca="false">IF(Tasks[[#This Row],[_IsSummary]],COUNTIF(Tasks[WBS],Tasks[[#This Row],[WBS]]&amp;".*"),0)</f>
        <v>0</v>
      </c>
      <c r="CH73" s="43" t="n">
        <f aca="false">IF(AND(Tasks[[#This Row],[Task Name]]&lt;&gt;"",NOT(Tasks[[#This Row],[_IsSummary]])),1,0)</f>
        <v>0</v>
      </c>
      <c r="CI73" s="43" t="n">
        <f aca="false">IF(N(Tasks[[#This Row],[_Pred1UID]])=0,0,IFERROR(MATCH(Tasks[[#This Row],[_Pred1UID]],Tasks[UID],0),-1))</f>
        <v>0</v>
      </c>
      <c r="CJ73" s="43" t="n">
        <f aca="false">IF(N(Tasks[[#This Row],[_Pred2UID]])=0,0,IFERROR(MATCH(Tasks[[#This Row],[_Pred2UID]],Tasks[UID],0),-1))</f>
        <v>0</v>
      </c>
      <c r="CK73" s="43" t="n">
        <f aca="false">IF(N(Tasks[[#This Row],[_Pred3UID]])=0,0,IFERROR(MATCH(Tasks[[#This Row],[_Pred3UID]],Tasks[UID],0),-1))</f>
        <v>0</v>
      </c>
      <c r="CL73" s="43" t="n">
        <f aca="false">IF(N(Tasks[[#This Row],[_Pred4UID]])=0,0,IFERROR(MATCH(Tasks[[#This Row],[_Pred4UID]],Tasks[UID],0),-1))</f>
        <v>0</v>
      </c>
      <c r="CM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3" s="91" t="n">
        <f aca="false">IF(OR(Tasks[[#This Row],[_ConstraintCode]]=2,Tasks[[#This Row],[_ConstraintCode]]=3,Tasks[[#This Row],[_ConstraintCode]]=4,Tasks[[#This Row],[_ConstraintCode]]=6),Tasks[[#This Row],[_ConstraintStart]],0)</f>
        <v>0</v>
      </c>
      <c r="CP73" s="91" t="n">
        <f aca="false">IF(OR(Tasks[[#This Row],[_ConstraintCode]]=2,Tasks[[#This Row],[_ConstraintCode]]=3,Tasks[[#This Row],[_ConstraintCode]]=5,Tasks[[#This Row],[_ConstraintCode]]=7),Tasks[[#This Row],[_ConstraintStart]],2958465)</f>
        <v>2958465</v>
      </c>
      <c r="CQ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3" s="91" t="str">
        <f aca="false">IF(NOT(Tasks[[#This Row],[_IsLeaf]]=1),"",IF(N(Tasks[[#This Row],[_Days]])&lt;=0,Tasks[[#This Row],[_LeafCalcStart]],WORKDAY.INTL(Tasks[[#This Row],[_LeafCalcStart]],Tasks[[#This Row],[_Days]]-1,WorkWeek,Holidays)))</f>
        <v/>
      </c>
      <c r="CS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3" s="43" t="str">
        <f aca="false">IF(Tasks[[#This Row],[_Predecessors]]="","",TRIM(MID(SUBSTITUTE(SUBSTITUTE(SUBSTITUTE(UPPER(Tasks[[#This Row],[_Predecessors]]),";",",")," ",""),",",REPT(" ",99)),1,99)))</f>
        <v/>
      </c>
      <c r="CV73" s="43" t="str">
        <f aca="false">IF(Tasks[[#This Row],[_Pred1Text]]="","",IFERROR(VALUE(LEFT(Tasks[[#This Row],[_Pred1Text]],MIN(FIND("F",Tasks[[#This Row],[_Pred1Text]]&amp;"F"),FIND("S",Tasks[[#This Row],[_Pred1Text]]&amp;"S"),FIND("+",Tasks[[#This Row],[_Pred1Text]]&amp;"+"),FIND("-",Tasks[[#This Row],[_Pred1Text]]&amp;"-"))-1)),""))</f>
        <v/>
      </c>
      <c r="CW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3" s="43" t="str">
        <f aca="false">IF(Tasks[[#This Row],[_Pred1Text]]="","",TRIM(MID(SUBSTITUTE(SUBSTITUTE(SUBSTITUTE(UPPER(Tasks[[#This Row],[_Predecessors]]),";",",")," ",""),",",REPT(" ",99)),100,99)))</f>
        <v/>
      </c>
      <c r="CZ73" s="43" t="str">
        <f aca="false">IF(Tasks[[#This Row],[_Pred2Text]]="","",IFERROR(VALUE(LEFT(Tasks[[#This Row],[_Pred2Text]],MIN(FIND("F",Tasks[[#This Row],[_Pred2Text]]&amp;"F"),FIND("S",Tasks[[#This Row],[_Pred2Text]]&amp;"S"),FIND("+",Tasks[[#This Row],[_Pred2Text]]&amp;"+"),FIND("-",Tasks[[#This Row],[_Pred2Text]]&amp;"-"))-1)),""))</f>
        <v/>
      </c>
      <c r="DA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3" s="43" t="str">
        <f aca="false">IF(Tasks[[#This Row],[_Pred2Text]]="","",TRIM(MID(SUBSTITUTE(SUBSTITUTE(SUBSTITUTE(UPPER(Tasks[[#This Row],[_Predecessors]]),";",",")," ",""),",",REPT(" ",99)),199,99)))</f>
        <v/>
      </c>
      <c r="DD73" s="43" t="str">
        <f aca="false">IF(Tasks[[#This Row],[_Pred3Text]]="","",IFERROR(VALUE(LEFT(Tasks[[#This Row],[_Pred3Text]],MIN(FIND("F",Tasks[[#This Row],[_Pred3Text]]&amp;"F"),FIND("S",Tasks[[#This Row],[_Pred3Text]]&amp;"S"),FIND("+",Tasks[[#This Row],[_Pred3Text]]&amp;"+"),FIND("-",Tasks[[#This Row],[_Pred3Text]]&amp;"-"))-1)),""))</f>
        <v/>
      </c>
      <c r="DE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3" s="43" t="str">
        <f aca="false">IF(Tasks[[#This Row],[_Pred3Text]]="","",TRIM(MID(SUBSTITUTE(SUBSTITUTE(SUBSTITUTE(UPPER(Tasks[[#This Row],[_Predecessors]]),";",",")," ",""),",",REPT(" ",99)),298,99)))</f>
        <v/>
      </c>
      <c r="DH73" s="43" t="str">
        <f aca="false">IF(Tasks[[#This Row],[_Pred4Text]]="","",IFERROR(VALUE(LEFT(Tasks[[#This Row],[_Pred4Text]],MIN(FIND("F",Tasks[[#This Row],[_Pred4Text]]&amp;"F"),FIND("S",Tasks[[#This Row],[_Pred4Text]]&amp;"S"),FIND("+",Tasks[[#This Row],[_Pred4Text]]&amp;"+"),FIND("-",Tasks[[#This Row],[_Pred4Text]]&amp;"-"))-1)),""))</f>
        <v/>
      </c>
      <c r="DI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3" s="43" t="str">
        <f aca="false">IF(OR(Tasks[[#This Row],[Task Name]]="",Tasks[[#This Row],[_Resources]]=""),"",TRIM(MID(SUBSTITUTE(Tasks[[#This Row],[_Resources]],",",REPT(" ",99)),1,99)))</f>
        <v/>
      </c>
      <c r="DL73" s="43" t="str">
        <f aca="false">IF(Tasks[[#This Row],[_Res1Text]]="","",TRIM(MID(SUBSTITUTE(Tasks[[#This Row],[_Resources]],",",REPT(" ",99)),100,99)))</f>
        <v/>
      </c>
      <c r="DM73" s="43" t="str">
        <f aca="false">IF(Tasks[[#This Row],[_Res2Text]]="","",TRIM(MID(SUBSTITUTE(Tasks[[#This Row],[_Resources]],",",REPT(" ",99)),199,99)))</f>
        <v/>
      </c>
      <c r="DN73" s="43" t="str">
        <f aca="false">IF(Tasks[[#This Row],[_Res3Text]]="","",TRIM(MID(SUBSTITUTE(Tasks[[#This Row],[_Resources]],",",REPT(" ",99)),298,99)))</f>
        <v/>
      </c>
      <c r="DO73" s="43" t="n">
        <f aca="false">IF(Tasks[[#This Row],[_Res1Text]]="",0,IFERROR(MATCH(TRIM(LEFT(Tasks[[#This Row],[_Res1Text]],FIND("[",Tasks[[#This Row],[_Res1Text]]&amp;"[")-1)),res_Name,0),IFERROR(MATCH(TRIM(LEFT(Tasks[[#This Row],[_Res1Text]],FIND("[",Tasks[[#This Row],[_Res1Text]]&amp;"[")-1)),res_Initials,0),0)))</f>
        <v>0</v>
      </c>
      <c r="DP73" s="43" t="n">
        <f aca="false">IF(Tasks[[#This Row],[_Res2Text]]="",0,IFERROR(MATCH(TRIM(LEFT(Tasks[[#This Row],[_Res2Text]],FIND("[",Tasks[[#This Row],[_Res2Text]]&amp;"[")-1)),res_Name,0),IFERROR(MATCH(TRIM(LEFT(Tasks[[#This Row],[_Res2Text]],FIND("[",Tasks[[#This Row],[_Res2Text]]&amp;"[")-1)),res_Initials,0),0)))</f>
        <v>0</v>
      </c>
      <c r="DQ73" s="43" t="n">
        <f aca="false">IF(Tasks[[#This Row],[_Res3Text]]="",0,IFERROR(MATCH(TRIM(LEFT(Tasks[[#This Row],[_Res3Text]],FIND("[",Tasks[[#This Row],[_Res3Text]]&amp;"[")-1)),res_Name,0),IFERROR(MATCH(TRIM(LEFT(Tasks[[#This Row],[_Res3Text]],FIND("[",Tasks[[#This Row],[_Res3Text]]&amp;"[")-1)),res_Initials,0),0)))</f>
        <v>0</v>
      </c>
      <c r="DR73" s="43" t="n">
        <f aca="false">IF(Tasks[[#This Row],[_Res4Text]]="",0,IFERROR(MATCH(TRIM(LEFT(Tasks[[#This Row],[_Res4Text]],FIND("[",Tasks[[#This Row],[_Res4Text]]&amp;"[")-1)),res_Name,0),IFERROR(MATCH(TRIM(LEFT(Tasks[[#This Row],[_Res4Text]],FIND("[",Tasks[[#This Row],[_Res4Text]]&amp;"[")-1)),res_Initials,0),0)))</f>
        <v>0</v>
      </c>
      <c r="DS73" s="43" t="str">
        <f aca="false">IF(Tasks[[#This Row],[_Res1Text]]="","",IF(Tasks[[#This Row],[_Res1Row]]&gt;0,INDEX(res_Name,Tasks[[#This Row],[_Res1Row]]),TRIM(LEFT(Tasks[[#This Row],[_Res1Text]],FIND("[",Tasks[[#This Row],[_Res1Text]]&amp;"[")-1))))</f>
        <v/>
      </c>
      <c r="DT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3" s="43" t="n">
        <f aca="false">IF(NOT(Tasks[[#This Row],[_IsLeaf]]=1),0,(Tasks[[#This Row],[_Resource1]]&lt;&gt;"")+(Tasks[[#This Row],[_Res2]]&lt;&gt;"")+(Tasks[[#This Row],[_Res3]]&lt;&gt;"")+(Tasks[[#This Row],[_Res4]]&lt;&gt;""))</f>
        <v>0</v>
      </c>
      <c r="DV73" s="43" t="str">
        <f aca="false">IF(Tasks[[#This Row],[_Res2Text]]="","",IF(Tasks[[#This Row],[_Res2Row]]&gt;0,INDEX(res_Name,Tasks[[#This Row],[_Res2Row]]),TRIM(LEFT(Tasks[[#This Row],[_Res2Text]],FIND("[",Tasks[[#This Row],[_Res2Text]]&amp;"[")-1))))</f>
        <v/>
      </c>
      <c r="DW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3" s="43" t="n">
        <f aca="false">IF(OR(NOT(Tasks[[#This Row],[_IsLeaf]]=1),Tasks[[#This Row],[_Res2Row]]=0),0,N(Tasks[[#This Row],[_Days]])*HoursPerDay*IF(Tasks[[#This Row],[_Res2Units]]="",DefaultUnits,Tasks[[#This Row],[_Res2Units]]))</f>
        <v>0</v>
      </c>
      <c r="DY73" s="43" t="n">
        <f aca="false">IF(AND(AND(Tasks[[#This Row],[_IsLeaf]]=1,Tasks[[#This Row],[_LeafTotalWork]]&gt;0),Tasks[[#This Row],[_Res2Work]]&gt;0),Tasks[[#This Row],[_Res2Work]]/(Tasks[[#This Row],[_FinishWorkday]]-Tasks[[#This Row],[_StartWorkday]]+1),0)</f>
        <v>0</v>
      </c>
      <c r="DZ73" s="43" t="n">
        <f aca="false">Tasks[[#This Row],[_Res2WorkPerWD]]*MAX(0,Tasks[[#This Row],[_StartWorkday]]-1)</f>
        <v>0</v>
      </c>
      <c r="EA73" s="43" t="n">
        <f aca="false">Tasks[[#This Row],[_Res2Work]]*Tasks[[#This Row],[_LeafProgress]]</f>
        <v>0</v>
      </c>
      <c r="EB73" s="43" t="str">
        <f aca="false">IF(Tasks[[#This Row],[_Res3Text]]="","",IF(Tasks[[#This Row],[_Res3Row]]&gt;0,INDEX(res_Name,Tasks[[#This Row],[_Res3Row]]),TRIM(LEFT(Tasks[[#This Row],[_Res3Text]],FIND("[",Tasks[[#This Row],[_Res3Text]]&amp;"[")-1))))</f>
        <v/>
      </c>
      <c r="EC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3" s="43" t="n">
        <f aca="false">IF(OR(NOT(Tasks[[#This Row],[_IsLeaf]]=1),Tasks[[#This Row],[_Res3Row]]=0),0,N(Tasks[[#This Row],[_Days]])*HoursPerDay*IF(Tasks[[#This Row],[_Res3Units]]="",DefaultUnits,Tasks[[#This Row],[_Res3Units]]))</f>
        <v>0</v>
      </c>
      <c r="EE73" s="43" t="n">
        <f aca="false">IF(AND(AND(Tasks[[#This Row],[_IsLeaf]]=1,Tasks[[#This Row],[_LeafTotalWork]]&gt;0),Tasks[[#This Row],[_Res3Work]]&gt;0),Tasks[[#This Row],[_Res3Work]]/(Tasks[[#This Row],[_FinishWorkday]]-Tasks[[#This Row],[_StartWorkday]]+1),0)</f>
        <v>0</v>
      </c>
      <c r="EF73" s="43" t="n">
        <f aca="false">Tasks[[#This Row],[_Res3WorkPerWD]]*MAX(0,Tasks[[#This Row],[_StartWorkday]]-1)</f>
        <v>0</v>
      </c>
      <c r="EG73" s="43" t="n">
        <f aca="false">Tasks[[#This Row],[_Res3Work]]*Tasks[[#This Row],[_LeafProgress]]</f>
        <v>0</v>
      </c>
      <c r="EH73" s="43" t="str">
        <f aca="false">IF(Tasks[[#This Row],[_Res4Text]]="","",IF(Tasks[[#This Row],[_Res4Row]]&gt;0,INDEX(res_Name,Tasks[[#This Row],[_Res4Row]]),TRIM(LEFT(Tasks[[#This Row],[_Res4Text]],FIND("[",Tasks[[#This Row],[_Res4Text]]&amp;"[")-1))))</f>
        <v/>
      </c>
      <c r="EI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3" s="43" t="n">
        <f aca="false">IF(OR(NOT(Tasks[[#This Row],[_IsLeaf]]=1),Tasks[[#This Row],[_Res4Row]]=0),0,N(Tasks[[#This Row],[_Days]])*HoursPerDay*IF(Tasks[[#This Row],[_Res4Units]]="",DefaultUnits,Tasks[[#This Row],[_Res4Units]]))</f>
        <v>0</v>
      </c>
      <c r="EK73" s="43" t="n">
        <f aca="false">IF(AND(AND(Tasks[[#This Row],[_IsLeaf]]=1,Tasks[[#This Row],[_LeafTotalWork]]&gt;0),Tasks[[#This Row],[_Res4Work]]&gt;0),Tasks[[#This Row],[_Res4Work]]/(Tasks[[#This Row],[_FinishWorkday]]-Tasks[[#This Row],[_StartWorkday]]+1),0)</f>
        <v>0</v>
      </c>
      <c r="EL73" s="43" t="n">
        <f aca="false">Tasks[[#This Row],[_Res4WorkPerWD]]*MAX(0,Tasks[[#This Row],[_StartWorkday]]-1)</f>
        <v>0</v>
      </c>
      <c r="EM73" s="43" t="n">
        <f aca="false">Tasks[[#This Row],[_Res4Work]]*Tasks[[#This Row],[_LeafProgress]]</f>
        <v>0</v>
      </c>
      <c r="EN73" s="43" t="n">
        <f aca="false">IF(ISNUMBER(Tasks[[#This Row],[% Complete]]),Tasks[[#This Row],[% Complete]],IF(Tasks[[#This Row],[Stage]]="",0,IFERROR(INDEX(stg_Pct,MATCH(Tasks[[#This Row],[Stage]],stg_Name,0)),0)))</f>
        <v>0</v>
      </c>
      <c r="EO73" s="43" t="n">
        <f aca="false">IF(NOT(Tasks[[#This Row],[_IsLeaf]]=1),0,IF(N(Tasks[[#This Row],[Actual Finish]])&gt;0,1,MIN(1,Tasks[[#This Row],[_Pct]])))</f>
        <v>0</v>
      </c>
      <c r="EP73" s="43" t="n">
        <f aca="false">IF(OR(NOT(Tasks[[#This Row],[_IsLeaf]]=1),Tasks[[#This Row],[_Res1Row]]=0),0,N(Tasks[[#This Row],[_Days]])*HoursPerDay*IF(Tasks[[#This Row],[_Units1]]="",DefaultUnits,Tasks[[#This Row],[_Units1]]))</f>
        <v>0</v>
      </c>
      <c r="EQ73" s="43" t="n">
        <f aca="false">Tasks[[#This Row],[_LeafWork]]+Tasks[[#This Row],[_Res2Work]]+Tasks[[#This Row],[_Res3Work]]+Tasks[[#This Row],[_Res4Work]]</f>
        <v>0</v>
      </c>
      <c r="ER7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3" s="43" t="n">
        <f aca="false">IF(NOT(Tasks[[#This Row],[_IsLeaf]]=1),0,MAX(_xlfn.MAXIFS(Tasks[_Row],Tasks[_Pred1UID],Tasks[[#This Row],[UID]]),_xlfn.MAXIFS(Tasks[_Row],Tasks[_Pred2UID],Tasks[[#This Row],[UID]]),_xlfn.MAXIFS(Tasks[_Row],Tasks[_Pred3UID],Tasks[[#This Row],[UID]]),_xlfn.MAXIFS(Tasks[_Row],Tasks[_Pred4UID],Tasks[[#This Row],[UID]])))</f>
        <v>0</v>
      </c>
      <c r="FA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3" s="91" t="str">
        <f aca="false">IF(NOT(Tasks[[#This Row],[_IsLeaf]]=1),"",IF(N(Tasks[[#This Row],[_Days]])&lt;=0,Tasks[[#This Row],[_LeafLateFinish]],WORKDAY.INTL(Tasks[[#This Row],[_LeafLateFinish]],-(Tasks[[#This Row],[_Days]]-1),WorkWeek,Holidays)))</f>
        <v/>
      </c>
      <c r="FD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3" s="90" t="b">
        <f aca="false">AND(Tasks[[#This Row],[_IsLeaf]]=1,Tasks[[#This Row],[_LeafProgress]]&lt;1,N(Tasks[[#This Row],[_LeafTotalSlack]])&lt;=CriticalSlackDays)</f>
        <v>0</v>
      </c>
      <c r="FF73" s="43" t="n">
        <f aca="false">IF(AND(Tasks[[#This Row],[_IsLeaf]]=1,Tasks[[#This Row],[_ConstraintCode]]=1,Tasks[[#This Row],[Mode]]&lt;&gt;"Manual",N(Tasks[[#This Row],[Actual Start]])=0),MAX(0,N(Tasks[[#This Row],[Free Slack]])),0)</f>
        <v>0</v>
      </c>
      <c r="FG73" s="91" t="str">
        <f aca="false">IF(NOT(Tasks[[#This Row],[_IsLeaf]]=1),"",IF(Tasks[[#This Row],[_AlapShift]]=0,Tasks[[#This Row],[_LeafCalcStart]],WORKDAY.INTL(Tasks[[#This Row],[_LeafCalcStart]],Tasks[[#This Row],[_AlapShift]],WorkWeek,Holidays)))</f>
        <v/>
      </c>
      <c r="FH73" s="91" t="str">
        <f aca="false">IF(NOT(Tasks[[#This Row],[_IsLeaf]]=1),"",IF(Tasks[[#This Row],[_AlapShift]]=0,Tasks[[#This Row],[_LeafCalcFinish]],WORKDAY.INTL(Tasks[[#This Row],[_LeafCalcFinish]],Tasks[[#This Row],[_AlapShift]],WorkWeek,Holidays)))</f>
        <v/>
      </c>
      <c r="FI73" s="91" t="str">
        <f aca="false">IF(NOT(Tasks[[#This Row],[_IsLeaf]]=1),"",IF(Tasks[[#This Row],[_AlapShift]]=0,Tasks[[#This Row],[_LeafFcstStart]],WORKDAY.INTL(Tasks[[#This Row],[_LeafFcstStart]],Tasks[[#This Row],[_AlapShift]],WorkWeek,Holidays)))</f>
        <v/>
      </c>
      <c r="FJ73" s="91" t="str">
        <f aca="false">IF(NOT(Tasks[[#This Row],[_IsLeaf]]=1),"",IF(Tasks[[#This Row],[_AlapShift]]=0,Tasks[[#This Row],[_LeafFcstFinish]],WORKDAY.INTL(Tasks[[#This Row],[_LeafFcstFinish]],Tasks[[#This Row],[_AlapShift]],WorkWeek,Holidays)))</f>
        <v/>
      </c>
      <c r="FK73" s="91" t="str">
        <f aca="false">IF(Tasks[[#This Row],[Task Name]]="","",IF(Tasks[[#This Row],[_IsSummary]],MIN(INDEX(Tasks[_ShownCalcStart],Tasks[[#This Row],[_Row]]+1):INDEX(Tasks[_ShownCalcStart],Tasks[[#This Row],[_Row]]+Tasks[[#This Row],[_Descendants]])),Tasks[[#This Row],[_ShownCalcStart]]))</f>
        <v/>
      </c>
      <c r="FL73" s="91" t="str">
        <f aca="false">IF(Tasks[[#This Row],[Task Name]]="","",IF(Tasks[[#This Row],[_IsSummary]],MAX(INDEX(Tasks[_ShownCalcFinish],Tasks[[#This Row],[_Row]]+1):INDEX(Tasks[_ShownCalcFinish],Tasks[[#This Row],[_Row]]+Tasks[[#This Row],[_Descendants]])),Tasks[[#This Row],[_ShownCalcFinish]]))</f>
        <v/>
      </c>
      <c r="FM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3" s="43" t="n">
        <f aca="false">IF(AND(Tasks[[#This Row],[_IsLeaf]]=1,Tasks[[#This Row],[_LeafTotalWork]]&gt;0),NETWORKDAYS.INTL(ProjectStart,Tasks[[#This Row],[_ShownFcstStart]],WorkWeek,Holidays),0)</f>
        <v>0</v>
      </c>
      <c r="FZ73" s="43" t="n">
        <f aca="false">IF(AND(Tasks[[#This Row],[_IsLeaf]]=1,Tasks[[#This Row],[_LeafTotalWork]]&gt;0),MAX(Tasks[[#This Row],[_StartWorkday]],NETWORKDAYS.INTL(ProjectStart,Tasks[[#This Row],[_ShownFcstFinish]],WorkWeek,Holidays)),0)</f>
        <v>0</v>
      </c>
      <c r="GA73" s="43" t="n">
        <f aca="false">IF(AND(Tasks[[#This Row],[_IsLeaf]]=1,Tasks[[#This Row],[_LeafTotalWork]]&gt;0),Tasks[[#This Row],[_LeafWork]]/(Tasks[[#This Row],[_FinishWorkday]]-Tasks[[#This Row],[_StartWorkday]]+1),0)</f>
        <v>0</v>
      </c>
      <c r="GB73" s="43" t="n">
        <f aca="false">Tasks[[#This Row],[_WorkPerWorkday]]*(Tasks[[#This Row],[_StartWorkday]]-1)</f>
        <v>-0</v>
      </c>
      <c r="GC73" s="43" t="n">
        <f aca="false">IF(Tasks[[#This Row],[_IsLeaf]]=1,MAX(N(Tasks[[#This Row],[_Days]]),0.1),0)</f>
        <v>0</v>
      </c>
      <c r="GD73" s="43" t="n">
        <f aca="false">Tasks[[#This Row],[_WeightDur]]*Tasks[[#This Row],[_LeafProgress]]</f>
        <v>0</v>
      </c>
      <c r="GE73" s="43" t="n">
        <f aca="false">Tasks[[#This Row],[_WeightDur]]*Tasks[[#This Row],[_PlannedPct]]</f>
        <v>0</v>
      </c>
      <c r="GF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3" s="43" t="str">
        <f aca="false">IF(AND(Tasks[[#This Row],[_IsLeaf]]=1,N(Tasks[[#This Row],[_Days]])=0,Tasks[[#This Row],[_LeafProgress]]&lt;1),Tasks[[#This Row],[_ShownFcstFinish]]+Tasks[[#This Row],[_Row]]/100000,"")</f>
        <v/>
      </c>
      <c r="GH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3" s="43" t="str">
        <f aca="false">IF(Tasks[[#This Row],[Task Name]]="","",LEFT(Tasks[[#This Row],[WBS]],FIND(".",Tasks[[#This Row],[WBS]]&amp;".")-1))</f>
        <v/>
      </c>
      <c r="GJ73" s="43" t="str">
        <f aca="false">IF(AND(Tasks[[#This Row],[Task Name]]&lt;&gt;"",Tasks[[#This Row],[_Level]]=1),Tasks[[#This Row],[_Row]],"")</f>
        <v/>
      </c>
      <c r="GK73" s="43" t="str">
        <f aca="false">IF(AND(Tasks[[#This Row],[_IsLeaf]]=1,N(Tasks[[#This Row],[_Days]])=0),Tasks[[#This Row],[Planned Finish]]+Tasks[[#This Row],[_Row]]/100000,"")</f>
        <v/>
      </c>
      <c r="GL73" s="43" t="str">
        <f aca="false">IF(AND(Tasks[[#This Row],[_IsLeaf]]=1,Tasks[[#This Row],[_LeafProgress]]&lt;1,OR(N(Tasks[[#This Row],[Finish Var]])&gt;0,Tasks[[#This Row],[Status]]="Late Start")),MAX(0,Tasks[[#This Row],[Finish Var]])+1-Tasks[[#This Row],[_Row]]/1000000,"")</f>
        <v/>
      </c>
      <c r="GM73" s="43" t="str">
        <f aca="false">IF(AND(Tasks[[#This Row],[_IsLeaf]]=1,N(Tasks[[#This Row],[Actual Start]])=0,Tasks[[#This Row],[_ShownFcstStart]]&gt;=StatusDate,Tasks[[#This Row],[_ShownFcstStart]]&lt;=LookaheadEnd),Tasks[[#This Row],[_ShownFcstStart]]+Tasks[[#This Row],[_Row]]/100000,"")</f>
        <v/>
      </c>
      <c r="GN73" s="43" t="str">
        <f aca="false">IF(AND(Tasks[[#This Row],[_IsLeaf]]=1,Tasks[[#This Row],[_LeafProgress]]&lt;1,Tasks[[#This Row],[_ShownFcstFinish]]&gt;=StatusDate,Tasks[[#This Row],[_ShownFcstFinish]]&lt;=LookaheadEnd),Tasks[[#This Row],[_ShownFcstFinish]]+Tasks[[#This Row],[_Row]]/100000,"")</f>
        <v/>
      </c>
      <c r="GO73" s="43" t="str">
        <f aca="false">IF(Tasks[[#This Row],[_LeafCritical]],Tasks[[#This Row],[_ShownFcstStart]]+Tasks[[#This Row],[_Row]]/100000,"")</f>
        <v/>
      </c>
      <c r="GP73" s="43" t="n">
        <f aca="false">Tasks[[#This Row],[_LeafWork]]*Tasks[[#This Row],[_LeafProgress]]</f>
        <v>0</v>
      </c>
      <c r="GQ73" s="91" t="str">
        <f aca="false">IF(AND(Tasks[[#This Row],[_IsLeaf]]=1,Tasks[[#This Row],[_LeafProgress]]&gt;=1),IF(N(Tasks[[#This Row],[Actual Finish]])&gt;0,Tasks[[#This Row],[Actual Finish]],Tasks[[#This Row],[_ShownFcstFinish]]),"")</f>
        <v/>
      </c>
      <c r="GR73" s="43" t="n">
        <f aca="false">IF(Tasks[[#This Row],[_IsLeaf]]=1,N(Tasks[[#This Row],[Story Points]]),0)</f>
        <v>0</v>
      </c>
      <c r="GS73" s="43" t="str">
        <f aca="false">""</f>
        <v/>
      </c>
      <c r="GT73" s="90" t="b">
        <f aca="false">IF(Tasks[[#This Row],[Task Name]]="",FALSE(),AND(Tasks[[#This Row],[_IsLeaf]]=1,N(Tasks[[#This Row],[_Days]])=0))</f>
        <v>0</v>
      </c>
      <c r="GU73" s="91" t="n">
        <f aca="false">IF(Tasks[[#This Row],[Task Name]]="",0,IF(AND(Tasks[[#This Row],[_IsLeaf]]=1,NOT(Tasks[[#This Row],[_IsMilestone]]),N(Tasks[[#This Row],[Progress]])&gt;0),Tasks[[#This Row],[Start]],0))</f>
        <v>0</v>
      </c>
      <c r="GV73" s="91" t="n">
        <f aca="false">IF(Tasks[[#This Row],[_DoneFrom]]=0,0,IF(Tasks[[#This Row],[Progress]]&gt;=1,Tasks[[#This Row],[Finish]],MAX(Tasks[[#This Row],[_DoneFrom]],Tasks[[#This Row],[Start]]+ROUND((Tasks[[#This Row],[Finish]]-Tasks[[#This Row],[Start]]+1)*Tasks[[#This Row],[Progress]],0)-1)))</f>
        <v>0</v>
      </c>
      <c r="GW73" s="91" t="n">
        <f aca="false">IF(Tasks[[#This Row],[Task Name]]="",0,IF(OR(NOT(Tasks[[#This Row],[_IsLeaf]]=1),Tasks[[#This Row],[_IsMilestone]],N(Tasks[[#This Row],[Progress]])&gt;=1),0,IF(Tasks[[#This Row],[_DoneTo]]&gt;0,Tasks[[#This Row],[_DoneTo]]+1,Tasks[[#This Row],[Start]])))</f>
        <v>0</v>
      </c>
      <c r="GX73" s="91" t="n">
        <f aca="false">IF(Tasks[[#This Row],[_RemFrom]]=0,0,Tasks[[#This Row],[Finish]])</f>
        <v>0</v>
      </c>
      <c r="GY73" s="90" t="b">
        <f aca="false">IF(Tasks[[#This Row],[Task Name]]="",FALSE(),OR(NOT(BaselineSet),N(Tasks[[#This Row],[Baseline Start]])&gt;0))</f>
        <v>0</v>
      </c>
      <c r="GZ7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3" s="92" t="str">
        <f aca="false">IF(Tasks[[#This Row],[_IsLeaf]]=1,Tasks[[#This Row],[_Row]],"")</f>
        <v/>
      </c>
      <c r="HD73" s="92" t="str">
        <f aca="false">IFERROR(INDEX(Tasks[UID],SMALL(Tasks[_PickKey],Tasks[[#This Row],[_Row]]))&amp;" "&amp;INDEX(Tasks[Task Name],SMALL(Tasks[_PickKey],Tasks[[#This Row],[_Row]])),"")</f>
        <v/>
      </c>
      <c r="HE73" s="43" t="str">
        <f aca="false">IF(Tasks[[#This Row],[Task Name]]="","",IF(Tasks[[#This Row],[_IsSummary]],NETWORKDAYS.INTL(Tasks[[#This Row],[Start]],Tasks[[#This Row],[Finish]],WorkWeek,Holidays),N(Tasks[[#This Row],[_Days]])))</f>
        <v/>
      </c>
      <c r="HF73" s="43" t="n">
        <f aca="false">IF(Tasks[[#This Row],[Expected]]="",0,((Tasks[[#This Row],[Pessimistic]]-Tasks[[#This Row],[Optimistic]])/6)^2)</f>
        <v>0</v>
      </c>
      <c r="HG73" s="43" t="n">
        <f aca="false">IF(Tasks[[#This Row],[Expected]]="",0,Tasks[[#This Row],[Expected]]-N(Tasks[[#This Row],[_Days]]))</f>
        <v>0</v>
      </c>
    </row>
    <row r="74" customFormat="false" ht="15" hidden="false" customHeight="false" outlineLevel="0" collapsed="false">
      <c r="A74" s="21" t="str">
        <f aca="false">IF(Tasks[[#This Row],[Task Name]]="","",COUNTA(Tasks[[#Headers],[Task Name]]:Tasks[[#This Row],[Task Name]])-1)</f>
        <v/>
      </c>
      <c r="B74" s="22" t="n">
        <v>82</v>
      </c>
      <c r="C74" s="22"/>
      <c r="D74" s="23"/>
      <c r="E74" s="22"/>
      <c r="F74" s="23"/>
      <c r="G74" s="22"/>
      <c r="H74" s="22"/>
      <c r="I74" s="23"/>
      <c r="J74" s="22"/>
      <c r="K74" s="22"/>
      <c r="L74" s="23"/>
      <c r="M74" s="22"/>
      <c r="N74" s="22"/>
      <c r="O74" s="23"/>
      <c r="P74" s="22"/>
      <c r="Q74" s="22"/>
      <c r="R74" s="23"/>
      <c r="S74" s="23"/>
      <c r="T74" s="84"/>
      <c r="U74" s="23"/>
      <c r="V74" s="84"/>
      <c r="W74" s="23"/>
      <c r="X74" s="84"/>
      <c r="Y74" s="23"/>
      <c r="Z74" s="84"/>
      <c r="AA74" s="23"/>
      <c r="AB74" s="23"/>
      <c r="AC74" s="7"/>
      <c r="AD74" s="7"/>
      <c r="AE74" s="63" t="str">
        <f aca="false">IF(Tasks[[#This Row],[Task Name]]="","",IF(Tasks[[#This Row],[_IsSummary]],MIN(INDEX(Tasks[_ShownFcstStart],Tasks[[#This Row],[_Row]]+1):INDEX(Tasks[_ShownFcstStart],Tasks[[#This Row],[_Row]]+Tasks[[#This Row],[_Descendants]])),Tasks[[#This Row],[_ShownFcstStart]]))</f>
        <v/>
      </c>
      <c r="AF74" s="63" t="str">
        <f aca="false">IF(Tasks[[#This Row],[Task Name]]="","",IF(Tasks[[#This Row],[_IsSummary]],MAX(INDEX(Tasks[_ShownFcstFinish],Tasks[[#This Row],[_Row]]+1):INDEX(Tasks[_ShownFcstFinish],Tasks[[#This Row],[_Row]]+Tasks[[#This Row],[_Descendants]])),Tasks[[#This Row],[_ShownFcstFinish]]))</f>
        <v/>
      </c>
      <c r="AG74" s="21" t="str">
        <f aca="false">""</f>
        <v/>
      </c>
      <c r="AH74" s="23"/>
      <c r="AI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4" s="7"/>
      <c r="AK74" s="22"/>
      <c r="AL74" s="23"/>
      <c r="AM74" s="7"/>
      <c r="AN74" s="47" t="str">
        <f aca="false">IF(Tasks[[#This Row],[Task Name]]="","",IF(Tasks[[#This Row],[Finish]]&gt;=Tasks[[#This Row],[Planned Finish]],NETWORKDAYS.INTL(Tasks[[#This Row],[Planned Finish]],Tasks[[#This Row],[Finish]],WorkWeek,Holidays)-1,1-NETWORKDAYS.INTL(Tasks[[#This Row],[Finish]],Tasks[[#This Row],[Planned Finish]],WorkWeek,Holidays)))</f>
        <v/>
      </c>
      <c r="AO74" s="21" t="str">
        <f aca="false">IF(Tasks[[#This Row],[Task Name]]="","",IF(Tasks[[#This Row],[Progress]]&gt;=1,"Complete",IF(OR(N(Tasks[[#This Row],[Actual Start]])&gt;0,Tasks[[#This Row],[Progress]]&gt;0),IF(Tasks[[#This Row],[Finish Var]]&gt;0,"Behind","In Progress"),IF(Tasks[[#This Row],[Planned Start]]&lt;StatusDate,"Late Start","Not Started"))))</f>
        <v/>
      </c>
      <c r="AP74" s="21" t="str">
        <f aca="false">IF(Tasks[[#This Row],[Task Name]]="","",IF(IF(Tasks[[#This Row],[_IsSummary]],COUNTIF(INDEX(Tasks[_LeafCritical],Tasks[[#This Row],[_Row]]+1):INDEX(Tasks[_LeafCritical],Tasks[[#This Row],[_Row]]+Tasks[[#This Row],[_Descendants]]),TRUE())&gt;0,Tasks[[#This Row],[_LeafCritical]]),"Yes",""))</f>
        <v/>
      </c>
      <c r="AQ74" s="63" t="str">
        <f aca="false">IF(Tasks[[#This Row],[Task Name]]="","",IF(N(Tasks[[#This Row],[Baseline Start]])&gt;0,Tasks[[#This Row],[Baseline Start]],Tasks[[#This Row],[_CalcStart]]))</f>
        <v/>
      </c>
      <c r="AR74" s="63" t="str">
        <f aca="false">IF(Tasks[[#This Row],[Task Name]]="","",IF(N(Tasks[[#This Row],[Baseline Finish]])&gt;0,Tasks[[#This Row],[Baseline Finish]],Tasks[[#This Row],[_CalcFinish]]))</f>
        <v/>
      </c>
      <c r="AS74" s="47" t="str">
        <f aca="false">IF(Tasks[[#This Row],[Task Name]]="","",IF(Tasks[[#This Row],[Start]]&gt;=Tasks[[#This Row],[Planned Start]],NETWORKDAYS.INTL(Tasks[[#This Row],[Planned Start]],Tasks[[#This Row],[Start]],WorkWeek,Holidays)-1,1-NETWORKDAYS.INTL(Tasks[[#This Row],[Start]],Tasks[[#This Row],[Planned Start]],WorkWeek,Holidays)))</f>
        <v/>
      </c>
      <c r="AT74" s="63" t="str">
        <f aca="false">IF(Tasks[[#This Row],[Task Name]]="","",IF(Tasks[[#This Row],[_IsSummary]],MIN(INDEX(Tasks[_LeafLateStart],Tasks[[#This Row],[_Row]]+1):INDEX(Tasks[_LeafLateStart],Tasks[[#This Row],[_Row]]+Tasks[[#This Row],[_Descendants]])),Tasks[[#This Row],[_LeafLateStart]]))</f>
        <v/>
      </c>
      <c r="AU74" s="63" t="str">
        <f aca="false">IF(Tasks[[#This Row],[Task Name]]="","",IF(Tasks[[#This Row],[_IsSummary]],MAX(INDEX(Tasks[_LeafLateFinish],Tasks[[#This Row],[_Row]]+1):INDEX(Tasks[_LeafLateFinish],Tasks[[#This Row],[_Row]]+Tasks[[#This Row],[_Descendants]])),Tasks[[#This Row],[_LeafLateFinish]]))</f>
        <v/>
      </c>
      <c r="AV74" s="47" t="str">
        <f aca="false">IF(Tasks[[#This Row],[Task Name]]="","",IF(Tasks[[#This Row],[_IsSummary]],MIN(INDEX(Tasks[_LeafTotalSlack],Tasks[[#This Row],[_Row]]+1):INDEX(Tasks[_LeafTotalSlack],Tasks[[#This Row],[_Row]]+Tasks[[#This Row],[_Descendants]])),Tasks[[#This Row],[_LeafTotalSlack]]))</f>
        <v/>
      </c>
      <c r="AW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5"/>
      <c r="BA7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t="str">
        <f aca="false">IF(Tasks[[#This Row],[Task Name]]="","",IF(Tasks[[#This Row],[_Level]]&lt;=OutlineShowLevel,"Yes","No"))</f>
        <v/>
      </c>
      <c r="BE74" s="86" t="str">
        <f aca="false">IF(Tasks[[#This Row],[Task Name]]="","",IF(Tasks[[#This Row],[_IsSummary]],SUM(INDEX(Tasks[_LeafTotalWork],Tasks[[#This Row],[_Row]]+1):INDEX(Tasks[_LeafTotalWork],Tasks[[#This Row],[_Row]]+Tasks[[#This Row],[_Descendants]])),Tasks[[#This Row],[_LeafTotalWork]]))</f>
        <v/>
      </c>
      <c r="BF74" s="23"/>
      <c r="BG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t="str">
        <f aca="false">""</f>
        <v/>
      </c>
      <c r="BI74" s="87"/>
      <c r="BJ74" s="22"/>
      <c r="BK74" s="47" t="str">
        <f aca="false">IF(OR(Tasks[[#This Row],[Task Name]]="",Tasks[[#This Row],[Baseline Duration]]=""),"",Tasks[[#This Row],[_SpanDays]]-N(Tasks[[#This Row],[Baseline Duration]]))</f>
        <v/>
      </c>
      <c r="BL74" s="86" t="str">
        <f aca="false">IF(OR(Tasks[[#This Row],[Task Name]]="",Tasks[[#This Row],[Baseline Work]]=""),"",Tasks[[#This Row],[Work]]-N(Tasks[[#This Row],[Baseline Work]]))</f>
        <v/>
      </c>
      <c r="BM74" s="63" t="str">
        <f aca="false">IF(Tasks[[#This Row],[Task Name]]="","",IF(OR(TakeBaseline="Yes",N(Tasks[[#This Row],[Baseline Start]])=0),Tasks[[#This Row],[Start]],Tasks[[#This Row],[Baseline Start]]))</f>
        <v/>
      </c>
      <c r="BN74" s="63" t="str">
        <f aca="false">IF(Tasks[[#This Row],[Task Name]]="","",IF(OR(TakeBaseline="Yes",N(Tasks[[#This Row],[Baseline Finish]])=0),Tasks[[#This Row],[Finish]],Tasks[[#This Row],[Baseline Finish]]))</f>
        <v/>
      </c>
      <c r="BO74" s="21" t="str">
        <f aca="false">IF(Tasks[[#This Row],[Task Name]]="","",IF(OR(TakeBaseline="Yes",N(Tasks[[#This Row],[Baseline Duration]])=0),Tasks[[#This Row],[_SpanDays]],Tasks[[#This Row],[Baseline Duration]]))</f>
        <v/>
      </c>
      <c r="BP74" s="86" t="str">
        <f aca="false">IF(Tasks[[#This Row],[Task Name]]="","",IF(OR(TakeBaseline="Yes",N(Tasks[[#This Row],[Baseline Work]])=0),Tasks[[#This Row],[Work]],Tasks[[#This Row],[Baseline Work]]))</f>
        <v/>
      </c>
      <c r="BQ74" s="7"/>
      <c r="BR74" s="7"/>
      <c r="BS74" s="22"/>
      <c r="BT74" s="88"/>
      <c r="BU74" s="23"/>
      <c r="BV74" s="23"/>
      <c r="BW74" s="23"/>
      <c r="BX74" s="89" t="str">
        <f aca="false">IF(AND(Tasks[[#This Row],[_IsLeaf]]=1,ISNUMBER(Tasks[[#This Row],[Optimistic]]),ISNUMBER(Tasks[[#This Row],[Pessimistic]])),ROUND((Tasks[[#This Row],[Optimistic]]+4*N(Tasks[[#This Row],[_Days]])+Tasks[[#This Row],[Pessimistic]])/6,1),"")</f>
        <v/>
      </c>
      <c r="BY74" s="87"/>
      <c r="BZ74" s="87"/>
      <c r="CA74" s="22"/>
      <c r="CB74" s="43" t="str">
        <f aca="false">IF(Tasks[[#This Row],[Task Name]]="","",MAX(1,N(Tasks[[#This Row],[Level]])))</f>
        <v/>
      </c>
      <c r="CC74" s="43" t="n">
        <f aca="false">ROW()-ROW(Tasks[[#Headers],[ID]])</f>
        <v>69</v>
      </c>
      <c r="CD74" s="43" t="n">
        <f aca="false">IF(OR(Tasks[[#This Row],[Task Name]]="",Tasks[[#This Row],[_Level]]&lt;=1),0,IFERROR(LOOKUP(2,1/(Tasks[[#Headers],[_Level]]:Tasks[[#This Row],[_Level]]=Tasks[[#This Row],[_Level]]-1),ROW(Tasks[[#Headers],[_Level]]:Tasks[[#This Row],[_Level]])),0))</f>
        <v>0</v>
      </c>
      <c r="CE74" s="43" t="n">
        <f aca="false">IFERROR(N(INDEX(Tasks[_Level],Tasks[[#This Row],[_Row]]+1)),0)</f>
        <v>0</v>
      </c>
      <c r="CF74" s="90" t="b">
        <f aca="false">AND(Tasks[[#This Row],[Task Name]]&lt;&gt;"",Tasks[[#This Row],[_NextLevel]]&gt;Tasks[[#This Row],[_Level]])</f>
        <v>0</v>
      </c>
      <c r="CG74" s="43" t="n">
        <f aca="false">IF(Tasks[[#This Row],[_IsSummary]],COUNTIF(Tasks[WBS],Tasks[[#This Row],[WBS]]&amp;".*"),0)</f>
        <v>0</v>
      </c>
      <c r="CH74" s="43" t="n">
        <f aca="false">IF(AND(Tasks[[#This Row],[Task Name]]&lt;&gt;"",NOT(Tasks[[#This Row],[_IsSummary]])),1,0)</f>
        <v>0</v>
      </c>
      <c r="CI74" s="43" t="n">
        <f aca="false">IF(N(Tasks[[#This Row],[_Pred1UID]])=0,0,IFERROR(MATCH(Tasks[[#This Row],[_Pred1UID]],Tasks[UID],0),-1))</f>
        <v>0</v>
      </c>
      <c r="CJ74" s="43" t="n">
        <f aca="false">IF(N(Tasks[[#This Row],[_Pred2UID]])=0,0,IFERROR(MATCH(Tasks[[#This Row],[_Pred2UID]],Tasks[UID],0),-1))</f>
        <v>0</v>
      </c>
      <c r="CK74" s="43" t="n">
        <f aca="false">IF(N(Tasks[[#This Row],[_Pred3UID]])=0,0,IFERROR(MATCH(Tasks[[#This Row],[_Pred3UID]],Tasks[UID],0),-1))</f>
        <v>0</v>
      </c>
      <c r="CL74" s="43" t="n">
        <f aca="false">IF(N(Tasks[[#This Row],[_Pred4UID]])=0,0,IFERROR(MATCH(Tasks[[#This Row],[_Pred4UID]],Tasks[UID],0),-1))</f>
        <v>0</v>
      </c>
      <c r="CM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4" s="91" t="n">
        <f aca="false">IF(OR(Tasks[[#This Row],[_ConstraintCode]]=2,Tasks[[#This Row],[_ConstraintCode]]=3,Tasks[[#This Row],[_ConstraintCode]]=4,Tasks[[#This Row],[_ConstraintCode]]=6),Tasks[[#This Row],[_ConstraintStart]],0)</f>
        <v>0</v>
      </c>
      <c r="CP74" s="91" t="n">
        <f aca="false">IF(OR(Tasks[[#This Row],[_ConstraintCode]]=2,Tasks[[#This Row],[_ConstraintCode]]=3,Tasks[[#This Row],[_ConstraintCode]]=5,Tasks[[#This Row],[_ConstraintCode]]=7),Tasks[[#This Row],[_ConstraintStart]],2958465)</f>
        <v>2958465</v>
      </c>
      <c r="CQ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4" s="91" t="str">
        <f aca="false">IF(NOT(Tasks[[#This Row],[_IsLeaf]]=1),"",IF(N(Tasks[[#This Row],[_Days]])&lt;=0,Tasks[[#This Row],[_LeafCalcStart]],WORKDAY.INTL(Tasks[[#This Row],[_LeafCalcStart]],Tasks[[#This Row],[_Days]]-1,WorkWeek,Holidays)))</f>
        <v/>
      </c>
      <c r="CS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4" s="43" t="str">
        <f aca="false">IF(Tasks[[#This Row],[_Predecessors]]="","",TRIM(MID(SUBSTITUTE(SUBSTITUTE(SUBSTITUTE(UPPER(Tasks[[#This Row],[_Predecessors]]),";",",")," ",""),",",REPT(" ",99)),1,99)))</f>
        <v/>
      </c>
      <c r="CV74" s="43" t="str">
        <f aca="false">IF(Tasks[[#This Row],[_Pred1Text]]="","",IFERROR(VALUE(LEFT(Tasks[[#This Row],[_Pred1Text]],MIN(FIND("F",Tasks[[#This Row],[_Pred1Text]]&amp;"F"),FIND("S",Tasks[[#This Row],[_Pred1Text]]&amp;"S"),FIND("+",Tasks[[#This Row],[_Pred1Text]]&amp;"+"),FIND("-",Tasks[[#This Row],[_Pred1Text]]&amp;"-"))-1)),""))</f>
        <v/>
      </c>
      <c r="CW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4" s="43" t="str">
        <f aca="false">IF(Tasks[[#This Row],[_Pred1Text]]="","",TRIM(MID(SUBSTITUTE(SUBSTITUTE(SUBSTITUTE(UPPER(Tasks[[#This Row],[_Predecessors]]),";",",")," ",""),",",REPT(" ",99)),100,99)))</f>
        <v/>
      </c>
      <c r="CZ74" s="43" t="str">
        <f aca="false">IF(Tasks[[#This Row],[_Pred2Text]]="","",IFERROR(VALUE(LEFT(Tasks[[#This Row],[_Pred2Text]],MIN(FIND("F",Tasks[[#This Row],[_Pred2Text]]&amp;"F"),FIND("S",Tasks[[#This Row],[_Pred2Text]]&amp;"S"),FIND("+",Tasks[[#This Row],[_Pred2Text]]&amp;"+"),FIND("-",Tasks[[#This Row],[_Pred2Text]]&amp;"-"))-1)),""))</f>
        <v/>
      </c>
      <c r="DA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4" s="43" t="str">
        <f aca="false">IF(Tasks[[#This Row],[_Pred2Text]]="","",TRIM(MID(SUBSTITUTE(SUBSTITUTE(SUBSTITUTE(UPPER(Tasks[[#This Row],[_Predecessors]]),";",",")," ",""),",",REPT(" ",99)),199,99)))</f>
        <v/>
      </c>
      <c r="DD74" s="43" t="str">
        <f aca="false">IF(Tasks[[#This Row],[_Pred3Text]]="","",IFERROR(VALUE(LEFT(Tasks[[#This Row],[_Pred3Text]],MIN(FIND("F",Tasks[[#This Row],[_Pred3Text]]&amp;"F"),FIND("S",Tasks[[#This Row],[_Pred3Text]]&amp;"S"),FIND("+",Tasks[[#This Row],[_Pred3Text]]&amp;"+"),FIND("-",Tasks[[#This Row],[_Pred3Text]]&amp;"-"))-1)),""))</f>
        <v/>
      </c>
      <c r="DE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4" s="43" t="str">
        <f aca="false">IF(Tasks[[#This Row],[_Pred3Text]]="","",TRIM(MID(SUBSTITUTE(SUBSTITUTE(SUBSTITUTE(UPPER(Tasks[[#This Row],[_Predecessors]]),";",",")," ",""),",",REPT(" ",99)),298,99)))</f>
        <v/>
      </c>
      <c r="DH74" s="43" t="str">
        <f aca="false">IF(Tasks[[#This Row],[_Pred4Text]]="","",IFERROR(VALUE(LEFT(Tasks[[#This Row],[_Pred4Text]],MIN(FIND("F",Tasks[[#This Row],[_Pred4Text]]&amp;"F"),FIND("S",Tasks[[#This Row],[_Pred4Text]]&amp;"S"),FIND("+",Tasks[[#This Row],[_Pred4Text]]&amp;"+"),FIND("-",Tasks[[#This Row],[_Pred4Text]]&amp;"-"))-1)),""))</f>
        <v/>
      </c>
      <c r="DI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4" s="43" t="str">
        <f aca="false">IF(OR(Tasks[[#This Row],[Task Name]]="",Tasks[[#This Row],[_Resources]]=""),"",TRIM(MID(SUBSTITUTE(Tasks[[#This Row],[_Resources]],",",REPT(" ",99)),1,99)))</f>
        <v/>
      </c>
      <c r="DL74" s="43" t="str">
        <f aca="false">IF(Tasks[[#This Row],[_Res1Text]]="","",TRIM(MID(SUBSTITUTE(Tasks[[#This Row],[_Resources]],",",REPT(" ",99)),100,99)))</f>
        <v/>
      </c>
      <c r="DM74" s="43" t="str">
        <f aca="false">IF(Tasks[[#This Row],[_Res2Text]]="","",TRIM(MID(SUBSTITUTE(Tasks[[#This Row],[_Resources]],",",REPT(" ",99)),199,99)))</f>
        <v/>
      </c>
      <c r="DN74" s="43" t="str">
        <f aca="false">IF(Tasks[[#This Row],[_Res3Text]]="","",TRIM(MID(SUBSTITUTE(Tasks[[#This Row],[_Resources]],",",REPT(" ",99)),298,99)))</f>
        <v/>
      </c>
      <c r="DO74" s="43" t="n">
        <f aca="false">IF(Tasks[[#This Row],[_Res1Text]]="",0,IFERROR(MATCH(TRIM(LEFT(Tasks[[#This Row],[_Res1Text]],FIND("[",Tasks[[#This Row],[_Res1Text]]&amp;"[")-1)),res_Name,0),IFERROR(MATCH(TRIM(LEFT(Tasks[[#This Row],[_Res1Text]],FIND("[",Tasks[[#This Row],[_Res1Text]]&amp;"[")-1)),res_Initials,0),0)))</f>
        <v>0</v>
      </c>
      <c r="DP74" s="43" t="n">
        <f aca="false">IF(Tasks[[#This Row],[_Res2Text]]="",0,IFERROR(MATCH(TRIM(LEFT(Tasks[[#This Row],[_Res2Text]],FIND("[",Tasks[[#This Row],[_Res2Text]]&amp;"[")-1)),res_Name,0),IFERROR(MATCH(TRIM(LEFT(Tasks[[#This Row],[_Res2Text]],FIND("[",Tasks[[#This Row],[_Res2Text]]&amp;"[")-1)),res_Initials,0),0)))</f>
        <v>0</v>
      </c>
      <c r="DQ74" s="43" t="n">
        <f aca="false">IF(Tasks[[#This Row],[_Res3Text]]="",0,IFERROR(MATCH(TRIM(LEFT(Tasks[[#This Row],[_Res3Text]],FIND("[",Tasks[[#This Row],[_Res3Text]]&amp;"[")-1)),res_Name,0),IFERROR(MATCH(TRIM(LEFT(Tasks[[#This Row],[_Res3Text]],FIND("[",Tasks[[#This Row],[_Res3Text]]&amp;"[")-1)),res_Initials,0),0)))</f>
        <v>0</v>
      </c>
      <c r="DR74" s="43" t="n">
        <f aca="false">IF(Tasks[[#This Row],[_Res4Text]]="",0,IFERROR(MATCH(TRIM(LEFT(Tasks[[#This Row],[_Res4Text]],FIND("[",Tasks[[#This Row],[_Res4Text]]&amp;"[")-1)),res_Name,0),IFERROR(MATCH(TRIM(LEFT(Tasks[[#This Row],[_Res4Text]],FIND("[",Tasks[[#This Row],[_Res4Text]]&amp;"[")-1)),res_Initials,0),0)))</f>
        <v>0</v>
      </c>
      <c r="DS74" s="43" t="str">
        <f aca="false">IF(Tasks[[#This Row],[_Res1Text]]="","",IF(Tasks[[#This Row],[_Res1Row]]&gt;0,INDEX(res_Name,Tasks[[#This Row],[_Res1Row]]),TRIM(LEFT(Tasks[[#This Row],[_Res1Text]],FIND("[",Tasks[[#This Row],[_Res1Text]]&amp;"[")-1))))</f>
        <v/>
      </c>
      <c r="DT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4" s="43" t="n">
        <f aca="false">IF(NOT(Tasks[[#This Row],[_IsLeaf]]=1),0,(Tasks[[#This Row],[_Resource1]]&lt;&gt;"")+(Tasks[[#This Row],[_Res2]]&lt;&gt;"")+(Tasks[[#This Row],[_Res3]]&lt;&gt;"")+(Tasks[[#This Row],[_Res4]]&lt;&gt;""))</f>
        <v>0</v>
      </c>
      <c r="DV74" s="43" t="str">
        <f aca="false">IF(Tasks[[#This Row],[_Res2Text]]="","",IF(Tasks[[#This Row],[_Res2Row]]&gt;0,INDEX(res_Name,Tasks[[#This Row],[_Res2Row]]),TRIM(LEFT(Tasks[[#This Row],[_Res2Text]],FIND("[",Tasks[[#This Row],[_Res2Text]]&amp;"[")-1))))</f>
        <v/>
      </c>
      <c r="DW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4" s="43" t="n">
        <f aca="false">IF(OR(NOT(Tasks[[#This Row],[_IsLeaf]]=1),Tasks[[#This Row],[_Res2Row]]=0),0,N(Tasks[[#This Row],[_Days]])*HoursPerDay*IF(Tasks[[#This Row],[_Res2Units]]="",DefaultUnits,Tasks[[#This Row],[_Res2Units]]))</f>
        <v>0</v>
      </c>
      <c r="DY74" s="43" t="n">
        <f aca="false">IF(AND(AND(Tasks[[#This Row],[_IsLeaf]]=1,Tasks[[#This Row],[_LeafTotalWork]]&gt;0),Tasks[[#This Row],[_Res2Work]]&gt;0),Tasks[[#This Row],[_Res2Work]]/(Tasks[[#This Row],[_FinishWorkday]]-Tasks[[#This Row],[_StartWorkday]]+1),0)</f>
        <v>0</v>
      </c>
      <c r="DZ74" s="43" t="n">
        <f aca="false">Tasks[[#This Row],[_Res2WorkPerWD]]*MAX(0,Tasks[[#This Row],[_StartWorkday]]-1)</f>
        <v>0</v>
      </c>
      <c r="EA74" s="43" t="n">
        <f aca="false">Tasks[[#This Row],[_Res2Work]]*Tasks[[#This Row],[_LeafProgress]]</f>
        <v>0</v>
      </c>
      <c r="EB74" s="43" t="str">
        <f aca="false">IF(Tasks[[#This Row],[_Res3Text]]="","",IF(Tasks[[#This Row],[_Res3Row]]&gt;0,INDEX(res_Name,Tasks[[#This Row],[_Res3Row]]),TRIM(LEFT(Tasks[[#This Row],[_Res3Text]],FIND("[",Tasks[[#This Row],[_Res3Text]]&amp;"[")-1))))</f>
        <v/>
      </c>
      <c r="EC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4" s="43" t="n">
        <f aca="false">IF(OR(NOT(Tasks[[#This Row],[_IsLeaf]]=1),Tasks[[#This Row],[_Res3Row]]=0),0,N(Tasks[[#This Row],[_Days]])*HoursPerDay*IF(Tasks[[#This Row],[_Res3Units]]="",DefaultUnits,Tasks[[#This Row],[_Res3Units]]))</f>
        <v>0</v>
      </c>
      <c r="EE74" s="43" t="n">
        <f aca="false">IF(AND(AND(Tasks[[#This Row],[_IsLeaf]]=1,Tasks[[#This Row],[_LeafTotalWork]]&gt;0),Tasks[[#This Row],[_Res3Work]]&gt;0),Tasks[[#This Row],[_Res3Work]]/(Tasks[[#This Row],[_FinishWorkday]]-Tasks[[#This Row],[_StartWorkday]]+1),0)</f>
        <v>0</v>
      </c>
      <c r="EF74" s="43" t="n">
        <f aca="false">Tasks[[#This Row],[_Res3WorkPerWD]]*MAX(0,Tasks[[#This Row],[_StartWorkday]]-1)</f>
        <v>0</v>
      </c>
      <c r="EG74" s="43" t="n">
        <f aca="false">Tasks[[#This Row],[_Res3Work]]*Tasks[[#This Row],[_LeafProgress]]</f>
        <v>0</v>
      </c>
      <c r="EH74" s="43" t="str">
        <f aca="false">IF(Tasks[[#This Row],[_Res4Text]]="","",IF(Tasks[[#This Row],[_Res4Row]]&gt;0,INDEX(res_Name,Tasks[[#This Row],[_Res4Row]]),TRIM(LEFT(Tasks[[#This Row],[_Res4Text]],FIND("[",Tasks[[#This Row],[_Res4Text]]&amp;"[")-1))))</f>
        <v/>
      </c>
      <c r="EI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4" s="43" t="n">
        <f aca="false">IF(OR(NOT(Tasks[[#This Row],[_IsLeaf]]=1),Tasks[[#This Row],[_Res4Row]]=0),0,N(Tasks[[#This Row],[_Days]])*HoursPerDay*IF(Tasks[[#This Row],[_Res4Units]]="",DefaultUnits,Tasks[[#This Row],[_Res4Units]]))</f>
        <v>0</v>
      </c>
      <c r="EK74" s="43" t="n">
        <f aca="false">IF(AND(AND(Tasks[[#This Row],[_IsLeaf]]=1,Tasks[[#This Row],[_LeafTotalWork]]&gt;0),Tasks[[#This Row],[_Res4Work]]&gt;0),Tasks[[#This Row],[_Res4Work]]/(Tasks[[#This Row],[_FinishWorkday]]-Tasks[[#This Row],[_StartWorkday]]+1),0)</f>
        <v>0</v>
      </c>
      <c r="EL74" s="43" t="n">
        <f aca="false">Tasks[[#This Row],[_Res4WorkPerWD]]*MAX(0,Tasks[[#This Row],[_StartWorkday]]-1)</f>
        <v>0</v>
      </c>
      <c r="EM74" s="43" t="n">
        <f aca="false">Tasks[[#This Row],[_Res4Work]]*Tasks[[#This Row],[_LeafProgress]]</f>
        <v>0</v>
      </c>
      <c r="EN74" s="43" t="n">
        <f aca="false">IF(ISNUMBER(Tasks[[#This Row],[% Complete]]),Tasks[[#This Row],[% Complete]],IF(Tasks[[#This Row],[Stage]]="",0,IFERROR(INDEX(stg_Pct,MATCH(Tasks[[#This Row],[Stage]],stg_Name,0)),0)))</f>
        <v>0</v>
      </c>
      <c r="EO74" s="43" t="n">
        <f aca="false">IF(NOT(Tasks[[#This Row],[_IsLeaf]]=1),0,IF(N(Tasks[[#This Row],[Actual Finish]])&gt;0,1,MIN(1,Tasks[[#This Row],[_Pct]])))</f>
        <v>0</v>
      </c>
      <c r="EP74" s="43" t="n">
        <f aca="false">IF(OR(NOT(Tasks[[#This Row],[_IsLeaf]]=1),Tasks[[#This Row],[_Res1Row]]=0),0,N(Tasks[[#This Row],[_Days]])*HoursPerDay*IF(Tasks[[#This Row],[_Units1]]="",DefaultUnits,Tasks[[#This Row],[_Units1]]))</f>
        <v>0</v>
      </c>
      <c r="EQ74" s="43" t="n">
        <f aca="false">Tasks[[#This Row],[_LeafWork]]+Tasks[[#This Row],[_Res2Work]]+Tasks[[#This Row],[_Res3Work]]+Tasks[[#This Row],[_Res4Work]]</f>
        <v>0</v>
      </c>
      <c r="ER7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4" s="43" t="n">
        <f aca="false">IF(NOT(Tasks[[#This Row],[_IsLeaf]]=1),0,MAX(_xlfn.MAXIFS(Tasks[_Row],Tasks[_Pred1UID],Tasks[[#This Row],[UID]]),_xlfn.MAXIFS(Tasks[_Row],Tasks[_Pred2UID],Tasks[[#This Row],[UID]]),_xlfn.MAXIFS(Tasks[_Row],Tasks[_Pred3UID],Tasks[[#This Row],[UID]]),_xlfn.MAXIFS(Tasks[_Row],Tasks[_Pred4UID],Tasks[[#This Row],[UID]])))</f>
        <v>0</v>
      </c>
      <c r="FA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4" s="91" t="str">
        <f aca="false">IF(NOT(Tasks[[#This Row],[_IsLeaf]]=1),"",IF(N(Tasks[[#This Row],[_Days]])&lt;=0,Tasks[[#This Row],[_LeafLateFinish]],WORKDAY.INTL(Tasks[[#This Row],[_LeafLateFinish]],-(Tasks[[#This Row],[_Days]]-1),WorkWeek,Holidays)))</f>
        <v/>
      </c>
      <c r="FD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4" s="90" t="b">
        <f aca="false">AND(Tasks[[#This Row],[_IsLeaf]]=1,Tasks[[#This Row],[_LeafProgress]]&lt;1,N(Tasks[[#This Row],[_LeafTotalSlack]])&lt;=CriticalSlackDays)</f>
        <v>0</v>
      </c>
      <c r="FF74" s="43" t="n">
        <f aca="false">IF(AND(Tasks[[#This Row],[_IsLeaf]]=1,Tasks[[#This Row],[_ConstraintCode]]=1,Tasks[[#This Row],[Mode]]&lt;&gt;"Manual",N(Tasks[[#This Row],[Actual Start]])=0),MAX(0,N(Tasks[[#This Row],[Free Slack]])),0)</f>
        <v>0</v>
      </c>
      <c r="FG74" s="91" t="str">
        <f aca="false">IF(NOT(Tasks[[#This Row],[_IsLeaf]]=1),"",IF(Tasks[[#This Row],[_AlapShift]]=0,Tasks[[#This Row],[_LeafCalcStart]],WORKDAY.INTL(Tasks[[#This Row],[_LeafCalcStart]],Tasks[[#This Row],[_AlapShift]],WorkWeek,Holidays)))</f>
        <v/>
      </c>
      <c r="FH74" s="91" t="str">
        <f aca="false">IF(NOT(Tasks[[#This Row],[_IsLeaf]]=1),"",IF(Tasks[[#This Row],[_AlapShift]]=0,Tasks[[#This Row],[_LeafCalcFinish]],WORKDAY.INTL(Tasks[[#This Row],[_LeafCalcFinish]],Tasks[[#This Row],[_AlapShift]],WorkWeek,Holidays)))</f>
        <v/>
      </c>
      <c r="FI74" s="91" t="str">
        <f aca="false">IF(NOT(Tasks[[#This Row],[_IsLeaf]]=1),"",IF(Tasks[[#This Row],[_AlapShift]]=0,Tasks[[#This Row],[_LeafFcstStart]],WORKDAY.INTL(Tasks[[#This Row],[_LeafFcstStart]],Tasks[[#This Row],[_AlapShift]],WorkWeek,Holidays)))</f>
        <v/>
      </c>
      <c r="FJ74" s="91" t="str">
        <f aca="false">IF(NOT(Tasks[[#This Row],[_IsLeaf]]=1),"",IF(Tasks[[#This Row],[_AlapShift]]=0,Tasks[[#This Row],[_LeafFcstFinish]],WORKDAY.INTL(Tasks[[#This Row],[_LeafFcstFinish]],Tasks[[#This Row],[_AlapShift]],WorkWeek,Holidays)))</f>
        <v/>
      </c>
      <c r="FK74" s="91" t="str">
        <f aca="false">IF(Tasks[[#This Row],[Task Name]]="","",IF(Tasks[[#This Row],[_IsSummary]],MIN(INDEX(Tasks[_ShownCalcStart],Tasks[[#This Row],[_Row]]+1):INDEX(Tasks[_ShownCalcStart],Tasks[[#This Row],[_Row]]+Tasks[[#This Row],[_Descendants]])),Tasks[[#This Row],[_ShownCalcStart]]))</f>
        <v/>
      </c>
      <c r="FL74" s="91" t="str">
        <f aca="false">IF(Tasks[[#This Row],[Task Name]]="","",IF(Tasks[[#This Row],[_IsSummary]],MAX(INDEX(Tasks[_ShownCalcFinish],Tasks[[#This Row],[_Row]]+1):INDEX(Tasks[_ShownCalcFinish],Tasks[[#This Row],[_Row]]+Tasks[[#This Row],[_Descendants]])),Tasks[[#This Row],[_ShownCalcFinish]]))</f>
        <v/>
      </c>
      <c r="FM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4" s="43" t="n">
        <f aca="false">IF(AND(Tasks[[#This Row],[_IsLeaf]]=1,Tasks[[#This Row],[_LeafTotalWork]]&gt;0),NETWORKDAYS.INTL(ProjectStart,Tasks[[#This Row],[_ShownFcstStart]],WorkWeek,Holidays),0)</f>
        <v>0</v>
      </c>
      <c r="FZ74" s="43" t="n">
        <f aca="false">IF(AND(Tasks[[#This Row],[_IsLeaf]]=1,Tasks[[#This Row],[_LeafTotalWork]]&gt;0),MAX(Tasks[[#This Row],[_StartWorkday]],NETWORKDAYS.INTL(ProjectStart,Tasks[[#This Row],[_ShownFcstFinish]],WorkWeek,Holidays)),0)</f>
        <v>0</v>
      </c>
      <c r="GA74" s="43" t="n">
        <f aca="false">IF(AND(Tasks[[#This Row],[_IsLeaf]]=1,Tasks[[#This Row],[_LeafTotalWork]]&gt;0),Tasks[[#This Row],[_LeafWork]]/(Tasks[[#This Row],[_FinishWorkday]]-Tasks[[#This Row],[_StartWorkday]]+1),0)</f>
        <v>0</v>
      </c>
      <c r="GB74" s="43" t="n">
        <f aca="false">Tasks[[#This Row],[_WorkPerWorkday]]*(Tasks[[#This Row],[_StartWorkday]]-1)</f>
        <v>-0</v>
      </c>
      <c r="GC74" s="43" t="n">
        <f aca="false">IF(Tasks[[#This Row],[_IsLeaf]]=1,MAX(N(Tasks[[#This Row],[_Days]]),0.1),0)</f>
        <v>0</v>
      </c>
      <c r="GD74" s="43" t="n">
        <f aca="false">Tasks[[#This Row],[_WeightDur]]*Tasks[[#This Row],[_LeafProgress]]</f>
        <v>0</v>
      </c>
      <c r="GE74" s="43" t="n">
        <f aca="false">Tasks[[#This Row],[_WeightDur]]*Tasks[[#This Row],[_PlannedPct]]</f>
        <v>0</v>
      </c>
      <c r="GF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4" s="43" t="str">
        <f aca="false">IF(AND(Tasks[[#This Row],[_IsLeaf]]=1,N(Tasks[[#This Row],[_Days]])=0,Tasks[[#This Row],[_LeafProgress]]&lt;1),Tasks[[#This Row],[_ShownFcstFinish]]+Tasks[[#This Row],[_Row]]/100000,"")</f>
        <v/>
      </c>
      <c r="GH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4" s="43" t="str">
        <f aca="false">IF(Tasks[[#This Row],[Task Name]]="","",LEFT(Tasks[[#This Row],[WBS]],FIND(".",Tasks[[#This Row],[WBS]]&amp;".")-1))</f>
        <v/>
      </c>
      <c r="GJ74" s="43" t="str">
        <f aca="false">IF(AND(Tasks[[#This Row],[Task Name]]&lt;&gt;"",Tasks[[#This Row],[_Level]]=1),Tasks[[#This Row],[_Row]],"")</f>
        <v/>
      </c>
      <c r="GK74" s="43" t="str">
        <f aca="false">IF(AND(Tasks[[#This Row],[_IsLeaf]]=1,N(Tasks[[#This Row],[_Days]])=0),Tasks[[#This Row],[Planned Finish]]+Tasks[[#This Row],[_Row]]/100000,"")</f>
        <v/>
      </c>
      <c r="GL74" s="43" t="str">
        <f aca="false">IF(AND(Tasks[[#This Row],[_IsLeaf]]=1,Tasks[[#This Row],[_LeafProgress]]&lt;1,OR(N(Tasks[[#This Row],[Finish Var]])&gt;0,Tasks[[#This Row],[Status]]="Late Start")),MAX(0,Tasks[[#This Row],[Finish Var]])+1-Tasks[[#This Row],[_Row]]/1000000,"")</f>
        <v/>
      </c>
      <c r="GM74" s="43" t="str">
        <f aca="false">IF(AND(Tasks[[#This Row],[_IsLeaf]]=1,N(Tasks[[#This Row],[Actual Start]])=0,Tasks[[#This Row],[_ShownFcstStart]]&gt;=StatusDate,Tasks[[#This Row],[_ShownFcstStart]]&lt;=LookaheadEnd),Tasks[[#This Row],[_ShownFcstStart]]+Tasks[[#This Row],[_Row]]/100000,"")</f>
        <v/>
      </c>
      <c r="GN74" s="43" t="str">
        <f aca="false">IF(AND(Tasks[[#This Row],[_IsLeaf]]=1,Tasks[[#This Row],[_LeafProgress]]&lt;1,Tasks[[#This Row],[_ShownFcstFinish]]&gt;=StatusDate,Tasks[[#This Row],[_ShownFcstFinish]]&lt;=LookaheadEnd),Tasks[[#This Row],[_ShownFcstFinish]]+Tasks[[#This Row],[_Row]]/100000,"")</f>
        <v/>
      </c>
      <c r="GO74" s="43" t="str">
        <f aca="false">IF(Tasks[[#This Row],[_LeafCritical]],Tasks[[#This Row],[_ShownFcstStart]]+Tasks[[#This Row],[_Row]]/100000,"")</f>
        <v/>
      </c>
      <c r="GP74" s="43" t="n">
        <f aca="false">Tasks[[#This Row],[_LeafWork]]*Tasks[[#This Row],[_LeafProgress]]</f>
        <v>0</v>
      </c>
      <c r="GQ74" s="91" t="str">
        <f aca="false">IF(AND(Tasks[[#This Row],[_IsLeaf]]=1,Tasks[[#This Row],[_LeafProgress]]&gt;=1),IF(N(Tasks[[#This Row],[Actual Finish]])&gt;0,Tasks[[#This Row],[Actual Finish]],Tasks[[#This Row],[_ShownFcstFinish]]),"")</f>
        <v/>
      </c>
      <c r="GR74" s="43" t="n">
        <f aca="false">IF(Tasks[[#This Row],[_IsLeaf]]=1,N(Tasks[[#This Row],[Story Points]]),0)</f>
        <v>0</v>
      </c>
      <c r="GS74" s="43" t="str">
        <f aca="false">""</f>
        <v/>
      </c>
      <c r="GT74" s="90" t="b">
        <f aca="false">IF(Tasks[[#This Row],[Task Name]]="",FALSE(),AND(Tasks[[#This Row],[_IsLeaf]]=1,N(Tasks[[#This Row],[_Days]])=0))</f>
        <v>0</v>
      </c>
      <c r="GU74" s="91" t="n">
        <f aca="false">IF(Tasks[[#This Row],[Task Name]]="",0,IF(AND(Tasks[[#This Row],[_IsLeaf]]=1,NOT(Tasks[[#This Row],[_IsMilestone]]),N(Tasks[[#This Row],[Progress]])&gt;0),Tasks[[#This Row],[Start]],0))</f>
        <v>0</v>
      </c>
      <c r="GV74" s="91" t="n">
        <f aca="false">IF(Tasks[[#This Row],[_DoneFrom]]=0,0,IF(Tasks[[#This Row],[Progress]]&gt;=1,Tasks[[#This Row],[Finish]],MAX(Tasks[[#This Row],[_DoneFrom]],Tasks[[#This Row],[Start]]+ROUND((Tasks[[#This Row],[Finish]]-Tasks[[#This Row],[Start]]+1)*Tasks[[#This Row],[Progress]],0)-1)))</f>
        <v>0</v>
      </c>
      <c r="GW74" s="91" t="n">
        <f aca="false">IF(Tasks[[#This Row],[Task Name]]="",0,IF(OR(NOT(Tasks[[#This Row],[_IsLeaf]]=1),Tasks[[#This Row],[_IsMilestone]],N(Tasks[[#This Row],[Progress]])&gt;=1),0,IF(Tasks[[#This Row],[_DoneTo]]&gt;0,Tasks[[#This Row],[_DoneTo]]+1,Tasks[[#This Row],[Start]])))</f>
        <v>0</v>
      </c>
      <c r="GX74" s="91" t="n">
        <f aca="false">IF(Tasks[[#This Row],[_RemFrom]]=0,0,Tasks[[#This Row],[Finish]])</f>
        <v>0</v>
      </c>
      <c r="GY74" s="90" t="b">
        <f aca="false">IF(Tasks[[#This Row],[Task Name]]="",FALSE(),OR(NOT(BaselineSet),N(Tasks[[#This Row],[Baseline Start]])&gt;0))</f>
        <v>0</v>
      </c>
      <c r="GZ7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4" s="92" t="str">
        <f aca="false">IF(Tasks[[#This Row],[_IsLeaf]]=1,Tasks[[#This Row],[_Row]],"")</f>
        <v/>
      </c>
      <c r="HD74" s="92" t="str">
        <f aca="false">IFERROR(INDEX(Tasks[UID],SMALL(Tasks[_PickKey],Tasks[[#This Row],[_Row]]))&amp;" "&amp;INDEX(Tasks[Task Name],SMALL(Tasks[_PickKey],Tasks[[#This Row],[_Row]])),"")</f>
        <v/>
      </c>
      <c r="HE74" s="43" t="str">
        <f aca="false">IF(Tasks[[#This Row],[Task Name]]="","",IF(Tasks[[#This Row],[_IsSummary]],NETWORKDAYS.INTL(Tasks[[#This Row],[Start]],Tasks[[#This Row],[Finish]],WorkWeek,Holidays),N(Tasks[[#This Row],[_Days]])))</f>
        <v/>
      </c>
      <c r="HF74" s="43" t="n">
        <f aca="false">IF(Tasks[[#This Row],[Expected]]="",0,((Tasks[[#This Row],[Pessimistic]]-Tasks[[#This Row],[Optimistic]])/6)^2)</f>
        <v>0</v>
      </c>
      <c r="HG74" s="43" t="n">
        <f aca="false">IF(Tasks[[#This Row],[Expected]]="",0,Tasks[[#This Row],[Expected]]-N(Tasks[[#This Row],[_Days]]))</f>
        <v>0</v>
      </c>
    </row>
    <row r="75" customFormat="false" ht="15" hidden="false" customHeight="false" outlineLevel="0" collapsed="false">
      <c r="A75" s="21" t="str">
        <f aca="false">IF(Tasks[[#This Row],[Task Name]]="","",COUNTA(Tasks[[#Headers],[Task Name]]:Tasks[[#This Row],[Task Name]])-1)</f>
        <v/>
      </c>
      <c r="B75" s="22" t="n">
        <v>83</v>
      </c>
      <c r="C75" s="22"/>
      <c r="D75" s="23"/>
      <c r="E75" s="22"/>
      <c r="F75" s="23"/>
      <c r="G75" s="22"/>
      <c r="H75" s="22"/>
      <c r="I75" s="23"/>
      <c r="J75" s="22"/>
      <c r="K75" s="22"/>
      <c r="L75" s="23"/>
      <c r="M75" s="22"/>
      <c r="N75" s="22"/>
      <c r="O75" s="23"/>
      <c r="P75" s="22"/>
      <c r="Q75" s="22"/>
      <c r="R75" s="23"/>
      <c r="S75" s="23"/>
      <c r="T75" s="84"/>
      <c r="U75" s="23"/>
      <c r="V75" s="84"/>
      <c r="W75" s="23"/>
      <c r="X75" s="84"/>
      <c r="Y75" s="23"/>
      <c r="Z75" s="84"/>
      <c r="AA75" s="23"/>
      <c r="AB75" s="23"/>
      <c r="AC75" s="7"/>
      <c r="AD75" s="7"/>
      <c r="AE75" s="63" t="str">
        <f aca="false">IF(Tasks[[#This Row],[Task Name]]="","",IF(Tasks[[#This Row],[_IsSummary]],MIN(INDEX(Tasks[_ShownFcstStart],Tasks[[#This Row],[_Row]]+1):INDEX(Tasks[_ShownFcstStart],Tasks[[#This Row],[_Row]]+Tasks[[#This Row],[_Descendants]])),Tasks[[#This Row],[_ShownFcstStart]]))</f>
        <v/>
      </c>
      <c r="AF75" s="63" t="str">
        <f aca="false">IF(Tasks[[#This Row],[Task Name]]="","",IF(Tasks[[#This Row],[_IsSummary]],MAX(INDEX(Tasks[_ShownFcstFinish],Tasks[[#This Row],[_Row]]+1):INDEX(Tasks[_ShownFcstFinish],Tasks[[#This Row],[_Row]]+Tasks[[#This Row],[_Descendants]])),Tasks[[#This Row],[_ShownFcstFinish]]))</f>
        <v/>
      </c>
      <c r="AG75" s="21" t="str">
        <f aca="false">""</f>
        <v/>
      </c>
      <c r="AH75" s="23"/>
      <c r="AI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5" s="7"/>
      <c r="AK75" s="22"/>
      <c r="AL75" s="23"/>
      <c r="AM75" s="7"/>
      <c r="AN75" s="47" t="str">
        <f aca="false">IF(Tasks[[#This Row],[Task Name]]="","",IF(Tasks[[#This Row],[Finish]]&gt;=Tasks[[#This Row],[Planned Finish]],NETWORKDAYS.INTL(Tasks[[#This Row],[Planned Finish]],Tasks[[#This Row],[Finish]],WorkWeek,Holidays)-1,1-NETWORKDAYS.INTL(Tasks[[#This Row],[Finish]],Tasks[[#This Row],[Planned Finish]],WorkWeek,Holidays)))</f>
        <v/>
      </c>
      <c r="AO75" s="21" t="str">
        <f aca="false">IF(Tasks[[#This Row],[Task Name]]="","",IF(Tasks[[#This Row],[Progress]]&gt;=1,"Complete",IF(OR(N(Tasks[[#This Row],[Actual Start]])&gt;0,Tasks[[#This Row],[Progress]]&gt;0),IF(Tasks[[#This Row],[Finish Var]]&gt;0,"Behind","In Progress"),IF(Tasks[[#This Row],[Planned Start]]&lt;StatusDate,"Late Start","Not Started"))))</f>
        <v/>
      </c>
      <c r="AP75" s="21" t="str">
        <f aca="false">IF(Tasks[[#This Row],[Task Name]]="","",IF(IF(Tasks[[#This Row],[_IsSummary]],COUNTIF(INDEX(Tasks[_LeafCritical],Tasks[[#This Row],[_Row]]+1):INDEX(Tasks[_LeafCritical],Tasks[[#This Row],[_Row]]+Tasks[[#This Row],[_Descendants]]),TRUE())&gt;0,Tasks[[#This Row],[_LeafCritical]]),"Yes",""))</f>
        <v/>
      </c>
      <c r="AQ75" s="63" t="str">
        <f aca="false">IF(Tasks[[#This Row],[Task Name]]="","",IF(N(Tasks[[#This Row],[Baseline Start]])&gt;0,Tasks[[#This Row],[Baseline Start]],Tasks[[#This Row],[_CalcStart]]))</f>
        <v/>
      </c>
      <c r="AR75" s="63" t="str">
        <f aca="false">IF(Tasks[[#This Row],[Task Name]]="","",IF(N(Tasks[[#This Row],[Baseline Finish]])&gt;0,Tasks[[#This Row],[Baseline Finish]],Tasks[[#This Row],[_CalcFinish]]))</f>
        <v/>
      </c>
      <c r="AS75" s="47" t="str">
        <f aca="false">IF(Tasks[[#This Row],[Task Name]]="","",IF(Tasks[[#This Row],[Start]]&gt;=Tasks[[#This Row],[Planned Start]],NETWORKDAYS.INTL(Tasks[[#This Row],[Planned Start]],Tasks[[#This Row],[Start]],WorkWeek,Holidays)-1,1-NETWORKDAYS.INTL(Tasks[[#This Row],[Start]],Tasks[[#This Row],[Planned Start]],WorkWeek,Holidays)))</f>
        <v/>
      </c>
      <c r="AT75" s="63" t="str">
        <f aca="false">IF(Tasks[[#This Row],[Task Name]]="","",IF(Tasks[[#This Row],[_IsSummary]],MIN(INDEX(Tasks[_LeafLateStart],Tasks[[#This Row],[_Row]]+1):INDEX(Tasks[_LeafLateStart],Tasks[[#This Row],[_Row]]+Tasks[[#This Row],[_Descendants]])),Tasks[[#This Row],[_LeafLateStart]]))</f>
        <v/>
      </c>
      <c r="AU75" s="63" t="str">
        <f aca="false">IF(Tasks[[#This Row],[Task Name]]="","",IF(Tasks[[#This Row],[_IsSummary]],MAX(INDEX(Tasks[_LeafLateFinish],Tasks[[#This Row],[_Row]]+1):INDEX(Tasks[_LeafLateFinish],Tasks[[#This Row],[_Row]]+Tasks[[#This Row],[_Descendants]])),Tasks[[#This Row],[_LeafLateFinish]]))</f>
        <v/>
      </c>
      <c r="AV75" s="47" t="str">
        <f aca="false">IF(Tasks[[#This Row],[Task Name]]="","",IF(Tasks[[#This Row],[_IsSummary]],MIN(INDEX(Tasks[_LeafTotalSlack],Tasks[[#This Row],[_Row]]+1):INDEX(Tasks[_LeafTotalSlack],Tasks[[#This Row],[_Row]]+Tasks[[#This Row],[_Descendants]])),Tasks[[#This Row],[_LeafTotalSlack]]))</f>
        <v/>
      </c>
      <c r="AW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5"/>
      <c r="BA7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t="str">
        <f aca="false">IF(Tasks[[#This Row],[Task Name]]="","",IF(Tasks[[#This Row],[_Level]]&lt;=OutlineShowLevel,"Yes","No"))</f>
        <v/>
      </c>
      <c r="BE75" s="86" t="str">
        <f aca="false">IF(Tasks[[#This Row],[Task Name]]="","",IF(Tasks[[#This Row],[_IsSummary]],SUM(INDEX(Tasks[_LeafTotalWork],Tasks[[#This Row],[_Row]]+1):INDEX(Tasks[_LeafTotalWork],Tasks[[#This Row],[_Row]]+Tasks[[#This Row],[_Descendants]])),Tasks[[#This Row],[_LeafTotalWork]]))</f>
        <v/>
      </c>
      <c r="BF75" s="23"/>
      <c r="BG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t="str">
        <f aca="false">""</f>
        <v/>
      </c>
      <c r="BI75" s="87"/>
      <c r="BJ75" s="22"/>
      <c r="BK75" s="47" t="str">
        <f aca="false">IF(OR(Tasks[[#This Row],[Task Name]]="",Tasks[[#This Row],[Baseline Duration]]=""),"",Tasks[[#This Row],[_SpanDays]]-N(Tasks[[#This Row],[Baseline Duration]]))</f>
        <v/>
      </c>
      <c r="BL75" s="86" t="str">
        <f aca="false">IF(OR(Tasks[[#This Row],[Task Name]]="",Tasks[[#This Row],[Baseline Work]]=""),"",Tasks[[#This Row],[Work]]-N(Tasks[[#This Row],[Baseline Work]]))</f>
        <v/>
      </c>
      <c r="BM75" s="63" t="str">
        <f aca="false">IF(Tasks[[#This Row],[Task Name]]="","",IF(OR(TakeBaseline="Yes",N(Tasks[[#This Row],[Baseline Start]])=0),Tasks[[#This Row],[Start]],Tasks[[#This Row],[Baseline Start]]))</f>
        <v/>
      </c>
      <c r="BN75" s="63" t="str">
        <f aca="false">IF(Tasks[[#This Row],[Task Name]]="","",IF(OR(TakeBaseline="Yes",N(Tasks[[#This Row],[Baseline Finish]])=0),Tasks[[#This Row],[Finish]],Tasks[[#This Row],[Baseline Finish]]))</f>
        <v/>
      </c>
      <c r="BO75" s="21" t="str">
        <f aca="false">IF(Tasks[[#This Row],[Task Name]]="","",IF(OR(TakeBaseline="Yes",N(Tasks[[#This Row],[Baseline Duration]])=0),Tasks[[#This Row],[_SpanDays]],Tasks[[#This Row],[Baseline Duration]]))</f>
        <v/>
      </c>
      <c r="BP75" s="86" t="str">
        <f aca="false">IF(Tasks[[#This Row],[Task Name]]="","",IF(OR(TakeBaseline="Yes",N(Tasks[[#This Row],[Baseline Work]])=0),Tasks[[#This Row],[Work]],Tasks[[#This Row],[Baseline Work]]))</f>
        <v/>
      </c>
      <c r="BQ75" s="7"/>
      <c r="BR75" s="7"/>
      <c r="BS75" s="22"/>
      <c r="BT75" s="88"/>
      <c r="BU75" s="23"/>
      <c r="BV75" s="23"/>
      <c r="BW75" s="23"/>
      <c r="BX75" s="89" t="str">
        <f aca="false">IF(AND(Tasks[[#This Row],[_IsLeaf]]=1,ISNUMBER(Tasks[[#This Row],[Optimistic]]),ISNUMBER(Tasks[[#This Row],[Pessimistic]])),ROUND((Tasks[[#This Row],[Optimistic]]+4*N(Tasks[[#This Row],[_Days]])+Tasks[[#This Row],[Pessimistic]])/6,1),"")</f>
        <v/>
      </c>
      <c r="BY75" s="87"/>
      <c r="BZ75" s="87"/>
      <c r="CA75" s="22"/>
      <c r="CB75" s="43" t="str">
        <f aca="false">IF(Tasks[[#This Row],[Task Name]]="","",MAX(1,N(Tasks[[#This Row],[Level]])))</f>
        <v/>
      </c>
      <c r="CC75" s="43" t="n">
        <f aca="false">ROW()-ROW(Tasks[[#Headers],[ID]])</f>
        <v>70</v>
      </c>
      <c r="CD75" s="43" t="n">
        <f aca="false">IF(OR(Tasks[[#This Row],[Task Name]]="",Tasks[[#This Row],[_Level]]&lt;=1),0,IFERROR(LOOKUP(2,1/(Tasks[[#Headers],[_Level]]:Tasks[[#This Row],[_Level]]=Tasks[[#This Row],[_Level]]-1),ROW(Tasks[[#Headers],[_Level]]:Tasks[[#This Row],[_Level]])),0))</f>
        <v>0</v>
      </c>
      <c r="CE75" s="43" t="n">
        <f aca="false">IFERROR(N(INDEX(Tasks[_Level],Tasks[[#This Row],[_Row]]+1)),0)</f>
        <v>0</v>
      </c>
      <c r="CF75" s="90" t="b">
        <f aca="false">AND(Tasks[[#This Row],[Task Name]]&lt;&gt;"",Tasks[[#This Row],[_NextLevel]]&gt;Tasks[[#This Row],[_Level]])</f>
        <v>0</v>
      </c>
      <c r="CG75" s="43" t="n">
        <f aca="false">IF(Tasks[[#This Row],[_IsSummary]],COUNTIF(Tasks[WBS],Tasks[[#This Row],[WBS]]&amp;".*"),0)</f>
        <v>0</v>
      </c>
      <c r="CH75" s="43" t="n">
        <f aca="false">IF(AND(Tasks[[#This Row],[Task Name]]&lt;&gt;"",NOT(Tasks[[#This Row],[_IsSummary]])),1,0)</f>
        <v>0</v>
      </c>
      <c r="CI75" s="43" t="n">
        <f aca="false">IF(N(Tasks[[#This Row],[_Pred1UID]])=0,0,IFERROR(MATCH(Tasks[[#This Row],[_Pred1UID]],Tasks[UID],0),-1))</f>
        <v>0</v>
      </c>
      <c r="CJ75" s="43" t="n">
        <f aca="false">IF(N(Tasks[[#This Row],[_Pred2UID]])=0,0,IFERROR(MATCH(Tasks[[#This Row],[_Pred2UID]],Tasks[UID],0),-1))</f>
        <v>0</v>
      </c>
      <c r="CK75" s="43" t="n">
        <f aca="false">IF(N(Tasks[[#This Row],[_Pred3UID]])=0,0,IFERROR(MATCH(Tasks[[#This Row],[_Pred3UID]],Tasks[UID],0),-1))</f>
        <v>0</v>
      </c>
      <c r="CL75" s="43" t="n">
        <f aca="false">IF(N(Tasks[[#This Row],[_Pred4UID]])=0,0,IFERROR(MATCH(Tasks[[#This Row],[_Pred4UID]],Tasks[UID],0),-1))</f>
        <v>0</v>
      </c>
      <c r="CM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5" s="91" t="n">
        <f aca="false">IF(OR(Tasks[[#This Row],[_ConstraintCode]]=2,Tasks[[#This Row],[_ConstraintCode]]=3,Tasks[[#This Row],[_ConstraintCode]]=4,Tasks[[#This Row],[_ConstraintCode]]=6),Tasks[[#This Row],[_ConstraintStart]],0)</f>
        <v>0</v>
      </c>
      <c r="CP75" s="91" t="n">
        <f aca="false">IF(OR(Tasks[[#This Row],[_ConstraintCode]]=2,Tasks[[#This Row],[_ConstraintCode]]=3,Tasks[[#This Row],[_ConstraintCode]]=5,Tasks[[#This Row],[_ConstraintCode]]=7),Tasks[[#This Row],[_ConstraintStart]],2958465)</f>
        <v>2958465</v>
      </c>
      <c r="CQ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5" s="91" t="str">
        <f aca="false">IF(NOT(Tasks[[#This Row],[_IsLeaf]]=1),"",IF(N(Tasks[[#This Row],[_Days]])&lt;=0,Tasks[[#This Row],[_LeafCalcStart]],WORKDAY.INTL(Tasks[[#This Row],[_LeafCalcStart]],Tasks[[#This Row],[_Days]]-1,WorkWeek,Holidays)))</f>
        <v/>
      </c>
      <c r="CS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5" s="43" t="str">
        <f aca="false">IF(Tasks[[#This Row],[_Predecessors]]="","",TRIM(MID(SUBSTITUTE(SUBSTITUTE(SUBSTITUTE(UPPER(Tasks[[#This Row],[_Predecessors]]),";",",")," ",""),",",REPT(" ",99)),1,99)))</f>
        <v/>
      </c>
      <c r="CV75" s="43" t="str">
        <f aca="false">IF(Tasks[[#This Row],[_Pred1Text]]="","",IFERROR(VALUE(LEFT(Tasks[[#This Row],[_Pred1Text]],MIN(FIND("F",Tasks[[#This Row],[_Pred1Text]]&amp;"F"),FIND("S",Tasks[[#This Row],[_Pred1Text]]&amp;"S"),FIND("+",Tasks[[#This Row],[_Pred1Text]]&amp;"+"),FIND("-",Tasks[[#This Row],[_Pred1Text]]&amp;"-"))-1)),""))</f>
        <v/>
      </c>
      <c r="CW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5" s="43" t="str">
        <f aca="false">IF(Tasks[[#This Row],[_Pred1Text]]="","",TRIM(MID(SUBSTITUTE(SUBSTITUTE(SUBSTITUTE(UPPER(Tasks[[#This Row],[_Predecessors]]),";",",")," ",""),",",REPT(" ",99)),100,99)))</f>
        <v/>
      </c>
      <c r="CZ75" s="43" t="str">
        <f aca="false">IF(Tasks[[#This Row],[_Pred2Text]]="","",IFERROR(VALUE(LEFT(Tasks[[#This Row],[_Pred2Text]],MIN(FIND("F",Tasks[[#This Row],[_Pred2Text]]&amp;"F"),FIND("S",Tasks[[#This Row],[_Pred2Text]]&amp;"S"),FIND("+",Tasks[[#This Row],[_Pred2Text]]&amp;"+"),FIND("-",Tasks[[#This Row],[_Pred2Text]]&amp;"-"))-1)),""))</f>
        <v/>
      </c>
      <c r="DA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5" s="43" t="str">
        <f aca="false">IF(Tasks[[#This Row],[_Pred2Text]]="","",TRIM(MID(SUBSTITUTE(SUBSTITUTE(SUBSTITUTE(UPPER(Tasks[[#This Row],[_Predecessors]]),";",",")," ",""),",",REPT(" ",99)),199,99)))</f>
        <v/>
      </c>
      <c r="DD75" s="43" t="str">
        <f aca="false">IF(Tasks[[#This Row],[_Pred3Text]]="","",IFERROR(VALUE(LEFT(Tasks[[#This Row],[_Pred3Text]],MIN(FIND("F",Tasks[[#This Row],[_Pred3Text]]&amp;"F"),FIND("S",Tasks[[#This Row],[_Pred3Text]]&amp;"S"),FIND("+",Tasks[[#This Row],[_Pred3Text]]&amp;"+"),FIND("-",Tasks[[#This Row],[_Pred3Text]]&amp;"-"))-1)),""))</f>
        <v/>
      </c>
      <c r="DE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5" s="43" t="str">
        <f aca="false">IF(Tasks[[#This Row],[_Pred3Text]]="","",TRIM(MID(SUBSTITUTE(SUBSTITUTE(SUBSTITUTE(UPPER(Tasks[[#This Row],[_Predecessors]]),";",",")," ",""),",",REPT(" ",99)),298,99)))</f>
        <v/>
      </c>
      <c r="DH75" s="43" t="str">
        <f aca="false">IF(Tasks[[#This Row],[_Pred4Text]]="","",IFERROR(VALUE(LEFT(Tasks[[#This Row],[_Pred4Text]],MIN(FIND("F",Tasks[[#This Row],[_Pred4Text]]&amp;"F"),FIND("S",Tasks[[#This Row],[_Pred4Text]]&amp;"S"),FIND("+",Tasks[[#This Row],[_Pred4Text]]&amp;"+"),FIND("-",Tasks[[#This Row],[_Pred4Text]]&amp;"-"))-1)),""))</f>
        <v/>
      </c>
      <c r="DI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5" s="43" t="str">
        <f aca="false">IF(OR(Tasks[[#This Row],[Task Name]]="",Tasks[[#This Row],[_Resources]]=""),"",TRIM(MID(SUBSTITUTE(Tasks[[#This Row],[_Resources]],",",REPT(" ",99)),1,99)))</f>
        <v/>
      </c>
      <c r="DL75" s="43" t="str">
        <f aca="false">IF(Tasks[[#This Row],[_Res1Text]]="","",TRIM(MID(SUBSTITUTE(Tasks[[#This Row],[_Resources]],",",REPT(" ",99)),100,99)))</f>
        <v/>
      </c>
      <c r="DM75" s="43" t="str">
        <f aca="false">IF(Tasks[[#This Row],[_Res2Text]]="","",TRIM(MID(SUBSTITUTE(Tasks[[#This Row],[_Resources]],",",REPT(" ",99)),199,99)))</f>
        <v/>
      </c>
      <c r="DN75" s="43" t="str">
        <f aca="false">IF(Tasks[[#This Row],[_Res3Text]]="","",TRIM(MID(SUBSTITUTE(Tasks[[#This Row],[_Resources]],",",REPT(" ",99)),298,99)))</f>
        <v/>
      </c>
      <c r="DO75" s="43" t="n">
        <f aca="false">IF(Tasks[[#This Row],[_Res1Text]]="",0,IFERROR(MATCH(TRIM(LEFT(Tasks[[#This Row],[_Res1Text]],FIND("[",Tasks[[#This Row],[_Res1Text]]&amp;"[")-1)),res_Name,0),IFERROR(MATCH(TRIM(LEFT(Tasks[[#This Row],[_Res1Text]],FIND("[",Tasks[[#This Row],[_Res1Text]]&amp;"[")-1)),res_Initials,0),0)))</f>
        <v>0</v>
      </c>
      <c r="DP75" s="43" t="n">
        <f aca="false">IF(Tasks[[#This Row],[_Res2Text]]="",0,IFERROR(MATCH(TRIM(LEFT(Tasks[[#This Row],[_Res2Text]],FIND("[",Tasks[[#This Row],[_Res2Text]]&amp;"[")-1)),res_Name,0),IFERROR(MATCH(TRIM(LEFT(Tasks[[#This Row],[_Res2Text]],FIND("[",Tasks[[#This Row],[_Res2Text]]&amp;"[")-1)),res_Initials,0),0)))</f>
        <v>0</v>
      </c>
      <c r="DQ75" s="43" t="n">
        <f aca="false">IF(Tasks[[#This Row],[_Res3Text]]="",0,IFERROR(MATCH(TRIM(LEFT(Tasks[[#This Row],[_Res3Text]],FIND("[",Tasks[[#This Row],[_Res3Text]]&amp;"[")-1)),res_Name,0),IFERROR(MATCH(TRIM(LEFT(Tasks[[#This Row],[_Res3Text]],FIND("[",Tasks[[#This Row],[_Res3Text]]&amp;"[")-1)),res_Initials,0),0)))</f>
        <v>0</v>
      </c>
      <c r="DR75" s="43" t="n">
        <f aca="false">IF(Tasks[[#This Row],[_Res4Text]]="",0,IFERROR(MATCH(TRIM(LEFT(Tasks[[#This Row],[_Res4Text]],FIND("[",Tasks[[#This Row],[_Res4Text]]&amp;"[")-1)),res_Name,0),IFERROR(MATCH(TRIM(LEFT(Tasks[[#This Row],[_Res4Text]],FIND("[",Tasks[[#This Row],[_Res4Text]]&amp;"[")-1)),res_Initials,0),0)))</f>
        <v>0</v>
      </c>
      <c r="DS75" s="43" t="str">
        <f aca="false">IF(Tasks[[#This Row],[_Res1Text]]="","",IF(Tasks[[#This Row],[_Res1Row]]&gt;0,INDEX(res_Name,Tasks[[#This Row],[_Res1Row]]),TRIM(LEFT(Tasks[[#This Row],[_Res1Text]],FIND("[",Tasks[[#This Row],[_Res1Text]]&amp;"[")-1))))</f>
        <v/>
      </c>
      <c r="DT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5" s="43" t="n">
        <f aca="false">IF(NOT(Tasks[[#This Row],[_IsLeaf]]=1),0,(Tasks[[#This Row],[_Resource1]]&lt;&gt;"")+(Tasks[[#This Row],[_Res2]]&lt;&gt;"")+(Tasks[[#This Row],[_Res3]]&lt;&gt;"")+(Tasks[[#This Row],[_Res4]]&lt;&gt;""))</f>
        <v>0</v>
      </c>
      <c r="DV75" s="43" t="str">
        <f aca="false">IF(Tasks[[#This Row],[_Res2Text]]="","",IF(Tasks[[#This Row],[_Res2Row]]&gt;0,INDEX(res_Name,Tasks[[#This Row],[_Res2Row]]),TRIM(LEFT(Tasks[[#This Row],[_Res2Text]],FIND("[",Tasks[[#This Row],[_Res2Text]]&amp;"[")-1))))</f>
        <v/>
      </c>
      <c r="DW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5" s="43" t="n">
        <f aca="false">IF(OR(NOT(Tasks[[#This Row],[_IsLeaf]]=1),Tasks[[#This Row],[_Res2Row]]=0),0,N(Tasks[[#This Row],[_Days]])*HoursPerDay*IF(Tasks[[#This Row],[_Res2Units]]="",DefaultUnits,Tasks[[#This Row],[_Res2Units]]))</f>
        <v>0</v>
      </c>
      <c r="DY75" s="43" t="n">
        <f aca="false">IF(AND(AND(Tasks[[#This Row],[_IsLeaf]]=1,Tasks[[#This Row],[_LeafTotalWork]]&gt;0),Tasks[[#This Row],[_Res2Work]]&gt;0),Tasks[[#This Row],[_Res2Work]]/(Tasks[[#This Row],[_FinishWorkday]]-Tasks[[#This Row],[_StartWorkday]]+1),0)</f>
        <v>0</v>
      </c>
      <c r="DZ75" s="43" t="n">
        <f aca="false">Tasks[[#This Row],[_Res2WorkPerWD]]*MAX(0,Tasks[[#This Row],[_StartWorkday]]-1)</f>
        <v>0</v>
      </c>
      <c r="EA75" s="43" t="n">
        <f aca="false">Tasks[[#This Row],[_Res2Work]]*Tasks[[#This Row],[_LeafProgress]]</f>
        <v>0</v>
      </c>
      <c r="EB75" s="43" t="str">
        <f aca="false">IF(Tasks[[#This Row],[_Res3Text]]="","",IF(Tasks[[#This Row],[_Res3Row]]&gt;0,INDEX(res_Name,Tasks[[#This Row],[_Res3Row]]),TRIM(LEFT(Tasks[[#This Row],[_Res3Text]],FIND("[",Tasks[[#This Row],[_Res3Text]]&amp;"[")-1))))</f>
        <v/>
      </c>
      <c r="EC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5" s="43" t="n">
        <f aca="false">IF(OR(NOT(Tasks[[#This Row],[_IsLeaf]]=1),Tasks[[#This Row],[_Res3Row]]=0),0,N(Tasks[[#This Row],[_Days]])*HoursPerDay*IF(Tasks[[#This Row],[_Res3Units]]="",DefaultUnits,Tasks[[#This Row],[_Res3Units]]))</f>
        <v>0</v>
      </c>
      <c r="EE75" s="43" t="n">
        <f aca="false">IF(AND(AND(Tasks[[#This Row],[_IsLeaf]]=1,Tasks[[#This Row],[_LeafTotalWork]]&gt;0),Tasks[[#This Row],[_Res3Work]]&gt;0),Tasks[[#This Row],[_Res3Work]]/(Tasks[[#This Row],[_FinishWorkday]]-Tasks[[#This Row],[_StartWorkday]]+1),0)</f>
        <v>0</v>
      </c>
      <c r="EF75" s="43" t="n">
        <f aca="false">Tasks[[#This Row],[_Res3WorkPerWD]]*MAX(0,Tasks[[#This Row],[_StartWorkday]]-1)</f>
        <v>0</v>
      </c>
      <c r="EG75" s="43" t="n">
        <f aca="false">Tasks[[#This Row],[_Res3Work]]*Tasks[[#This Row],[_LeafProgress]]</f>
        <v>0</v>
      </c>
      <c r="EH75" s="43" t="str">
        <f aca="false">IF(Tasks[[#This Row],[_Res4Text]]="","",IF(Tasks[[#This Row],[_Res4Row]]&gt;0,INDEX(res_Name,Tasks[[#This Row],[_Res4Row]]),TRIM(LEFT(Tasks[[#This Row],[_Res4Text]],FIND("[",Tasks[[#This Row],[_Res4Text]]&amp;"[")-1))))</f>
        <v/>
      </c>
      <c r="EI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5" s="43" t="n">
        <f aca="false">IF(OR(NOT(Tasks[[#This Row],[_IsLeaf]]=1),Tasks[[#This Row],[_Res4Row]]=0),0,N(Tasks[[#This Row],[_Days]])*HoursPerDay*IF(Tasks[[#This Row],[_Res4Units]]="",DefaultUnits,Tasks[[#This Row],[_Res4Units]]))</f>
        <v>0</v>
      </c>
      <c r="EK75" s="43" t="n">
        <f aca="false">IF(AND(AND(Tasks[[#This Row],[_IsLeaf]]=1,Tasks[[#This Row],[_LeafTotalWork]]&gt;0),Tasks[[#This Row],[_Res4Work]]&gt;0),Tasks[[#This Row],[_Res4Work]]/(Tasks[[#This Row],[_FinishWorkday]]-Tasks[[#This Row],[_StartWorkday]]+1),0)</f>
        <v>0</v>
      </c>
      <c r="EL75" s="43" t="n">
        <f aca="false">Tasks[[#This Row],[_Res4WorkPerWD]]*MAX(0,Tasks[[#This Row],[_StartWorkday]]-1)</f>
        <v>0</v>
      </c>
      <c r="EM75" s="43" t="n">
        <f aca="false">Tasks[[#This Row],[_Res4Work]]*Tasks[[#This Row],[_LeafProgress]]</f>
        <v>0</v>
      </c>
      <c r="EN75" s="43" t="n">
        <f aca="false">IF(ISNUMBER(Tasks[[#This Row],[% Complete]]),Tasks[[#This Row],[% Complete]],IF(Tasks[[#This Row],[Stage]]="",0,IFERROR(INDEX(stg_Pct,MATCH(Tasks[[#This Row],[Stage]],stg_Name,0)),0)))</f>
        <v>0</v>
      </c>
      <c r="EO75" s="43" t="n">
        <f aca="false">IF(NOT(Tasks[[#This Row],[_IsLeaf]]=1),0,IF(N(Tasks[[#This Row],[Actual Finish]])&gt;0,1,MIN(1,Tasks[[#This Row],[_Pct]])))</f>
        <v>0</v>
      </c>
      <c r="EP75" s="43" t="n">
        <f aca="false">IF(OR(NOT(Tasks[[#This Row],[_IsLeaf]]=1),Tasks[[#This Row],[_Res1Row]]=0),0,N(Tasks[[#This Row],[_Days]])*HoursPerDay*IF(Tasks[[#This Row],[_Units1]]="",DefaultUnits,Tasks[[#This Row],[_Units1]]))</f>
        <v>0</v>
      </c>
      <c r="EQ75" s="43" t="n">
        <f aca="false">Tasks[[#This Row],[_LeafWork]]+Tasks[[#This Row],[_Res2Work]]+Tasks[[#This Row],[_Res3Work]]+Tasks[[#This Row],[_Res4Work]]</f>
        <v>0</v>
      </c>
      <c r="ER7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5" s="43" t="n">
        <f aca="false">IF(NOT(Tasks[[#This Row],[_IsLeaf]]=1),0,MAX(_xlfn.MAXIFS(Tasks[_Row],Tasks[_Pred1UID],Tasks[[#This Row],[UID]]),_xlfn.MAXIFS(Tasks[_Row],Tasks[_Pred2UID],Tasks[[#This Row],[UID]]),_xlfn.MAXIFS(Tasks[_Row],Tasks[_Pred3UID],Tasks[[#This Row],[UID]]),_xlfn.MAXIFS(Tasks[_Row],Tasks[_Pred4UID],Tasks[[#This Row],[UID]])))</f>
        <v>0</v>
      </c>
      <c r="FA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5" s="91" t="str">
        <f aca="false">IF(NOT(Tasks[[#This Row],[_IsLeaf]]=1),"",IF(N(Tasks[[#This Row],[_Days]])&lt;=0,Tasks[[#This Row],[_LeafLateFinish]],WORKDAY.INTL(Tasks[[#This Row],[_LeafLateFinish]],-(Tasks[[#This Row],[_Days]]-1),WorkWeek,Holidays)))</f>
        <v/>
      </c>
      <c r="FD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5" s="90" t="b">
        <f aca="false">AND(Tasks[[#This Row],[_IsLeaf]]=1,Tasks[[#This Row],[_LeafProgress]]&lt;1,N(Tasks[[#This Row],[_LeafTotalSlack]])&lt;=CriticalSlackDays)</f>
        <v>0</v>
      </c>
      <c r="FF75" s="43" t="n">
        <f aca="false">IF(AND(Tasks[[#This Row],[_IsLeaf]]=1,Tasks[[#This Row],[_ConstraintCode]]=1,Tasks[[#This Row],[Mode]]&lt;&gt;"Manual",N(Tasks[[#This Row],[Actual Start]])=0),MAX(0,N(Tasks[[#This Row],[Free Slack]])),0)</f>
        <v>0</v>
      </c>
      <c r="FG75" s="91" t="str">
        <f aca="false">IF(NOT(Tasks[[#This Row],[_IsLeaf]]=1),"",IF(Tasks[[#This Row],[_AlapShift]]=0,Tasks[[#This Row],[_LeafCalcStart]],WORKDAY.INTL(Tasks[[#This Row],[_LeafCalcStart]],Tasks[[#This Row],[_AlapShift]],WorkWeek,Holidays)))</f>
        <v/>
      </c>
      <c r="FH75" s="91" t="str">
        <f aca="false">IF(NOT(Tasks[[#This Row],[_IsLeaf]]=1),"",IF(Tasks[[#This Row],[_AlapShift]]=0,Tasks[[#This Row],[_LeafCalcFinish]],WORKDAY.INTL(Tasks[[#This Row],[_LeafCalcFinish]],Tasks[[#This Row],[_AlapShift]],WorkWeek,Holidays)))</f>
        <v/>
      </c>
      <c r="FI75" s="91" t="str">
        <f aca="false">IF(NOT(Tasks[[#This Row],[_IsLeaf]]=1),"",IF(Tasks[[#This Row],[_AlapShift]]=0,Tasks[[#This Row],[_LeafFcstStart]],WORKDAY.INTL(Tasks[[#This Row],[_LeafFcstStart]],Tasks[[#This Row],[_AlapShift]],WorkWeek,Holidays)))</f>
        <v/>
      </c>
      <c r="FJ75" s="91" t="str">
        <f aca="false">IF(NOT(Tasks[[#This Row],[_IsLeaf]]=1),"",IF(Tasks[[#This Row],[_AlapShift]]=0,Tasks[[#This Row],[_LeafFcstFinish]],WORKDAY.INTL(Tasks[[#This Row],[_LeafFcstFinish]],Tasks[[#This Row],[_AlapShift]],WorkWeek,Holidays)))</f>
        <v/>
      </c>
      <c r="FK75" s="91" t="str">
        <f aca="false">IF(Tasks[[#This Row],[Task Name]]="","",IF(Tasks[[#This Row],[_IsSummary]],MIN(INDEX(Tasks[_ShownCalcStart],Tasks[[#This Row],[_Row]]+1):INDEX(Tasks[_ShownCalcStart],Tasks[[#This Row],[_Row]]+Tasks[[#This Row],[_Descendants]])),Tasks[[#This Row],[_ShownCalcStart]]))</f>
        <v/>
      </c>
      <c r="FL75" s="91" t="str">
        <f aca="false">IF(Tasks[[#This Row],[Task Name]]="","",IF(Tasks[[#This Row],[_IsSummary]],MAX(INDEX(Tasks[_ShownCalcFinish],Tasks[[#This Row],[_Row]]+1):INDEX(Tasks[_ShownCalcFinish],Tasks[[#This Row],[_Row]]+Tasks[[#This Row],[_Descendants]])),Tasks[[#This Row],[_ShownCalcFinish]]))</f>
        <v/>
      </c>
      <c r="FM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5" s="43" t="n">
        <f aca="false">IF(AND(Tasks[[#This Row],[_IsLeaf]]=1,Tasks[[#This Row],[_LeafTotalWork]]&gt;0),NETWORKDAYS.INTL(ProjectStart,Tasks[[#This Row],[_ShownFcstStart]],WorkWeek,Holidays),0)</f>
        <v>0</v>
      </c>
      <c r="FZ75" s="43" t="n">
        <f aca="false">IF(AND(Tasks[[#This Row],[_IsLeaf]]=1,Tasks[[#This Row],[_LeafTotalWork]]&gt;0),MAX(Tasks[[#This Row],[_StartWorkday]],NETWORKDAYS.INTL(ProjectStart,Tasks[[#This Row],[_ShownFcstFinish]],WorkWeek,Holidays)),0)</f>
        <v>0</v>
      </c>
      <c r="GA75" s="43" t="n">
        <f aca="false">IF(AND(Tasks[[#This Row],[_IsLeaf]]=1,Tasks[[#This Row],[_LeafTotalWork]]&gt;0),Tasks[[#This Row],[_LeafWork]]/(Tasks[[#This Row],[_FinishWorkday]]-Tasks[[#This Row],[_StartWorkday]]+1),0)</f>
        <v>0</v>
      </c>
      <c r="GB75" s="43" t="n">
        <f aca="false">Tasks[[#This Row],[_WorkPerWorkday]]*(Tasks[[#This Row],[_StartWorkday]]-1)</f>
        <v>-0</v>
      </c>
      <c r="GC75" s="43" t="n">
        <f aca="false">IF(Tasks[[#This Row],[_IsLeaf]]=1,MAX(N(Tasks[[#This Row],[_Days]]),0.1),0)</f>
        <v>0</v>
      </c>
      <c r="GD75" s="43" t="n">
        <f aca="false">Tasks[[#This Row],[_WeightDur]]*Tasks[[#This Row],[_LeafProgress]]</f>
        <v>0</v>
      </c>
      <c r="GE75" s="43" t="n">
        <f aca="false">Tasks[[#This Row],[_WeightDur]]*Tasks[[#This Row],[_PlannedPct]]</f>
        <v>0</v>
      </c>
      <c r="GF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5" s="43" t="str">
        <f aca="false">IF(AND(Tasks[[#This Row],[_IsLeaf]]=1,N(Tasks[[#This Row],[_Days]])=0,Tasks[[#This Row],[_LeafProgress]]&lt;1),Tasks[[#This Row],[_ShownFcstFinish]]+Tasks[[#This Row],[_Row]]/100000,"")</f>
        <v/>
      </c>
      <c r="GH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5" s="43" t="str">
        <f aca="false">IF(Tasks[[#This Row],[Task Name]]="","",LEFT(Tasks[[#This Row],[WBS]],FIND(".",Tasks[[#This Row],[WBS]]&amp;".")-1))</f>
        <v/>
      </c>
      <c r="GJ75" s="43" t="str">
        <f aca="false">IF(AND(Tasks[[#This Row],[Task Name]]&lt;&gt;"",Tasks[[#This Row],[_Level]]=1),Tasks[[#This Row],[_Row]],"")</f>
        <v/>
      </c>
      <c r="GK75" s="43" t="str">
        <f aca="false">IF(AND(Tasks[[#This Row],[_IsLeaf]]=1,N(Tasks[[#This Row],[_Days]])=0),Tasks[[#This Row],[Planned Finish]]+Tasks[[#This Row],[_Row]]/100000,"")</f>
        <v/>
      </c>
      <c r="GL75" s="43" t="str">
        <f aca="false">IF(AND(Tasks[[#This Row],[_IsLeaf]]=1,Tasks[[#This Row],[_LeafProgress]]&lt;1,OR(N(Tasks[[#This Row],[Finish Var]])&gt;0,Tasks[[#This Row],[Status]]="Late Start")),MAX(0,Tasks[[#This Row],[Finish Var]])+1-Tasks[[#This Row],[_Row]]/1000000,"")</f>
        <v/>
      </c>
      <c r="GM75" s="43" t="str">
        <f aca="false">IF(AND(Tasks[[#This Row],[_IsLeaf]]=1,N(Tasks[[#This Row],[Actual Start]])=0,Tasks[[#This Row],[_ShownFcstStart]]&gt;=StatusDate,Tasks[[#This Row],[_ShownFcstStart]]&lt;=LookaheadEnd),Tasks[[#This Row],[_ShownFcstStart]]+Tasks[[#This Row],[_Row]]/100000,"")</f>
        <v/>
      </c>
      <c r="GN75" s="43" t="str">
        <f aca="false">IF(AND(Tasks[[#This Row],[_IsLeaf]]=1,Tasks[[#This Row],[_LeafProgress]]&lt;1,Tasks[[#This Row],[_ShownFcstFinish]]&gt;=StatusDate,Tasks[[#This Row],[_ShownFcstFinish]]&lt;=LookaheadEnd),Tasks[[#This Row],[_ShownFcstFinish]]+Tasks[[#This Row],[_Row]]/100000,"")</f>
        <v/>
      </c>
      <c r="GO75" s="43" t="str">
        <f aca="false">IF(Tasks[[#This Row],[_LeafCritical]],Tasks[[#This Row],[_ShownFcstStart]]+Tasks[[#This Row],[_Row]]/100000,"")</f>
        <v/>
      </c>
      <c r="GP75" s="43" t="n">
        <f aca="false">Tasks[[#This Row],[_LeafWork]]*Tasks[[#This Row],[_LeafProgress]]</f>
        <v>0</v>
      </c>
      <c r="GQ75" s="91" t="str">
        <f aca="false">IF(AND(Tasks[[#This Row],[_IsLeaf]]=1,Tasks[[#This Row],[_LeafProgress]]&gt;=1),IF(N(Tasks[[#This Row],[Actual Finish]])&gt;0,Tasks[[#This Row],[Actual Finish]],Tasks[[#This Row],[_ShownFcstFinish]]),"")</f>
        <v/>
      </c>
      <c r="GR75" s="43" t="n">
        <f aca="false">IF(Tasks[[#This Row],[_IsLeaf]]=1,N(Tasks[[#This Row],[Story Points]]),0)</f>
        <v>0</v>
      </c>
      <c r="GS75" s="43" t="str">
        <f aca="false">""</f>
        <v/>
      </c>
      <c r="GT75" s="90" t="b">
        <f aca="false">IF(Tasks[[#This Row],[Task Name]]="",FALSE(),AND(Tasks[[#This Row],[_IsLeaf]]=1,N(Tasks[[#This Row],[_Days]])=0))</f>
        <v>0</v>
      </c>
      <c r="GU75" s="91" t="n">
        <f aca="false">IF(Tasks[[#This Row],[Task Name]]="",0,IF(AND(Tasks[[#This Row],[_IsLeaf]]=1,NOT(Tasks[[#This Row],[_IsMilestone]]),N(Tasks[[#This Row],[Progress]])&gt;0),Tasks[[#This Row],[Start]],0))</f>
        <v>0</v>
      </c>
      <c r="GV75" s="91" t="n">
        <f aca="false">IF(Tasks[[#This Row],[_DoneFrom]]=0,0,IF(Tasks[[#This Row],[Progress]]&gt;=1,Tasks[[#This Row],[Finish]],MAX(Tasks[[#This Row],[_DoneFrom]],Tasks[[#This Row],[Start]]+ROUND((Tasks[[#This Row],[Finish]]-Tasks[[#This Row],[Start]]+1)*Tasks[[#This Row],[Progress]],0)-1)))</f>
        <v>0</v>
      </c>
      <c r="GW75" s="91" t="n">
        <f aca="false">IF(Tasks[[#This Row],[Task Name]]="",0,IF(OR(NOT(Tasks[[#This Row],[_IsLeaf]]=1),Tasks[[#This Row],[_IsMilestone]],N(Tasks[[#This Row],[Progress]])&gt;=1),0,IF(Tasks[[#This Row],[_DoneTo]]&gt;0,Tasks[[#This Row],[_DoneTo]]+1,Tasks[[#This Row],[Start]])))</f>
        <v>0</v>
      </c>
      <c r="GX75" s="91" t="n">
        <f aca="false">IF(Tasks[[#This Row],[_RemFrom]]=0,0,Tasks[[#This Row],[Finish]])</f>
        <v>0</v>
      </c>
      <c r="GY75" s="90" t="b">
        <f aca="false">IF(Tasks[[#This Row],[Task Name]]="",FALSE(),OR(NOT(BaselineSet),N(Tasks[[#This Row],[Baseline Start]])&gt;0))</f>
        <v>0</v>
      </c>
      <c r="GZ7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5" s="92" t="str">
        <f aca="false">IF(Tasks[[#This Row],[_IsLeaf]]=1,Tasks[[#This Row],[_Row]],"")</f>
        <v/>
      </c>
      <c r="HD75" s="92" t="str">
        <f aca="false">IFERROR(INDEX(Tasks[UID],SMALL(Tasks[_PickKey],Tasks[[#This Row],[_Row]]))&amp;" "&amp;INDEX(Tasks[Task Name],SMALL(Tasks[_PickKey],Tasks[[#This Row],[_Row]])),"")</f>
        <v/>
      </c>
      <c r="HE75" s="43" t="str">
        <f aca="false">IF(Tasks[[#This Row],[Task Name]]="","",IF(Tasks[[#This Row],[_IsSummary]],NETWORKDAYS.INTL(Tasks[[#This Row],[Start]],Tasks[[#This Row],[Finish]],WorkWeek,Holidays),N(Tasks[[#This Row],[_Days]])))</f>
        <v/>
      </c>
      <c r="HF75" s="43" t="n">
        <f aca="false">IF(Tasks[[#This Row],[Expected]]="",0,((Tasks[[#This Row],[Pessimistic]]-Tasks[[#This Row],[Optimistic]])/6)^2)</f>
        <v>0</v>
      </c>
      <c r="HG75" s="43" t="n">
        <f aca="false">IF(Tasks[[#This Row],[Expected]]="",0,Tasks[[#This Row],[Expected]]-N(Tasks[[#This Row],[_Days]]))</f>
        <v>0</v>
      </c>
    </row>
    <row r="76" customFormat="false" ht="15" hidden="false" customHeight="false" outlineLevel="0" collapsed="false">
      <c r="A76" s="21" t="str">
        <f aca="false">IF(Tasks[[#This Row],[Task Name]]="","",COUNTA(Tasks[[#Headers],[Task Name]]:Tasks[[#This Row],[Task Name]])-1)</f>
        <v/>
      </c>
      <c r="B76" s="22" t="n">
        <v>84</v>
      </c>
      <c r="C76" s="22"/>
      <c r="D76" s="23"/>
      <c r="E76" s="22"/>
      <c r="F76" s="23"/>
      <c r="G76" s="22"/>
      <c r="H76" s="22"/>
      <c r="I76" s="23"/>
      <c r="J76" s="22"/>
      <c r="K76" s="22"/>
      <c r="L76" s="23"/>
      <c r="M76" s="22"/>
      <c r="N76" s="22"/>
      <c r="O76" s="23"/>
      <c r="P76" s="22"/>
      <c r="Q76" s="22"/>
      <c r="R76" s="23"/>
      <c r="S76" s="23"/>
      <c r="T76" s="84"/>
      <c r="U76" s="23"/>
      <c r="V76" s="84"/>
      <c r="W76" s="23"/>
      <c r="X76" s="84"/>
      <c r="Y76" s="23"/>
      <c r="Z76" s="84"/>
      <c r="AA76" s="23"/>
      <c r="AB76" s="23"/>
      <c r="AC76" s="7"/>
      <c r="AD76" s="7"/>
      <c r="AE76" s="63" t="str">
        <f aca="false">IF(Tasks[[#This Row],[Task Name]]="","",IF(Tasks[[#This Row],[_IsSummary]],MIN(INDEX(Tasks[_ShownFcstStart],Tasks[[#This Row],[_Row]]+1):INDEX(Tasks[_ShownFcstStart],Tasks[[#This Row],[_Row]]+Tasks[[#This Row],[_Descendants]])),Tasks[[#This Row],[_ShownFcstStart]]))</f>
        <v/>
      </c>
      <c r="AF76" s="63" t="str">
        <f aca="false">IF(Tasks[[#This Row],[Task Name]]="","",IF(Tasks[[#This Row],[_IsSummary]],MAX(INDEX(Tasks[_ShownFcstFinish],Tasks[[#This Row],[_Row]]+1):INDEX(Tasks[_ShownFcstFinish],Tasks[[#This Row],[_Row]]+Tasks[[#This Row],[_Descendants]])),Tasks[[#This Row],[_ShownFcstFinish]]))</f>
        <v/>
      </c>
      <c r="AG76" s="21" t="str">
        <f aca="false">""</f>
        <v/>
      </c>
      <c r="AH76" s="23"/>
      <c r="AI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6" s="7"/>
      <c r="AK76" s="22"/>
      <c r="AL76" s="23"/>
      <c r="AM76" s="7"/>
      <c r="AN76" s="47" t="str">
        <f aca="false">IF(Tasks[[#This Row],[Task Name]]="","",IF(Tasks[[#This Row],[Finish]]&gt;=Tasks[[#This Row],[Planned Finish]],NETWORKDAYS.INTL(Tasks[[#This Row],[Planned Finish]],Tasks[[#This Row],[Finish]],WorkWeek,Holidays)-1,1-NETWORKDAYS.INTL(Tasks[[#This Row],[Finish]],Tasks[[#This Row],[Planned Finish]],WorkWeek,Holidays)))</f>
        <v/>
      </c>
      <c r="AO76" s="21" t="str">
        <f aca="false">IF(Tasks[[#This Row],[Task Name]]="","",IF(Tasks[[#This Row],[Progress]]&gt;=1,"Complete",IF(OR(N(Tasks[[#This Row],[Actual Start]])&gt;0,Tasks[[#This Row],[Progress]]&gt;0),IF(Tasks[[#This Row],[Finish Var]]&gt;0,"Behind","In Progress"),IF(Tasks[[#This Row],[Planned Start]]&lt;StatusDate,"Late Start","Not Started"))))</f>
        <v/>
      </c>
      <c r="AP76" s="21" t="str">
        <f aca="false">IF(Tasks[[#This Row],[Task Name]]="","",IF(IF(Tasks[[#This Row],[_IsSummary]],COUNTIF(INDEX(Tasks[_LeafCritical],Tasks[[#This Row],[_Row]]+1):INDEX(Tasks[_LeafCritical],Tasks[[#This Row],[_Row]]+Tasks[[#This Row],[_Descendants]]),TRUE())&gt;0,Tasks[[#This Row],[_LeafCritical]]),"Yes",""))</f>
        <v/>
      </c>
      <c r="AQ76" s="63" t="str">
        <f aca="false">IF(Tasks[[#This Row],[Task Name]]="","",IF(N(Tasks[[#This Row],[Baseline Start]])&gt;0,Tasks[[#This Row],[Baseline Start]],Tasks[[#This Row],[_CalcStart]]))</f>
        <v/>
      </c>
      <c r="AR76" s="63" t="str">
        <f aca="false">IF(Tasks[[#This Row],[Task Name]]="","",IF(N(Tasks[[#This Row],[Baseline Finish]])&gt;0,Tasks[[#This Row],[Baseline Finish]],Tasks[[#This Row],[_CalcFinish]]))</f>
        <v/>
      </c>
      <c r="AS76" s="47" t="str">
        <f aca="false">IF(Tasks[[#This Row],[Task Name]]="","",IF(Tasks[[#This Row],[Start]]&gt;=Tasks[[#This Row],[Planned Start]],NETWORKDAYS.INTL(Tasks[[#This Row],[Planned Start]],Tasks[[#This Row],[Start]],WorkWeek,Holidays)-1,1-NETWORKDAYS.INTL(Tasks[[#This Row],[Start]],Tasks[[#This Row],[Planned Start]],WorkWeek,Holidays)))</f>
        <v/>
      </c>
      <c r="AT76" s="63" t="str">
        <f aca="false">IF(Tasks[[#This Row],[Task Name]]="","",IF(Tasks[[#This Row],[_IsSummary]],MIN(INDEX(Tasks[_LeafLateStart],Tasks[[#This Row],[_Row]]+1):INDEX(Tasks[_LeafLateStart],Tasks[[#This Row],[_Row]]+Tasks[[#This Row],[_Descendants]])),Tasks[[#This Row],[_LeafLateStart]]))</f>
        <v/>
      </c>
      <c r="AU76" s="63" t="str">
        <f aca="false">IF(Tasks[[#This Row],[Task Name]]="","",IF(Tasks[[#This Row],[_IsSummary]],MAX(INDEX(Tasks[_LeafLateFinish],Tasks[[#This Row],[_Row]]+1):INDEX(Tasks[_LeafLateFinish],Tasks[[#This Row],[_Row]]+Tasks[[#This Row],[_Descendants]])),Tasks[[#This Row],[_LeafLateFinish]]))</f>
        <v/>
      </c>
      <c r="AV76" s="47" t="str">
        <f aca="false">IF(Tasks[[#This Row],[Task Name]]="","",IF(Tasks[[#This Row],[_IsSummary]],MIN(INDEX(Tasks[_LeafTotalSlack],Tasks[[#This Row],[_Row]]+1):INDEX(Tasks[_LeafTotalSlack],Tasks[[#This Row],[_Row]]+Tasks[[#This Row],[_Descendants]])),Tasks[[#This Row],[_LeafTotalSlack]]))</f>
        <v/>
      </c>
      <c r="AW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5"/>
      <c r="BA7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t="str">
        <f aca="false">IF(Tasks[[#This Row],[Task Name]]="","",IF(Tasks[[#This Row],[_Level]]&lt;=OutlineShowLevel,"Yes","No"))</f>
        <v/>
      </c>
      <c r="BE76" s="86" t="str">
        <f aca="false">IF(Tasks[[#This Row],[Task Name]]="","",IF(Tasks[[#This Row],[_IsSummary]],SUM(INDEX(Tasks[_LeafTotalWork],Tasks[[#This Row],[_Row]]+1):INDEX(Tasks[_LeafTotalWork],Tasks[[#This Row],[_Row]]+Tasks[[#This Row],[_Descendants]])),Tasks[[#This Row],[_LeafTotalWork]]))</f>
        <v/>
      </c>
      <c r="BF76" s="23"/>
      <c r="BG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t="str">
        <f aca="false">""</f>
        <v/>
      </c>
      <c r="BI76" s="87"/>
      <c r="BJ76" s="22"/>
      <c r="BK76" s="47" t="str">
        <f aca="false">IF(OR(Tasks[[#This Row],[Task Name]]="",Tasks[[#This Row],[Baseline Duration]]=""),"",Tasks[[#This Row],[_SpanDays]]-N(Tasks[[#This Row],[Baseline Duration]]))</f>
        <v/>
      </c>
      <c r="BL76" s="86" t="str">
        <f aca="false">IF(OR(Tasks[[#This Row],[Task Name]]="",Tasks[[#This Row],[Baseline Work]]=""),"",Tasks[[#This Row],[Work]]-N(Tasks[[#This Row],[Baseline Work]]))</f>
        <v/>
      </c>
      <c r="BM76" s="63" t="str">
        <f aca="false">IF(Tasks[[#This Row],[Task Name]]="","",IF(OR(TakeBaseline="Yes",N(Tasks[[#This Row],[Baseline Start]])=0),Tasks[[#This Row],[Start]],Tasks[[#This Row],[Baseline Start]]))</f>
        <v/>
      </c>
      <c r="BN76" s="63" t="str">
        <f aca="false">IF(Tasks[[#This Row],[Task Name]]="","",IF(OR(TakeBaseline="Yes",N(Tasks[[#This Row],[Baseline Finish]])=0),Tasks[[#This Row],[Finish]],Tasks[[#This Row],[Baseline Finish]]))</f>
        <v/>
      </c>
      <c r="BO76" s="21" t="str">
        <f aca="false">IF(Tasks[[#This Row],[Task Name]]="","",IF(OR(TakeBaseline="Yes",N(Tasks[[#This Row],[Baseline Duration]])=0),Tasks[[#This Row],[_SpanDays]],Tasks[[#This Row],[Baseline Duration]]))</f>
        <v/>
      </c>
      <c r="BP76" s="86" t="str">
        <f aca="false">IF(Tasks[[#This Row],[Task Name]]="","",IF(OR(TakeBaseline="Yes",N(Tasks[[#This Row],[Baseline Work]])=0),Tasks[[#This Row],[Work]],Tasks[[#This Row],[Baseline Work]]))</f>
        <v/>
      </c>
      <c r="BQ76" s="7"/>
      <c r="BR76" s="7"/>
      <c r="BS76" s="22"/>
      <c r="BT76" s="88"/>
      <c r="BU76" s="23"/>
      <c r="BV76" s="23"/>
      <c r="BW76" s="23"/>
      <c r="BX76" s="89" t="str">
        <f aca="false">IF(AND(Tasks[[#This Row],[_IsLeaf]]=1,ISNUMBER(Tasks[[#This Row],[Optimistic]]),ISNUMBER(Tasks[[#This Row],[Pessimistic]])),ROUND((Tasks[[#This Row],[Optimistic]]+4*N(Tasks[[#This Row],[_Days]])+Tasks[[#This Row],[Pessimistic]])/6,1),"")</f>
        <v/>
      </c>
      <c r="BY76" s="87"/>
      <c r="BZ76" s="87"/>
      <c r="CA76" s="22"/>
      <c r="CB76" s="43" t="str">
        <f aca="false">IF(Tasks[[#This Row],[Task Name]]="","",MAX(1,N(Tasks[[#This Row],[Level]])))</f>
        <v/>
      </c>
      <c r="CC76" s="43" t="n">
        <f aca="false">ROW()-ROW(Tasks[[#Headers],[ID]])</f>
        <v>71</v>
      </c>
      <c r="CD76" s="43" t="n">
        <f aca="false">IF(OR(Tasks[[#This Row],[Task Name]]="",Tasks[[#This Row],[_Level]]&lt;=1),0,IFERROR(LOOKUP(2,1/(Tasks[[#Headers],[_Level]]:Tasks[[#This Row],[_Level]]=Tasks[[#This Row],[_Level]]-1),ROW(Tasks[[#Headers],[_Level]]:Tasks[[#This Row],[_Level]])),0))</f>
        <v>0</v>
      </c>
      <c r="CE76" s="43" t="n">
        <f aca="false">IFERROR(N(INDEX(Tasks[_Level],Tasks[[#This Row],[_Row]]+1)),0)</f>
        <v>0</v>
      </c>
      <c r="CF76" s="90" t="b">
        <f aca="false">AND(Tasks[[#This Row],[Task Name]]&lt;&gt;"",Tasks[[#This Row],[_NextLevel]]&gt;Tasks[[#This Row],[_Level]])</f>
        <v>0</v>
      </c>
      <c r="CG76" s="43" t="n">
        <f aca="false">IF(Tasks[[#This Row],[_IsSummary]],COUNTIF(Tasks[WBS],Tasks[[#This Row],[WBS]]&amp;".*"),0)</f>
        <v>0</v>
      </c>
      <c r="CH76" s="43" t="n">
        <f aca="false">IF(AND(Tasks[[#This Row],[Task Name]]&lt;&gt;"",NOT(Tasks[[#This Row],[_IsSummary]])),1,0)</f>
        <v>0</v>
      </c>
      <c r="CI76" s="43" t="n">
        <f aca="false">IF(N(Tasks[[#This Row],[_Pred1UID]])=0,0,IFERROR(MATCH(Tasks[[#This Row],[_Pred1UID]],Tasks[UID],0),-1))</f>
        <v>0</v>
      </c>
      <c r="CJ76" s="43" t="n">
        <f aca="false">IF(N(Tasks[[#This Row],[_Pred2UID]])=0,0,IFERROR(MATCH(Tasks[[#This Row],[_Pred2UID]],Tasks[UID],0),-1))</f>
        <v>0</v>
      </c>
      <c r="CK76" s="43" t="n">
        <f aca="false">IF(N(Tasks[[#This Row],[_Pred3UID]])=0,0,IFERROR(MATCH(Tasks[[#This Row],[_Pred3UID]],Tasks[UID],0),-1))</f>
        <v>0</v>
      </c>
      <c r="CL76" s="43" t="n">
        <f aca="false">IF(N(Tasks[[#This Row],[_Pred4UID]])=0,0,IFERROR(MATCH(Tasks[[#This Row],[_Pred4UID]],Tasks[UID],0),-1))</f>
        <v>0</v>
      </c>
      <c r="CM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6" s="91" t="n">
        <f aca="false">IF(OR(Tasks[[#This Row],[_ConstraintCode]]=2,Tasks[[#This Row],[_ConstraintCode]]=3,Tasks[[#This Row],[_ConstraintCode]]=4,Tasks[[#This Row],[_ConstraintCode]]=6),Tasks[[#This Row],[_ConstraintStart]],0)</f>
        <v>0</v>
      </c>
      <c r="CP76" s="91" t="n">
        <f aca="false">IF(OR(Tasks[[#This Row],[_ConstraintCode]]=2,Tasks[[#This Row],[_ConstraintCode]]=3,Tasks[[#This Row],[_ConstraintCode]]=5,Tasks[[#This Row],[_ConstraintCode]]=7),Tasks[[#This Row],[_ConstraintStart]],2958465)</f>
        <v>2958465</v>
      </c>
      <c r="CQ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6" s="91" t="str">
        <f aca="false">IF(NOT(Tasks[[#This Row],[_IsLeaf]]=1),"",IF(N(Tasks[[#This Row],[_Days]])&lt;=0,Tasks[[#This Row],[_LeafCalcStart]],WORKDAY.INTL(Tasks[[#This Row],[_LeafCalcStart]],Tasks[[#This Row],[_Days]]-1,WorkWeek,Holidays)))</f>
        <v/>
      </c>
      <c r="CS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6" s="43" t="str">
        <f aca="false">IF(Tasks[[#This Row],[_Predecessors]]="","",TRIM(MID(SUBSTITUTE(SUBSTITUTE(SUBSTITUTE(UPPER(Tasks[[#This Row],[_Predecessors]]),";",",")," ",""),",",REPT(" ",99)),1,99)))</f>
        <v/>
      </c>
      <c r="CV76" s="43" t="str">
        <f aca="false">IF(Tasks[[#This Row],[_Pred1Text]]="","",IFERROR(VALUE(LEFT(Tasks[[#This Row],[_Pred1Text]],MIN(FIND("F",Tasks[[#This Row],[_Pred1Text]]&amp;"F"),FIND("S",Tasks[[#This Row],[_Pred1Text]]&amp;"S"),FIND("+",Tasks[[#This Row],[_Pred1Text]]&amp;"+"),FIND("-",Tasks[[#This Row],[_Pred1Text]]&amp;"-"))-1)),""))</f>
        <v/>
      </c>
      <c r="CW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6" s="43" t="str">
        <f aca="false">IF(Tasks[[#This Row],[_Pred1Text]]="","",TRIM(MID(SUBSTITUTE(SUBSTITUTE(SUBSTITUTE(UPPER(Tasks[[#This Row],[_Predecessors]]),";",",")," ",""),",",REPT(" ",99)),100,99)))</f>
        <v/>
      </c>
      <c r="CZ76" s="43" t="str">
        <f aca="false">IF(Tasks[[#This Row],[_Pred2Text]]="","",IFERROR(VALUE(LEFT(Tasks[[#This Row],[_Pred2Text]],MIN(FIND("F",Tasks[[#This Row],[_Pred2Text]]&amp;"F"),FIND("S",Tasks[[#This Row],[_Pred2Text]]&amp;"S"),FIND("+",Tasks[[#This Row],[_Pred2Text]]&amp;"+"),FIND("-",Tasks[[#This Row],[_Pred2Text]]&amp;"-"))-1)),""))</f>
        <v/>
      </c>
      <c r="DA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6" s="43" t="str">
        <f aca="false">IF(Tasks[[#This Row],[_Pred2Text]]="","",TRIM(MID(SUBSTITUTE(SUBSTITUTE(SUBSTITUTE(UPPER(Tasks[[#This Row],[_Predecessors]]),";",",")," ",""),",",REPT(" ",99)),199,99)))</f>
        <v/>
      </c>
      <c r="DD76" s="43" t="str">
        <f aca="false">IF(Tasks[[#This Row],[_Pred3Text]]="","",IFERROR(VALUE(LEFT(Tasks[[#This Row],[_Pred3Text]],MIN(FIND("F",Tasks[[#This Row],[_Pred3Text]]&amp;"F"),FIND("S",Tasks[[#This Row],[_Pred3Text]]&amp;"S"),FIND("+",Tasks[[#This Row],[_Pred3Text]]&amp;"+"),FIND("-",Tasks[[#This Row],[_Pred3Text]]&amp;"-"))-1)),""))</f>
        <v/>
      </c>
      <c r="DE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6" s="43" t="str">
        <f aca="false">IF(Tasks[[#This Row],[_Pred3Text]]="","",TRIM(MID(SUBSTITUTE(SUBSTITUTE(SUBSTITUTE(UPPER(Tasks[[#This Row],[_Predecessors]]),";",",")," ",""),",",REPT(" ",99)),298,99)))</f>
        <v/>
      </c>
      <c r="DH76" s="43" t="str">
        <f aca="false">IF(Tasks[[#This Row],[_Pred4Text]]="","",IFERROR(VALUE(LEFT(Tasks[[#This Row],[_Pred4Text]],MIN(FIND("F",Tasks[[#This Row],[_Pred4Text]]&amp;"F"),FIND("S",Tasks[[#This Row],[_Pred4Text]]&amp;"S"),FIND("+",Tasks[[#This Row],[_Pred4Text]]&amp;"+"),FIND("-",Tasks[[#This Row],[_Pred4Text]]&amp;"-"))-1)),""))</f>
        <v/>
      </c>
      <c r="DI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6" s="43" t="str">
        <f aca="false">IF(OR(Tasks[[#This Row],[Task Name]]="",Tasks[[#This Row],[_Resources]]=""),"",TRIM(MID(SUBSTITUTE(Tasks[[#This Row],[_Resources]],",",REPT(" ",99)),1,99)))</f>
        <v/>
      </c>
      <c r="DL76" s="43" t="str">
        <f aca="false">IF(Tasks[[#This Row],[_Res1Text]]="","",TRIM(MID(SUBSTITUTE(Tasks[[#This Row],[_Resources]],",",REPT(" ",99)),100,99)))</f>
        <v/>
      </c>
      <c r="DM76" s="43" t="str">
        <f aca="false">IF(Tasks[[#This Row],[_Res2Text]]="","",TRIM(MID(SUBSTITUTE(Tasks[[#This Row],[_Resources]],",",REPT(" ",99)),199,99)))</f>
        <v/>
      </c>
      <c r="DN76" s="43" t="str">
        <f aca="false">IF(Tasks[[#This Row],[_Res3Text]]="","",TRIM(MID(SUBSTITUTE(Tasks[[#This Row],[_Resources]],",",REPT(" ",99)),298,99)))</f>
        <v/>
      </c>
      <c r="DO76" s="43" t="n">
        <f aca="false">IF(Tasks[[#This Row],[_Res1Text]]="",0,IFERROR(MATCH(TRIM(LEFT(Tasks[[#This Row],[_Res1Text]],FIND("[",Tasks[[#This Row],[_Res1Text]]&amp;"[")-1)),res_Name,0),IFERROR(MATCH(TRIM(LEFT(Tasks[[#This Row],[_Res1Text]],FIND("[",Tasks[[#This Row],[_Res1Text]]&amp;"[")-1)),res_Initials,0),0)))</f>
        <v>0</v>
      </c>
      <c r="DP76" s="43" t="n">
        <f aca="false">IF(Tasks[[#This Row],[_Res2Text]]="",0,IFERROR(MATCH(TRIM(LEFT(Tasks[[#This Row],[_Res2Text]],FIND("[",Tasks[[#This Row],[_Res2Text]]&amp;"[")-1)),res_Name,0),IFERROR(MATCH(TRIM(LEFT(Tasks[[#This Row],[_Res2Text]],FIND("[",Tasks[[#This Row],[_Res2Text]]&amp;"[")-1)),res_Initials,0),0)))</f>
        <v>0</v>
      </c>
      <c r="DQ76" s="43" t="n">
        <f aca="false">IF(Tasks[[#This Row],[_Res3Text]]="",0,IFERROR(MATCH(TRIM(LEFT(Tasks[[#This Row],[_Res3Text]],FIND("[",Tasks[[#This Row],[_Res3Text]]&amp;"[")-1)),res_Name,0),IFERROR(MATCH(TRIM(LEFT(Tasks[[#This Row],[_Res3Text]],FIND("[",Tasks[[#This Row],[_Res3Text]]&amp;"[")-1)),res_Initials,0),0)))</f>
        <v>0</v>
      </c>
      <c r="DR76" s="43" t="n">
        <f aca="false">IF(Tasks[[#This Row],[_Res4Text]]="",0,IFERROR(MATCH(TRIM(LEFT(Tasks[[#This Row],[_Res4Text]],FIND("[",Tasks[[#This Row],[_Res4Text]]&amp;"[")-1)),res_Name,0),IFERROR(MATCH(TRIM(LEFT(Tasks[[#This Row],[_Res4Text]],FIND("[",Tasks[[#This Row],[_Res4Text]]&amp;"[")-1)),res_Initials,0),0)))</f>
        <v>0</v>
      </c>
      <c r="DS76" s="43" t="str">
        <f aca="false">IF(Tasks[[#This Row],[_Res1Text]]="","",IF(Tasks[[#This Row],[_Res1Row]]&gt;0,INDEX(res_Name,Tasks[[#This Row],[_Res1Row]]),TRIM(LEFT(Tasks[[#This Row],[_Res1Text]],FIND("[",Tasks[[#This Row],[_Res1Text]]&amp;"[")-1))))</f>
        <v/>
      </c>
      <c r="DT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6" s="43" t="n">
        <f aca="false">IF(NOT(Tasks[[#This Row],[_IsLeaf]]=1),0,(Tasks[[#This Row],[_Resource1]]&lt;&gt;"")+(Tasks[[#This Row],[_Res2]]&lt;&gt;"")+(Tasks[[#This Row],[_Res3]]&lt;&gt;"")+(Tasks[[#This Row],[_Res4]]&lt;&gt;""))</f>
        <v>0</v>
      </c>
      <c r="DV76" s="43" t="str">
        <f aca="false">IF(Tasks[[#This Row],[_Res2Text]]="","",IF(Tasks[[#This Row],[_Res2Row]]&gt;0,INDEX(res_Name,Tasks[[#This Row],[_Res2Row]]),TRIM(LEFT(Tasks[[#This Row],[_Res2Text]],FIND("[",Tasks[[#This Row],[_Res2Text]]&amp;"[")-1))))</f>
        <v/>
      </c>
      <c r="DW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6" s="43" t="n">
        <f aca="false">IF(OR(NOT(Tasks[[#This Row],[_IsLeaf]]=1),Tasks[[#This Row],[_Res2Row]]=0),0,N(Tasks[[#This Row],[_Days]])*HoursPerDay*IF(Tasks[[#This Row],[_Res2Units]]="",DefaultUnits,Tasks[[#This Row],[_Res2Units]]))</f>
        <v>0</v>
      </c>
      <c r="DY76" s="43" t="n">
        <f aca="false">IF(AND(AND(Tasks[[#This Row],[_IsLeaf]]=1,Tasks[[#This Row],[_LeafTotalWork]]&gt;0),Tasks[[#This Row],[_Res2Work]]&gt;0),Tasks[[#This Row],[_Res2Work]]/(Tasks[[#This Row],[_FinishWorkday]]-Tasks[[#This Row],[_StartWorkday]]+1),0)</f>
        <v>0</v>
      </c>
      <c r="DZ76" s="43" t="n">
        <f aca="false">Tasks[[#This Row],[_Res2WorkPerWD]]*MAX(0,Tasks[[#This Row],[_StartWorkday]]-1)</f>
        <v>0</v>
      </c>
      <c r="EA76" s="43" t="n">
        <f aca="false">Tasks[[#This Row],[_Res2Work]]*Tasks[[#This Row],[_LeafProgress]]</f>
        <v>0</v>
      </c>
      <c r="EB76" s="43" t="str">
        <f aca="false">IF(Tasks[[#This Row],[_Res3Text]]="","",IF(Tasks[[#This Row],[_Res3Row]]&gt;0,INDEX(res_Name,Tasks[[#This Row],[_Res3Row]]),TRIM(LEFT(Tasks[[#This Row],[_Res3Text]],FIND("[",Tasks[[#This Row],[_Res3Text]]&amp;"[")-1))))</f>
        <v/>
      </c>
      <c r="EC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6" s="43" t="n">
        <f aca="false">IF(OR(NOT(Tasks[[#This Row],[_IsLeaf]]=1),Tasks[[#This Row],[_Res3Row]]=0),0,N(Tasks[[#This Row],[_Days]])*HoursPerDay*IF(Tasks[[#This Row],[_Res3Units]]="",DefaultUnits,Tasks[[#This Row],[_Res3Units]]))</f>
        <v>0</v>
      </c>
      <c r="EE76" s="43" t="n">
        <f aca="false">IF(AND(AND(Tasks[[#This Row],[_IsLeaf]]=1,Tasks[[#This Row],[_LeafTotalWork]]&gt;0),Tasks[[#This Row],[_Res3Work]]&gt;0),Tasks[[#This Row],[_Res3Work]]/(Tasks[[#This Row],[_FinishWorkday]]-Tasks[[#This Row],[_StartWorkday]]+1),0)</f>
        <v>0</v>
      </c>
      <c r="EF76" s="43" t="n">
        <f aca="false">Tasks[[#This Row],[_Res3WorkPerWD]]*MAX(0,Tasks[[#This Row],[_StartWorkday]]-1)</f>
        <v>0</v>
      </c>
      <c r="EG76" s="43" t="n">
        <f aca="false">Tasks[[#This Row],[_Res3Work]]*Tasks[[#This Row],[_LeafProgress]]</f>
        <v>0</v>
      </c>
      <c r="EH76" s="43" t="str">
        <f aca="false">IF(Tasks[[#This Row],[_Res4Text]]="","",IF(Tasks[[#This Row],[_Res4Row]]&gt;0,INDEX(res_Name,Tasks[[#This Row],[_Res4Row]]),TRIM(LEFT(Tasks[[#This Row],[_Res4Text]],FIND("[",Tasks[[#This Row],[_Res4Text]]&amp;"[")-1))))</f>
        <v/>
      </c>
      <c r="EI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6" s="43" t="n">
        <f aca="false">IF(OR(NOT(Tasks[[#This Row],[_IsLeaf]]=1),Tasks[[#This Row],[_Res4Row]]=0),0,N(Tasks[[#This Row],[_Days]])*HoursPerDay*IF(Tasks[[#This Row],[_Res4Units]]="",DefaultUnits,Tasks[[#This Row],[_Res4Units]]))</f>
        <v>0</v>
      </c>
      <c r="EK76" s="43" t="n">
        <f aca="false">IF(AND(AND(Tasks[[#This Row],[_IsLeaf]]=1,Tasks[[#This Row],[_LeafTotalWork]]&gt;0),Tasks[[#This Row],[_Res4Work]]&gt;0),Tasks[[#This Row],[_Res4Work]]/(Tasks[[#This Row],[_FinishWorkday]]-Tasks[[#This Row],[_StartWorkday]]+1),0)</f>
        <v>0</v>
      </c>
      <c r="EL76" s="43" t="n">
        <f aca="false">Tasks[[#This Row],[_Res4WorkPerWD]]*MAX(0,Tasks[[#This Row],[_StartWorkday]]-1)</f>
        <v>0</v>
      </c>
      <c r="EM76" s="43" t="n">
        <f aca="false">Tasks[[#This Row],[_Res4Work]]*Tasks[[#This Row],[_LeafProgress]]</f>
        <v>0</v>
      </c>
      <c r="EN76" s="43" t="n">
        <f aca="false">IF(ISNUMBER(Tasks[[#This Row],[% Complete]]),Tasks[[#This Row],[% Complete]],IF(Tasks[[#This Row],[Stage]]="",0,IFERROR(INDEX(stg_Pct,MATCH(Tasks[[#This Row],[Stage]],stg_Name,0)),0)))</f>
        <v>0</v>
      </c>
      <c r="EO76" s="43" t="n">
        <f aca="false">IF(NOT(Tasks[[#This Row],[_IsLeaf]]=1),0,IF(N(Tasks[[#This Row],[Actual Finish]])&gt;0,1,MIN(1,Tasks[[#This Row],[_Pct]])))</f>
        <v>0</v>
      </c>
      <c r="EP76" s="43" t="n">
        <f aca="false">IF(OR(NOT(Tasks[[#This Row],[_IsLeaf]]=1),Tasks[[#This Row],[_Res1Row]]=0),0,N(Tasks[[#This Row],[_Days]])*HoursPerDay*IF(Tasks[[#This Row],[_Units1]]="",DefaultUnits,Tasks[[#This Row],[_Units1]]))</f>
        <v>0</v>
      </c>
      <c r="EQ76" s="43" t="n">
        <f aca="false">Tasks[[#This Row],[_LeafWork]]+Tasks[[#This Row],[_Res2Work]]+Tasks[[#This Row],[_Res3Work]]+Tasks[[#This Row],[_Res4Work]]</f>
        <v>0</v>
      </c>
      <c r="ER7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6" s="43" t="n">
        <f aca="false">IF(NOT(Tasks[[#This Row],[_IsLeaf]]=1),0,MAX(_xlfn.MAXIFS(Tasks[_Row],Tasks[_Pred1UID],Tasks[[#This Row],[UID]]),_xlfn.MAXIFS(Tasks[_Row],Tasks[_Pred2UID],Tasks[[#This Row],[UID]]),_xlfn.MAXIFS(Tasks[_Row],Tasks[_Pred3UID],Tasks[[#This Row],[UID]]),_xlfn.MAXIFS(Tasks[_Row],Tasks[_Pred4UID],Tasks[[#This Row],[UID]])))</f>
        <v>0</v>
      </c>
      <c r="FA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6" s="91" t="str">
        <f aca="false">IF(NOT(Tasks[[#This Row],[_IsLeaf]]=1),"",IF(N(Tasks[[#This Row],[_Days]])&lt;=0,Tasks[[#This Row],[_LeafLateFinish]],WORKDAY.INTL(Tasks[[#This Row],[_LeafLateFinish]],-(Tasks[[#This Row],[_Days]]-1),WorkWeek,Holidays)))</f>
        <v/>
      </c>
      <c r="FD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6" s="90" t="b">
        <f aca="false">AND(Tasks[[#This Row],[_IsLeaf]]=1,Tasks[[#This Row],[_LeafProgress]]&lt;1,N(Tasks[[#This Row],[_LeafTotalSlack]])&lt;=CriticalSlackDays)</f>
        <v>0</v>
      </c>
      <c r="FF76" s="43" t="n">
        <f aca="false">IF(AND(Tasks[[#This Row],[_IsLeaf]]=1,Tasks[[#This Row],[_ConstraintCode]]=1,Tasks[[#This Row],[Mode]]&lt;&gt;"Manual",N(Tasks[[#This Row],[Actual Start]])=0),MAX(0,N(Tasks[[#This Row],[Free Slack]])),0)</f>
        <v>0</v>
      </c>
      <c r="FG76" s="91" t="str">
        <f aca="false">IF(NOT(Tasks[[#This Row],[_IsLeaf]]=1),"",IF(Tasks[[#This Row],[_AlapShift]]=0,Tasks[[#This Row],[_LeafCalcStart]],WORKDAY.INTL(Tasks[[#This Row],[_LeafCalcStart]],Tasks[[#This Row],[_AlapShift]],WorkWeek,Holidays)))</f>
        <v/>
      </c>
      <c r="FH76" s="91" t="str">
        <f aca="false">IF(NOT(Tasks[[#This Row],[_IsLeaf]]=1),"",IF(Tasks[[#This Row],[_AlapShift]]=0,Tasks[[#This Row],[_LeafCalcFinish]],WORKDAY.INTL(Tasks[[#This Row],[_LeafCalcFinish]],Tasks[[#This Row],[_AlapShift]],WorkWeek,Holidays)))</f>
        <v/>
      </c>
      <c r="FI76" s="91" t="str">
        <f aca="false">IF(NOT(Tasks[[#This Row],[_IsLeaf]]=1),"",IF(Tasks[[#This Row],[_AlapShift]]=0,Tasks[[#This Row],[_LeafFcstStart]],WORKDAY.INTL(Tasks[[#This Row],[_LeafFcstStart]],Tasks[[#This Row],[_AlapShift]],WorkWeek,Holidays)))</f>
        <v/>
      </c>
      <c r="FJ76" s="91" t="str">
        <f aca="false">IF(NOT(Tasks[[#This Row],[_IsLeaf]]=1),"",IF(Tasks[[#This Row],[_AlapShift]]=0,Tasks[[#This Row],[_LeafFcstFinish]],WORKDAY.INTL(Tasks[[#This Row],[_LeafFcstFinish]],Tasks[[#This Row],[_AlapShift]],WorkWeek,Holidays)))</f>
        <v/>
      </c>
      <c r="FK76" s="91" t="str">
        <f aca="false">IF(Tasks[[#This Row],[Task Name]]="","",IF(Tasks[[#This Row],[_IsSummary]],MIN(INDEX(Tasks[_ShownCalcStart],Tasks[[#This Row],[_Row]]+1):INDEX(Tasks[_ShownCalcStart],Tasks[[#This Row],[_Row]]+Tasks[[#This Row],[_Descendants]])),Tasks[[#This Row],[_ShownCalcStart]]))</f>
        <v/>
      </c>
      <c r="FL76" s="91" t="str">
        <f aca="false">IF(Tasks[[#This Row],[Task Name]]="","",IF(Tasks[[#This Row],[_IsSummary]],MAX(INDEX(Tasks[_ShownCalcFinish],Tasks[[#This Row],[_Row]]+1):INDEX(Tasks[_ShownCalcFinish],Tasks[[#This Row],[_Row]]+Tasks[[#This Row],[_Descendants]])),Tasks[[#This Row],[_ShownCalcFinish]]))</f>
        <v/>
      </c>
      <c r="FM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6" s="43" t="n">
        <f aca="false">IF(AND(Tasks[[#This Row],[_IsLeaf]]=1,Tasks[[#This Row],[_LeafTotalWork]]&gt;0),NETWORKDAYS.INTL(ProjectStart,Tasks[[#This Row],[_ShownFcstStart]],WorkWeek,Holidays),0)</f>
        <v>0</v>
      </c>
      <c r="FZ76" s="43" t="n">
        <f aca="false">IF(AND(Tasks[[#This Row],[_IsLeaf]]=1,Tasks[[#This Row],[_LeafTotalWork]]&gt;0),MAX(Tasks[[#This Row],[_StartWorkday]],NETWORKDAYS.INTL(ProjectStart,Tasks[[#This Row],[_ShownFcstFinish]],WorkWeek,Holidays)),0)</f>
        <v>0</v>
      </c>
      <c r="GA76" s="43" t="n">
        <f aca="false">IF(AND(Tasks[[#This Row],[_IsLeaf]]=1,Tasks[[#This Row],[_LeafTotalWork]]&gt;0),Tasks[[#This Row],[_LeafWork]]/(Tasks[[#This Row],[_FinishWorkday]]-Tasks[[#This Row],[_StartWorkday]]+1),0)</f>
        <v>0</v>
      </c>
      <c r="GB76" s="43" t="n">
        <f aca="false">Tasks[[#This Row],[_WorkPerWorkday]]*(Tasks[[#This Row],[_StartWorkday]]-1)</f>
        <v>-0</v>
      </c>
      <c r="GC76" s="43" t="n">
        <f aca="false">IF(Tasks[[#This Row],[_IsLeaf]]=1,MAX(N(Tasks[[#This Row],[_Days]]),0.1),0)</f>
        <v>0</v>
      </c>
      <c r="GD76" s="43" t="n">
        <f aca="false">Tasks[[#This Row],[_WeightDur]]*Tasks[[#This Row],[_LeafProgress]]</f>
        <v>0</v>
      </c>
      <c r="GE76" s="43" t="n">
        <f aca="false">Tasks[[#This Row],[_WeightDur]]*Tasks[[#This Row],[_PlannedPct]]</f>
        <v>0</v>
      </c>
      <c r="GF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6" s="43" t="str">
        <f aca="false">IF(AND(Tasks[[#This Row],[_IsLeaf]]=1,N(Tasks[[#This Row],[_Days]])=0,Tasks[[#This Row],[_LeafProgress]]&lt;1),Tasks[[#This Row],[_ShownFcstFinish]]+Tasks[[#This Row],[_Row]]/100000,"")</f>
        <v/>
      </c>
      <c r="GH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6" s="43" t="str">
        <f aca="false">IF(Tasks[[#This Row],[Task Name]]="","",LEFT(Tasks[[#This Row],[WBS]],FIND(".",Tasks[[#This Row],[WBS]]&amp;".")-1))</f>
        <v/>
      </c>
      <c r="GJ76" s="43" t="str">
        <f aca="false">IF(AND(Tasks[[#This Row],[Task Name]]&lt;&gt;"",Tasks[[#This Row],[_Level]]=1),Tasks[[#This Row],[_Row]],"")</f>
        <v/>
      </c>
      <c r="GK76" s="43" t="str">
        <f aca="false">IF(AND(Tasks[[#This Row],[_IsLeaf]]=1,N(Tasks[[#This Row],[_Days]])=0),Tasks[[#This Row],[Planned Finish]]+Tasks[[#This Row],[_Row]]/100000,"")</f>
        <v/>
      </c>
      <c r="GL76" s="43" t="str">
        <f aca="false">IF(AND(Tasks[[#This Row],[_IsLeaf]]=1,Tasks[[#This Row],[_LeafProgress]]&lt;1,OR(N(Tasks[[#This Row],[Finish Var]])&gt;0,Tasks[[#This Row],[Status]]="Late Start")),MAX(0,Tasks[[#This Row],[Finish Var]])+1-Tasks[[#This Row],[_Row]]/1000000,"")</f>
        <v/>
      </c>
      <c r="GM76" s="43" t="str">
        <f aca="false">IF(AND(Tasks[[#This Row],[_IsLeaf]]=1,N(Tasks[[#This Row],[Actual Start]])=0,Tasks[[#This Row],[_ShownFcstStart]]&gt;=StatusDate,Tasks[[#This Row],[_ShownFcstStart]]&lt;=LookaheadEnd),Tasks[[#This Row],[_ShownFcstStart]]+Tasks[[#This Row],[_Row]]/100000,"")</f>
        <v/>
      </c>
      <c r="GN76" s="43" t="str">
        <f aca="false">IF(AND(Tasks[[#This Row],[_IsLeaf]]=1,Tasks[[#This Row],[_LeafProgress]]&lt;1,Tasks[[#This Row],[_ShownFcstFinish]]&gt;=StatusDate,Tasks[[#This Row],[_ShownFcstFinish]]&lt;=LookaheadEnd),Tasks[[#This Row],[_ShownFcstFinish]]+Tasks[[#This Row],[_Row]]/100000,"")</f>
        <v/>
      </c>
      <c r="GO76" s="43" t="str">
        <f aca="false">IF(Tasks[[#This Row],[_LeafCritical]],Tasks[[#This Row],[_ShownFcstStart]]+Tasks[[#This Row],[_Row]]/100000,"")</f>
        <v/>
      </c>
      <c r="GP76" s="43" t="n">
        <f aca="false">Tasks[[#This Row],[_LeafWork]]*Tasks[[#This Row],[_LeafProgress]]</f>
        <v>0</v>
      </c>
      <c r="GQ76" s="91" t="str">
        <f aca="false">IF(AND(Tasks[[#This Row],[_IsLeaf]]=1,Tasks[[#This Row],[_LeafProgress]]&gt;=1),IF(N(Tasks[[#This Row],[Actual Finish]])&gt;0,Tasks[[#This Row],[Actual Finish]],Tasks[[#This Row],[_ShownFcstFinish]]),"")</f>
        <v/>
      </c>
      <c r="GR76" s="43" t="n">
        <f aca="false">IF(Tasks[[#This Row],[_IsLeaf]]=1,N(Tasks[[#This Row],[Story Points]]),0)</f>
        <v>0</v>
      </c>
      <c r="GS76" s="43" t="str">
        <f aca="false">""</f>
        <v/>
      </c>
      <c r="GT76" s="90" t="b">
        <f aca="false">IF(Tasks[[#This Row],[Task Name]]="",FALSE(),AND(Tasks[[#This Row],[_IsLeaf]]=1,N(Tasks[[#This Row],[_Days]])=0))</f>
        <v>0</v>
      </c>
      <c r="GU76" s="91" t="n">
        <f aca="false">IF(Tasks[[#This Row],[Task Name]]="",0,IF(AND(Tasks[[#This Row],[_IsLeaf]]=1,NOT(Tasks[[#This Row],[_IsMilestone]]),N(Tasks[[#This Row],[Progress]])&gt;0),Tasks[[#This Row],[Start]],0))</f>
        <v>0</v>
      </c>
      <c r="GV76" s="91" t="n">
        <f aca="false">IF(Tasks[[#This Row],[_DoneFrom]]=0,0,IF(Tasks[[#This Row],[Progress]]&gt;=1,Tasks[[#This Row],[Finish]],MAX(Tasks[[#This Row],[_DoneFrom]],Tasks[[#This Row],[Start]]+ROUND((Tasks[[#This Row],[Finish]]-Tasks[[#This Row],[Start]]+1)*Tasks[[#This Row],[Progress]],0)-1)))</f>
        <v>0</v>
      </c>
      <c r="GW76" s="91" t="n">
        <f aca="false">IF(Tasks[[#This Row],[Task Name]]="",0,IF(OR(NOT(Tasks[[#This Row],[_IsLeaf]]=1),Tasks[[#This Row],[_IsMilestone]],N(Tasks[[#This Row],[Progress]])&gt;=1),0,IF(Tasks[[#This Row],[_DoneTo]]&gt;0,Tasks[[#This Row],[_DoneTo]]+1,Tasks[[#This Row],[Start]])))</f>
        <v>0</v>
      </c>
      <c r="GX76" s="91" t="n">
        <f aca="false">IF(Tasks[[#This Row],[_RemFrom]]=0,0,Tasks[[#This Row],[Finish]])</f>
        <v>0</v>
      </c>
      <c r="GY76" s="90" t="b">
        <f aca="false">IF(Tasks[[#This Row],[Task Name]]="",FALSE(),OR(NOT(BaselineSet),N(Tasks[[#This Row],[Baseline Start]])&gt;0))</f>
        <v>0</v>
      </c>
      <c r="GZ7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6" s="92" t="str">
        <f aca="false">IF(Tasks[[#This Row],[_IsLeaf]]=1,Tasks[[#This Row],[_Row]],"")</f>
        <v/>
      </c>
      <c r="HD76" s="92" t="str">
        <f aca="false">IFERROR(INDEX(Tasks[UID],SMALL(Tasks[_PickKey],Tasks[[#This Row],[_Row]]))&amp;" "&amp;INDEX(Tasks[Task Name],SMALL(Tasks[_PickKey],Tasks[[#This Row],[_Row]])),"")</f>
        <v/>
      </c>
      <c r="HE76" s="43" t="str">
        <f aca="false">IF(Tasks[[#This Row],[Task Name]]="","",IF(Tasks[[#This Row],[_IsSummary]],NETWORKDAYS.INTL(Tasks[[#This Row],[Start]],Tasks[[#This Row],[Finish]],WorkWeek,Holidays),N(Tasks[[#This Row],[_Days]])))</f>
        <v/>
      </c>
      <c r="HF76" s="43" t="n">
        <f aca="false">IF(Tasks[[#This Row],[Expected]]="",0,((Tasks[[#This Row],[Pessimistic]]-Tasks[[#This Row],[Optimistic]])/6)^2)</f>
        <v>0</v>
      </c>
      <c r="HG76" s="43" t="n">
        <f aca="false">IF(Tasks[[#This Row],[Expected]]="",0,Tasks[[#This Row],[Expected]]-N(Tasks[[#This Row],[_Days]]))</f>
        <v>0</v>
      </c>
    </row>
    <row r="77" customFormat="false" ht="15" hidden="false" customHeight="false" outlineLevel="0" collapsed="false">
      <c r="A77" s="21" t="str">
        <f aca="false">IF(Tasks[[#This Row],[Task Name]]="","",COUNTA(Tasks[[#Headers],[Task Name]]:Tasks[[#This Row],[Task Name]])-1)</f>
        <v/>
      </c>
      <c r="B77" s="22" t="n">
        <v>85</v>
      </c>
      <c r="C77" s="22"/>
      <c r="D77" s="23"/>
      <c r="E77" s="22"/>
      <c r="F77" s="23"/>
      <c r="G77" s="22"/>
      <c r="H77" s="22"/>
      <c r="I77" s="23"/>
      <c r="J77" s="22"/>
      <c r="K77" s="22"/>
      <c r="L77" s="23"/>
      <c r="M77" s="22"/>
      <c r="N77" s="22"/>
      <c r="O77" s="23"/>
      <c r="P77" s="22"/>
      <c r="Q77" s="22"/>
      <c r="R77" s="23"/>
      <c r="S77" s="23"/>
      <c r="T77" s="84"/>
      <c r="U77" s="23"/>
      <c r="V77" s="84"/>
      <c r="W77" s="23"/>
      <c r="X77" s="84"/>
      <c r="Y77" s="23"/>
      <c r="Z77" s="84"/>
      <c r="AA77" s="23"/>
      <c r="AB77" s="23"/>
      <c r="AC77" s="7"/>
      <c r="AD77" s="7"/>
      <c r="AE77" s="63" t="str">
        <f aca="false">IF(Tasks[[#This Row],[Task Name]]="","",IF(Tasks[[#This Row],[_IsSummary]],MIN(INDEX(Tasks[_ShownFcstStart],Tasks[[#This Row],[_Row]]+1):INDEX(Tasks[_ShownFcstStart],Tasks[[#This Row],[_Row]]+Tasks[[#This Row],[_Descendants]])),Tasks[[#This Row],[_ShownFcstStart]]))</f>
        <v/>
      </c>
      <c r="AF77" s="63" t="str">
        <f aca="false">IF(Tasks[[#This Row],[Task Name]]="","",IF(Tasks[[#This Row],[_IsSummary]],MAX(INDEX(Tasks[_ShownFcstFinish],Tasks[[#This Row],[_Row]]+1):INDEX(Tasks[_ShownFcstFinish],Tasks[[#This Row],[_Row]]+Tasks[[#This Row],[_Descendants]])),Tasks[[#This Row],[_ShownFcstFinish]]))</f>
        <v/>
      </c>
      <c r="AG77" s="21" t="str">
        <f aca="false">""</f>
        <v/>
      </c>
      <c r="AH77" s="23"/>
      <c r="AI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7" s="7"/>
      <c r="AK77" s="22"/>
      <c r="AL77" s="23"/>
      <c r="AM77" s="7"/>
      <c r="AN77" s="47" t="str">
        <f aca="false">IF(Tasks[[#This Row],[Task Name]]="","",IF(Tasks[[#This Row],[Finish]]&gt;=Tasks[[#This Row],[Planned Finish]],NETWORKDAYS.INTL(Tasks[[#This Row],[Planned Finish]],Tasks[[#This Row],[Finish]],WorkWeek,Holidays)-1,1-NETWORKDAYS.INTL(Tasks[[#This Row],[Finish]],Tasks[[#This Row],[Planned Finish]],WorkWeek,Holidays)))</f>
        <v/>
      </c>
      <c r="AO77" s="21" t="str">
        <f aca="false">IF(Tasks[[#This Row],[Task Name]]="","",IF(Tasks[[#This Row],[Progress]]&gt;=1,"Complete",IF(OR(N(Tasks[[#This Row],[Actual Start]])&gt;0,Tasks[[#This Row],[Progress]]&gt;0),IF(Tasks[[#This Row],[Finish Var]]&gt;0,"Behind","In Progress"),IF(Tasks[[#This Row],[Planned Start]]&lt;StatusDate,"Late Start","Not Started"))))</f>
        <v/>
      </c>
      <c r="AP77" s="21" t="str">
        <f aca="false">IF(Tasks[[#This Row],[Task Name]]="","",IF(IF(Tasks[[#This Row],[_IsSummary]],COUNTIF(INDEX(Tasks[_LeafCritical],Tasks[[#This Row],[_Row]]+1):INDEX(Tasks[_LeafCritical],Tasks[[#This Row],[_Row]]+Tasks[[#This Row],[_Descendants]]),TRUE())&gt;0,Tasks[[#This Row],[_LeafCritical]]),"Yes",""))</f>
        <v/>
      </c>
      <c r="AQ77" s="63" t="str">
        <f aca="false">IF(Tasks[[#This Row],[Task Name]]="","",IF(N(Tasks[[#This Row],[Baseline Start]])&gt;0,Tasks[[#This Row],[Baseline Start]],Tasks[[#This Row],[_CalcStart]]))</f>
        <v/>
      </c>
      <c r="AR77" s="63" t="str">
        <f aca="false">IF(Tasks[[#This Row],[Task Name]]="","",IF(N(Tasks[[#This Row],[Baseline Finish]])&gt;0,Tasks[[#This Row],[Baseline Finish]],Tasks[[#This Row],[_CalcFinish]]))</f>
        <v/>
      </c>
      <c r="AS77" s="47" t="str">
        <f aca="false">IF(Tasks[[#This Row],[Task Name]]="","",IF(Tasks[[#This Row],[Start]]&gt;=Tasks[[#This Row],[Planned Start]],NETWORKDAYS.INTL(Tasks[[#This Row],[Planned Start]],Tasks[[#This Row],[Start]],WorkWeek,Holidays)-1,1-NETWORKDAYS.INTL(Tasks[[#This Row],[Start]],Tasks[[#This Row],[Planned Start]],WorkWeek,Holidays)))</f>
        <v/>
      </c>
      <c r="AT77" s="63" t="str">
        <f aca="false">IF(Tasks[[#This Row],[Task Name]]="","",IF(Tasks[[#This Row],[_IsSummary]],MIN(INDEX(Tasks[_LeafLateStart],Tasks[[#This Row],[_Row]]+1):INDEX(Tasks[_LeafLateStart],Tasks[[#This Row],[_Row]]+Tasks[[#This Row],[_Descendants]])),Tasks[[#This Row],[_LeafLateStart]]))</f>
        <v/>
      </c>
      <c r="AU77" s="63" t="str">
        <f aca="false">IF(Tasks[[#This Row],[Task Name]]="","",IF(Tasks[[#This Row],[_IsSummary]],MAX(INDEX(Tasks[_LeafLateFinish],Tasks[[#This Row],[_Row]]+1):INDEX(Tasks[_LeafLateFinish],Tasks[[#This Row],[_Row]]+Tasks[[#This Row],[_Descendants]])),Tasks[[#This Row],[_LeafLateFinish]]))</f>
        <v/>
      </c>
      <c r="AV77" s="47" t="str">
        <f aca="false">IF(Tasks[[#This Row],[Task Name]]="","",IF(Tasks[[#This Row],[_IsSummary]],MIN(INDEX(Tasks[_LeafTotalSlack],Tasks[[#This Row],[_Row]]+1):INDEX(Tasks[_LeafTotalSlack],Tasks[[#This Row],[_Row]]+Tasks[[#This Row],[_Descendants]])),Tasks[[#This Row],[_LeafTotalSlack]]))</f>
        <v/>
      </c>
      <c r="AW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5"/>
      <c r="BA7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t="str">
        <f aca="false">IF(Tasks[[#This Row],[Task Name]]="","",IF(Tasks[[#This Row],[_Level]]&lt;=OutlineShowLevel,"Yes","No"))</f>
        <v/>
      </c>
      <c r="BE77" s="86" t="str">
        <f aca="false">IF(Tasks[[#This Row],[Task Name]]="","",IF(Tasks[[#This Row],[_IsSummary]],SUM(INDEX(Tasks[_LeafTotalWork],Tasks[[#This Row],[_Row]]+1):INDEX(Tasks[_LeafTotalWork],Tasks[[#This Row],[_Row]]+Tasks[[#This Row],[_Descendants]])),Tasks[[#This Row],[_LeafTotalWork]]))</f>
        <v/>
      </c>
      <c r="BF77" s="23"/>
      <c r="BG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t="str">
        <f aca="false">""</f>
        <v/>
      </c>
      <c r="BI77" s="87"/>
      <c r="BJ77" s="22"/>
      <c r="BK77" s="47" t="str">
        <f aca="false">IF(OR(Tasks[[#This Row],[Task Name]]="",Tasks[[#This Row],[Baseline Duration]]=""),"",Tasks[[#This Row],[_SpanDays]]-N(Tasks[[#This Row],[Baseline Duration]]))</f>
        <v/>
      </c>
      <c r="BL77" s="86" t="str">
        <f aca="false">IF(OR(Tasks[[#This Row],[Task Name]]="",Tasks[[#This Row],[Baseline Work]]=""),"",Tasks[[#This Row],[Work]]-N(Tasks[[#This Row],[Baseline Work]]))</f>
        <v/>
      </c>
      <c r="BM77" s="63" t="str">
        <f aca="false">IF(Tasks[[#This Row],[Task Name]]="","",IF(OR(TakeBaseline="Yes",N(Tasks[[#This Row],[Baseline Start]])=0),Tasks[[#This Row],[Start]],Tasks[[#This Row],[Baseline Start]]))</f>
        <v/>
      </c>
      <c r="BN77" s="63" t="str">
        <f aca="false">IF(Tasks[[#This Row],[Task Name]]="","",IF(OR(TakeBaseline="Yes",N(Tasks[[#This Row],[Baseline Finish]])=0),Tasks[[#This Row],[Finish]],Tasks[[#This Row],[Baseline Finish]]))</f>
        <v/>
      </c>
      <c r="BO77" s="21" t="str">
        <f aca="false">IF(Tasks[[#This Row],[Task Name]]="","",IF(OR(TakeBaseline="Yes",N(Tasks[[#This Row],[Baseline Duration]])=0),Tasks[[#This Row],[_SpanDays]],Tasks[[#This Row],[Baseline Duration]]))</f>
        <v/>
      </c>
      <c r="BP77" s="86" t="str">
        <f aca="false">IF(Tasks[[#This Row],[Task Name]]="","",IF(OR(TakeBaseline="Yes",N(Tasks[[#This Row],[Baseline Work]])=0),Tasks[[#This Row],[Work]],Tasks[[#This Row],[Baseline Work]]))</f>
        <v/>
      </c>
      <c r="BQ77" s="7"/>
      <c r="BR77" s="7"/>
      <c r="BS77" s="22"/>
      <c r="BT77" s="88"/>
      <c r="BU77" s="23"/>
      <c r="BV77" s="23"/>
      <c r="BW77" s="23"/>
      <c r="BX77" s="89" t="str">
        <f aca="false">IF(AND(Tasks[[#This Row],[_IsLeaf]]=1,ISNUMBER(Tasks[[#This Row],[Optimistic]]),ISNUMBER(Tasks[[#This Row],[Pessimistic]])),ROUND((Tasks[[#This Row],[Optimistic]]+4*N(Tasks[[#This Row],[_Days]])+Tasks[[#This Row],[Pessimistic]])/6,1),"")</f>
        <v/>
      </c>
      <c r="BY77" s="87"/>
      <c r="BZ77" s="87"/>
      <c r="CA77" s="22"/>
      <c r="CB77" s="43" t="str">
        <f aca="false">IF(Tasks[[#This Row],[Task Name]]="","",MAX(1,N(Tasks[[#This Row],[Level]])))</f>
        <v/>
      </c>
      <c r="CC77" s="43" t="n">
        <f aca="false">ROW()-ROW(Tasks[[#Headers],[ID]])</f>
        <v>72</v>
      </c>
      <c r="CD77" s="43" t="n">
        <f aca="false">IF(OR(Tasks[[#This Row],[Task Name]]="",Tasks[[#This Row],[_Level]]&lt;=1),0,IFERROR(LOOKUP(2,1/(Tasks[[#Headers],[_Level]]:Tasks[[#This Row],[_Level]]=Tasks[[#This Row],[_Level]]-1),ROW(Tasks[[#Headers],[_Level]]:Tasks[[#This Row],[_Level]])),0))</f>
        <v>0</v>
      </c>
      <c r="CE77" s="43" t="n">
        <f aca="false">IFERROR(N(INDEX(Tasks[_Level],Tasks[[#This Row],[_Row]]+1)),0)</f>
        <v>0</v>
      </c>
      <c r="CF77" s="90" t="b">
        <f aca="false">AND(Tasks[[#This Row],[Task Name]]&lt;&gt;"",Tasks[[#This Row],[_NextLevel]]&gt;Tasks[[#This Row],[_Level]])</f>
        <v>0</v>
      </c>
      <c r="CG77" s="43" t="n">
        <f aca="false">IF(Tasks[[#This Row],[_IsSummary]],COUNTIF(Tasks[WBS],Tasks[[#This Row],[WBS]]&amp;".*"),0)</f>
        <v>0</v>
      </c>
      <c r="CH77" s="43" t="n">
        <f aca="false">IF(AND(Tasks[[#This Row],[Task Name]]&lt;&gt;"",NOT(Tasks[[#This Row],[_IsSummary]])),1,0)</f>
        <v>0</v>
      </c>
      <c r="CI77" s="43" t="n">
        <f aca="false">IF(N(Tasks[[#This Row],[_Pred1UID]])=0,0,IFERROR(MATCH(Tasks[[#This Row],[_Pred1UID]],Tasks[UID],0),-1))</f>
        <v>0</v>
      </c>
      <c r="CJ77" s="43" t="n">
        <f aca="false">IF(N(Tasks[[#This Row],[_Pred2UID]])=0,0,IFERROR(MATCH(Tasks[[#This Row],[_Pred2UID]],Tasks[UID],0),-1))</f>
        <v>0</v>
      </c>
      <c r="CK77" s="43" t="n">
        <f aca="false">IF(N(Tasks[[#This Row],[_Pred3UID]])=0,0,IFERROR(MATCH(Tasks[[#This Row],[_Pred3UID]],Tasks[UID],0),-1))</f>
        <v>0</v>
      </c>
      <c r="CL77" s="43" t="n">
        <f aca="false">IF(N(Tasks[[#This Row],[_Pred4UID]])=0,0,IFERROR(MATCH(Tasks[[#This Row],[_Pred4UID]],Tasks[UID],0),-1))</f>
        <v>0</v>
      </c>
      <c r="CM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7" s="91" t="n">
        <f aca="false">IF(OR(Tasks[[#This Row],[_ConstraintCode]]=2,Tasks[[#This Row],[_ConstraintCode]]=3,Tasks[[#This Row],[_ConstraintCode]]=4,Tasks[[#This Row],[_ConstraintCode]]=6),Tasks[[#This Row],[_ConstraintStart]],0)</f>
        <v>0</v>
      </c>
      <c r="CP77" s="91" t="n">
        <f aca="false">IF(OR(Tasks[[#This Row],[_ConstraintCode]]=2,Tasks[[#This Row],[_ConstraintCode]]=3,Tasks[[#This Row],[_ConstraintCode]]=5,Tasks[[#This Row],[_ConstraintCode]]=7),Tasks[[#This Row],[_ConstraintStart]],2958465)</f>
        <v>2958465</v>
      </c>
      <c r="CQ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7" s="91" t="str">
        <f aca="false">IF(NOT(Tasks[[#This Row],[_IsLeaf]]=1),"",IF(N(Tasks[[#This Row],[_Days]])&lt;=0,Tasks[[#This Row],[_LeafCalcStart]],WORKDAY.INTL(Tasks[[#This Row],[_LeafCalcStart]],Tasks[[#This Row],[_Days]]-1,WorkWeek,Holidays)))</f>
        <v/>
      </c>
      <c r="CS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7" s="43" t="str">
        <f aca="false">IF(Tasks[[#This Row],[_Predecessors]]="","",TRIM(MID(SUBSTITUTE(SUBSTITUTE(SUBSTITUTE(UPPER(Tasks[[#This Row],[_Predecessors]]),";",",")," ",""),",",REPT(" ",99)),1,99)))</f>
        <v/>
      </c>
      <c r="CV77" s="43" t="str">
        <f aca="false">IF(Tasks[[#This Row],[_Pred1Text]]="","",IFERROR(VALUE(LEFT(Tasks[[#This Row],[_Pred1Text]],MIN(FIND("F",Tasks[[#This Row],[_Pred1Text]]&amp;"F"),FIND("S",Tasks[[#This Row],[_Pred1Text]]&amp;"S"),FIND("+",Tasks[[#This Row],[_Pred1Text]]&amp;"+"),FIND("-",Tasks[[#This Row],[_Pred1Text]]&amp;"-"))-1)),""))</f>
        <v/>
      </c>
      <c r="CW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7" s="43" t="str">
        <f aca="false">IF(Tasks[[#This Row],[_Pred1Text]]="","",TRIM(MID(SUBSTITUTE(SUBSTITUTE(SUBSTITUTE(UPPER(Tasks[[#This Row],[_Predecessors]]),";",",")," ",""),",",REPT(" ",99)),100,99)))</f>
        <v/>
      </c>
      <c r="CZ77" s="43" t="str">
        <f aca="false">IF(Tasks[[#This Row],[_Pred2Text]]="","",IFERROR(VALUE(LEFT(Tasks[[#This Row],[_Pred2Text]],MIN(FIND("F",Tasks[[#This Row],[_Pred2Text]]&amp;"F"),FIND("S",Tasks[[#This Row],[_Pred2Text]]&amp;"S"),FIND("+",Tasks[[#This Row],[_Pred2Text]]&amp;"+"),FIND("-",Tasks[[#This Row],[_Pred2Text]]&amp;"-"))-1)),""))</f>
        <v/>
      </c>
      <c r="DA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7" s="43" t="str">
        <f aca="false">IF(Tasks[[#This Row],[_Pred2Text]]="","",TRIM(MID(SUBSTITUTE(SUBSTITUTE(SUBSTITUTE(UPPER(Tasks[[#This Row],[_Predecessors]]),";",",")," ",""),",",REPT(" ",99)),199,99)))</f>
        <v/>
      </c>
      <c r="DD77" s="43" t="str">
        <f aca="false">IF(Tasks[[#This Row],[_Pred3Text]]="","",IFERROR(VALUE(LEFT(Tasks[[#This Row],[_Pred3Text]],MIN(FIND("F",Tasks[[#This Row],[_Pred3Text]]&amp;"F"),FIND("S",Tasks[[#This Row],[_Pred3Text]]&amp;"S"),FIND("+",Tasks[[#This Row],[_Pred3Text]]&amp;"+"),FIND("-",Tasks[[#This Row],[_Pred3Text]]&amp;"-"))-1)),""))</f>
        <v/>
      </c>
      <c r="DE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7" s="43" t="str">
        <f aca="false">IF(Tasks[[#This Row],[_Pred3Text]]="","",TRIM(MID(SUBSTITUTE(SUBSTITUTE(SUBSTITUTE(UPPER(Tasks[[#This Row],[_Predecessors]]),";",",")," ",""),",",REPT(" ",99)),298,99)))</f>
        <v/>
      </c>
      <c r="DH77" s="43" t="str">
        <f aca="false">IF(Tasks[[#This Row],[_Pred4Text]]="","",IFERROR(VALUE(LEFT(Tasks[[#This Row],[_Pred4Text]],MIN(FIND("F",Tasks[[#This Row],[_Pred4Text]]&amp;"F"),FIND("S",Tasks[[#This Row],[_Pred4Text]]&amp;"S"),FIND("+",Tasks[[#This Row],[_Pred4Text]]&amp;"+"),FIND("-",Tasks[[#This Row],[_Pred4Text]]&amp;"-"))-1)),""))</f>
        <v/>
      </c>
      <c r="DI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7" s="43" t="str">
        <f aca="false">IF(OR(Tasks[[#This Row],[Task Name]]="",Tasks[[#This Row],[_Resources]]=""),"",TRIM(MID(SUBSTITUTE(Tasks[[#This Row],[_Resources]],",",REPT(" ",99)),1,99)))</f>
        <v/>
      </c>
      <c r="DL77" s="43" t="str">
        <f aca="false">IF(Tasks[[#This Row],[_Res1Text]]="","",TRIM(MID(SUBSTITUTE(Tasks[[#This Row],[_Resources]],",",REPT(" ",99)),100,99)))</f>
        <v/>
      </c>
      <c r="DM77" s="43" t="str">
        <f aca="false">IF(Tasks[[#This Row],[_Res2Text]]="","",TRIM(MID(SUBSTITUTE(Tasks[[#This Row],[_Resources]],",",REPT(" ",99)),199,99)))</f>
        <v/>
      </c>
      <c r="DN77" s="43" t="str">
        <f aca="false">IF(Tasks[[#This Row],[_Res3Text]]="","",TRIM(MID(SUBSTITUTE(Tasks[[#This Row],[_Resources]],",",REPT(" ",99)),298,99)))</f>
        <v/>
      </c>
      <c r="DO77" s="43" t="n">
        <f aca="false">IF(Tasks[[#This Row],[_Res1Text]]="",0,IFERROR(MATCH(TRIM(LEFT(Tasks[[#This Row],[_Res1Text]],FIND("[",Tasks[[#This Row],[_Res1Text]]&amp;"[")-1)),res_Name,0),IFERROR(MATCH(TRIM(LEFT(Tasks[[#This Row],[_Res1Text]],FIND("[",Tasks[[#This Row],[_Res1Text]]&amp;"[")-1)),res_Initials,0),0)))</f>
        <v>0</v>
      </c>
      <c r="DP77" s="43" t="n">
        <f aca="false">IF(Tasks[[#This Row],[_Res2Text]]="",0,IFERROR(MATCH(TRIM(LEFT(Tasks[[#This Row],[_Res2Text]],FIND("[",Tasks[[#This Row],[_Res2Text]]&amp;"[")-1)),res_Name,0),IFERROR(MATCH(TRIM(LEFT(Tasks[[#This Row],[_Res2Text]],FIND("[",Tasks[[#This Row],[_Res2Text]]&amp;"[")-1)),res_Initials,0),0)))</f>
        <v>0</v>
      </c>
      <c r="DQ77" s="43" t="n">
        <f aca="false">IF(Tasks[[#This Row],[_Res3Text]]="",0,IFERROR(MATCH(TRIM(LEFT(Tasks[[#This Row],[_Res3Text]],FIND("[",Tasks[[#This Row],[_Res3Text]]&amp;"[")-1)),res_Name,0),IFERROR(MATCH(TRIM(LEFT(Tasks[[#This Row],[_Res3Text]],FIND("[",Tasks[[#This Row],[_Res3Text]]&amp;"[")-1)),res_Initials,0),0)))</f>
        <v>0</v>
      </c>
      <c r="DR77" s="43" t="n">
        <f aca="false">IF(Tasks[[#This Row],[_Res4Text]]="",0,IFERROR(MATCH(TRIM(LEFT(Tasks[[#This Row],[_Res4Text]],FIND("[",Tasks[[#This Row],[_Res4Text]]&amp;"[")-1)),res_Name,0),IFERROR(MATCH(TRIM(LEFT(Tasks[[#This Row],[_Res4Text]],FIND("[",Tasks[[#This Row],[_Res4Text]]&amp;"[")-1)),res_Initials,0),0)))</f>
        <v>0</v>
      </c>
      <c r="DS77" s="43" t="str">
        <f aca="false">IF(Tasks[[#This Row],[_Res1Text]]="","",IF(Tasks[[#This Row],[_Res1Row]]&gt;0,INDEX(res_Name,Tasks[[#This Row],[_Res1Row]]),TRIM(LEFT(Tasks[[#This Row],[_Res1Text]],FIND("[",Tasks[[#This Row],[_Res1Text]]&amp;"[")-1))))</f>
        <v/>
      </c>
      <c r="DT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7" s="43" t="n">
        <f aca="false">IF(NOT(Tasks[[#This Row],[_IsLeaf]]=1),0,(Tasks[[#This Row],[_Resource1]]&lt;&gt;"")+(Tasks[[#This Row],[_Res2]]&lt;&gt;"")+(Tasks[[#This Row],[_Res3]]&lt;&gt;"")+(Tasks[[#This Row],[_Res4]]&lt;&gt;""))</f>
        <v>0</v>
      </c>
      <c r="DV77" s="43" t="str">
        <f aca="false">IF(Tasks[[#This Row],[_Res2Text]]="","",IF(Tasks[[#This Row],[_Res2Row]]&gt;0,INDEX(res_Name,Tasks[[#This Row],[_Res2Row]]),TRIM(LEFT(Tasks[[#This Row],[_Res2Text]],FIND("[",Tasks[[#This Row],[_Res2Text]]&amp;"[")-1))))</f>
        <v/>
      </c>
      <c r="DW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7" s="43" t="n">
        <f aca="false">IF(OR(NOT(Tasks[[#This Row],[_IsLeaf]]=1),Tasks[[#This Row],[_Res2Row]]=0),0,N(Tasks[[#This Row],[_Days]])*HoursPerDay*IF(Tasks[[#This Row],[_Res2Units]]="",DefaultUnits,Tasks[[#This Row],[_Res2Units]]))</f>
        <v>0</v>
      </c>
      <c r="DY77" s="43" t="n">
        <f aca="false">IF(AND(AND(Tasks[[#This Row],[_IsLeaf]]=1,Tasks[[#This Row],[_LeafTotalWork]]&gt;0),Tasks[[#This Row],[_Res2Work]]&gt;0),Tasks[[#This Row],[_Res2Work]]/(Tasks[[#This Row],[_FinishWorkday]]-Tasks[[#This Row],[_StartWorkday]]+1),0)</f>
        <v>0</v>
      </c>
      <c r="DZ77" s="43" t="n">
        <f aca="false">Tasks[[#This Row],[_Res2WorkPerWD]]*MAX(0,Tasks[[#This Row],[_StartWorkday]]-1)</f>
        <v>0</v>
      </c>
      <c r="EA77" s="43" t="n">
        <f aca="false">Tasks[[#This Row],[_Res2Work]]*Tasks[[#This Row],[_LeafProgress]]</f>
        <v>0</v>
      </c>
      <c r="EB77" s="43" t="str">
        <f aca="false">IF(Tasks[[#This Row],[_Res3Text]]="","",IF(Tasks[[#This Row],[_Res3Row]]&gt;0,INDEX(res_Name,Tasks[[#This Row],[_Res3Row]]),TRIM(LEFT(Tasks[[#This Row],[_Res3Text]],FIND("[",Tasks[[#This Row],[_Res3Text]]&amp;"[")-1))))</f>
        <v/>
      </c>
      <c r="EC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7" s="43" t="n">
        <f aca="false">IF(OR(NOT(Tasks[[#This Row],[_IsLeaf]]=1),Tasks[[#This Row],[_Res3Row]]=0),0,N(Tasks[[#This Row],[_Days]])*HoursPerDay*IF(Tasks[[#This Row],[_Res3Units]]="",DefaultUnits,Tasks[[#This Row],[_Res3Units]]))</f>
        <v>0</v>
      </c>
      <c r="EE77" s="43" t="n">
        <f aca="false">IF(AND(AND(Tasks[[#This Row],[_IsLeaf]]=1,Tasks[[#This Row],[_LeafTotalWork]]&gt;0),Tasks[[#This Row],[_Res3Work]]&gt;0),Tasks[[#This Row],[_Res3Work]]/(Tasks[[#This Row],[_FinishWorkday]]-Tasks[[#This Row],[_StartWorkday]]+1),0)</f>
        <v>0</v>
      </c>
      <c r="EF77" s="43" t="n">
        <f aca="false">Tasks[[#This Row],[_Res3WorkPerWD]]*MAX(0,Tasks[[#This Row],[_StartWorkday]]-1)</f>
        <v>0</v>
      </c>
      <c r="EG77" s="43" t="n">
        <f aca="false">Tasks[[#This Row],[_Res3Work]]*Tasks[[#This Row],[_LeafProgress]]</f>
        <v>0</v>
      </c>
      <c r="EH77" s="43" t="str">
        <f aca="false">IF(Tasks[[#This Row],[_Res4Text]]="","",IF(Tasks[[#This Row],[_Res4Row]]&gt;0,INDEX(res_Name,Tasks[[#This Row],[_Res4Row]]),TRIM(LEFT(Tasks[[#This Row],[_Res4Text]],FIND("[",Tasks[[#This Row],[_Res4Text]]&amp;"[")-1))))</f>
        <v/>
      </c>
      <c r="EI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7" s="43" t="n">
        <f aca="false">IF(OR(NOT(Tasks[[#This Row],[_IsLeaf]]=1),Tasks[[#This Row],[_Res4Row]]=0),0,N(Tasks[[#This Row],[_Days]])*HoursPerDay*IF(Tasks[[#This Row],[_Res4Units]]="",DefaultUnits,Tasks[[#This Row],[_Res4Units]]))</f>
        <v>0</v>
      </c>
      <c r="EK77" s="43" t="n">
        <f aca="false">IF(AND(AND(Tasks[[#This Row],[_IsLeaf]]=1,Tasks[[#This Row],[_LeafTotalWork]]&gt;0),Tasks[[#This Row],[_Res4Work]]&gt;0),Tasks[[#This Row],[_Res4Work]]/(Tasks[[#This Row],[_FinishWorkday]]-Tasks[[#This Row],[_StartWorkday]]+1),0)</f>
        <v>0</v>
      </c>
      <c r="EL77" s="43" t="n">
        <f aca="false">Tasks[[#This Row],[_Res4WorkPerWD]]*MAX(0,Tasks[[#This Row],[_StartWorkday]]-1)</f>
        <v>0</v>
      </c>
      <c r="EM77" s="43" t="n">
        <f aca="false">Tasks[[#This Row],[_Res4Work]]*Tasks[[#This Row],[_LeafProgress]]</f>
        <v>0</v>
      </c>
      <c r="EN77" s="43" t="n">
        <f aca="false">IF(ISNUMBER(Tasks[[#This Row],[% Complete]]),Tasks[[#This Row],[% Complete]],IF(Tasks[[#This Row],[Stage]]="",0,IFERROR(INDEX(stg_Pct,MATCH(Tasks[[#This Row],[Stage]],stg_Name,0)),0)))</f>
        <v>0</v>
      </c>
      <c r="EO77" s="43" t="n">
        <f aca="false">IF(NOT(Tasks[[#This Row],[_IsLeaf]]=1),0,IF(N(Tasks[[#This Row],[Actual Finish]])&gt;0,1,MIN(1,Tasks[[#This Row],[_Pct]])))</f>
        <v>0</v>
      </c>
      <c r="EP77" s="43" t="n">
        <f aca="false">IF(OR(NOT(Tasks[[#This Row],[_IsLeaf]]=1),Tasks[[#This Row],[_Res1Row]]=0),0,N(Tasks[[#This Row],[_Days]])*HoursPerDay*IF(Tasks[[#This Row],[_Units1]]="",DefaultUnits,Tasks[[#This Row],[_Units1]]))</f>
        <v>0</v>
      </c>
      <c r="EQ77" s="43" t="n">
        <f aca="false">Tasks[[#This Row],[_LeafWork]]+Tasks[[#This Row],[_Res2Work]]+Tasks[[#This Row],[_Res3Work]]+Tasks[[#This Row],[_Res4Work]]</f>
        <v>0</v>
      </c>
      <c r="ER7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7" s="43" t="n">
        <f aca="false">IF(NOT(Tasks[[#This Row],[_IsLeaf]]=1),0,MAX(_xlfn.MAXIFS(Tasks[_Row],Tasks[_Pred1UID],Tasks[[#This Row],[UID]]),_xlfn.MAXIFS(Tasks[_Row],Tasks[_Pred2UID],Tasks[[#This Row],[UID]]),_xlfn.MAXIFS(Tasks[_Row],Tasks[_Pred3UID],Tasks[[#This Row],[UID]]),_xlfn.MAXIFS(Tasks[_Row],Tasks[_Pred4UID],Tasks[[#This Row],[UID]])))</f>
        <v>0</v>
      </c>
      <c r="FA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7" s="91" t="str">
        <f aca="false">IF(NOT(Tasks[[#This Row],[_IsLeaf]]=1),"",IF(N(Tasks[[#This Row],[_Days]])&lt;=0,Tasks[[#This Row],[_LeafLateFinish]],WORKDAY.INTL(Tasks[[#This Row],[_LeafLateFinish]],-(Tasks[[#This Row],[_Days]]-1),WorkWeek,Holidays)))</f>
        <v/>
      </c>
      <c r="FD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7" s="90" t="b">
        <f aca="false">AND(Tasks[[#This Row],[_IsLeaf]]=1,Tasks[[#This Row],[_LeafProgress]]&lt;1,N(Tasks[[#This Row],[_LeafTotalSlack]])&lt;=CriticalSlackDays)</f>
        <v>0</v>
      </c>
      <c r="FF77" s="43" t="n">
        <f aca="false">IF(AND(Tasks[[#This Row],[_IsLeaf]]=1,Tasks[[#This Row],[_ConstraintCode]]=1,Tasks[[#This Row],[Mode]]&lt;&gt;"Manual",N(Tasks[[#This Row],[Actual Start]])=0),MAX(0,N(Tasks[[#This Row],[Free Slack]])),0)</f>
        <v>0</v>
      </c>
      <c r="FG77" s="91" t="str">
        <f aca="false">IF(NOT(Tasks[[#This Row],[_IsLeaf]]=1),"",IF(Tasks[[#This Row],[_AlapShift]]=0,Tasks[[#This Row],[_LeafCalcStart]],WORKDAY.INTL(Tasks[[#This Row],[_LeafCalcStart]],Tasks[[#This Row],[_AlapShift]],WorkWeek,Holidays)))</f>
        <v/>
      </c>
      <c r="FH77" s="91" t="str">
        <f aca="false">IF(NOT(Tasks[[#This Row],[_IsLeaf]]=1),"",IF(Tasks[[#This Row],[_AlapShift]]=0,Tasks[[#This Row],[_LeafCalcFinish]],WORKDAY.INTL(Tasks[[#This Row],[_LeafCalcFinish]],Tasks[[#This Row],[_AlapShift]],WorkWeek,Holidays)))</f>
        <v/>
      </c>
      <c r="FI77" s="91" t="str">
        <f aca="false">IF(NOT(Tasks[[#This Row],[_IsLeaf]]=1),"",IF(Tasks[[#This Row],[_AlapShift]]=0,Tasks[[#This Row],[_LeafFcstStart]],WORKDAY.INTL(Tasks[[#This Row],[_LeafFcstStart]],Tasks[[#This Row],[_AlapShift]],WorkWeek,Holidays)))</f>
        <v/>
      </c>
      <c r="FJ77" s="91" t="str">
        <f aca="false">IF(NOT(Tasks[[#This Row],[_IsLeaf]]=1),"",IF(Tasks[[#This Row],[_AlapShift]]=0,Tasks[[#This Row],[_LeafFcstFinish]],WORKDAY.INTL(Tasks[[#This Row],[_LeafFcstFinish]],Tasks[[#This Row],[_AlapShift]],WorkWeek,Holidays)))</f>
        <v/>
      </c>
      <c r="FK77" s="91" t="str">
        <f aca="false">IF(Tasks[[#This Row],[Task Name]]="","",IF(Tasks[[#This Row],[_IsSummary]],MIN(INDEX(Tasks[_ShownCalcStart],Tasks[[#This Row],[_Row]]+1):INDEX(Tasks[_ShownCalcStart],Tasks[[#This Row],[_Row]]+Tasks[[#This Row],[_Descendants]])),Tasks[[#This Row],[_ShownCalcStart]]))</f>
        <v/>
      </c>
      <c r="FL77" s="91" t="str">
        <f aca="false">IF(Tasks[[#This Row],[Task Name]]="","",IF(Tasks[[#This Row],[_IsSummary]],MAX(INDEX(Tasks[_ShownCalcFinish],Tasks[[#This Row],[_Row]]+1):INDEX(Tasks[_ShownCalcFinish],Tasks[[#This Row],[_Row]]+Tasks[[#This Row],[_Descendants]])),Tasks[[#This Row],[_ShownCalcFinish]]))</f>
        <v/>
      </c>
      <c r="FM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7" s="43" t="n">
        <f aca="false">IF(AND(Tasks[[#This Row],[_IsLeaf]]=1,Tasks[[#This Row],[_LeafTotalWork]]&gt;0),NETWORKDAYS.INTL(ProjectStart,Tasks[[#This Row],[_ShownFcstStart]],WorkWeek,Holidays),0)</f>
        <v>0</v>
      </c>
      <c r="FZ77" s="43" t="n">
        <f aca="false">IF(AND(Tasks[[#This Row],[_IsLeaf]]=1,Tasks[[#This Row],[_LeafTotalWork]]&gt;0),MAX(Tasks[[#This Row],[_StartWorkday]],NETWORKDAYS.INTL(ProjectStart,Tasks[[#This Row],[_ShownFcstFinish]],WorkWeek,Holidays)),0)</f>
        <v>0</v>
      </c>
      <c r="GA77" s="43" t="n">
        <f aca="false">IF(AND(Tasks[[#This Row],[_IsLeaf]]=1,Tasks[[#This Row],[_LeafTotalWork]]&gt;0),Tasks[[#This Row],[_LeafWork]]/(Tasks[[#This Row],[_FinishWorkday]]-Tasks[[#This Row],[_StartWorkday]]+1),0)</f>
        <v>0</v>
      </c>
      <c r="GB77" s="43" t="n">
        <f aca="false">Tasks[[#This Row],[_WorkPerWorkday]]*(Tasks[[#This Row],[_StartWorkday]]-1)</f>
        <v>-0</v>
      </c>
      <c r="GC77" s="43" t="n">
        <f aca="false">IF(Tasks[[#This Row],[_IsLeaf]]=1,MAX(N(Tasks[[#This Row],[_Days]]),0.1),0)</f>
        <v>0</v>
      </c>
      <c r="GD77" s="43" t="n">
        <f aca="false">Tasks[[#This Row],[_WeightDur]]*Tasks[[#This Row],[_LeafProgress]]</f>
        <v>0</v>
      </c>
      <c r="GE77" s="43" t="n">
        <f aca="false">Tasks[[#This Row],[_WeightDur]]*Tasks[[#This Row],[_PlannedPct]]</f>
        <v>0</v>
      </c>
      <c r="GF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7" s="43" t="str">
        <f aca="false">IF(AND(Tasks[[#This Row],[_IsLeaf]]=1,N(Tasks[[#This Row],[_Days]])=0,Tasks[[#This Row],[_LeafProgress]]&lt;1),Tasks[[#This Row],[_ShownFcstFinish]]+Tasks[[#This Row],[_Row]]/100000,"")</f>
        <v/>
      </c>
      <c r="GH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7" s="43" t="str">
        <f aca="false">IF(Tasks[[#This Row],[Task Name]]="","",LEFT(Tasks[[#This Row],[WBS]],FIND(".",Tasks[[#This Row],[WBS]]&amp;".")-1))</f>
        <v/>
      </c>
      <c r="GJ77" s="43" t="str">
        <f aca="false">IF(AND(Tasks[[#This Row],[Task Name]]&lt;&gt;"",Tasks[[#This Row],[_Level]]=1),Tasks[[#This Row],[_Row]],"")</f>
        <v/>
      </c>
      <c r="GK77" s="43" t="str">
        <f aca="false">IF(AND(Tasks[[#This Row],[_IsLeaf]]=1,N(Tasks[[#This Row],[_Days]])=0),Tasks[[#This Row],[Planned Finish]]+Tasks[[#This Row],[_Row]]/100000,"")</f>
        <v/>
      </c>
      <c r="GL77" s="43" t="str">
        <f aca="false">IF(AND(Tasks[[#This Row],[_IsLeaf]]=1,Tasks[[#This Row],[_LeafProgress]]&lt;1,OR(N(Tasks[[#This Row],[Finish Var]])&gt;0,Tasks[[#This Row],[Status]]="Late Start")),MAX(0,Tasks[[#This Row],[Finish Var]])+1-Tasks[[#This Row],[_Row]]/1000000,"")</f>
        <v/>
      </c>
      <c r="GM77" s="43" t="str">
        <f aca="false">IF(AND(Tasks[[#This Row],[_IsLeaf]]=1,N(Tasks[[#This Row],[Actual Start]])=0,Tasks[[#This Row],[_ShownFcstStart]]&gt;=StatusDate,Tasks[[#This Row],[_ShownFcstStart]]&lt;=LookaheadEnd),Tasks[[#This Row],[_ShownFcstStart]]+Tasks[[#This Row],[_Row]]/100000,"")</f>
        <v/>
      </c>
      <c r="GN77" s="43" t="str">
        <f aca="false">IF(AND(Tasks[[#This Row],[_IsLeaf]]=1,Tasks[[#This Row],[_LeafProgress]]&lt;1,Tasks[[#This Row],[_ShownFcstFinish]]&gt;=StatusDate,Tasks[[#This Row],[_ShownFcstFinish]]&lt;=LookaheadEnd),Tasks[[#This Row],[_ShownFcstFinish]]+Tasks[[#This Row],[_Row]]/100000,"")</f>
        <v/>
      </c>
      <c r="GO77" s="43" t="str">
        <f aca="false">IF(Tasks[[#This Row],[_LeafCritical]],Tasks[[#This Row],[_ShownFcstStart]]+Tasks[[#This Row],[_Row]]/100000,"")</f>
        <v/>
      </c>
      <c r="GP77" s="43" t="n">
        <f aca="false">Tasks[[#This Row],[_LeafWork]]*Tasks[[#This Row],[_LeafProgress]]</f>
        <v>0</v>
      </c>
      <c r="GQ77" s="91" t="str">
        <f aca="false">IF(AND(Tasks[[#This Row],[_IsLeaf]]=1,Tasks[[#This Row],[_LeafProgress]]&gt;=1),IF(N(Tasks[[#This Row],[Actual Finish]])&gt;0,Tasks[[#This Row],[Actual Finish]],Tasks[[#This Row],[_ShownFcstFinish]]),"")</f>
        <v/>
      </c>
      <c r="GR77" s="43" t="n">
        <f aca="false">IF(Tasks[[#This Row],[_IsLeaf]]=1,N(Tasks[[#This Row],[Story Points]]),0)</f>
        <v>0</v>
      </c>
      <c r="GS77" s="43" t="str">
        <f aca="false">""</f>
        <v/>
      </c>
      <c r="GT77" s="90" t="b">
        <f aca="false">IF(Tasks[[#This Row],[Task Name]]="",FALSE(),AND(Tasks[[#This Row],[_IsLeaf]]=1,N(Tasks[[#This Row],[_Days]])=0))</f>
        <v>0</v>
      </c>
      <c r="GU77" s="91" t="n">
        <f aca="false">IF(Tasks[[#This Row],[Task Name]]="",0,IF(AND(Tasks[[#This Row],[_IsLeaf]]=1,NOT(Tasks[[#This Row],[_IsMilestone]]),N(Tasks[[#This Row],[Progress]])&gt;0),Tasks[[#This Row],[Start]],0))</f>
        <v>0</v>
      </c>
      <c r="GV77" s="91" t="n">
        <f aca="false">IF(Tasks[[#This Row],[_DoneFrom]]=0,0,IF(Tasks[[#This Row],[Progress]]&gt;=1,Tasks[[#This Row],[Finish]],MAX(Tasks[[#This Row],[_DoneFrom]],Tasks[[#This Row],[Start]]+ROUND((Tasks[[#This Row],[Finish]]-Tasks[[#This Row],[Start]]+1)*Tasks[[#This Row],[Progress]],0)-1)))</f>
        <v>0</v>
      </c>
      <c r="GW77" s="91" t="n">
        <f aca="false">IF(Tasks[[#This Row],[Task Name]]="",0,IF(OR(NOT(Tasks[[#This Row],[_IsLeaf]]=1),Tasks[[#This Row],[_IsMilestone]],N(Tasks[[#This Row],[Progress]])&gt;=1),0,IF(Tasks[[#This Row],[_DoneTo]]&gt;0,Tasks[[#This Row],[_DoneTo]]+1,Tasks[[#This Row],[Start]])))</f>
        <v>0</v>
      </c>
      <c r="GX77" s="91" t="n">
        <f aca="false">IF(Tasks[[#This Row],[_RemFrom]]=0,0,Tasks[[#This Row],[Finish]])</f>
        <v>0</v>
      </c>
      <c r="GY77" s="90" t="b">
        <f aca="false">IF(Tasks[[#This Row],[Task Name]]="",FALSE(),OR(NOT(BaselineSet),N(Tasks[[#This Row],[Baseline Start]])&gt;0))</f>
        <v>0</v>
      </c>
      <c r="GZ7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7" s="92" t="str">
        <f aca="false">IF(Tasks[[#This Row],[_IsLeaf]]=1,Tasks[[#This Row],[_Row]],"")</f>
        <v/>
      </c>
      <c r="HD77" s="92" t="str">
        <f aca="false">IFERROR(INDEX(Tasks[UID],SMALL(Tasks[_PickKey],Tasks[[#This Row],[_Row]]))&amp;" "&amp;INDEX(Tasks[Task Name],SMALL(Tasks[_PickKey],Tasks[[#This Row],[_Row]])),"")</f>
        <v/>
      </c>
      <c r="HE77" s="43" t="str">
        <f aca="false">IF(Tasks[[#This Row],[Task Name]]="","",IF(Tasks[[#This Row],[_IsSummary]],NETWORKDAYS.INTL(Tasks[[#This Row],[Start]],Tasks[[#This Row],[Finish]],WorkWeek,Holidays),N(Tasks[[#This Row],[_Days]])))</f>
        <v/>
      </c>
      <c r="HF77" s="43" t="n">
        <f aca="false">IF(Tasks[[#This Row],[Expected]]="",0,((Tasks[[#This Row],[Pessimistic]]-Tasks[[#This Row],[Optimistic]])/6)^2)</f>
        <v>0</v>
      </c>
      <c r="HG77" s="43" t="n">
        <f aca="false">IF(Tasks[[#This Row],[Expected]]="",0,Tasks[[#This Row],[Expected]]-N(Tasks[[#This Row],[_Days]]))</f>
        <v>0</v>
      </c>
    </row>
    <row r="78" customFormat="false" ht="15" hidden="false" customHeight="false" outlineLevel="0" collapsed="false">
      <c r="A78" s="21" t="str">
        <f aca="false">IF(Tasks[[#This Row],[Task Name]]="","",COUNTA(Tasks[[#Headers],[Task Name]]:Tasks[[#This Row],[Task Name]])-1)</f>
        <v/>
      </c>
      <c r="B78" s="22" t="n">
        <v>86</v>
      </c>
      <c r="C78" s="22"/>
      <c r="D78" s="23"/>
      <c r="E78" s="22"/>
      <c r="F78" s="23"/>
      <c r="G78" s="22"/>
      <c r="H78" s="22"/>
      <c r="I78" s="23"/>
      <c r="J78" s="22"/>
      <c r="K78" s="22"/>
      <c r="L78" s="23"/>
      <c r="M78" s="22"/>
      <c r="N78" s="22"/>
      <c r="O78" s="23"/>
      <c r="P78" s="22"/>
      <c r="Q78" s="22"/>
      <c r="R78" s="23"/>
      <c r="S78" s="23"/>
      <c r="T78" s="84"/>
      <c r="U78" s="23"/>
      <c r="V78" s="84"/>
      <c r="W78" s="23"/>
      <c r="X78" s="84"/>
      <c r="Y78" s="23"/>
      <c r="Z78" s="84"/>
      <c r="AA78" s="23"/>
      <c r="AB78" s="23"/>
      <c r="AC78" s="7"/>
      <c r="AD78" s="7"/>
      <c r="AE78" s="63" t="str">
        <f aca="false">IF(Tasks[[#This Row],[Task Name]]="","",IF(Tasks[[#This Row],[_IsSummary]],MIN(INDEX(Tasks[_ShownFcstStart],Tasks[[#This Row],[_Row]]+1):INDEX(Tasks[_ShownFcstStart],Tasks[[#This Row],[_Row]]+Tasks[[#This Row],[_Descendants]])),Tasks[[#This Row],[_ShownFcstStart]]))</f>
        <v/>
      </c>
      <c r="AF78" s="63" t="str">
        <f aca="false">IF(Tasks[[#This Row],[Task Name]]="","",IF(Tasks[[#This Row],[_IsSummary]],MAX(INDEX(Tasks[_ShownFcstFinish],Tasks[[#This Row],[_Row]]+1):INDEX(Tasks[_ShownFcstFinish],Tasks[[#This Row],[_Row]]+Tasks[[#This Row],[_Descendants]])),Tasks[[#This Row],[_ShownFcstFinish]]))</f>
        <v/>
      </c>
      <c r="AG78" s="21" t="str">
        <f aca="false">""</f>
        <v/>
      </c>
      <c r="AH78" s="23"/>
      <c r="AI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8" s="7"/>
      <c r="AK78" s="22"/>
      <c r="AL78" s="23"/>
      <c r="AM78" s="7"/>
      <c r="AN78" s="47" t="str">
        <f aca="false">IF(Tasks[[#This Row],[Task Name]]="","",IF(Tasks[[#This Row],[Finish]]&gt;=Tasks[[#This Row],[Planned Finish]],NETWORKDAYS.INTL(Tasks[[#This Row],[Planned Finish]],Tasks[[#This Row],[Finish]],WorkWeek,Holidays)-1,1-NETWORKDAYS.INTL(Tasks[[#This Row],[Finish]],Tasks[[#This Row],[Planned Finish]],WorkWeek,Holidays)))</f>
        <v/>
      </c>
      <c r="AO78" s="21" t="str">
        <f aca="false">IF(Tasks[[#This Row],[Task Name]]="","",IF(Tasks[[#This Row],[Progress]]&gt;=1,"Complete",IF(OR(N(Tasks[[#This Row],[Actual Start]])&gt;0,Tasks[[#This Row],[Progress]]&gt;0),IF(Tasks[[#This Row],[Finish Var]]&gt;0,"Behind","In Progress"),IF(Tasks[[#This Row],[Planned Start]]&lt;StatusDate,"Late Start","Not Started"))))</f>
        <v/>
      </c>
      <c r="AP78" s="21" t="str">
        <f aca="false">IF(Tasks[[#This Row],[Task Name]]="","",IF(IF(Tasks[[#This Row],[_IsSummary]],COUNTIF(INDEX(Tasks[_LeafCritical],Tasks[[#This Row],[_Row]]+1):INDEX(Tasks[_LeafCritical],Tasks[[#This Row],[_Row]]+Tasks[[#This Row],[_Descendants]]),TRUE())&gt;0,Tasks[[#This Row],[_LeafCritical]]),"Yes",""))</f>
        <v/>
      </c>
      <c r="AQ78" s="63" t="str">
        <f aca="false">IF(Tasks[[#This Row],[Task Name]]="","",IF(N(Tasks[[#This Row],[Baseline Start]])&gt;0,Tasks[[#This Row],[Baseline Start]],Tasks[[#This Row],[_CalcStart]]))</f>
        <v/>
      </c>
      <c r="AR78" s="63" t="str">
        <f aca="false">IF(Tasks[[#This Row],[Task Name]]="","",IF(N(Tasks[[#This Row],[Baseline Finish]])&gt;0,Tasks[[#This Row],[Baseline Finish]],Tasks[[#This Row],[_CalcFinish]]))</f>
        <v/>
      </c>
      <c r="AS78" s="47" t="str">
        <f aca="false">IF(Tasks[[#This Row],[Task Name]]="","",IF(Tasks[[#This Row],[Start]]&gt;=Tasks[[#This Row],[Planned Start]],NETWORKDAYS.INTL(Tasks[[#This Row],[Planned Start]],Tasks[[#This Row],[Start]],WorkWeek,Holidays)-1,1-NETWORKDAYS.INTL(Tasks[[#This Row],[Start]],Tasks[[#This Row],[Planned Start]],WorkWeek,Holidays)))</f>
        <v/>
      </c>
      <c r="AT78" s="63" t="str">
        <f aca="false">IF(Tasks[[#This Row],[Task Name]]="","",IF(Tasks[[#This Row],[_IsSummary]],MIN(INDEX(Tasks[_LeafLateStart],Tasks[[#This Row],[_Row]]+1):INDEX(Tasks[_LeafLateStart],Tasks[[#This Row],[_Row]]+Tasks[[#This Row],[_Descendants]])),Tasks[[#This Row],[_LeafLateStart]]))</f>
        <v/>
      </c>
      <c r="AU78" s="63" t="str">
        <f aca="false">IF(Tasks[[#This Row],[Task Name]]="","",IF(Tasks[[#This Row],[_IsSummary]],MAX(INDEX(Tasks[_LeafLateFinish],Tasks[[#This Row],[_Row]]+1):INDEX(Tasks[_LeafLateFinish],Tasks[[#This Row],[_Row]]+Tasks[[#This Row],[_Descendants]])),Tasks[[#This Row],[_LeafLateFinish]]))</f>
        <v/>
      </c>
      <c r="AV78" s="47" t="str">
        <f aca="false">IF(Tasks[[#This Row],[Task Name]]="","",IF(Tasks[[#This Row],[_IsSummary]],MIN(INDEX(Tasks[_LeafTotalSlack],Tasks[[#This Row],[_Row]]+1):INDEX(Tasks[_LeafTotalSlack],Tasks[[#This Row],[_Row]]+Tasks[[#This Row],[_Descendants]])),Tasks[[#This Row],[_LeafTotalSlack]]))</f>
        <v/>
      </c>
      <c r="AW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5"/>
      <c r="BA7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t="str">
        <f aca="false">IF(Tasks[[#This Row],[Task Name]]="","",IF(Tasks[[#This Row],[_Level]]&lt;=OutlineShowLevel,"Yes","No"))</f>
        <v/>
      </c>
      <c r="BE78" s="86" t="str">
        <f aca="false">IF(Tasks[[#This Row],[Task Name]]="","",IF(Tasks[[#This Row],[_IsSummary]],SUM(INDEX(Tasks[_LeafTotalWork],Tasks[[#This Row],[_Row]]+1):INDEX(Tasks[_LeafTotalWork],Tasks[[#This Row],[_Row]]+Tasks[[#This Row],[_Descendants]])),Tasks[[#This Row],[_LeafTotalWork]]))</f>
        <v/>
      </c>
      <c r="BF78" s="23"/>
      <c r="BG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t="str">
        <f aca="false">""</f>
        <v/>
      </c>
      <c r="BI78" s="87"/>
      <c r="BJ78" s="22"/>
      <c r="BK78" s="47" t="str">
        <f aca="false">IF(OR(Tasks[[#This Row],[Task Name]]="",Tasks[[#This Row],[Baseline Duration]]=""),"",Tasks[[#This Row],[_SpanDays]]-N(Tasks[[#This Row],[Baseline Duration]]))</f>
        <v/>
      </c>
      <c r="BL78" s="86" t="str">
        <f aca="false">IF(OR(Tasks[[#This Row],[Task Name]]="",Tasks[[#This Row],[Baseline Work]]=""),"",Tasks[[#This Row],[Work]]-N(Tasks[[#This Row],[Baseline Work]]))</f>
        <v/>
      </c>
      <c r="BM78" s="63" t="str">
        <f aca="false">IF(Tasks[[#This Row],[Task Name]]="","",IF(OR(TakeBaseline="Yes",N(Tasks[[#This Row],[Baseline Start]])=0),Tasks[[#This Row],[Start]],Tasks[[#This Row],[Baseline Start]]))</f>
        <v/>
      </c>
      <c r="BN78" s="63" t="str">
        <f aca="false">IF(Tasks[[#This Row],[Task Name]]="","",IF(OR(TakeBaseline="Yes",N(Tasks[[#This Row],[Baseline Finish]])=0),Tasks[[#This Row],[Finish]],Tasks[[#This Row],[Baseline Finish]]))</f>
        <v/>
      </c>
      <c r="BO78" s="21" t="str">
        <f aca="false">IF(Tasks[[#This Row],[Task Name]]="","",IF(OR(TakeBaseline="Yes",N(Tasks[[#This Row],[Baseline Duration]])=0),Tasks[[#This Row],[_SpanDays]],Tasks[[#This Row],[Baseline Duration]]))</f>
        <v/>
      </c>
      <c r="BP78" s="86" t="str">
        <f aca="false">IF(Tasks[[#This Row],[Task Name]]="","",IF(OR(TakeBaseline="Yes",N(Tasks[[#This Row],[Baseline Work]])=0),Tasks[[#This Row],[Work]],Tasks[[#This Row],[Baseline Work]]))</f>
        <v/>
      </c>
      <c r="BQ78" s="7"/>
      <c r="BR78" s="7"/>
      <c r="BS78" s="22"/>
      <c r="BT78" s="88"/>
      <c r="BU78" s="23"/>
      <c r="BV78" s="23"/>
      <c r="BW78" s="23"/>
      <c r="BX78" s="89" t="str">
        <f aca="false">IF(AND(Tasks[[#This Row],[_IsLeaf]]=1,ISNUMBER(Tasks[[#This Row],[Optimistic]]),ISNUMBER(Tasks[[#This Row],[Pessimistic]])),ROUND((Tasks[[#This Row],[Optimistic]]+4*N(Tasks[[#This Row],[_Days]])+Tasks[[#This Row],[Pessimistic]])/6,1),"")</f>
        <v/>
      </c>
      <c r="BY78" s="87"/>
      <c r="BZ78" s="87"/>
      <c r="CA78" s="22"/>
      <c r="CB78" s="43" t="str">
        <f aca="false">IF(Tasks[[#This Row],[Task Name]]="","",MAX(1,N(Tasks[[#This Row],[Level]])))</f>
        <v/>
      </c>
      <c r="CC78" s="43" t="n">
        <f aca="false">ROW()-ROW(Tasks[[#Headers],[ID]])</f>
        <v>73</v>
      </c>
      <c r="CD78" s="43" t="n">
        <f aca="false">IF(OR(Tasks[[#This Row],[Task Name]]="",Tasks[[#This Row],[_Level]]&lt;=1),0,IFERROR(LOOKUP(2,1/(Tasks[[#Headers],[_Level]]:Tasks[[#This Row],[_Level]]=Tasks[[#This Row],[_Level]]-1),ROW(Tasks[[#Headers],[_Level]]:Tasks[[#This Row],[_Level]])),0))</f>
        <v>0</v>
      </c>
      <c r="CE78" s="43" t="n">
        <f aca="false">IFERROR(N(INDEX(Tasks[_Level],Tasks[[#This Row],[_Row]]+1)),0)</f>
        <v>0</v>
      </c>
      <c r="CF78" s="90" t="b">
        <f aca="false">AND(Tasks[[#This Row],[Task Name]]&lt;&gt;"",Tasks[[#This Row],[_NextLevel]]&gt;Tasks[[#This Row],[_Level]])</f>
        <v>0</v>
      </c>
      <c r="CG78" s="43" t="n">
        <f aca="false">IF(Tasks[[#This Row],[_IsSummary]],COUNTIF(Tasks[WBS],Tasks[[#This Row],[WBS]]&amp;".*"),0)</f>
        <v>0</v>
      </c>
      <c r="CH78" s="43" t="n">
        <f aca="false">IF(AND(Tasks[[#This Row],[Task Name]]&lt;&gt;"",NOT(Tasks[[#This Row],[_IsSummary]])),1,0)</f>
        <v>0</v>
      </c>
      <c r="CI78" s="43" t="n">
        <f aca="false">IF(N(Tasks[[#This Row],[_Pred1UID]])=0,0,IFERROR(MATCH(Tasks[[#This Row],[_Pred1UID]],Tasks[UID],0),-1))</f>
        <v>0</v>
      </c>
      <c r="CJ78" s="43" t="n">
        <f aca="false">IF(N(Tasks[[#This Row],[_Pred2UID]])=0,0,IFERROR(MATCH(Tasks[[#This Row],[_Pred2UID]],Tasks[UID],0),-1))</f>
        <v>0</v>
      </c>
      <c r="CK78" s="43" t="n">
        <f aca="false">IF(N(Tasks[[#This Row],[_Pred3UID]])=0,0,IFERROR(MATCH(Tasks[[#This Row],[_Pred3UID]],Tasks[UID],0),-1))</f>
        <v>0</v>
      </c>
      <c r="CL78" s="43" t="n">
        <f aca="false">IF(N(Tasks[[#This Row],[_Pred4UID]])=0,0,IFERROR(MATCH(Tasks[[#This Row],[_Pred4UID]],Tasks[UID],0),-1))</f>
        <v>0</v>
      </c>
      <c r="CM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8" s="91" t="n">
        <f aca="false">IF(OR(Tasks[[#This Row],[_ConstraintCode]]=2,Tasks[[#This Row],[_ConstraintCode]]=3,Tasks[[#This Row],[_ConstraintCode]]=4,Tasks[[#This Row],[_ConstraintCode]]=6),Tasks[[#This Row],[_ConstraintStart]],0)</f>
        <v>0</v>
      </c>
      <c r="CP78" s="91" t="n">
        <f aca="false">IF(OR(Tasks[[#This Row],[_ConstraintCode]]=2,Tasks[[#This Row],[_ConstraintCode]]=3,Tasks[[#This Row],[_ConstraintCode]]=5,Tasks[[#This Row],[_ConstraintCode]]=7),Tasks[[#This Row],[_ConstraintStart]],2958465)</f>
        <v>2958465</v>
      </c>
      <c r="CQ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8" s="91" t="str">
        <f aca="false">IF(NOT(Tasks[[#This Row],[_IsLeaf]]=1),"",IF(N(Tasks[[#This Row],[_Days]])&lt;=0,Tasks[[#This Row],[_LeafCalcStart]],WORKDAY.INTL(Tasks[[#This Row],[_LeafCalcStart]],Tasks[[#This Row],[_Days]]-1,WorkWeek,Holidays)))</f>
        <v/>
      </c>
      <c r="CS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8" s="43" t="str">
        <f aca="false">IF(Tasks[[#This Row],[_Predecessors]]="","",TRIM(MID(SUBSTITUTE(SUBSTITUTE(SUBSTITUTE(UPPER(Tasks[[#This Row],[_Predecessors]]),";",",")," ",""),",",REPT(" ",99)),1,99)))</f>
        <v/>
      </c>
      <c r="CV78" s="43" t="str">
        <f aca="false">IF(Tasks[[#This Row],[_Pred1Text]]="","",IFERROR(VALUE(LEFT(Tasks[[#This Row],[_Pred1Text]],MIN(FIND("F",Tasks[[#This Row],[_Pred1Text]]&amp;"F"),FIND("S",Tasks[[#This Row],[_Pred1Text]]&amp;"S"),FIND("+",Tasks[[#This Row],[_Pred1Text]]&amp;"+"),FIND("-",Tasks[[#This Row],[_Pred1Text]]&amp;"-"))-1)),""))</f>
        <v/>
      </c>
      <c r="CW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8" s="43" t="str">
        <f aca="false">IF(Tasks[[#This Row],[_Pred1Text]]="","",TRIM(MID(SUBSTITUTE(SUBSTITUTE(SUBSTITUTE(UPPER(Tasks[[#This Row],[_Predecessors]]),";",",")," ",""),",",REPT(" ",99)),100,99)))</f>
        <v/>
      </c>
      <c r="CZ78" s="43" t="str">
        <f aca="false">IF(Tasks[[#This Row],[_Pred2Text]]="","",IFERROR(VALUE(LEFT(Tasks[[#This Row],[_Pred2Text]],MIN(FIND("F",Tasks[[#This Row],[_Pred2Text]]&amp;"F"),FIND("S",Tasks[[#This Row],[_Pred2Text]]&amp;"S"),FIND("+",Tasks[[#This Row],[_Pred2Text]]&amp;"+"),FIND("-",Tasks[[#This Row],[_Pred2Text]]&amp;"-"))-1)),""))</f>
        <v/>
      </c>
      <c r="DA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8" s="43" t="str">
        <f aca="false">IF(Tasks[[#This Row],[_Pred2Text]]="","",TRIM(MID(SUBSTITUTE(SUBSTITUTE(SUBSTITUTE(UPPER(Tasks[[#This Row],[_Predecessors]]),";",",")," ",""),",",REPT(" ",99)),199,99)))</f>
        <v/>
      </c>
      <c r="DD78" s="43" t="str">
        <f aca="false">IF(Tasks[[#This Row],[_Pred3Text]]="","",IFERROR(VALUE(LEFT(Tasks[[#This Row],[_Pred3Text]],MIN(FIND("F",Tasks[[#This Row],[_Pred3Text]]&amp;"F"),FIND("S",Tasks[[#This Row],[_Pred3Text]]&amp;"S"),FIND("+",Tasks[[#This Row],[_Pred3Text]]&amp;"+"),FIND("-",Tasks[[#This Row],[_Pred3Text]]&amp;"-"))-1)),""))</f>
        <v/>
      </c>
      <c r="DE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8" s="43" t="str">
        <f aca="false">IF(Tasks[[#This Row],[_Pred3Text]]="","",TRIM(MID(SUBSTITUTE(SUBSTITUTE(SUBSTITUTE(UPPER(Tasks[[#This Row],[_Predecessors]]),";",",")," ",""),",",REPT(" ",99)),298,99)))</f>
        <v/>
      </c>
      <c r="DH78" s="43" t="str">
        <f aca="false">IF(Tasks[[#This Row],[_Pred4Text]]="","",IFERROR(VALUE(LEFT(Tasks[[#This Row],[_Pred4Text]],MIN(FIND("F",Tasks[[#This Row],[_Pred4Text]]&amp;"F"),FIND("S",Tasks[[#This Row],[_Pred4Text]]&amp;"S"),FIND("+",Tasks[[#This Row],[_Pred4Text]]&amp;"+"),FIND("-",Tasks[[#This Row],[_Pred4Text]]&amp;"-"))-1)),""))</f>
        <v/>
      </c>
      <c r="DI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8" s="43" t="str">
        <f aca="false">IF(OR(Tasks[[#This Row],[Task Name]]="",Tasks[[#This Row],[_Resources]]=""),"",TRIM(MID(SUBSTITUTE(Tasks[[#This Row],[_Resources]],",",REPT(" ",99)),1,99)))</f>
        <v/>
      </c>
      <c r="DL78" s="43" t="str">
        <f aca="false">IF(Tasks[[#This Row],[_Res1Text]]="","",TRIM(MID(SUBSTITUTE(Tasks[[#This Row],[_Resources]],",",REPT(" ",99)),100,99)))</f>
        <v/>
      </c>
      <c r="DM78" s="43" t="str">
        <f aca="false">IF(Tasks[[#This Row],[_Res2Text]]="","",TRIM(MID(SUBSTITUTE(Tasks[[#This Row],[_Resources]],",",REPT(" ",99)),199,99)))</f>
        <v/>
      </c>
      <c r="DN78" s="43" t="str">
        <f aca="false">IF(Tasks[[#This Row],[_Res3Text]]="","",TRIM(MID(SUBSTITUTE(Tasks[[#This Row],[_Resources]],",",REPT(" ",99)),298,99)))</f>
        <v/>
      </c>
      <c r="DO78" s="43" t="n">
        <f aca="false">IF(Tasks[[#This Row],[_Res1Text]]="",0,IFERROR(MATCH(TRIM(LEFT(Tasks[[#This Row],[_Res1Text]],FIND("[",Tasks[[#This Row],[_Res1Text]]&amp;"[")-1)),res_Name,0),IFERROR(MATCH(TRIM(LEFT(Tasks[[#This Row],[_Res1Text]],FIND("[",Tasks[[#This Row],[_Res1Text]]&amp;"[")-1)),res_Initials,0),0)))</f>
        <v>0</v>
      </c>
      <c r="DP78" s="43" t="n">
        <f aca="false">IF(Tasks[[#This Row],[_Res2Text]]="",0,IFERROR(MATCH(TRIM(LEFT(Tasks[[#This Row],[_Res2Text]],FIND("[",Tasks[[#This Row],[_Res2Text]]&amp;"[")-1)),res_Name,0),IFERROR(MATCH(TRIM(LEFT(Tasks[[#This Row],[_Res2Text]],FIND("[",Tasks[[#This Row],[_Res2Text]]&amp;"[")-1)),res_Initials,0),0)))</f>
        <v>0</v>
      </c>
      <c r="DQ78" s="43" t="n">
        <f aca="false">IF(Tasks[[#This Row],[_Res3Text]]="",0,IFERROR(MATCH(TRIM(LEFT(Tasks[[#This Row],[_Res3Text]],FIND("[",Tasks[[#This Row],[_Res3Text]]&amp;"[")-1)),res_Name,0),IFERROR(MATCH(TRIM(LEFT(Tasks[[#This Row],[_Res3Text]],FIND("[",Tasks[[#This Row],[_Res3Text]]&amp;"[")-1)),res_Initials,0),0)))</f>
        <v>0</v>
      </c>
      <c r="DR78" s="43" t="n">
        <f aca="false">IF(Tasks[[#This Row],[_Res4Text]]="",0,IFERROR(MATCH(TRIM(LEFT(Tasks[[#This Row],[_Res4Text]],FIND("[",Tasks[[#This Row],[_Res4Text]]&amp;"[")-1)),res_Name,0),IFERROR(MATCH(TRIM(LEFT(Tasks[[#This Row],[_Res4Text]],FIND("[",Tasks[[#This Row],[_Res4Text]]&amp;"[")-1)),res_Initials,0),0)))</f>
        <v>0</v>
      </c>
      <c r="DS78" s="43" t="str">
        <f aca="false">IF(Tasks[[#This Row],[_Res1Text]]="","",IF(Tasks[[#This Row],[_Res1Row]]&gt;0,INDEX(res_Name,Tasks[[#This Row],[_Res1Row]]),TRIM(LEFT(Tasks[[#This Row],[_Res1Text]],FIND("[",Tasks[[#This Row],[_Res1Text]]&amp;"[")-1))))</f>
        <v/>
      </c>
      <c r="DT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8" s="43" t="n">
        <f aca="false">IF(NOT(Tasks[[#This Row],[_IsLeaf]]=1),0,(Tasks[[#This Row],[_Resource1]]&lt;&gt;"")+(Tasks[[#This Row],[_Res2]]&lt;&gt;"")+(Tasks[[#This Row],[_Res3]]&lt;&gt;"")+(Tasks[[#This Row],[_Res4]]&lt;&gt;""))</f>
        <v>0</v>
      </c>
      <c r="DV78" s="43" t="str">
        <f aca="false">IF(Tasks[[#This Row],[_Res2Text]]="","",IF(Tasks[[#This Row],[_Res2Row]]&gt;0,INDEX(res_Name,Tasks[[#This Row],[_Res2Row]]),TRIM(LEFT(Tasks[[#This Row],[_Res2Text]],FIND("[",Tasks[[#This Row],[_Res2Text]]&amp;"[")-1))))</f>
        <v/>
      </c>
      <c r="DW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8" s="43" t="n">
        <f aca="false">IF(OR(NOT(Tasks[[#This Row],[_IsLeaf]]=1),Tasks[[#This Row],[_Res2Row]]=0),0,N(Tasks[[#This Row],[_Days]])*HoursPerDay*IF(Tasks[[#This Row],[_Res2Units]]="",DefaultUnits,Tasks[[#This Row],[_Res2Units]]))</f>
        <v>0</v>
      </c>
      <c r="DY78" s="43" t="n">
        <f aca="false">IF(AND(AND(Tasks[[#This Row],[_IsLeaf]]=1,Tasks[[#This Row],[_LeafTotalWork]]&gt;0),Tasks[[#This Row],[_Res2Work]]&gt;0),Tasks[[#This Row],[_Res2Work]]/(Tasks[[#This Row],[_FinishWorkday]]-Tasks[[#This Row],[_StartWorkday]]+1),0)</f>
        <v>0</v>
      </c>
      <c r="DZ78" s="43" t="n">
        <f aca="false">Tasks[[#This Row],[_Res2WorkPerWD]]*MAX(0,Tasks[[#This Row],[_StartWorkday]]-1)</f>
        <v>0</v>
      </c>
      <c r="EA78" s="43" t="n">
        <f aca="false">Tasks[[#This Row],[_Res2Work]]*Tasks[[#This Row],[_LeafProgress]]</f>
        <v>0</v>
      </c>
      <c r="EB78" s="43" t="str">
        <f aca="false">IF(Tasks[[#This Row],[_Res3Text]]="","",IF(Tasks[[#This Row],[_Res3Row]]&gt;0,INDEX(res_Name,Tasks[[#This Row],[_Res3Row]]),TRIM(LEFT(Tasks[[#This Row],[_Res3Text]],FIND("[",Tasks[[#This Row],[_Res3Text]]&amp;"[")-1))))</f>
        <v/>
      </c>
      <c r="EC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8" s="43" t="n">
        <f aca="false">IF(OR(NOT(Tasks[[#This Row],[_IsLeaf]]=1),Tasks[[#This Row],[_Res3Row]]=0),0,N(Tasks[[#This Row],[_Days]])*HoursPerDay*IF(Tasks[[#This Row],[_Res3Units]]="",DefaultUnits,Tasks[[#This Row],[_Res3Units]]))</f>
        <v>0</v>
      </c>
      <c r="EE78" s="43" t="n">
        <f aca="false">IF(AND(AND(Tasks[[#This Row],[_IsLeaf]]=1,Tasks[[#This Row],[_LeafTotalWork]]&gt;0),Tasks[[#This Row],[_Res3Work]]&gt;0),Tasks[[#This Row],[_Res3Work]]/(Tasks[[#This Row],[_FinishWorkday]]-Tasks[[#This Row],[_StartWorkday]]+1),0)</f>
        <v>0</v>
      </c>
      <c r="EF78" s="43" t="n">
        <f aca="false">Tasks[[#This Row],[_Res3WorkPerWD]]*MAX(0,Tasks[[#This Row],[_StartWorkday]]-1)</f>
        <v>0</v>
      </c>
      <c r="EG78" s="43" t="n">
        <f aca="false">Tasks[[#This Row],[_Res3Work]]*Tasks[[#This Row],[_LeafProgress]]</f>
        <v>0</v>
      </c>
      <c r="EH78" s="43" t="str">
        <f aca="false">IF(Tasks[[#This Row],[_Res4Text]]="","",IF(Tasks[[#This Row],[_Res4Row]]&gt;0,INDEX(res_Name,Tasks[[#This Row],[_Res4Row]]),TRIM(LEFT(Tasks[[#This Row],[_Res4Text]],FIND("[",Tasks[[#This Row],[_Res4Text]]&amp;"[")-1))))</f>
        <v/>
      </c>
      <c r="EI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8" s="43" t="n">
        <f aca="false">IF(OR(NOT(Tasks[[#This Row],[_IsLeaf]]=1),Tasks[[#This Row],[_Res4Row]]=0),0,N(Tasks[[#This Row],[_Days]])*HoursPerDay*IF(Tasks[[#This Row],[_Res4Units]]="",DefaultUnits,Tasks[[#This Row],[_Res4Units]]))</f>
        <v>0</v>
      </c>
      <c r="EK78" s="43" t="n">
        <f aca="false">IF(AND(AND(Tasks[[#This Row],[_IsLeaf]]=1,Tasks[[#This Row],[_LeafTotalWork]]&gt;0),Tasks[[#This Row],[_Res4Work]]&gt;0),Tasks[[#This Row],[_Res4Work]]/(Tasks[[#This Row],[_FinishWorkday]]-Tasks[[#This Row],[_StartWorkday]]+1),0)</f>
        <v>0</v>
      </c>
      <c r="EL78" s="43" t="n">
        <f aca="false">Tasks[[#This Row],[_Res4WorkPerWD]]*MAX(0,Tasks[[#This Row],[_StartWorkday]]-1)</f>
        <v>0</v>
      </c>
      <c r="EM78" s="43" t="n">
        <f aca="false">Tasks[[#This Row],[_Res4Work]]*Tasks[[#This Row],[_LeafProgress]]</f>
        <v>0</v>
      </c>
      <c r="EN78" s="43" t="n">
        <f aca="false">IF(ISNUMBER(Tasks[[#This Row],[% Complete]]),Tasks[[#This Row],[% Complete]],IF(Tasks[[#This Row],[Stage]]="",0,IFERROR(INDEX(stg_Pct,MATCH(Tasks[[#This Row],[Stage]],stg_Name,0)),0)))</f>
        <v>0</v>
      </c>
      <c r="EO78" s="43" t="n">
        <f aca="false">IF(NOT(Tasks[[#This Row],[_IsLeaf]]=1),0,IF(N(Tasks[[#This Row],[Actual Finish]])&gt;0,1,MIN(1,Tasks[[#This Row],[_Pct]])))</f>
        <v>0</v>
      </c>
      <c r="EP78" s="43" t="n">
        <f aca="false">IF(OR(NOT(Tasks[[#This Row],[_IsLeaf]]=1),Tasks[[#This Row],[_Res1Row]]=0),0,N(Tasks[[#This Row],[_Days]])*HoursPerDay*IF(Tasks[[#This Row],[_Units1]]="",DefaultUnits,Tasks[[#This Row],[_Units1]]))</f>
        <v>0</v>
      </c>
      <c r="EQ78" s="43" t="n">
        <f aca="false">Tasks[[#This Row],[_LeafWork]]+Tasks[[#This Row],[_Res2Work]]+Tasks[[#This Row],[_Res3Work]]+Tasks[[#This Row],[_Res4Work]]</f>
        <v>0</v>
      </c>
      <c r="ER7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8" s="43" t="n">
        <f aca="false">IF(NOT(Tasks[[#This Row],[_IsLeaf]]=1),0,MAX(_xlfn.MAXIFS(Tasks[_Row],Tasks[_Pred1UID],Tasks[[#This Row],[UID]]),_xlfn.MAXIFS(Tasks[_Row],Tasks[_Pred2UID],Tasks[[#This Row],[UID]]),_xlfn.MAXIFS(Tasks[_Row],Tasks[_Pred3UID],Tasks[[#This Row],[UID]]),_xlfn.MAXIFS(Tasks[_Row],Tasks[_Pred4UID],Tasks[[#This Row],[UID]])))</f>
        <v>0</v>
      </c>
      <c r="FA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8" s="91" t="str">
        <f aca="false">IF(NOT(Tasks[[#This Row],[_IsLeaf]]=1),"",IF(N(Tasks[[#This Row],[_Days]])&lt;=0,Tasks[[#This Row],[_LeafLateFinish]],WORKDAY.INTL(Tasks[[#This Row],[_LeafLateFinish]],-(Tasks[[#This Row],[_Days]]-1),WorkWeek,Holidays)))</f>
        <v/>
      </c>
      <c r="FD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8" s="90" t="b">
        <f aca="false">AND(Tasks[[#This Row],[_IsLeaf]]=1,Tasks[[#This Row],[_LeafProgress]]&lt;1,N(Tasks[[#This Row],[_LeafTotalSlack]])&lt;=CriticalSlackDays)</f>
        <v>0</v>
      </c>
      <c r="FF78" s="43" t="n">
        <f aca="false">IF(AND(Tasks[[#This Row],[_IsLeaf]]=1,Tasks[[#This Row],[_ConstraintCode]]=1,Tasks[[#This Row],[Mode]]&lt;&gt;"Manual",N(Tasks[[#This Row],[Actual Start]])=0),MAX(0,N(Tasks[[#This Row],[Free Slack]])),0)</f>
        <v>0</v>
      </c>
      <c r="FG78" s="91" t="str">
        <f aca="false">IF(NOT(Tasks[[#This Row],[_IsLeaf]]=1),"",IF(Tasks[[#This Row],[_AlapShift]]=0,Tasks[[#This Row],[_LeafCalcStart]],WORKDAY.INTL(Tasks[[#This Row],[_LeafCalcStart]],Tasks[[#This Row],[_AlapShift]],WorkWeek,Holidays)))</f>
        <v/>
      </c>
      <c r="FH78" s="91" t="str">
        <f aca="false">IF(NOT(Tasks[[#This Row],[_IsLeaf]]=1),"",IF(Tasks[[#This Row],[_AlapShift]]=0,Tasks[[#This Row],[_LeafCalcFinish]],WORKDAY.INTL(Tasks[[#This Row],[_LeafCalcFinish]],Tasks[[#This Row],[_AlapShift]],WorkWeek,Holidays)))</f>
        <v/>
      </c>
      <c r="FI78" s="91" t="str">
        <f aca="false">IF(NOT(Tasks[[#This Row],[_IsLeaf]]=1),"",IF(Tasks[[#This Row],[_AlapShift]]=0,Tasks[[#This Row],[_LeafFcstStart]],WORKDAY.INTL(Tasks[[#This Row],[_LeafFcstStart]],Tasks[[#This Row],[_AlapShift]],WorkWeek,Holidays)))</f>
        <v/>
      </c>
      <c r="FJ78" s="91" t="str">
        <f aca="false">IF(NOT(Tasks[[#This Row],[_IsLeaf]]=1),"",IF(Tasks[[#This Row],[_AlapShift]]=0,Tasks[[#This Row],[_LeafFcstFinish]],WORKDAY.INTL(Tasks[[#This Row],[_LeafFcstFinish]],Tasks[[#This Row],[_AlapShift]],WorkWeek,Holidays)))</f>
        <v/>
      </c>
      <c r="FK78" s="91" t="str">
        <f aca="false">IF(Tasks[[#This Row],[Task Name]]="","",IF(Tasks[[#This Row],[_IsSummary]],MIN(INDEX(Tasks[_ShownCalcStart],Tasks[[#This Row],[_Row]]+1):INDEX(Tasks[_ShownCalcStart],Tasks[[#This Row],[_Row]]+Tasks[[#This Row],[_Descendants]])),Tasks[[#This Row],[_ShownCalcStart]]))</f>
        <v/>
      </c>
      <c r="FL78" s="91" t="str">
        <f aca="false">IF(Tasks[[#This Row],[Task Name]]="","",IF(Tasks[[#This Row],[_IsSummary]],MAX(INDEX(Tasks[_ShownCalcFinish],Tasks[[#This Row],[_Row]]+1):INDEX(Tasks[_ShownCalcFinish],Tasks[[#This Row],[_Row]]+Tasks[[#This Row],[_Descendants]])),Tasks[[#This Row],[_ShownCalcFinish]]))</f>
        <v/>
      </c>
      <c r="FM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8" s="43" t="n">
        <f aca="false">IF(AND(Tasks[[#This Row],[_IsLeaf]]=1,Tasks[[#This Row],[_LeafTotalWork]]&gt;0),NETWORKDAYS.INTL(ProjectStart,Tasks[[#This Row],[_ShownFcstStart]],WorkWeek,Holidays),0)</f>
        <v>0</v>
      </c>
      <c r="FZ78" s="43" t="n">
        <f aca="false">IF(AND(Tasks[[#This Row],[_IsLeaf]]=1,Tasks[[#This Row],[_LeafTotalWork]]&gt;0),MAX(Tasks[[#This Row],[_StartWorkday]],NETWORKDAYS.INTL(ProjectStart,Tasks[[#This Row],[_ShownFcstFinish]],WorkWeek,Holidays)),0)</f>
        <v>0</v>
      </c>
      <c r="GA78" s="43" t="n">
        <f aca="false">IF(AND(Tasks[[#This Row],[_IsLeaf]]=1,Tasks[[#This Row],[_LeafTotalWork]]&gt;0),Tasks[[#This Row],[_LeafWork]]/(Tasks[[#This Row],[_FinishWorkday]]-Tasks[[#This Row],[_StartWorkday]]+1),0)</f>
        <v>0</v>
      </c>
      <c r="GB78" s="43" t="n">
        <f aca="false">Tasks[[#This Row],[_WorkPerWorkday]]*(Tasks[[#This Row],[_StartWorkday]]-1)</f>
        <v>-0</v>
      </c>
      <c r="GC78" s="43" t="n">
        <f aca="false">IF(Tasks[[#This Row],[_IsLeaf]]=1,MAX(N(Tasks[[#This Row],[_Days]]),0.1),0)</f>
        <v>0</v>
      </c>
      <c r="GD78" s="43" t="n">
        <f aca="false">Tasks[[#This Row],[_WeightDur]]*Tasks[[#This Row],[_LeafProgress]]</f>
        <v>0</v>
      </c>
      <c r="GE78" s="43" t="n">
        <f aca="false">Tasks[[#This Row],[_WeightDur]]*Tasks[[#This Row],[_PlannedPct]]</f>
        <v>0</v>
      </c>
      <c r="GF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8" s="43" t="str">
        <f aca="false">IF(AND(Tasks[[#This Row],[_IsLeaf]]=1,N(Tasks[[#This Row],[_Days]])=0,Tasks[[#This Row],[_LeafProgress]]&lt;1),Tasks[[#This Row],[_ShownFcstFinish]]+Tasks[[#This Row],[_Row]]/100000,"")</f>
        <v/>
      </c>
      <c r="GH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8" s="43" t="str">
        <f aca="false">IF(Tasks[[#This Row],[Task Name]]="","",LEFT(Tasks[[#This Row],[WBS]],FIND(".",Tasks[[#This Row],[WBS]]&amp;".")-1))</f>
        <v/>
      </c>
      <c r="GJ78" s="43" t="str">
        <f aca="false">IF(AND(Tasks[[#This Row],[Task Name]]&lt;&gt;"",Tasks[[#This Row],[_Level]]=1),Tasks[[#This Row],[_Row]],"")</f>
        <v/>
      </c>
      <c r="GK78" s="43" t="str">
        <f aca="false">IF(AND(Tasks[[#This Row],[_IsLeaf]]=1,N(Tasks[[#This Row],[_Days]])=0),Tasks[[#This Row],[Planned Finish]]+Tasks[[#This Row],[_Row]]/100000,"")</f>
        <v/>
      </c>
      <c r="GL78" s="43" t="str">
        <f aca="false">IF(AND(Tasks[[#This Row],[_IsLeaf]]=1,Tasks[[#This Row],[_LeafProgress]]&lt;1,OR(N(Tasks[[#This Row],[Finish Var]])&gt;0,Tasks[[#This Row],[Status]]="Late Start")),MAX(0,Tasks[[#This Row],[Finish Var]])+1-Tasks[[#This Row],[_Row]]/1000000,"")</f>
        <v/>
      </c>
      <c r="GM78" s="43" t="str">
        <f aca="false">IF(AND(Tasks[[#This Row],[_IsLeaf]]=1,N(Tasks[[#This Row],[Actual Start]])=0,Tasks[[#This Row],[_ShownFcstStart]]&gt;=StatusDate,Tasks[[#This Row],[_ShownFcstStart]]&lt;=LookaheadEnd),Tasks[[#This Row],[_ShownFcstStart]]+Tasks[[#This Row],[_Row]]/100000,"")</f>
        <v/>
      </c>
      <c r="GN78" s="43" t="str">
        <f aca="false">IF(AND(Tasks[[#This Row],[_IsLeaf]]=1,Tasks[[#This Row],[_LeafProgress]]&lt;1,Tasks[[#This Row],[_ShownFcstFinish]]&gt;=StatusDate,Tasks[[#This Row],[_ShownFcstFinish]]&lt;=LookaheadEnd),Tasks[[#This Row],[_ShownFcstFinish]]+Tasks[[#This Row],[_Row]]/100000,"")</f>
        <v/>
      </c>
      <c r="GO78" s="43" t="str">
        <f aca="false">IF(Tasks[[#This Row],[_LeafCritical]],Tasks[[#This Row],[_ShownFcstStart]]+Tasks[[#This Row],[_Row]]/100000,"")</f>
        <v/>
      </c>
      <c r="GP78" s="43" t="n">
        <f aca="false">Tasks[[#This Row],[_LeafWork]]*Tasks[[#This Row],[_LeafProgress]]</f>
        <v>0</v>
      </c>
      <c r="GQ78" s="91" t="str">
        <f aca="false">IF(AND(Tasks[[#This Row],[_IsLeaf]]=1,Tasks[[#This Row],[_LeafProgress]]&gt;=1),IF(N(Tasks[[#This Row],[Actual Finish]])&gt;0,Tasks[[#This Row],[Actual Finish]],Tasks[[#This Row],[_ShownFcstFinish]]),"")</f>
        <v/>
      </c>
      <c r="GR78" s="43" t="n">
        <f aca="false">IF(Tasks[[#This Row],[_IsLeaf]]=1,N(Tasks[[#This Row],[Story Points]]),0)</f>
        <v>0</v>
      </c>
      <c r="GS78" s="43" t="str">
        <f aca="false">""</f>
        <v/>
      </c>
      <c r="GT78" s="90" t="b">
        <f aca="false">IF(Tasks[[#This Row],[Task Name]]="",FALSE(),AND(Tasks[[#This Row],[_IsLeaf]]=1,N(Tasks[[#This Row],[_Days]])=0))</f>
        <v>0</v>
      </c>
      <c r="GU78" s="91" t="n">
        <f aca="false">IF(Tasks[[#This Row],[Task Name]]="",0,IF(AND(Tasks[[#This Row],[_IsLeaf]]=1,NOT(Tasks[[#This Row],[_IsMilestone]]),N(Tasks[[#This Row],[Progress]])&gt;0),Tasks[[#This Row],[Start]],0))</f>
        <v>0</v>
      </c>
      <c r="GV78" s="91" t="n">
        <f aca="false">IF(Tasks[[#This Row],[_DoneFrom]]=0,0,IF(Tasks[[#This Row],[Progress]]&gt;=1,Tasks[[#This Row],[Finish]],MAX(Tasks[[#This Row],[_DoneFrom]],Tasks[[#This Row],[Start]]+ROUND((Tasks[[#This Row],[Finish]]-Tasks[[#This Row],[Start]]+1)*Tasks[[#This Row],[Progress]],0)-1)))</f>
        <v>0</v>
      </c>
      <c r="GW78" s="91" t="n">
        <f aca="false">IF(Tasks[[#This Row],[Task Name]]="",0,IF(OR(NOT(Tasks[[#This Row],[_IsLeaf]]=1),Tasks[[#This Row],[_IsMilestone]],N(Tasks[[#This Row],[Progress]])&gt;=1),0,IF(Tasks[[#This Row],[_DoneTo]]&gt;0,Tasks[[#This Row],[_DoneTo]]+1,Tasks[[#This Row],[Start]])))</f>
        <v>0</v>
      </c>
      <c r="GX78" s="91" t="n">
        <f aca="false">IF(Tasks[[#This Row],[_RemFrom]]=0,0,Tasks[[#This Row],[Finish]])</f>
        <v>0</v>
      </c>
      <c r="GY78" s="90" t="b">
        <f aca="false">IF(Tasks[[#This Row],[Task Name]]="",FALSE(),OR(NOT(BaselineSet),N(Tasks[[#This Row],[Baseline Start]])&gt;0))</f>
        <v>0</v>
      </c>
      <c r="GZ7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8" s="92" t="str">
        <f aca="false">IF(Tasks[[#This Row],[_IsLeaf]]=1,Tasks[[#This Row],[_Row]],"")</f>
        <v/>
      </c>
      <c r="HD78" s="92" t="str">
        <f aca="false">IFERROR(INDEX(Tasks[UID],SMALL(Tasks[_PickKey],Tasks[[#This Row],[_Row]]))&amp;" "&amp;INDEX(Tasks[Task Name],SMALL(Tasks[_PickKey],Tasks[[#This Row],[_Row]])),"")</f>
        <v/>
      </c>
      <c r="HE78" s="43" t="str">
        <f aca="false">IF(Tasks[[#This Row],[Task Name]]="","",IF(Tasks[[#This Row],[_IsSummary]],NETWORKDAYS.INTL(Tasks[[#This Row],[Start]],Tasks[[#This Row],[Finish]],WorkWeek,Holidays),N(Tasks[[#This Row],[_Days]])))</f>
        <v/>
      </c>
      <c r="HF78" s="43" t="n">
        <f aca="false">IF(Tasks[[#This Row],[Expected]]="",0,((Tasks[[#This Row],[Pessimistic]]-Tasks[[#This Row],[Optimistic]])/6)^2)</f>
        <v>0</v>
      </c>
      <c r="HG78" s="43" t="n">
        <f aca="false">IF(Tasks[[#This Row],[Expected]]="",0,Tasks[[#This Row],[Expected]]-N(Tasks[[#This Row],[_Days]]))</f>
        <v>0</v>
      </c>
    </row>
    <row r="79" customFormat="false" ht="15" hidden="false" customHeight="false" outlineLevel="0" collapsed="false">
      <c r="A79" s="21" t="str">
        <f aca="false">IF(Tasks[[#This Row],[Task Name]]="","",COUNTA(Tasks[[#Headers],[Task Name]]:Tasks[[#This Row],[Task Name]])-1)</f>
        <v/>
      </c>
      <c r="B79" s="22" t="n">
        <v>87</v>
      </c>
      <c r="C79" s="22"/>
      <c r="D79" s="23"/>
      <c r="E79" s="22"/>
      <c r="F79" s="23"/>
      <c r="G79" s="22"/>
      <c r="H79" s="22"/>
      <c r="I79" s="23"/>
      <c r="J79" s="22"/>
      <c r="K79" s="22"/>
      <c r="L79" s="23"/>
      <c r="M79" s="22"/>
      <c r="N79" s="22"/>
      <c r="O79" s="23"/>
      <c r="P79" s="22"/>
      <c r="Q79" s="22"/>
      <c r="R79" s="23"/>
      <c r="S79" s="23"/>
      <c r="T79" s="84"/>
      <c r="U79" s="23"/>
      <c r="V79" s="84"/>
      <c r="W79" s="23"/>
      <c r="X79" s="84"/>
      <c r="Y79" s="23"/>
      <c r="Z79" s="84"/>
      <c r="AA79" s="23"/>
      <c r="AB79" s="23"/>
      <c r="AC79" s="7"/>
      <c r="AD79" s="7"/>
      <c r="AE79" s="63" t="str">
        <f aca="false">IF(Tasks[[#This Row],[Task Name]]="","",IF(Tasks[[#This Row],[_IsSummary]],MIN(INDEX(Tasks[_ShownFcstStart],Tasks[[#This Row],[_Row]]+1):INDEX(Tasks[_ShownFcstStart],Tasks[[#This Row],[_Row]]+Tasks[[#This Row],[_Descendants]])),Tasks[[#This Row],[_ShownFcstStart]]))</f>
        <v/>
      </c>
      <c r="AF79" s="63" t="str">
        <f aca="false">IF(Tasks[[#This Row],[Task Name]]="","",IF(Tasks[[#This Row],[_IsSummary]],MAX(INDEX(Tasks[_ShownFcstFinish],Tasks[[#This Row],[_Row]]+1):INDEX(Tasks[_ShownFcstFinish],Tasks[[#This Row],[_Row]]+Tasks[[#This Row],[_Descendants]])),Tasks[[#This Row],[_ShownFcstFinish]]))</f>
        <v/>
      </c>
      <c r="AG79" s="21" t="str">
        <f aca="false">""</f>
        <v/>
      </c>
      <c r="AH79" s="23"/>
      <c r="AI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9" s="7"/>
      <c r="AK79" s="22"/>
      <c r="AL79" s="23"/>
      <c r="AM79" s="7"/>
      <c r="AN79" s="47" t="str">
        <f aca="false">IF(Tasks[[#This Row],[Task Name]]="","",IF(Tasks[[#This Row],[Finish]]&gt;=Tasks[[#This Row],[Planned Finish]],NETWORKDAYS.INTL(Tasks[[#This Row],[Planned Finish]],Tasks[[#This Row],[Finish]],WorkWeek,Holidays)-1,1-NETWORKDAYS.INTL(Tasks[[#This Row],[Finish]],Tasks[[#This Row],[Planned Finish]],WorkWeek,Holidays)))</f>
        <v/>
      </c>
      <c r="AO79" s="21" t="str">
        <f aca="false">IF(Tasks[[#This Row],[Task Name]]="","",IF(Tasks[[#This Row],[Progress]]&gt;=1,"Complete",IF(OR(N(Tasks[[#This Row],[Actual Start]])&gt;0,Tasks[[#This Row],[Progress]]&gt;0),IF(Tasks[[#This Row],[Finish Var]]&gt;0,"Behind","In Progress"),IF(Tasks[[#This Row],[Planned Start]]&lt;StatusDate,"Late Start","Not Started"))))</f>
        <v/>
      </c>
      <c r="AP79" s="21" t="str">
        <f aca="false">IF(Tasks[[#This Row],[Task Name]]="","",IF(IF(Tasks[[#This Row],[_IsSummary]],COUNTIF(INDEX(Tasks[_LeafCritical],Tasks[[#This Row],[_Row]]+1):INDEX(Tasks[_LeafCritical],Tasks[[#This Row],[_Row]]+Tasks[[#This Row],[_Descendants]]),TRUE())&gt;0,Tasks[[#This Row],[_LeafCritical]]),"Yes",""))</f>
        <v/>
      </c>
      <c r="AQ79" s="63" t="str">
        <f aca="false">IF(Tasks[[#This Row],[Task Name]]="","",IF(N(Tasks[[#This Row],[Baseline Start]])&gt;0,Tasks[[#This Row],[Baseline Start]],Tasks[[#This Row],[_CalcStart]]))</f>
        <v/>
      </c>
      <c r="AR79" s="63" t="str">
        <f aca="false">IF(Tasks[[#This Row],[Task Name]]="","",IF(N(Tasks[[#This Row],[Baseline Finish]])&gt;0,Tasks[[#This Row],[Baseline Finish]],Tasks[[#This Row],[_CalcFinish]]))</f>
        <v/>
      </c>
      <c r="AS79" s="47" t="str">
        <f aca="false">IF(Tasks[[#This Row],[Task Name]]="","",IF(Tasks[[#This Row],[Start]]&gt;=Tasks[[#This Row],[Planned Start]],NETWORKDAYS.INTL(Tasks[[#This Row],[Planned Start]],Tasks[[#This Row],[Start]],WorkWeek,Holidays)-1,1-NETWORKDAYS.INTL(Tasks[[#This Row],[Start]],Tasks[[#This Row],[Planned Start]],WorkWeek,Holidays)))</f>
        <v/>
      </c>
      <c r="AT79" s="63" t="str">
        <f aca="false">IF(Tasks[[#This Row],[Task Name]]="","",IF(Tasks[[#This Row],[_IsSummary]],MIN(INDEX(Tasks[_LeafLateStart],Tasks[[#This Row],[_Row]]+1):INDEX(Tasks[_LeafLateStart],Tasks[[#This Row],[_Row]]+Tasks[[#This Row],[_Descendants]])),Tasks[[#This Row],[_LeafLateStart]]))</f>
        <v/>
      </c>
      <c r="AU79" s="63" t="str">
        <f aca="false">IF(Tasks[[#This Row],[Task Name]]="","",IF(Tasks[[#This Row],[_IsSummary]],MAX(INDEX(Tasks[_LeafLateFinish],Tasks[[#This Row],[_Row]]+1):INDEX(Tasks[_LeafLateFinish],Tasks[[#This Row],[_Row]]+Tasks[[#This Row],[_Descendants]])),Tasks[[#This Row],[_LeafLateFinish]]))</f>
        <v/>
      </c>
      <c r="AV79" s="47" t="str">
        <f aca="false">IF(Tasks[[#This Row],[Task Name]]="","",IF(Tasks[[#This Row],[_IsSummary]],MIN(INDEX(Tasks[_LeafTotalSlack],Tasks[[#This Row],[_Row]]+1):INDEX(Tasks[_LeafTotalSlack],Tasks[[#This Row],[_Row]]+Tasks[[#This Row],[_Descendants]])),Tasks[[#This Row],[_LeafTotalSlack]]))</f>
        <v/>
      </c>
      <c r="AW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5"/>
      <c r="BA7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t="str">
        <f aca="false">IF(Tasks[[#This Row],[Task Name]]="","",IF(Tasks[[#This Row],[_Level]]&lt;=OutlineShowLevel,"Yes","No"))</f>
        <v/>
      </c>
      <c r="BE79" s="86" t="str">
        <f aca="false">IF(Tasks[[#This Row],[Task Name]]="","",IF(Tasks[[#This Row],[_IsSummary]],SUM(INDEX(Tasks[_LeafTotalWork],Tasks[[#This Row],[_Row]]+1):INDEX(Tasks[_LeafTotalWork],Tasks[[#This Row],[_Row]]+Tasks[[#This Row],[_Descendants]])),Tasks[[#This Row],[_LeafTotalWork]]))</f>
        <v/>
      </c>
      <c r="BF79" s="23"/>
      <c r="BG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t="str">
        <f aca="false">""</f>
        <v/>
      </c>
      <c r="BI79" s="87"/>
      <c r="BJ79" s="22"/>
      <c r="BK79" s="47" t="str">
        <f aca="false">IF(OR(Tasks[[#This Row],[Task Name]]="",Tasks[[#This Row],[Baseline Duration]]=""),"",Tasks[[#This Row],[_SpanDays]]-N(Tasks[[#This Row],[Baseline Duration]]))</f>
        <v/>
      </c>
      <c r="BL79" s="86" t="str">
        <f aca="false">IF(OR(Tasks[[#This Row],[Task Name]]="",Tasks[[#This Row],[Baseline Work]]=""),"",Tasks[[#This Row],[Work]]-N(Tasks[[#This Row],[Baseline Work]]))</f>
        <v/>
      </c>
      <c r="BM79" s="63" t="str">
        <f aca="false">IF(Tasks[[#This Row],[Task Name]]="","",IF(OR(TakeBaseline="Yes",N(Tasks[[#This Row],[Baseline Start]])=0),Tasks[[#This Row],[Start]],Tasks[[#This Row],[Baseline Start]]))</f>
        <v/>
      </c>
      <c r="BN79" s="63" t="str">
        <f aca="false">IF(Tasks[[#This Row],[Task Name]]="","",IF(OR(TakeBaseline="Yes",N(Tasks[[#This Row],[Baseline Finish]])=0),Tasks[[#This Row],[Finish]],Tasks[[#This Row],[Baseline Finish]]))</f>
        <v/>
      </c>
      <c r="BO79" s="21" t="str">
        <f aca="false">IF(Tasks[[#This Row],[Task Name]]="","",IF(OR(TakeBaseline="Yes",N(Tasks[[#This Row],[Baseline Duration]])=0),Tasks[[#This Row],[_SpanDays]],Tasks[[#This Row],[Baseline Duration]]))</f>
        <v/>
      </c>
      <c r="BP79" s="86" t="str">
        <f aca="false">IF(Tasks[[#This Row],[Task Name]]="","",IF(OR(TakeBaseline="Yes",N(Tasks[[#This Row],[Baseline Work]])=0),Tasks[[#This Row],[Work]],Tasks[[#This Row],[Baseline Work]]))</f>
        <v/>
      </c>
      <c r="BQ79" s="7"/>
      <c r="BR79" s="7"/>
      <c r="BS79" s="22"/>
      <c r="BT79" s="88"/>
      <c r="BU79" s="23"/>
      <c r="BV79" s="23"/>
      <c r="BW79" s="23"/>
      <c r="BX79" s="89" t="str">
        <f aca="false">IF(AND(Tasks[[#This Row],[_IsLeaf]]=1,ISNUMBER(Tasks[[#This Row],[Optimistic]]),ISNUMBER(Tasks[[#This Row],[Pessimistic]])),ROUND((Tasks[[#This Row],[Optimistic]]+4*N(Tasks[[#This Row],[_Days]])+Tasks[[#This Row],[Pessimistic]])/6,1),"")</f>
        <v/>
      </c>
      <c r="BY79" s="87"/>
      <c r="BZ79" s="87"/>
      <c r="CA79" s="22"/>
      <c r="CB79" s="43" t="str">
        <f aca="false">IF(Tasks[[#This Row],[Task Name]]="","",MAX(1,N(Tasks[[#This Row],[Level]])))</f>
        <v/>
      </c>
      <c r="CC79" s="43" t="n">
        <f aca="false">ROW()-ROW(Tasks[[#Headers],[ID]])</f>
        <v>74</v>
      </c>
      <c r="CD79" s="43" t="n">
        <f aca="false">IF(OR(Tasks[[#This Row],[Task Name]]="",Tasks[[#This Row],[_Level]]&lt;=1),0,IFERROR(LOOKUP(2,1/(Tasks[[#Headers],[_Level]]:Tasks[[#This Row],[_Level]]=Tasks[[#This Row],[_Level]]-1),ROW(Tasks[[#Headers],[_Level]]:Tasks[[#This Row],[_Level]])),0))</f>
        <v>0</v>
      </c>
      <c r="CE79" s="43" t="n">
        <f aca="false">IFERROR(N(INDEX(Tasks[_Level],Tasks[[#This Row],[_Row]]+1)),0)</f>
        <v>0</v>
      </c>
      <c r="CF79" s="90" t="b">
        <f aca="false">AND(Tasks[[#This Row],[Task Name]]&lt;&gt;"",Tasks[[#This Row],[_NextLevel]]&gt;Tasks[[#This Row],[_Level]])</f>
        <v>0</v>
      </c>
      <c r="CG79" s="43" t="n">
        <f aca="false">IF(Tasks[[#This Row],[_IsSummary]],COUNTIF(Tasks[WBS],Tasks[[#This Row],[WBS]]&amp;".*"),0)</f>
        <v>0</v>
      </c>
      <c r="CH79" s="43" t="n">
        <f aca="false">IF(AND(Tasks[[#This Row],[Task Name]]&lt;&gt;"",NOT(Tasks[[#This Row],[_IsSummary]])),1,0)</f>
        <v>0</v>
      </c>
      <c r="CI79" s="43" t="n">
        <f aca="false">IF(N(Tasks[[#This Row],[_Pred1UID]])=0,0,IFERROR(MATCH(Tasks[[#This Row],[_Pred1UID]],Tasks[UID],0),-1))</f>
        <v>0</v>
      </c>
      <c r="CJ79" s="43" t="n">
        <f aca="false">IF(N(Tasks[[#This Row],[_Pred2UID]])=0,0,IFERROR(MATCH(Tasks[[#This Row],[_Pred2UID]],Tasks[UID],0),-1))</f>
        <v>0</v>
      </c>
      <c r="CK79" s="43" t="n">
        <f aca="false">IF(N(Tasks[[#This Row],[_Pred3UID]])=0,0,IFERROR(MATCH(Tasks[[#This Row],[_Pred3UID]],Tasks[UID],0),-1))</f>
        <v>0</v>
      </c>
      <c r="CL79" s="43" t="n">
        <f aca="false">IF(N(Tasks[[#This Row],[_Pred4UID]])=0,0,IFERROR(MATCH(Tasks[[#This Row],[_Pred4UID]],Tasks[UID],0),-1))</f>
        <v>0</v>
      </c>
      <c r="CM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9" s="91" t="n">
        <f aca="false">IF(OR(Tasks[[#This Row],[_ConstraintCode]]=2,Tasks[[#This Row],[_ConstraintCode]]=3,Tasks[[#This Row],[_ConstraintCode]]=4,Tasks[[#This Row],[_ConstraintCode]]=6),Tasks[[#This Row],[_ConstraintStart]],0)</f>
        <v>0</v>
      </c>
      <c r="CP79" s="91" t="n">
        <f aca="false">IF(OR(Tasks[[#This Row],[_ConstraintCode]]=2,Tasks[[#This Row],[_ConstraintCode]]=3,Tasks[[#This Row],[_ConstraintCode]]=5,Tasks[[#This Row],[_ConstraintCode]]=7),Tasks[[#This Row],[_ConstraintStart]],2958465)</f>
        <v>2958465</v>
      </c>
      <c r="CQ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9" s="91" t="str">
        <f aca="false">IF(NOT(Tasks[[#This Row],[_IsLeaf]]=1),"",IF(N(Tasks[[#This Row],[_Days]])&lt;=0,Tasks[[#This Row],[_LeafCalcStart]],WORKDAY.INTL(Tasks[[#This Row],[_LeafCalcStart]],Tasks[[#This Row],[_Days]]-1,WorkWeek,Holidays)))</f>
        <v/>
      </c>
      <c r="CS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9" s="43" t="str">
        <f aca="false">IF(Tasks[[#This Row],[_Predecessors]]="","",TRIM(MID(SUBSTITUTE(SUBSTITUTE(SUBSTITUTE(UPPER(Tasks[[#This Row],[_Predecessors]]),";",",")," ",""),",",REPT(" ",99)),1,99)))</f>
        <v/>
      </c>
      <c r="CV79" s="43" t="str">
        <f aca="false">IF(Tasks[[#This Row],[_Pred1Text]]="","",IFERROR(VALUE(LEFT(Tasks[[#This Row],[_Pred1Text]],MIN(FIND("F",Tasks[[#This Row],[_Pred1Text]]&amp;"F"),FIND("S",Tasks[[#This Row],[_Pred1Text]]&amp;"S"),FIND("+",Tasks[[#This Row],[_Pred1Text]]&amp;"+"),FIND("-",Tasks[[#This Row],[_Pred1Text]]&amp;"-"))-1)),""))</f>
        <v/>
      </c>
      <c r="CW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9" s="43" t="str">
        <f aca="false">IF(Tasks[[#This Row],[_Pred1Text]]="","",TRIM(MID(SUBSTITUTE(SUBSTITUTE(SUBSTITUTE(UPPER(Tasks[[#This Row],[_Predecessors]]),";",",")," ",""),",",REPT(" ",99)),100,99)))</f>
        <v/>
      </c>
      <c r="CZ79" s="43" t="str">
        <f aca="false">IF(Tasks[[#This Row],[_Pred2Text]]="","",IFERROR(VALUE(LEFT(Tasks[[#This Row],[_Pred2Text]],MIN(FIND("F",Tasks[[#This Row],[_Pred2Text]]&amp;"F"),FIND("S",Tasks[[#This Row],[_Pred2Text]]&amp;"S"),FIND("+",Tasks[[#This Row],[_Pred2Text]]&amp;"+"),FIND("-",Tasks[[#This Row],[_Pred2Text]]&amp;"-"))-1)),""))</f>
        <v/>
      </c>
      <c r="DA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9" s="43" t="str">
        <f aca="false">IF(Tasks[[#This Row],[_Pred2Text]]="","",TRIM(MID(SUBSTITUTE(SUBSTITUTE(SUBSTITUTE(UPPER(Tasks[[#This Row],[_Predecessors]]),";",",")," ",""),",",REPT(" ",99)),199,99)))</f>
        <v/>
      </c>
      <c r="DD79" s="43" t="str">
        <f aca="false">IF(Tasks[[#This Row],[_Pred3Text]]="","",IFERROR(VALUE(LEFT(Tasks[[#This Row],[_Pred3Text]],MIN(FIND("F",Tasks[[#This Row],[_Pred3Text]]&amp;"F"),FIND("S",Tasks[[#This Row],[_Pred3Text]]&amp;"S"),FIND("+",Tasks[[#This Row],[_Pred3Text]]&amp;"+"),FIND("-",Tasks[[#This Row],[_Pred3Text]]&amp;"-"))-1)),""))</f>
        <v/>
      </c>
      <c r="DE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9" s="43" t="str">
        <f aca="false">IF(Tasks[[#This Row],[_Pred3Text]]="","",TRIM(MID(SUBSTITUTE(SUBSTITUTE(SUBSTITUTE(UPPER(Tasks[[#This Row],[_Predecessors]]),";",",")," ",""),",",REPT(" ",99)),298,99)))</f>
        <v/>
      </c>
      <c r="DH79" s="43" t="str">
        <f aca="false">IF(Tasks[[#This Row],[_Pred4Text]]="","",IFERROR(VALUE(LEFT(Tasks[[#This Row],[_Pred4Text]],MIN(FIND("F",Tasks[[#This Row],[_Pred4Text]]&amp;"F"),FIND("S",Tasks[[#This Row],[_Pred4Text]]&amp;"S"),FIND("+",Tasks[[#This Row],[_Pred4Text]]&amp;"+"),FIND("-",Tasks[[#This Row],[_Pred4Text]]&amp;"-"))-1)),""))</f>
        <v/>
      </c>
      <c r="DI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9" s="43" t="str">
        <f aca="false">IF(OR(Tasks[[#This Row],[Task Name]]="",Tasks[[#This Row],[_Resources]]=""),"",TRIM(MID(SUBSTITUTE(Tasks[[#This Row],[_Resources]],",",REPT(" ",99)),1,99)))</f>
        <v/>
      </c>
      <c r="DL79" s="43" t="str">
        <f aca="false">IF(Tasks[[#This Row],[_Res1Text]]="","",TRIM(MID(SUBSTITUTE(Tasks[[#This Row],[_Resources]],",",REPT(" ",99)),100,99)))</f>
        <v/>
      </c>
      <c r="DM79" s="43" t="str">
        <f aca="false">IF(Tasks[[#This Row],[_Res2Text]]="","",TRIM(MID(SUBSTITUTE(Tasks[[#This Row],[_Resources]],",",REPT(" ",99)),199,99)))</f>
        <v/>
      </c>
      <c r="DN79" s="43" t="str">
        <f aca="false">IF(Tasks[[#This Row],[_Res3Text]]="","",TRIM(MID(SUBSTITUTE(Tasks[[#This Row],[_Resources]],",",REPT(" ",99)),298,99)))</f>
        <v/>
      </c>
      <c r="DO79" s="43" t="n">
        <f aca="false">IF(Tasks[[#This Row],[_Res1Text]]="",0,IFERROR(MATCH(TRIM(LEFT(Tasks[[#This Row],[_Res1Text]],FIND("[",Tasks[[#This Row],[_Res1Text]]&amp;"[")-1)),res_Name,0),IFERROR(MATCH(TRIM(LEFT(Tasks[[#This Row],[_Res1Text]],FIND("[",Tasks[[#This Row],[_Res1Text]]&amp;"[")-1)),res_Initials,0),0)))</f>
        <v>0</v>
      </c>
      <c r="DP79" s="43" t="n">
        <f aca="false">IF(Tasks[[#This Row],[_Res2Text]]="",0,IFERROR(MATCH(TRIM(LEFT(Tasks[[#This Row],[_Res2Text]],FIND("[",Tasks[[#This Row],[_Res2Text]]&amp;"[")-1)),res_Name,0),IFERROR(MATCH(TRIM(LEFT(Tasks[[#This Row],[_Res2Text]],FIND("[",Tasks[[#This Row],[_Res2Text]]&amp;"[")-1)),res_Initials,0),0)))</f>
        <v>0</v>
      </c>
      <c r="DQ79" s="43" t="n">
        <f aca="false">IF(Tasks[[#This Row],[_Res3Text]]="",0,IFERROR(MATCH(TRIM(LEFT(Tasks[[#This Row],[_Res3Text]],FIND("[",Tasks[[#This Row],[_Res3Text]]&amp;"[")-1)),res_Name,0),IFERROR(MATCH(TRIM(LEFT(Tasks[[#This Row],[_Res3Text]],FIND("[",Tasks[[#This Row],[_Res3Text]]&amp;"[")-1)),res_Initials,0),0)))</f>
        <v>0</v>
      </c>
      <c r="DR79" s="43" t="n">
        <f aca="false">IF(Tasks[[#This Row],[_Res4Text]]="",0,IFERROR(MATCH(TRIM(LEFT(Tasks[[#This Row],[_Res4Text]],FIND("[",Tasks[[#This Row],[_Res4Text]]&amp;"[")-1)),res_Name,0),IFERROR(MATCH(TRIM(LEFT(Tasks[[#This Row],[_Res4Text]],FIND("[",Tasks[[#This Row],[_Res4Text]]&amp;"[")-1)),res_Initials,0),0)))</f>
        <v>0</v>
      </c>
      <c r="DS79" s="43" t="str">
        <f aca="false">IF(Tasks[[#This Row],[_Res1Text]]="","",IF(Tasks[[#This Row],[_Res1Row]]&gt;0,INDEX(res_Name,Tasks[[#This Row],[_Res1Row]]),TRIM(LEFT(Tasks[[#This Row],[_Res1Text]],FIND("[",Tasks[[#This Row],[_Res1Text]]&amp;"[")-1))))</f>
        <v/>
      </c>
      <c r="DT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9" s="43" t="n">
        <f aca="false">IF(NOT(Tasks[[#This Row],[_IsLeaf]]=1),0,(Tasks[[#This Row],[_Resource1]]&lt;&gt;"")+(Tasks[[#This Row],[_Res2]]&lt;&gt;"")+(Tasks[[#This Row],[_Res3]]&lt;&gt;"")+(Tasks[[#This Row],[_Res4]]&lt;&gt;""))</f>
        <v>0</v>
      </c>
      <c r="DV79" s="43" t="str">
        <f aca="false">IF(Tasks[[#This Row],[_Res2Text]]="","",IF(Tasks[[#This Row],[_Res2Row]]&gt;0,INDEX(res_Name,Tasks[[#This Row],[_Res2Row]]),TRIM(LEFT(Tasks[[#This Row],[_Res2Text]],FIND("[",Tasks[[#This Row],[_Res2Text]]&amp;"[")-1))))</f>
        <v/>
      </c>
      <c r="DW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9" s="43" t="n">
        <f aca="false">IF(OR(NOT(Tasks[[#This Row],[_IsLeaf]]=1),Tasks[[#This Row],[_Res2Row]]=0),0,N(Tasks[[#This Row],[_Days]])*HoursPerDay*IF(Tasks[[#This Row],[_Res2Units]]="",DefaultUnits,Tasks[[#This Row],[_Res2Units]]))</f>
        <v>0</v>
      </c>
      <c r="DY79" s="43" t="n">
        <f aca="false">IF(AND(AND(Tasks[[#This Row],[_IsLeaf]]=1,Tasks[[#This Row],[_LeafTotalWork]]&gt;0),Tasks[[#This Row],[_Res2Work]]&gt;0),Tasks[[#This Row],[_Res2Work]]/(Tasks[[#This Row],[_FinishWorkday]]-Tasks[[#This Row],[_StartWorkday]]+1),0)</f>
        <v>0</v>
      </c>
      <c r="DZ79" s="43" t="n">
        <f aca="false">Tasks[[#This Row],[_Res2WorkPerWD]]*MAX(0,Tasks[[#This Row],[_StartWorkday]]-1)</f>
        <v>0</v>
      </c>
      <c r="EA79" s="43" t="n">
        <f aca="false">Tasks[[#This Row],[_Res2Work]]*Tasks[[#This Row],[_LeafProgress]]</f>
        <v>0</v>
      </c>
      <c r="EB79" s="43" t="str">
        <f aca="false">IF(Tasks[[#This Row],[_Res3Text]]="","",IF(Tasks[[#This Row],[_Res3Row]]&gt;0,INDEX(res_Name,Tasks[[#This Row],[_Res3Row]]),TRIM(LEFT(Tasks[[#This Row],[_Res3Text]],FIND("[",Tasks[[#This Row],[_Res3Text]]&amp;"[")-1))))</f>
        <v/>
      </c>
      <c r="EC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9" s="43" t="n">
        <f aca="false">IF(OR(NOT(Tasks[[#This Row],[_IsLeaf]]=1),Tasks[[#This Row],[_Res3Row]]=0),0,N(Tasks[[#This Row],[_Days]])*HoursPerDay*IF(Tasks[[#This Row],[_Res3Units]]="",DefaultUnits,Tasks[[#This Row],[_Res3Units]]))</f>
        <v>0</v>
      </c>
      <c r="EE79" s="43" t="n">
        <f aca="false">IF(AND(AND(Tasks[[#This Row],[_IsLeaf]]=1,Tasks[[#This Row],[_LeafTotalWork]]&gt;0),Tasks[[#This Row],[_Res3Work]]&gt;0),Tasks[[#This Row],[_Res3Work]]/(Tasks[[#This Row],[_FinishWorkday]]-Tasks[[#This Row],[_StartWorkday]]+1),0)</f>
        <v>0</v>
      </c>
      <c r="EF79" s="43" t="n">
        <f aca="false">Tasks[[#This Row],[_Res3WorkPerWD]]*MAX(0,Tasks[[#This Row],[_StartWorkday]]-1)</f>
        <v>0</v>
      </c>
      <c r="EG79" s="43" t="n">
        <f aca="false">Tasks[[#This Row],[_Res3Work]]*Tasks[[#This Row],[_LeafProgress]]</f>
        <v>0</v>
      </c>
      <c r="EH79" s="43" t="str">
        <f aca="false">IF(Tasks[[#This Row],[_Res4Text]]="","",IF(Tasks[[#This Row],[_Res4Row]]&gt;0,INDEX(res_Name,Tasks[[#This Row],[_Res4Row]]),TRIM(LEFT(Tasks[[#This Row],[_Res4Text]],FIND("[",Tasks[[#This Row],[_Res4Text]]&amp;"[")-1))))</f>
        <v/>
      </c>
      <c r="EI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9" s="43" t="n">
        <f aca="false">IF(OR(NOT(Tasks[[#This Row],[_IsLeaf]]=1),Tasks[[#This Row],[_Res4Row]]=0),0,N(Tasks[[#This Row],[_Days]])*HoursPerDay*IF(Tasks[[#This Row],[_Res4Units]]="",DefaultUnits,Tasks[[#This Row],[_Res4Units]]))</f>
        <v>0</v>
      </c>
      <c r="EK79" s="43" t="n">
        <f aca="false">IF(AND(AND(Tasks[[#This Row],[_IsLeaf]]=1,Tasks[[#This Row],[_LeafTotalWork]]&gt;0),Tasks[[#This Row],[_Res4Work]]&gt;0),Tasks[[#This Row],[_Res4Work]]/(Tasks[[#This Row],[_FinishWorkday]]-Tasks[[#This Row],[_StartWorkday]]+1),0)</f>
        <v>0</v>
      </c>
      <c r="EL79" s="43" t="n">
        <f aca="false">Tasks[[#This Row],[_Res4WorkPerWD]]*MAX(0,Tasks[[#This Row],[_StartWorkday]]-1)</f>
        <v>0</v>
      </c>
      <c r="EM79" s="43" t="n">
        <f aca="false">Tasks[[#This Row],[_Res4Work]]*Tasks[[#This Row],[_LeafProgress]]</f>
        <v>0</v>
      </c>
      <c r="EN79" s="43" t="n">
        <f aca="false">IF(ISNUMBER(Tasks[[#This Row],[% Complete]]),Tasks[[#This Row],[% Complete]],IF(Tasks[[#This Row],[Stage]]="",0,IFERROR(INDEX(stg_Pct,MATCH(Tasks[[#This Row],[Stage]],stg_Name,0)),0)))</f>
        <v>0</v>
      </c>
      <c r="EO79" s="43" t="n">
        <f aca="false">IF(NOT(Tasks[[#This Row],[_IsLeaf]]=1),0,IF(N(Tasks[[#This Row],[Actual Finish]])&gt;0,1,MIN(1,Tasks[[#This Row],[_Pct]])))</f>
        <v>0</v>
      </c>
      <c r="EP79" s="43" t="n">
        <f aca="false">IF(OR(NOT(Tasks[[#This Row],[_IsLeaf]]=1),Tasks[[#This Row],[_Res1Row]]=0),0,N(Tasks[[#This Row],[_Days]])*HoursPerDay*IF(Tasks[[#This Row],[_Units1]]="",DefaultUnits,Tasks[[#This Row],[_Units1]]))</f>
        <v>0</v>
      </c>
      <c r="EQ79" s="43" t="n">
        <f aca="false">Tasks[[#This Row],[_LeafWork]]+Tasks[[#This Row],[_Res2Work]]+Tasks[[#This Row],[_Res3Work]]+Tasks[[#This Row],[_Res4Work]]</f>
        <v>0</v>
      </c>
      <c r="ER7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9" s="43" t="n">
        <f aca="false">IF(NOT(Tasks[[#This Row],[_IsLeaf]]=1),0,MAX(_xlfn.MAXIFS(Tasks[_Row],Tasks[_Pred1UID],Tasks[[#This Row],[UID]]),_xlfn.MAXIFS(Tasks[_Row],Tasks[_Pred2UID],Tasks[[#This Row],[UID]]),_xlfn.MAXIFS(Tasks[_Row],Tasks[_Pred3UID],Tasks[[#This Row],[UID]]),_xlfn.MAXIFS(Tasks[_Row],Tasks[_Pred4UID],Tasks[[#This Row],[UID]])))</f>
        <v>0</v>
      </c>
      <c r="FA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9" s="91" t="str">
        <f aca="false">IF(NOT(Tasks[[#This Row],[_IsLeaf]]=1),"",IF(N(Tasks[[#This Row],[_Days]])&lt;=0,Tasks[[#This Row],[_LeafLateFinish]],WORKDAY.INTL(Tasks[[#This Row],[_LeafLateFinish]],-(Tasks[[#This Row],[_Days]]-1),WorkWeek,Holidays)))</f>
        <v/>
      </c>
      <c r="FD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9" s="90" t="b">
        <f aca="false">AND(Tasks[[#This Row],[_IsLeaf]]=1,Tasks[[#This Row],[_LeafProgress]]&lt;1,N(Tasks[[#This Row],[_LeafTotalSlack]])&lt;=CriticalSlackDays)</f>
        <v>0</v>
      </c>
      <c r="FF79" s="43" t="n">
        <f aca="false">IF(AND(Tasks[[#This Row],[_IsLeaf]]=1,Tasks[[#This Row],[_ConstraintCode]]=1,Tasks[[#This Row],[Mode]]&lt;&gt;"Manual",N(Tasks[[#This Row],[Actual Start]])=0),MAX(0,N(Tasks[[#This Row],[Free Slack]])),0)</f>
        <v>0</v>
      </c>
      <c r="FG79" s="91" t="str">
        <f aca="false">IF(NOT(Tasks[[#This Row],[_IsLeaf]]=1),"",IF(Tasks[[#This Row],[_AlapShift]]=0,Tasks[[#This Row],[_LeafCalcStart]],WORKDAY.INTL(Tasks[[#This Row],[_LeafCalcStart]],Tasks[[#This Row],[_AlapShift]],WorkWeek,Holidays)))</f>
        <v/>
      </c>
      <c r="FH79" s="91" t="str">
        <f aca="false">IF(NOT(Tasks[[#This Row],[_IsLeaf]]=1),"",IF(Tasks[[#This Row],[_AlapShift]]=0,Tasks[[#This Row],[_LeafCalcFinish]],WORKDAY.INTL(Tasks[[#This Row],[_LeafCalcFinish]],Tasks[[#This Row],[_AlapShift]],WorkWeek,Holidays)))</f>
        <v/>
      </c>
      <c r="FI79" s="91" t="str">
        <f aca="false">IF(NOT(Tasks[[#This Row],[_IsLeaf]]=1),"",IF(Tasks[[#This Row],[_AlapShift]]=0,Tasks[[#This Row],[_LeafFcstStart]],WORKDAY.INTL(Tasks[[#This Row],[_LeafFcstStart]],Tasks[[#This Row],[_AlapShift]],WorkWeek,Holidays)))</f>
        <v/>
      </c>
      <c r="FJ79" s="91" t="str">
        <f aca="false">IF(NOT(Tasks[[#This Row],[_IsLeaf]]=1),"",IF(Tasks[[#This Row],[_AlapShift]]=0,Tasks[[#This Row],[_LeafFcstFinish]],WORKDAY.INTL(Tasks[[#This Row],[_LeafFcstFinish]],Tasks[[#This Row],[_AlapShift]],WorkWeek,Holidays)))</f>
        <v/>
      </c>
      <c r="FK79" s="91" t="str">
        <f aca="false">IF(Tasks[[#This Row],[Task Name]]="","",IF(Tasks[[#This Row],[_IsSummary]],MIN(INDEX(Tasks[_ShownCalcStart],Tasks[[#This Row],[_Row]]+1):INDEX(Tasks[_ShownCalcStart],Tasks[[#This Row],[_Row]]+Tasks[[#This Row],[_Descendants]])),Tasks[[#This Row],[_ShownCalcStart]]))</f>
        <v/>
      </c>
      <c r="FL79" s="91" t="str">
        <f aca="false">IF(Tasks[[#This Row],[Task Name]]="","",IF(Tasks[[#This Row],[_IsSummary]],MAX(INDEX(Tasks[_ShownCalcFinish],Tasks[[#This Row],[_Row]]+1):INDEX(Tasks[_ShownCalcFinish],Tasks[[#This Row],[_Row]]+Tasks[[#This Row],[_Descendants]])),Tasks[[#This Row],[_ShownCalcFinish]]))</f>
        <v/>
      </c>
      <c r="FM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9" s="43" t="n">
        <f aca="false">IF(AND(Tasks[[#This Row],[_IsLeaf]]=1,Tasks[[#This Row],[_LeafTotalWork]]&gt;0),NETWORKDAYS.INTL(ProjectStart,Tasks[[#This Row],[_ShownFcstStart]],WorkWeek,Holidays),0)</f>
        <v>0</v>
      </c>
      <c r="FZ79" s="43" t="n">
        <f aca="false">IF(AND(Tasks[[#This Row],[_IsLeaf]]=1,Tasks[[#This Row],[_LeafTotalWork]]&gt;0),MAX(Tasks[[#This Row],[_StartWorkday]],NETWORKDAYS.INTL(ProjectStart,Tasks[[#This Row],[_ShownFcstFinish]],WorkWeek,Holidays)),0)</f>
        <v>0</v>
      </c>
      <c r="GA79" s="43" t="n">
        <f aca="false">IF(AND(Tasks[[#This Row],[_IsLeaf]]=1,Tasks[[#This Row],[_LeafTotalWork]]&gt;0),Tasks[[#This Row],[_LeafWork]]/(Tasks[[#This Row],[_FinishWorkday]]-Tasks[[#This Row],[_StartWorkday]]+1),0)</f>
        <v>0</v>
      </c>
      <c r="GB79" s="43" t="n">
        <f aca="false">Tasks[[#This Row],[_WorkPerWorkday]]*(Tasks[[#This Row],[_StartWorkday]]-1)</f>
        <v>-0</v>
      </c>
      <c r="GC79" s="43" t="n">
        <f aca="false">IF(Tasks[[#This Row],[_IsLeaf]]=1,MAX(N(Tasks[[#This Row],[_Days]]),0.1),0)</f>
        <v>0</v>
      </c>
      <c r="GD79" s="43" t="n">
        <f aca="false">Tasks[[#This Row],[_WeightDur]]*Tasks[[#This Row],[_LeafProgress]]</f>
        <v>0</v>
      </c>
      <c r="GE79" s="43" t="n">
        <f aca="false">Tasks[[#This Row],[_WeightDur]]*Tasks[[#This Row],[_PlannedPct]]</f>
        <v>0</v>
      </c>
      <c r="GF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9" s="43" t="str">
        <f aca="false">IF(AND(Tasks[[#This Row],[_IsLeaf]]=1,N(Tasks[[#This Row],[_Days]])=0,Tasks[[#This Row],[_LeafProgress]]&lt;1),Tasks[[#This Row],[_ShownFcstFinish]]+Tasks[[#This Row],[_Row]]/100000,"")</f>
        <v/>
      </c>
      <c r="GH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9" s="43" t="str">
        <f aca="false">IF(Tasks[[#This Row],[Task Name]]="","",LEFT(Tasks[[#This Row],[WBS]],FIND(".",Tasks[[#This Row],[WBS]]&amp;".")-1))</f>
        <v/>
      </c>
      <c r="GJ79" s="43" t="str">
        <f aca="false">IF(AND(Tasks[[#This Row],[Task Name]]&lt;&gt;"",Tasks[[#This Row],[_Level]]=1),Tasks[[#This Row],[_Row]],"")</f>
        <v/>
      </c>
      <c r="GK79" s="43" t="str">
        <f aca="false">IF(AND(Tasks[[#This Row],[_IsLeaf]]=1,N(Tasks[[#This Row],[_Days]])=0),Tasks[[#This Row],[Planned Finish]]+Tasks[[#This Row],[_Row]]/100000,"")</f>
        <v/>
      </c>
      <c r="GL79" s="43" t="str">
        <f aca="false">IF(AND(Tasks[[#This Row],[_IsLeaf]]=1,Tasks[[#This Row],[_LeafProgress]]&lt;1,OR(N(Tasks[[#This Row],[Finish Var]])&gt;0,Tasks[[#This Row],[Status]]="Late Start")),MAX(0,Tasks[[#This Row],[Finish Var]])+1-Tasks[[#This Row],[_Row]]/1000000,"")</f>
        <v/>
      </c>
      <c r="GM79" s="43" t="str">
        <f aca="false">IF(AND(Tasks[[#This Row],[_IsLeaf]]=1,N(Tasks[[#This Row],[Actual Start]])=0,Tasks[[#This Row],[_ShownFcstStart]]&gt;=StatusDate,Tasks[[#This Row],[_ShownFcstStart]]&lt;=LookaheadEnd),Tasks[[#This Row],[_ShownFcstStart]]+Tasks[[#This Row],[_Row]]/100000,"")</f>
        <v/>
      </c>
      <c r="GN79" s="43" t="str">
        <f aca="false">IF(AND(Tasks[[#This Row],[_IsLeaf]]=1,Tasks[[#This Row],[_LeafProgress]]&lt;1,Tasks[[#This Row],[_ShownFcstFinish]]&gt;=StatusDate,Tasks[[#This Row],[_ShownFcstFinish]]&lt;=LookaheadEnd),Tasks[[#This Row],[_ShownFcstFinish]]+Tasks[[#This Row],[_Row]]/100000,"")</f>
        <v/>
      </c>
      <c r="GO79" s="43" t="str">
        <f aca="false">IF(Tasks[[#This Row],[_LeafCritical]],Tasks[[#This Row],[_ShownFcstStart]]+Tasks[[#This Row],[_Row]]/100000,"")</f>
        <v/>
      </c>
      <c r="GP79" s="43" t="n">
        <f aca="false">Tasks[[#This Row],[_LeafWork]]*Tasks[[#This Row],[_LeafProgress]]</f>
        <v>0</v>
      </c>
      <c r="GQ79" s="91" t="str">
        <f aca="false">IF(AND(Tasks[[#This Row],[_IsLeaf]]=1,Tasks[[#This Row],[_LeafProgress]]&gt;=1),IF(N(Tasks[[#This Row],[Actual Finish]])&gt;0,Tasks[[#This Row],[Actual Finish]],Tasks[[#This Row],[_ShownFcstFinish]]),"")</f>
        <v/>
      </c>
      <c r="GR79" s="43" t="n">
        <f aca="false">IF(Tasks[[#This Row],[_IsLeaf]]=1,N(Tasks[[#This Row],[Story Points]]),0)</f>
        <v>0</v>
      </c>
      <c r="GS79" s="43" t="str">
        <f aca="false">""</f>
        <v/>
      </c>
      <c r="GT79" s="90" t="b">
        <f aca="false">IF(Tasks[[#This Row],[Task Name]]="",FALSE(),AND(Tasks[[#This Row],[_IsLeaf]]=1,N(Tasks[[#This Row],[_Days]])=0))</f>
        <v>0</v>
      </c>
      <c r="GU79" s="91" t="n">
        <f aca="false">IF(Tasks[[#This Row],[Task Name]]="",0,IF(AND(Tasks[[#This Row],[_IsLeaf]]=1,NOT(Tasks[[#This Row],[_IsMilestone]]),N(Tasks[[#This Row],[Progress]])&gt;0),Tasks[[#This Row],[Start]],0))</f>
        <v>0</v>
      </c>
      <c r="GV79" s="91" t="n">
        <f aca="false">IF(Tasks[[#This Row],[_DoneFrom]]=0,0,IF(Tasks[[#This Row],[Progress]]&gt;=1,Tasks[[#This Row],[Finish]],MAX(Tasks[[#This Row],[_DoneFrom]],Tasks[[#This Row],[Start]]+ROUND((Tasks[[#This Row],[Finish]]-Tasks[[#This Row],[Start]]+1)*Tasks[[#This Row],[Progress]],0)-1)))</f>
        <v>0</v>
      </c>
      <c r="GW79" s="91" t="n">
        <f aca="false">IF(Tasks[[#This Row],[Task Name]]="",0,IF(OR(NOT(Tasks[[#This Row],[_IsLeaf]]=1),Tasks[[#This Row],[_IsMilestone]],N(Tasks[[#This Row],[Progress]])&gt;=1),0,IF(Tasks[[#This Row],[_DoneTo]]&gt;0,Tasks[[#This Row],[_DoneTo]]+1,Tasks[[#This Row],[Start]])))</f>
        <v>0</v>
      </c>
      <c r="GX79" s="91" t="n">
        <f aca="false">IF(Tasks[[#This Row],[_RemFrom]]=0,0,Tasks[[#This Row],[Finish]])</f>
        <v>0</v>
      </c>
      <c r="GY79" s="90" t="b">
        <f aca="false">IF(Tasks[[#This Row],[Task Name]]="",FALSE(),OR(NOT(BaselineSet),N(Tasks[[#This Row],[Baseline Start]])&gt;0))</f>
        <v>0</v>
      </c>
      <c r="GZ7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9" s="92" t="str">
        <f aca="false">IF(Tasks[[#This Row],[_IsLeaf]]=1,Tasks[[#This Row],[_Row]],"")</f>
        <v/>
      </c>
      <c r="HD79" s="92" t="str">
        <f aca="false">IFERROR(INDEX(Tasks[UID],SMALL(Tasks[_PickKey],Tasks[[#This Row],[_Row]]))&amp;" "&amp;INDEX(Tasks[Task Name],SMALL(Tasks[_PickKey],Tasks[[#This Row],[_Row]])),"")</f>
        <v/>
      </c>
      <c r="HE79" s="43" t="str">
        <f aca="false">IF(Tasks[[#This Row],[Task Name]]="","",IF(Tasks[[#This Row],[_IsSummary]],NETWORKDAYS.INTL(Tasks[[#This Row],[Start]],Tasks[[#This Row],[Finish]],WorkWeek,Holidays),N(Tasks[[#This Row],[_Days]])))</f>
        <v/>
      </c>
      <c r="HF79" s="43" t="n">
        <f aca="false">IF(Tasks[[#This Row],[Expected]]="",0,((Tasks[[#This Row],[Pessimistic]]-Tasks[[#This Row],[Optimistic]])/6)^2)</f>
        <v>0</v>
      </c>
      <c r="HG79" s="43" t="n">
        <f aca="false">IF(Tasks[[#This Row],[Expected]]="",0,Tasks[[#This Row],[Expected]]-N(Tasks[[#This Row],[_Days]]))</f>
        <v>0</v>
      </c>
    </row>
    <row r="80" customFormat="false" ht="15" hidden="false" customHeight="false" outlineLevel="0" collapsed="false">
      <c r="A80" s="21" t="str">
        <f aca="false">IF(Tasks[[#This Row],[Task Name]]="","",COUNTA(Tasks[[#Headers],[Task Name]]:Tasks[[#This Row],[Task Name]])-1)</f>
        <v/>
      </c>
      <c r="B80" s="22" t="n">
        <v>88</v>
      </c>
      <c r="C80" s="22"/>
      <c r="D80" s="23"/>
      <c r="E80" s="22"/>
      <c r="F80" s="23"/>
      <c r="G80" s="22"/>
      <c r="H80" s="22"/>
      <c r="I80" s="23"/>
      <c r="J80" s="22"/>
      <c r="K80" s="22"/>
      <c r="L80" s="23"/>
      <c r="M80" s="22"/>
      <c r="N80" s="22"/>
      <c r="O80" s="23"/>
      <c r="P80" s="22"/>
      <c r="Q80" s="22"/>
      <c r="R80" s="23"/>
      <c r="S80" s="23"/>
      <c r="T80" s="84"/>
      <c r="U80" s="23"/>
      <c r="V80" s="84"/>
      <c r="W80" s="23"/>
      <c r="X80" s="84"/>
      <c r="Y80" s="23"/>
      <c r="Z80" s="84"/>
      <c r="AA80" s="23"/>
      <c r="AB80" s="23"/>
      <c r="AC80" s="7"/>
      <c r="AD80" s="7"/>
      <c r="AE80" s="63" t="str">
        <f aca="false">IF(Tasks[[#This Row],[Task Name]]="","",IF(Tasks[[#This Row],[_IsSummary]],MIN(INDEX(Tasks[_ShownFcstStart],Tasks[[#This Row],[_Row]]+1):INDEX(Tasks[_ShownFcstStart],Tasks[[#This Row],[_Row]]+Tasks[[#This Row],[_Descendants]])),Tasks[[#This Row],[_ShownFcstStart]]))</f>
        <v/>
      </c>
      <c r="AF80" s="63" t="str">
        <f aca="false">IF(Tasks[[#This Row],[Task Name]]="","",IF(Tasks[[#This Row],[_IsSummary]],MAX(INDEX(Tasks[_ShownFcstFinish],Tasks[[#This Row],[_Row]]+1):INDEX(Tasks[_ShownFcstFinish],Tasks[[#This Row],[_Row]]+Tasks[[#This Row],[_Descendants]])),Tasks[[#This Row],[_ShownFcstFinish]]))</f>
        <v/>
      </c>
      <c r="AG80" s="21" t="str">
        <f aca="false">""</f>
        <v/>
      </c>
      <c r="AH80" s="23"/>
      <c r="AI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0" s="7"/>
      <c r="AK80" s="22"/>
      <c r="AL80" s="23"/>
      <c r="AM80" s="7"/>
      <c r="AN80" s="47" t="str">
        <f aca="false">IF(Tasks[[#This Row],[Task Name]]="","",IF(Tasks[[#This Row],[Finish]]&gt;=Tasks[[#This Row],[Planned Finish]],NETWORKDAYS.INTL(Tasks[[#This Row],[Planned Finish]],Tasks[[#This Row],[Finish]],WorkWeek,Holidays)-1,1-NETWORKDAYS.INTL(Tasks[[#This Row],[Finish]],Tasks[[#This Row],[Planned Finish]],WorkWeek,Holidays)))</f>
        <v/>
      </c>
      <c r="AO80" s="21" t="str">
        <f aca="false">IF(Tasks[[#This Row],[Task Name]]="","",IF(Tasks[[#This Row],[Progress]]&gt;=1,"Complete",IF(OR(N(Tasks[[#This Row],[Actual Start]])&gt;0,Tasks[[#This Row],[Progress]]&gt;0),IF(Tasks[[#This Row],[Finish Var]]&gt;0,"Behind","In Progress"),IF(Tasks[[#This Row],[Planned Start]]&lt;StatusDate,"Late Start","Not Started"))))</f>
        <v/>
      </c>
      <c r="AP80" s="21" t="str">
        <f aca="false">IF(Tasks[[#This Row],[Task Name]]="","",IF(IF(Tasks[[#This Row],[_IsSummary]],COUNTIF(INDEX(Tasks[_LeafCritical],Tasks[[#This Row],[_Row]]+1):INDEX(Tasks[_LeafCritical],Tasks[[#This Row],[_Row]]+Tasks[[#This Row],[_Descendants]]),TRUE())&gt;0,Tasks[[#This Row],[_LeafCritical]]),"Yes",""))</f>
        <v/>
      </c>
      <c r="AQ80" s="63" t="str">
        <f aca="false">IF(Tasks[[#This Row],[Task Name]]="","",IF(N(Tasks[[#This Row],[Baseline Start]])&gt;0,Tasks[[#This Row],[Baseline Start]],Tasks[[#This Row],[_CalcStart]]))</f>
        <v/>
      </c>
      <c r="AR80" s="63" t="str">
        <f aca="false">IF(Tasks[[#This Row],[Task Name]]="","",IF(N(Tasks[[#This Row],[Baseline Finish]])&gt;0,Tasks[[#This Row],[Baseline Finish]],Tasks[[#This Row],[_CalcFinish]]))</f>
        <v/>
      </c>
      <c r="AS80" s="47" t="str">
        <f aca="false">IF(Tasks[[#This Row],[Task Name]]="","",IF(Tasks[[#This Row],[Start]]&gt;=Tasks[[#This Row],[Planned Start]],NETWORKDAYS.INTL(Tasks[[#This Row],[Planned Start]],Tasks[[#This Row],[Start]],WorkWeek,Holidays)-1,1-NETWORKDAYS.INTL(Tasks[[#This Row],[Start]],Tasks[[#This Row],[Planned Start]],WorkWeek,Holidays)))</f>
        <v/>
      </c>
      <c r="AT80" s="63" t="str">
        <f aca="false">IF(Tasks[[#This Row],[Task Name]]="","",IF(Tasks[[#This Row],[_IsSummary]],MIN(INDEX(Tasks[_LeafLateStart],Tasks[[#This Row],[_Row]]+1):INDEX(Tasks[_LeafLateStart],Tasks[[#This Row],[_Row]]+Tasks[[#This Row],[_Descendants]])),Tasks[[#This Row],[_LeafLateStart]]))</f>
        <v/>
      </c>
      <c r="AU80" s="63" t="str">
        <f aca="false">IF(Tasks[[#This Row],[Task Name]]="","",IF(Tasks[[#This Row],[_IsSummary]],MAX(INDEX(Tasks[_LeafLateFinish],Tasks[[#This Row],[_Row]]+1):INDEX(Tasks[_LeafLateFinish],Tasks[[#This Row],[_Row]]+Tasks[[#This Row],[_Descendants]])),Tasks[[#This Row],[_LeafLateFinish]]))</f>
        <v/>
      </c>
      <c r="AV80" s="47" t="str">
        <f aca="false">IF(Tasks[[#This Row],[Task Name]]="","",IF(Tasks[[#This Row],[_IsSummary]],MIN(INDEX(Tasks[_LeafTotalSlack],Tasks[[#This Row],[_Row]]+1):INDEX(Tasks[_LeafTotalSlack],Tasks[[#This Row],[_Row]]+Tasks[[#This Row],[_Descendants]])),Tasks[[#This Row],[_LeafTotalSlack]]))</f>
        <v/>
      </c>
      <c r="AW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5"/>
      <c r="BA8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t="str">
        <f aca="false">IF(Tasks[[#This Row],[Task Name]]="","",IF(Tasks[[#This Row],[_Level]]&lt;=OutlineShowLevel,"Yes","No"))</f>
        <v/>
      </c>
      <c r="BE80" s="86" t="str">
        <f aca="false">IF(Tasks[[#This Row],[Task Name]]="","",IF(Tasks[[#This Row],[_IsSummary]],SUM(INDEX(Tasks[_LeafTotalWork],Tasks[[#This Row],[_Row]]+1):INDEX(Tasks[_LeafTotalWork],Tasks[[#This Row],[_Row]]+Tasks[[#This Row],[_Descendants]])),Tasks[[#This Row],[_LeafTotalWork]]))</f>
        <v/>
      </c>
      <c r="BF80" s="23"/>
      <c r="BG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t="str">
        <f aca="false">""</f>
        <v/>
      </c>
      <c r="BI80" s="87"/>
      <c r="BJ80" s="22"/>
      <c r="BK80" s="47" t="str">
        <f aca="false">IF(OR(Tasks[[#This Row],[Task Name]]="",Tasks[[#This Row],[Baseline Duration]]=""),"",Tasks[[#This Row],[_SpanDays]]-N(Tasks[[#This Row],[Baseline Duration]]))</f>
        <v/>
      </c>
      <c r="BL80" s="86" t="str">
        <f aca="false">IF(OR(Tasks[[#This Row],[Task Name]]="",Tasks[[#This Row],[Baseline Work]]=""),"",Tasks[[#This Row],[Work]]-N(Tasks[[#This Row],[Baseline Work]]))</f>
        <v/>
      </c>
      <c r="BM80" s="63" t="str">
        <f aca="false">IF(Tasks[[#This Row],[Task Name]]="","",IF(OR(TakeBaseline="Yes",N(Tasks[[#This Row],[Baseline Start]])=0),Tasks[[#This Row],[Start]],Tasks[[#This Row],[Baseline Start]]))</f>
        <v/>
      </c>
      <c r="BN80" s="63" t="str">
        <f aca="false">IF(Tasks[[#This Row],[Task Name]]="","",IF(OR(TakeBaseline="Yes",N(Tasks[[#This Row],[Baseline Finish]])=0),Tasks[[#This Row],[Finish]],Tasks[[#This Row],[Baseline Finish]]))</f>
        <v/>
      </c>
      <c r="BO80" s="21" t="str">
        <f aca="false">IF(Tasks[[#This Row],[Task Name]]="","",IF(OR(TakeBaseline="Yes",N(Tasks[[#This Row],[Baseline Duration]])=0),Tasks[[#This Row],[_SpanDays]],Tasks[[#This Row],[Baseline Duration]]))</f>
        <v/>
      </c>
      <c r="BP80" s="86" t="str">
        <f aca="false">IF(Tasks[[#This Row],[Task Name]]="","",IF(OR(TakeBaseline="Yes",N(Tasks[[#This Row],[Baseline Work]])=0),Tasks[[#This Row],[Work]],Tasks[[#This Row],[Baseline Work]]))</f>
        <v/>
      </c>
      <c r="BQ80" s="7"/>
      <c r="BR80" s="7"/>
      <c r="BS80" s="22"/>
      <c r="BT80" s="88"/>
      <c r="BU80" s="23"/>
      <c r="BV80" s="23"/>
      <c r="BW80" s="23"/>
      <c r="BX80" s="89" t="str">
        <f aca="false">IF(AND(Tasks[[#This Row],[_IsLeaf]]=1,ISNUMBER(Tasks[[#This Row],[Optimistic]]),ISNUMBER(Tasks[[#This Row],[Pessimistic]])),ROUND((Tasks[[#This Row],[Optimistic]]+4*N(Tasks[[#This Row],[_Days]])+Tasks[[#This Row],[Pessimistic]])/6,1),"")</f>
        <v/>
      </c>
      <c r="BY80" s="87"/>
      <c r="BZ80" s="87"/>
      <c r="CA80" s="22"/>
      <c r="CB80" s="43" t="str">
        <f aca="false">IF(Tasks[[#This Row],[Task Name]]="","",MAX(1,N(Tasks[[#This Row],[Level]])))</f>
        <v/>
      </c>
      <c r="CC80" s="43" t="n">
        <f aca="false">ROW()-ROW(Tasks[[#Headers],[ID]])</f>
        <v>75</v>
      </c>
      <c r="CD80" s="43" t="n">
        <f aca="false">IF(OR(Tasks[[#This Row],[Task Name]]="",Tasks[[#This Row],[_Level]]&lt;=1),0,IFERROR(LOOKUP(2,1/(Tasks[[#Headers],[_Level]]:Tasks[[#This Row],[_Level]]=Tasks[[#This Row],[_Level]]-1),ROW(Tasks[[#Headers],[_Level]]:Tasks[[#This Row],[_Level]])),0))</f>
        <v>0</v>
      </c>
      <c r="CE80" s="43" t="n">
        <f aca="false">IFERROR(N(INDEX(Tasks[_Level],Tasks[[#This Row],[_Row]]+1)),0)</f>
        <v>0</v>
      </c>
      <c r="CF80" s="90" t="b">
        <f aca="false">AND(Tasks[[#This Row],[Task Name]]&lt;&gt;"",Tasks[[#This Row],[_NextLevel]]&gt;Tasks[[#This Row],[_Level]])</f>
        <v>0</v>
      </c>
      <c r="CG80" s="43" t="n">
        <f aca="false">IF(Tasks[[#This Row],[_IsSummary]],COUNTIF(Tasks[WBS],Tasks[[#This Row],[WBS]]&amp;".*"),0)</f>
        <v>0</v>
      </c>
      <c r="CH80" s="43" t="n">
        <f aca="false">IF(AND(Tasks[[#This Row],[Task Name]]&lt;&gt;"",NOT(Tasks[[#This Row],[_IsSummary]])),1,0)</f>
        <v>0</v>
      </c>
      <c r="CI80" s="43" t="n">
        <f aca="false">IF(N(Tasks[[#This Row],[_Pred1UID]])=0,0,IFERROR(MATCH(Tasks[[#This Row],[_Pred1UID]],Tasks[UID],0),-1))</f>
        <v>0</v>
      </c>
      <c r="CJ80" s="43" t="n">
        <f aca="false">IF(N(Tasks[[#This Row],[_Pred2UID]])=0,0,IFERROR(MATCH(Tasks[[#This Row],[_Pred2UID]],Tasks[UID],0),-1))</f>
        <v>0</v>
      </c>
      <c r="CK80" s="43" t="n">
        <f aca="false">IF(N(Tasks[[#This Row],[_Pred3UID]])=0,0,IFERROR(MATCH(Tasks[[#This Row],[_Pred3UID]],Tasks[UID],0),-1))</f>
        <v>0</v>
      </c>
      <c r="CL80" s="43" t="n">
        <f aca="false">IF(N(Tasks[[#This Row],[_Pred4UID]])=0,0,IFERROR(MATCH(Tasks[[#This Row],[_Pred4UID]],Tasks[UID],0),-1))</f>
        <v>0</v>
      </c>
      <c r="CM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0" s="91" t="n">
        <f aca="false">IF(OR(Tasks[[#This Row],[_ConstraintCode]]=2,Tasks[[#This Row],[_ConstraintCode]]=3,Tasks[[#This Row],[_ConstraintCode]]=4,Tasks[[#This Row],[_ConstraintCode]]=6),Tasks[[#This Row],[_ConstraintStart]],0)</f>
        <v>0</v>
      </c>
      <c r="CP80" s="91" t="n">
        <f aca="false">IF(OR(Tasks[[#This Row],[_ConstraintCode]]=2,Tasks[[#This Row],[_ConstraintCode]]=3,Tasks[[#This Row],[_ConstraintCode]]=5,Tasks[[#This Row],[_ConstraintCode]]=7),Tasks[[#This Row],[_ConstraintStart]],2958465)</f>
        <v>2958465</v>
      </c>
      <c r="CQ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0" s="91" t="str">
        <f aca="false">IF(NOT(Tasks[[#This Row],[_IsLeaf]]=1),"",IF(N(Tasks[[#This Row],[_Days]])&lt;=0,Tasks[[#This Row],[_LeafCalcStart]],WORKDAY.INTL(Tasks[[#This Row],[_LeafCalcStart]],Tasks[[#This Row],[_Days]]-1,WorkWeek,Holidays)))</f>
        <v/>
      </c>
      <c r="CS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0" s="43" t="str">
        <f aca="false">IF(Tasks[[#This Row],[_Predecessors]]="","",TRIM(MID(SUBSTITUTE(SUBSTITUTE(SUBSTITUTE(UPPER(Tasks[[#This Row],[_Predecessors]]),";",",")," ",""),",",REPT(" ",99)),1,99)))</f>
        <v/>
      </c>
      <c r="CV80" s="43" t="str">
        <f aca="false">IF(Tasks[[#This Row],[_Pred1Text]]="","",IFERROR(VALUE(LEFT(Tasks[[#This Row],[_Pred1Text]],MIN(FIND("F",Tasks[[#This Row],[_Pred1Text]]&amp;"F"),FIND("S",Tasks[[#This Row],[_Pred1Text]]&amp;"S"),FIND("+",Tasks[[#This Row],[_Pred1Text]]&amp;"+"),FIND("-",Tasks[[#This Row],[_Pred1Text]]&amp;"-"))-1)),""))</f>
        <v/>
      </c>
      <c r="CW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0" s="43" t="str">
        <f aca="false">IF(Tasks[[#This Row],[_Pred1Text]]="","",TRIM(MID(SUBSTITUTE(SUBSTITUTE(SUBSTITUTE(UPPER(Tasks[[#This Row],[_Predecessors]]),";",",")," ",""),",",REPT(" ",99)),100,99)))</f>
        <v/>
      </c>
      <c r="CZ80" s="43" t="str">
        <f aca="false">IF(Tasks[[#This Row],[_Pred2Text]]="","",IFERROR(VALUE(LEFT(Tasks[[#This Row],[_Pred2Text]],MIN(FIND("F",Tasks[[#This Row],[_Pred2Text]]&amp;"F"),FIND("S",Tasks[[#This Row],[_Pred2Text]]&amp;"S"),FIND("+",Tasks[[#This Row],[_Pred2Text]]&amp;"+"),FIND("-",Tasks[[#This Row],[_Pred2Text]]&amp;"-"))-1)),""))</f>
        <v/>
      </c>
      <c r="DA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0" s="43" t="str">
        <f aca="false">IF(Tasks[[#This Row],[_Pred2Text]]="","",TRIM(MID(SUBSTITUTE(SUBSTITUTE(SUBSTITUTE(UPPER(Tasks[[#This Row],[_Predecessors]]),";",",")," ",""),",",REPT(" ",99)),199,99)))</f>
        <v/>
      </c>
      <c r="DD80" s="43" t="str">
        <f aca="false">IF(Tasks[[#This Row],[_Pred3Text]]="","",IFERROR(VALUE(LEFT(Tasks[[#This Row],[_Pred3Text]],MIN(FIND("F",Tasks[[#This Row],[_Pred3Text]]&amp;"F"),FIND("S",Tasks[[#This Row],[_Pred3Text]]&amp;"S"),FIND("+",Tasks[[#This Row],[_Pred3Text]]&amp;"+"),FIND("-",Tasks[[#This Row],[_Pred3Text]]&amp;"-"))-1)),""))</f>
        <v/>
      </c>
      <c r="DE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0" s="43" t="str">
        <f aca="false">IF(Tasks[[#This Row],[_Pred3Text]]="","",TRIM(MID(SUBSTITUTE(SUBSTITUTE(SUBSTITUTE(UPPER(Tasks[[#This Row],[_Predecessors]]),";",",")," ",""),",",REPT(" ",99)),298,99)))</f>
        <v/>
      </c>
      <c r="DH80" s="43" t="str">
        <f aca="false">IF(Tasks[[#This Row],[_Pred4Text]]="","",IFERROR(VALUE(LEFT(Tasks[[#This Row],[_Pred4Text]],MIN(FIND("F",Tasks[[#This Row],[_Pred4Text]]&amp;"F"),FIND("S",Tasks[[#This Row],[_Pred4Text]]&amp;"S"),FIND("+",Tasks[[#This Row],[_Pred4Text]]&amp;"+"),FIND("-",Tasks[[#This Row],[_Pred4Text]]&amp;"-"))-1)),""))</f>
        <v/>
      </c>
      <c r="DI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0" s="43" t="str">
        <f aca="false">IF(OR(Tasks[[#This Row],[Task Name]]="",Tasks[[#This Row],[_Resources]]=""),"",TRIM(MID(SUBSTITUTE(Tasks[[#This Row],[_Resources]],",",REPT(" ",99)),1,99)))</f>
        <v/>
      </c>
      <c r="DL80" s="43" t="str">
        <f aca="false">IF(Tasks[[#This Row],[_Res1Text]]="","",TRIM(MID(SUBSTITUTE(Tasks[[#This Row],[_Resources]],",",REPT(" ",99)),100,99)))</f>
        <v/>
      </c>
      <c r="DM80" s="43" t="str">
        <f aca="false">IF(Tasks[[#This Row],[_Res2Text]]="","",TRIM(MID(SUBSTITUTE(Tasks[[#This Row],[_Resources]],",",REPT(" ",99)),199,99)))</f>
        <v/>
      </c>
      <c r="DN80" s="43" t="str">
        <f aca="false">IF(Tasks[[#This Row],[_Res3Text]]="","",TRIM(MID(SUBSTITUTE(Tasks[[#This Row],[_Resources]],",",REPT(" ",99)),298,99)))</f>
        <v/>
      </c>
      <c r="DO80" s="43" t="n">
        <f aca="false">IF(Tasks[[#This Row],[_Res1Text]]="",0,IFERROR(MATCH(TRIM(LEFT(Tasks[[#This Row],[_Res1Text]],FIND("[",Tasks[[#This Row],[_Res1Text]]&amp;"[")-1)),res_Name,0),IFERROR(MATCH(TRIM(LEFT(Tasks[[#This Row],[_Res1Text]],FIND("[",Tasks[[#This Row],[_Res1Text]]&amp;"[")-1)),res_Initials,0),0)))</f>
        <v>0</v>
      </c>
      <c r="DP80" s="43" t="n">
        <f aca="false">IF(Tasks[[#This Row],[_Res2Text]]="",0,IFERROR(MATCH(TRIM(LEFT(Tasks[[#This Row],[_Res2Text]],FIND("[",Tasks[[#This Row],[_Res2Text]]&amp;"[")-1)),res_Name,0),IFERROR(MATCH(TRIM(LEFT(Tasks[[#This Row],[_Res2Text]],FIND("[",Tasks[[#This Row],[_Res2Text]]&amp;"[")-1)),res_Initials,0),0)))</f>
        <v>0</v>
      </c>
      <c r="DQ80" s="43" t="n">
        <f aca="false">IF(Tasks[[#This Row],[_Res3Text]]="",0,IFERROR(MATCH(TRIM(LEFT(Tasks[[#This Row],[_Res3Text]],FIND("[",Tasks[[#This Row],[_Res3Text]]&amp;"[")-1)),res_Name,0),IFERROR(MATCH(TRIM(LEFT(Tasks[[#This Row],[_Res3Text]],FIND("[",Tasks[[#This Row],[_Res3Text]]&amp;"[")-1)),res_Initials,0),0)))</f>
        <v>0</v>
      </c>
      <c r="DR80" s="43" t="n">
        <f aca="false">IF(Tasks[[#This Row],[_Res4Text]]="",0,IFERROR(MATCH(TRIM(LEFT(Tasks[[#This Row],[_Res4Text]],FIND("[",Tasks[[#This Row],[_Res4Text]]&amp;"[")-1)),res_Name,0),IFERROR(MATCH(TRIM(LEFT(Tasks[[#This Row],[_Res4Text]],FIND("[",Tasks[[#This Row],[_Res4Text]]&amp;"[")-1)),res_Initials,0),0)))</f>
        <v>0</v>
      </c>
      <c r="DS80" s="43" t="str">
        <f aca="false">IF(Tasks[[#This Row],[_Res1Text]]="","",IF(Tasks[[#This Row],[_Res1Row]]&gt;0,INDEX(res_Name,Tasks[[#This Row],[_Res1Row]]),TRIM(LEFT(Tasks[[#This Row],[_Res1Text]],FIND("[",Tasks[[#This Row],[_Res1Text]]&amp;"[")-1))))</f>
        <v/>
      </c>
      <c r="DT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0" s="43" t="n">
        <f aca="false">IF(NOT(Tasks[[#This Row],[_IsLeaf]]=1),0,(Tasks[[#This Row],[_Resource1]]&lt;&gt;"")+(Tasks[[#This Row],[_Res2]]&lt;&gt;"")+(Tasks[[#This Row],[_Res3]]&lt;&gt;"")+(Tasks[[#This Row],[_Res4]]&lt;&gt;""))</f>
        <v>0</v>
      </c>
      <c r="DV80" s="43" t="str">
        <f aca="false">IF(Tasks[[#This Row],[_Res2Text]]="","",IF(Tasks[[#This Row],[_Res2Row]]&gt;0,INDEX(res_Name,Tasks[[#This Row],[_Res2Row]]),TRIM(LEFT(Tasks[[#This Row],[_Res2Text]],FIND("[",Tasks[[#This Row],[_Res2Text]]&amp;"[")-1))))</f>
        <v/>
      </c>
      <c r="DW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0" s="43" t="n">
        <f aca="false">IF(OR(NOT(Tasks[[#This Row],[_IsLeaf]]=1),Tasks[[#This Row],[_Res2Row]]=0),0,N(Tasks[[#This Row],[_Days]])*HoursPerDay*IF(Tasks[[#This Row],[_Res2Units]]="",DefaultUnits,Tasks[[#This Row],[_Res2Units]]))</f>
        <v>0</v>
      </c>
      <c r="DY80" s="43" t="n">
        <f aca="false">IF(AND(AND(Tasks[[#This Row],[_IsLeaf]]=1,Tasks[[#This Row],[_LeafTotalWork]]&gt;0),Tasks[[#This Row],[_Res2Work]]&gt;0),Tasks[[#This Row],[_Res2Work]]/(Tasks[[#This Row],[_FinishWorkday]]-Tasks[[#This Row],[_StartWorkday]]+1),0)</f>
        <v>0</v>
      </c>
      <c r="DZ80" s="43" t="n">
        <f aca="false">Tasks[[#This Row],[_Res2WorkPerWD]]*MAX(0,Tasks[[#This Row],[_StartWorkday]]-1)</f>
        <v>0</v>
      </c>
      <c r="EA80" s="43" t="n">
        <f aca="false">Tasks[[#This Row],[_Res2Work]]*Tasks[[#This Row],[_LeafProgress]]</f>
        <v>0</v>
      </c>
      <c r="EB80" s="43" t="str">
        <f aca="false">IF(Tasks[[#This Row],[_Res3Text]]="","",IF(Tasks[[#This Row],[_Res3Row]]&gt;0,INDEX(res_Name,Tasks[[#This Row],[_Res3Row]]),TRIM(LEFT(Tasks[[#This Row],[_Res3Text]],FIND("[",Tasks[[#This Row],[_Res3Text]]&amp;"[")-1))))</f>
        <v/>
      </c>
      <c r="EC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0" s="43" t="n">
        <f aca="false">IF(OR(NOT(Tasks[[#This Row],[_IsLeaf]]=1),Tasks[[#This Row],[_Res3Row]]=0),0,N(Tasks[[#This Row],[_Days]])*HoursPerDay*IF(Tasks[[#This Row],[_Res3Units]]="",DefaultUnits,Tasks[[#This Row],[_Res3Units]]))</f>
        <v>0</v>
      </c>
      <c r="EE80" s="43" t="n">
        <f aca="false">IF(AND(AND(Tasks[[#This Row],[_IsLeaf]]=1,Tasks[[#This Row],[_LeafTotalWork]]&gt;0),Tasks[[#This Row],[_Res3Work]]&gt;0),Tasks[[#This Row],[_Res3Work]]/(Tasks[[#This Row],[_FinishWorkday]]-Tasks[[#This Row],[_StartWorkday]]+1),0)</f>
        <v>0</v>
      </c>
      <c r="EF80" s="43" t="n">
        <f aca="false">Tasks[[#This Row],[_Res3WorkPerWD]]*MAX(0,Tasks[[#This Row],[_StartWorkday]]-1)</f>
        <v>0</v>
      </c>
      <c r="EG80" s="43" t="n">
        <f aca="false">Tasks[[#This Row],[_Res3Work]]*Tasks[[#This Row],[_LeafProgress]]</f>
        <v>0</v>
      </c>
      <c r="EH80" s="43" t="str">
        <f aca="false">IF(Tasks[[#This Row],[_Res4Text]]="","",IF(Tasks[[#This Row],[_Res4Row]]&gt;0,INDEX(res_Name,Tasks[[#This Row],[_Res4Row]]),TRIM(LEFT(Tasks[[#This Row],[_Res4Text]],FIND("[",Tasks[[#This Row],[_Res4Text]]&amp;"[")-1))))</f>
        <v/>
      </c>
      <c r="EI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0" s="43" t="n">
        <f aca="false">IF(OR(NOT(Tasks[[#This Row],[_IsLeaf]]=1),Tasks[[#This Row],[_Res4Row]]=0),0,N(Tasks[[#This Row],[_Days]])*HoursPerDay*IF(Tasks[[#This Row],[_Res4Units]]="",DefaultUnits,Tasks[[#This Row],[_Res4Units]]))</f>
        <v>0</v>
      </c>
      <c r="EK80" s="43" t="n">
        <f aca="false">IF(AND(AND(Tasks[[#This Row],[_IsLeaf]]=1,Tasks[[#This Row],[_LeafTotalWork]]&gt;0),Tasks[[#This Row],[_Res4Work]]&gt;0),Tasks[[#This Row],[_Res4Work]]/(Tasks[[#This Row],[_FinishWorkday]]-Tasks[[#This Row],[_StartWorkday]]+1),0)</f>
        <v>0</v>
      </c>
      <c r="EL80" s="43" t="n">
        <f aca="false">Tasks[[#This Row],[_Res4WorkPerWD]]*MAX(0,Tasks[[#This Row],[_StartWorkday]]-1)</f>
        <v>0</v>
      </c>
      <c r="EM80" s="43" t="n">
        <f aca="false">Tasks[[#This Row],[_Res4Work]]*Tasks[[#This Row],[_LeafProgress]]</f>
        <v>0</v>
      </c>
      <c r="EN80" s="43" t="n">
        <f aca="false">IF(ISNUMBER(Tasks[[#This Row],[% Complete]]),Tasks[[#This Row],[% Complete]],IF(Tasks[[#This Row],[Stage]]="",0,IFERROR(INDEX(stg_Pct,MATCH(Tasks[[#This Row],[Stage]],stg_Name,0)),0)))</f>
        <v>0</v>
      </c>
      <c r="EO80" s="43" t="n">
        <f aca="false">IF(NOT(Tasks[[#This Row],[_IsLeaf]]=1),0,IF(N(Tasks[[#This Row],[Actual Finish]])&gt;0,1,MIN(1,Tasks[[#This Row],[_Pct]])))</f>
        <v>0</v>
      </c>
      <c r="EP80" s="43" t="n">
        <f aca="false">IF(OR(NOT(Tasks[[#This Row],[_IsLeaf]]=1),Tasks[[#This Row],[_Res1Row]]=0),0,N(Tasks[[#This Row],[_Days]])*HoursPerDay*IF(Tasks[[#This Row],[_Units1]]="",DefaultUnits,Tasks[[#This Row],[_Units1]]))</f>
        <v>0</v>
      </c>
      <c r="EQ80" s="43" t="n">
        <f aca="false">Tasks[[#This Row],[_LeafWork]]+Tasks[[#This Row],[_Res2Work]]+Tasks[[#This Row],[_Res3Work]]+Tasks[[#This Row],[_Res4Work]]</f>
        <v>0</v>
      </c>
      <c r="ER8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0" s="43" t="n">
        <f aca="false">IF(NOT(Tasks[[#This Row],[_IsLeaf]]=1),0,MAX(_xlfn.MAXIFS(Tasks[_Row],Tasks[_Pred1UID],Tasks[[#This Row],[UID]]),_xlfn.MAXIFS(Tasks[_Row],Tasks[_Pred2UID],Tasks[[#This Row],[UID]]),_xlfn.MAXIFS(Tasks[_Row],Tasks[_Pred3UID],Tasks[[#This Row],[UID]]),_xlfn.MAXIFS(Tasks[_Row],Tasks[_Pred4UID],Tasks[[#This Row],[UID]])))</f>
        <v>0</v>
      </c>
      <c r="FA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0" s="91" t="str">
        <f aca="false">IF(NOT(Tasks[[#This Row],[_IsLeaf]]=1),"",IF(N(Tasks[[#This Row],[_Days]])&lt;=0,Tasks[[#This Row],[_LeafLateFinish]],WORKDAY.INTL(Tasks[[#This Row],[_LeafLateFinish]],-(Tasks[[#This Row],[_Days]]-1),WorkWeek,Holidays)))</f>
        <v/>
      </c>
      <c r="FD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0" s="90" t="b">
        <f aca="false">AND(Tasks[[#This Row],[_IsLeaf]]=1,Tasks[[#This Row],[_LeafProgress]]&lt;1,N(Tasks[[#This Row],[_LeafTotalSlack]])&lt;=CriticalSlackDays)</f>
        <v>0</v>
      </c>
      <c r="FF80" s="43" t="n">
        <f aca="false">IF(AND(Tasks[[#This Row],[_IsLeaf]]=1,Tasks[[#This Row],[_ConstraintCode]]=1,Tasks[[#This Row],[Mode]]&lt;&gt;"Manual",N(Tasks[[#This Row],[Actual Start]])=0),MAX(0,N(Tasks[[#This Row],[Free Slack]])),0)</f>
        <v>0</v>
      </c>
      <c r="FG80" s="91" t="str">
        <f aca="false">IF(NOT(Tasks[[#This Row],[_IsLeaf]]=1),"",IF(Tasks[[#This Row],[_AlapShift]]=0,Tasks[[#This Row],[_LeafCalcStart]],WORKDAY.INTL(Tasks[[#This Row],[_LeafCalcStart]],Tasks[[#This Row],[_AlapShift]],WorkWeek,Holidays)))</f>
        <v/>
      </c>
      <c r="FH80" s="91" t="str">
        <f aca="false">IF(NOT(Tasks[[#This Row],[_IsLeaf]]=1),"",IF(Tasks[[#This Row],[_AlapShift]]=0,Tasks[[#This Row],[_LeafCalcFinish]],WORKDAY.INTL(Tasks[[#This Row],[_LeafCalcFinish]],Tasks[[#This Row],[_AlapShift]],WorkWeek,Holidays)))</f>
        <v/>
      </c>
      <c r="FI80" s="91" t="str">
        <f aca="false">IF(NOT(Tasks[[#This Row],[_IsLeaf]]=1),"",IF(Tasks[[#This Row],[_AlapShift]]=0,Tasks[[#This Row],[_LeafFcstStart]],WORKDAY.INTL(Tasks[[#This Row],[_LeafFcstStart]],Tasks[[#This Row],[_AlapShift]],WorkWeek,Holidays)))</f>
        <v/>
      </c>
      <c r="FJ80" s="91" t="str">
        <f aca="false">IF(NOT(Tasks[[#This Row],[_IsLeaf]]=1),"",IF(Tasks[[#This Row],[_AlapShift]]=0,Tasks[[#This Row],[_LeafFcstFinish]],WORKDAY.INTL(Tasks[[#This Row],[_LeafFcstFinish]],Tasks[[#This Row],[_AlapShift]],WorkWeek,Holidays)))</f>
        <v/>
      </c>
      <c r="FK80" s="91" t="str">
        <f aca="false">IF(Tasks[[#This Row],[Task Name]]="","",IF(Tasks[[#This Row],[_IsSummary]],MIN(INDEX(Tasks[_ShownCalcStart],Tasks[[#This Row],[_Row]]+1):INDEX(Tasks[_ShownCalcStart],Tasks[[#This Row],[_Row]]+Tasks[[#This Row],[_Descendants]])),Tasks[[#This Row],[_ShownCalcStart]]))</f>
        <v/>
      </c>
      <c r="FL80" s="91" t="str">
        <f aca="false">IF(Tasks[[#This Row],[Task Name]]="","",IF(Tasks[[#This Row],[_IsSummary]],MAX(INDEX(Tasks[_ShownCalcFinish],Tasks[[#This Row],[_Row]]+1):INDEX(Tasks[_ShownCalcFinish],Tasks[[#This Row],[_Row]]+Tasks[[#This Row],[_Descendants]])),Tasks[[#This Row],[_ShownCalcFinish]]))</f>
        <v/>
      </c>
      <c r="FM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0" s="43" t="n">
        <f aca="false">IF(AND(Tasks[[#This Row],[_IsLeaf]]=1,Tasks[[#This Row],[_LeafTotalWork]]&gt;0),NETWORKDAYS.INTL(ProjectStart,Tasks[[#This Row],[_ShownFcstStart]],WorkWeek,Holidays),0)</f>
        <v>0</v>
      </c>
      <c r="FZ80" s="43" t="n">
        <f aca="false">IF(AND(Tasks[[#This Row],[_IsLeaf]]=1,Tasks[[#This Row],[_LeafTotalWork]]&gt;0),MAX(Tasks[[#This Row],[_StartWorkday]],NETWORKDAYS.INTL(ProjectStart,Tasks[[#This Row],[_ShownFcstFinish]],WorkWeek,Holidays)),0)</f>
        <v>0</v>
      </c>
      <c r="GA80" s="43" t="n">
        <f aca="false">IF(AND(Tasks[[#This Row],[_IsLeaf]]=1,Tasks[[#This Row],[_LeafTotalWork]]&gt;0),Tasks[[#This Row],[_LeafWork]]/(Tasks[[#This Row],[_FinishWorkday]]-Tasks[[#This Row],[_StartWorkday]]+1),0)</f>
        <v>0</v>
      </c>
      <c r="GB80" s="43" t="n">
        <f aca="false">Tasks[[#This Row],[_WorkPerWorkday]]*(Tasks[[#This Row],[_StartWorkday]]-1)</f>
        <v>-0</v>
      </c>
      <c r="GC80" s="43" t="n">
        <f aca="false">IF(Tasks[[#This Row],[_IsLeaf]]=1,MAX(N(Tasks[[#This Row],[_Days]]),0.1),0)</f>
        <v>0</v>
      </c>
      <c r="GD80" s="43" t="n">
        <f aca="false">Tasks[[#This Row],[_WeightDur]]*Tasks[[#This Row],[_LeafProgress]]</f>
        <v>0</v>
      </c>
      <c r="GE80" s="43" t="n">
        <f aca="false">Tasks[[#This Row],[_WeightDur]]*Tasks[[#This Row],[_PlannedPct]]</f>
        <v>0</v>
      </c>
      <c r="GF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0" s="43" t="str">
        <f aca="false">IF(AND(Tasks[[#This Row],[_IsLeaf]]=1,N(Tasks[[#This Row],[_Days]])=0,Tasks[[#This Row],[_LeafProgress]]&lt;1),Tasks[[#This Row],[_ShownFcstFinish]]+Tasks[[#This Row],[_Row]]/100000,"")</f>
        <v/>
      </c>
      <c r="GH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0" s="43" t="str">
        <f aca="false">IF(Tasks[[#This Row],[Task Name]]="","",LEFT(Tasks[[#This Row],[WBS]],FIND(".",Tasks[[#This Row],[WBS]]&amp;".")-1))</f>
        <v/>
      </c>
      <c r="GJ80" s="43" t="str">
        <f aca="false">IF(AND(Tasks[[#This Row],[Task Name]]&lt;&gt;"",Tasks[[#This Row],[_Level]]=1),Tasks[[#This Row],[_Row]],"")</f>
        <v/>
      </c>
      <c r="GK80" s="43" t="str">
        <f aca="false">IF(AND(Tasks[[#This Row],[_IsLeaf]]=1,N(Tasks[[#This Row],[_Days]])=0),Tasks[[#This Row],[Planned Finish]]+Tasks[[#This Row],[_Row]]/100000,"")</f>
        <v/>
      </c>
      <c r="GL80" s="43" t="str">
        <f aca="false">IF(AND(Tasks[[#This Row],[_IsLeaf]]=1,Tasks[[#This Row],[_LeafProgress]]&lt;1,OR(N(Tasks[[#This Row],[Finish Var]])&gt;0,Tasks[[#This Row],[Status]]="Late Start")),MAX(0,Tasks[[#This Row],[Finish Var]])+1-Tasks[[#This Row],[_Row]]/1000000,"")</f>
        <v/>
      </c>
      <c r="GM80" s="43" t="str">
        <f aca="false">IF(AND(Tasks[[#This Row],[_IsLeaf]]=1,N(Tasks[[#This Row],[Actual Start]])=0,Tasks[[#This Row],[_ShownFcstStart]]&gt;=StatusDate,Tasks[[#This Row],[_ShownFcstStart]]&lt;=LookaheadEnd),Tasks[[#This Row],[_ShownFcstStart]]+Tasks[[#This Row],[_Row]]/100000,"")</f>
        <v/>
      </c>
      <c r="GN80" s="43" t="str">
        <f aca="false">IF(AND(Tasks[[#This Row],[_IsLeaf]]=1,Tasks[[#This Row],[_LeafProgress]]&lt;1,Tasks[[#This Row],[_ShownFcstFinish]]&gt;=StatusDate,Tasks[[#This Row],[_ShownFcstFinish]]&lt;=LookaheadEnd),Tasks[[#This Row],[_ShownFcstFinish]]+Tasks[[#This Row],[_Row]]/100000,"")</f>
        <v/>
      </c>
      <c r="GO80" s="43" t="str">
        <f aca="false">IF(Tasks[[#This Row],[_LeafCritical]],Tasks[[#This Row],[_ShownFcstStart]]+Tasks[[#This Row],[_Row]]/100000,"")</f>
        <v/>
      </c>
      <c r="GP80" s="43" t="n">
        <f aca="false">Tasks[[#This Row],[_LeafWork]]*Tasks[[#This Row],[_LeafProgress]]</f>
        <v>0</v>
      </c>
      <c r="GQ80" s="91" t="str">
        <f aca="false">IF(AND(Tasks[[#This Row],[_IsLeaf]]=1,Tasks[[#This Row],[_LeafProgress]]&gt;=1),IF(N(Tasks[[#This Row],[Actual Finish]])&gt;0,Tasks[[#This Row],[Actual Finish]],Tasks[[#This Row],[_ShownFcstFinish]]),"")</f>
        <v/>
      </c>
      <c r="GR80" s="43" t="n">
        <f aca="false">IF(Tasks[[#This Row],[_IsLeaf]]=1,N(Tasks[[#This Row],[Story Points]]),0)</f>
        <v>0</v>
      </c>
      <c r="GS80" s="43" t="str">
        <f aca="false">""</f>
        <v/>
      </c>
      <c r="GT80" s="90" t="b">
        <f aca="false">IF(Tasks[[#This Row],[Task Name]]="",FALSE(),AND(Tasks[[#This Row],[_IsLeaf]]=1,N(Tasks[[#This Row],[_Days]])=0))</f>
        <v>0</v>
      </c>
      <c r="GU80" s="91" t="n">
        <f aca="false">IF(Tasks[[#This Row],[Task Name]]="",0,IF(AND(Tasks[[#This Row],[_IsLeaf]]=1,NOT(Tasks[[#This Row],[_IsMilestone]]),N(Tasks[[#This Row],[Progress]])&gt;0),Tasks[[#This Row],[Start]],0))</f>
        <v>0</v>
      </c>
      <c r="GV80" s="91" t="n">
        <f aca="false">IF(Tasks[[#This Row],[_DoneFrom]]=0,0,IF(Tasks[[#This Row],[Progress]]&gt;=1,Tasks[[#This Row],[Finish]],MAX(Tasks[[#This Row],[_DoneFrom]],Tasks[[#This Row],[Start]]+ROUND((Tasks[[#This Row],[Finish]]-Tasks[[#This Row],[Start]]+1)*Tasks[[#This Row],[Progress]],0)-1)))</f>
        <v>0</v>
      </c>
      <c r="GW80" s="91" t="n">
        <f aca="false">IF(Tasks[[#This Row],[Task Name]]="",0,IF(OR(NOT(Tasks[[#This Row],[_IsLeaf]]=1),Tasks[[#This Row],[_IsMilestone]],N(Tasks[[#This Row],[Progress]])&gt;=1),0,IF(Tasks[[#This Row],[_DoneTo]]&gt;0,Tasks[[#This Row],[_DoneTo]]+1,Tasks[[#This Row],[Start]])))</f>
        <v>0</v>
      </c>
      <c r="GX80" s="91" t="n">
        <f aca="false">IF(Tasks[[#This Row],[_RemFrom]]=0,0,Tasks[[#This Row],[Finish]])</f>
        <v>0</v>
      </c>
      <c r="GY80" s="90" t="b">
        <f aca="false">IF(Tasks[[#This Row],[Task Name]]="",FALSE(),OR(NOT(BaselineSet),N(Tasks[[#This Row],[Baseline Start]])&gt;0))</f>
        <v>0</v>
      </c>
      <c r="GZ8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0" s="92" t="str">
        <f aca="false">IF(Tasks[[#This Row],[_IsLeaf]]=1,Tasks[[#This Row],[_Row]],"")</f>
        <v/>
      </c>
      <c r="HD80" s="92" t="str">
        <f aca="false">IFERROR(INDEX(Tasks[UID],SMALL(Tasks[_PickKey],Tasks[[#This Row],[_Row]]))&amp;" "&amp;INDEX(Tasks[Task Name],SMALL(Tasks[_PickKey],Tasks[[#This Row],[_Row]])),"")</f>
        <v/>
      </c>
      <c r="HE80" s="43" t="str">
        <f aca="false">IF(Tasks[[#This Row],[Task Name]]="","",IF(Tasks[[#This Row],[_IsSummary]],NETWORKDAYS.INTL(Tasks[[#This Row],[Start]],Tasks[[#This Row],[Finish]],WorkWeek,Holidays),N(Tasks[[#This Row],[_Days]])))</f>
        <v/>
      </c>
      <c r="HF80" s="43" t="n">
        <f aca="false">IF(Tasks[[#This Row],[Expected]]="",0,((Tasks[[#This Row],[Pessimistic]]-Tasks[[#This Row],[Optimistic]])/6)^2)</f>
        <v>0</v>
      </c>
      <c r="HG80" s="43" t="n">
        <f aca="false">IF(Tasks[[#This Row],[Expected]]="",0,Tasks[[#This Row],[Expected]]-N(Tasks[[#This Row],[_Days]]))</f>
        <v>0</v>
      </c>
    </row>
    <row r="81" customFormat="false" ht="15" hidden="false" customHeight="false" outlineLevel="0" collapsed="false">
      <c r="A81" s="21" t="str">
        <f aca="false">IF(Tasks[[#This Row],[Task Name]]="","",COUNTA(Tasks[[#Headers],[Task Name]]:Tasks[[#This Row],[Task Name]])-1)</f>
        <v/>
      </c>
      <c r="B81" s="22" t="n">
        <v>89</v>
      </c>
      <c r="C81" s="22"/>
      <c r="D81" s="23"/>
      <c r="E81" s="22"/>
      <c r="F81" s="23"/>
      <c r="G81" s="22"/>
      <c r="H81" s="22"/>
      <c r="I81" s="23"/>
      <c r="J81" s="22"/>
      <c r="K81" s="22"/>
      <c r="L81" s="23"/>
      <c r="M81" s="22"/>
      <c r="N81" s="22"/>
      <c r="O81" s="23"/>
      <c r="P81" s="22"/>
      <c r="Q81" s="22"/>
      <c r="R81" s="23"/>
      <c r="S81" s="23"/>
      <c r="T81" s="84"/>
      <c r="U81" s="23"/>
      <c r="V81" s="84"/>
      <c r="W81" s="23"/>
      <c r="X81" s="84"/>
      <c r="Y81" s="23"/>
      <c r="Z81" s="84"/>
      <c r="AA81" s="23"/>
      <c r="AB81" s="23"/>
      <c r="AC81" s="7"/>
      <c r="AD81" s="7"/>
      <c r="AE81" s="63" t="str">
        <f aca="false">IF(Tasks[[#This Row],[Task Name]]="","",IF(Tasks[[#This Row],[_IsSummary]],MIN(INDEX(Tasks[_ShownFcstStart],Tasks[[#This Row],[_Row]]+1):INDEX(Tasks[_ShownFcstStart],Tasks[[#This Row],[_Row]]+Tasks[[#This Row],[_Descendants]])),Tasks[[#This Row],[_ShownFcstStart]]))</f>
        <v/>
      </c>
      <c r="AF81" s="63" t="str">
        <f aca="false">IF(Tasks[[#This Row],[Task Name]]="","",IF(Tasks[[#This Row],[_IsSummary]],MAX(INDEX(Tasks[_ShownFcstFinish],Tasks[[#This Row],[_Row]]+1):INDEX(Tasks[_ShownFcstFinish],Tasks[[#This Row],[_Row]]+Tasks[[#This Row],[_Descendants]])),Tasks[[#This Row],[_ShownFcstFinish]]))</f>
        <v/>
      </c>
      <c r="AG81" s="21" t="str">
        <f aca="false">""</f>
        <v/>
      </c>
      <c r="AH81" s="23"/>
      <c r="AI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1" s="7"/>
      <c r="AK81" s="22"/>
      <c r="AL81" s="23"/>
      <c r="AM81" s="7"/>
      <c r="AN81" s="47" t="str">
        <f aca="false">IF(Tasks[[#This Row],[Task Name]]="","",IF(Tasks[[#This Row],[Finish]]&gt;=Tasks[[#This Row],[Planned Finish]],NETWORKDAYS.INTL(Tasks[[#This Row],[Planned Finish]],Tasks[[#This Row],[Finish]],WorkWeek,Holidays)-1,1-NETWORKDAYS.INTL(Tasks[[#This Row],[Finish]],Tasks[[#This Row],[Planned Finish]],WorkWeek,Holidays)))</f>
        <v/>
      </c>
      <c r="AO81" s="21" t="str">
        <f aca="false">IF(Tasks[[#This Row],[Task Name]]="","",IF(Tasks[[#This Row],[Progress]]&gt;=1,"Complete",IF(OR(N(Tasks[[#This Row],[Actual Start]])&gt;0,Tasks[[#This Row],[Progress]]&gt;0),IF(Tasks[[#This Row],[Finish Var]]&gt;0,"Behind","In Progress"),IF(Tasks[[#This Row],[Planned Start]]&lt;StatusDate,"Late Start","Not Started"))))</f>
        <v/>
      </c>
      <c r="AP81" s="21" t="str">
        <f aca="false">IF(Tasks[[#This Row],[Task Name]]="","",IF(IF(Tasks[[#This Row],[_IsSummary]],COUNTIF(INDEX(Tasks[_LeafCritical],Tasks[[#This Row],[_Row]]+1):INDEX(Tasks[_LeafCritical],Tasks[[#This Row],[_Row]]+Tasks[[#This Row],[_Descendants]]),TRUE())&gt;0,Tasks[[#This Row],[_LeafCritical]]),"Yes",""))</f>
        <v/>
      </c>
      <c r="AQ81" s="63" t="str">
        <f aca="false">IF(Tasks[[#This Row],[Task Name]]="","",IF(N(Tasks[[#This Row],[Baseline Start]])&gt;0,Tasks[[#This Row],[Baseline Start]],Tasks[[#This Row],[_CalcStart]]))</f>
        <v/>
      </c>
      <c r="AR81" s="63" t="str">
        <f aca="false">IF(Tasks[[#This Row],[Task Name]]="","",IF(N(Tasks[[#This Row],[Baseline Finish]])&gt;0,Tasks[[#This Row],[Baseline Finish]],Tasks[[#This Row],[_CalcFinish]]))</f>
        <v/>
      </c>
      <c r="AS81" s="47" t="str">
        <f aca="false">IF(Tasks[[#This Row],[Task Name]]="","",IF(Tasks[[#This Row],[Start]]&gt;=Tasks[[#This Row],[Planned Start]],NETWORKDAYS.INTL(Tasks[[#This Row],[Planned Start]],Tasks[[#This Row],[Start]],WorkWeek,Holidays)-1,1-NETWORKDAYS.INTL(Tasks[[#This Row],[Start]],Tasks[[#This Row],[Planned Start]],WorkWeek,Holidays)))</f>
        <v/>
      </c>
      <c r="AT81" s="63" t="str">
        <f aca="false">IF(Tasks[[#This Row],[Task Name]]="","",IF(Tasks[[#This Row],[_IsSummary]],MIN(INDEX(Tasks[_LeafLateStart],Tasks[[#This Row],[_Row]]+1):INDEX(Tasks[_LeafLateStart],Tasks[[#This Row],[_Row]]+Tasks[[#This Row],[_Descendants]])),Tasks[[#This Row],[_LeafLateStart]]))</f>
        <v/>
      </c>
      <c r="AU81" s="63" t="str">
        <f aca="false">IF(Tasks[[#This Row],[Task Name]]="","",IF(Tasks[[#This Row],[_IsSummary]],MAX(INDEX(Tasks[_LeafLateFinish],Tasks[[#This Row],[_Row]]+1):INDEX(Tasks[_LeafLateFinish],Tasks[[#This Row],[_Row]]+Tasks[[#This Row],[_Descendants]])),Tasks[[#This Row],[_LeafLateFinish]]))</f>
        <v/>
      </c>
      <c r="AV81" s="47" t="str">
        <f aca="false">IF(Tasks[[#This Row],[Task Name]]="","",IF(Tasks[[#This Row],[_IsSummary]],MIN(INDEX(Tasks[_LeafTotalSlack],Tasks[[#This Row],[_Row]]+1):INDEX(Tasks[_LeafTotalSlack],Tasks[[#This Row],[_Row]]+Tasks[[#This Row],[_Descendants]])),Tasks[[#This Row],[_LeafTotalSlack]]))</f>
        <v/>
      </c>
      <c r="AW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5"/>
      <c r="BA8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t="str">
        <f aca="false">IF(Tasks[[#This Row],[Task Name]]="","",IF(Tasks[[#This Row],[_Level]]&lt;=OutlineShowLevel,"Yes","No"))</f>
        <v/>
      </c>
      <c r="BE81" s="86" t="str">
        <f aca="false">IF(Tasks[[#This Row],[Task Name]]="","",IF(Tasks[[#This Row],[_IsSummary]],SUM(INDEX(Tasks[_LeafTotalWork],Tasks[[#This Row],[_Row]]+1):INDEX(Tasks[_LeafTotalWork],Tasks[[#This Row],[_Row]]+Tasks[[#This Row],[_Descendants]])),Tasks[[#This Row],[_LeafTotalWork]]))</f>
        <v/>
      </c>
      <c r="BF81" s="23"/>
      <c r="BG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t="str">
        <f aca="false">""</f>
        <v/>
      </c>
      <c r="BI81" s="87"/>
      <c r="BJ81" s="22"/>
      <c r="BK81" s="47" t="str">
        <f aca="false">IF(OR(Tasks[[#This Row],[Task Name]]="",Tasks[[#This Row],[Baseline Duration]]=""),"",Tasks[[#This Row],[_SpanDays]]-N(Tasks[[#This Row],[Baseline Duration]]))</f>
        <v/>
      </c>
      <c r="BL81" s="86" t="str">
        <f aca="false">IF(OR(Tasks[[#This Row],[Task Name]]="",Tasks[[#This Row],[Baseline Work]]=""),"",Tasks[[#This Row],[Work]]-N(Tasks[[#This Row],[Baseline Work]]))</f>
        <v/>
      </c>
      <c r="BM81" s="63" t="str">
        <f aca="false">IF(Tasks[[#This Row],[Task Name]]="","",IF(OR(TakeBaseline="Yes",N(Tasks[[#This Row],[Baseline Start]])=0),Tasks[[#This Row],[Start]],Tasks[[#This Row],[Baseline Start]]))</f>
        <v/>
      </c>
      <c r="BN81" s="63" t="str">
        <f aca="false">IF(Tasks[[#This Row],[Task Name]]="","",IF(OR(TakeBaseline="Yes",N(Tasks[[#This Row],[Baseline Finish]])=0),Tasks[[#This Row],[Finish]],Tasks[[#This Row],[Baseline Finish]]))</f>
        <v/>
      </c>
      <c r="BO81" s="21" t="str">
        <f aca="false">IF(Tasks[[#This Row],[Task Name]]="","",IF(OR(TakeBaseline="Yes",N(Tasks[[#This Row],[Baseline Duration]])=0),Tasks[[#This Row],[_SpanDays]],Tasks[[#This Row],[Baseline Duration]]))</f>
        <v/>
      </c>
      <c r="BP81" s="86" t="str">
        <f aca="false">IF(Tasks[[#This Row],[Task Name]]="","",IF(OR(TakeBaseline="Yes",N(Tasks[[#This Row],[Baseline Work]])=0),Tasks[[#This Row],[Work]],Tasks[[#This Row],[Baseline Work]]))</f>
        <v/>
      </c>
      <c r="BQ81" s="7"/>
      <c r="BR81" s="7"/>
      <c r="BS81" s="22"/>
      <c r="BT81" s="88"/>
      <c r="BU81" s="23"/>
      <c r="BV81" s="23"/>
      <c r="BW81" s="23"/>
      <c r="BX81" s="89" t="str">
        <f aca="false">IF(AND(Tasks[[#This Row],[_IsLeaf]]=1,ISNUMBER(Tasks[[#This Row],[Optimistic]]),ISNUMBER(Tasks[[#This Row],[Pessimistic]])),ROUND((Tasks[[#This Row],[Optimistic]]+4*N(Tasks[[#This Row],[_Days]])+Tasks[[#This Row],[Pessimistic]])/6,1),"")</f>
        <v/>
      </c>
      <c r="BY81" s="87"/>
      <c r="BZ81" s="87"/>
      <c r="CA81" s="22"/>
      <c r="CB81" s="43" t="str">
        <f aca="false">IF(Tasks[[#This Row],[Task Name]]="","",MAX(1,N(Tasks[[#This Row],[Level]])))</f>
        <v/>
      </c>
      <c r="CC81" s="43" t="n">
        <f aca="false">ROW()-ROW(Tasks[[#Headers],[ID]])</f>
        <v>76</v>
      </c>
      <c r="CD81" s="43" t="n">
        <f aca="false">IF(OR(Tasks[[#This Row],[Task Name]]="",Tasks[[#This Row],[_Level]]&lt;=1),0,IFERROR(LOOKUP(2,1/(Tasks[[#Headers],[_Level]]:Tasks[[#This Row],[_Level]]=Tasks[[#This Row],[_Level]]-1),ROW(Tasks[[#Headers],[_Level]]:Tasks[[#This Row],[_Level]])),0))</f>
        <v>0</v>
      </c>
      <c r="CE81" s="43" t="n">
        <f aca="false">IFERROR(N(INDEX(Tasks[_Level],Tasks[[#This Row],[_Row]]+1)),0)</f>
        <v>0</v>
      </c>
      <c r="CF81" s="90" t="b">
        <f aca="false">AND(Tasks[[#This Row],[Task Name]]&lt;&gt;"",Tasks[[#This Row],[_NextLevel]]&gt;Tasks[[#This Row],[_Level]])</f>
        <v>0</v>
      </c>
      <c r="CG81" s="43" t="n">
        <f aca="false">IF(Tasks[[#This Row],[_IsSummary]],COUNTIF(Tasks[WBS],Tasks[[#This Row],[WBS]]&amp;".*"),0)</f>
        <v>0</v>
      </c>
      <c r="CH81" s="43" t="n">
        <f aca="false">IF(AND(Tasks[[#This Row],[Task Name]]&lt;&gt;"",NOT(Tasks[[#This Row],[_IsSummary]])),1,0)</f>
        <v>0</v>
      </c>
      <c r="CI81" s="43" t="n">
        <f aca="false">IF(N(Tasks[[#This Row],[_Pred1UID]])=0,0,IFERROR(MATCH(Tasks[[#This Row],[_Pred1UID]],Tasks[UID],0),-1))</f>
        <v>0</v>
      </c>
      <c r="CJ81" s="43" t="n">
        <f aca="false">IF(N(Tasks[[#This Row],[_Pred2UID]])=0,0,IFERROR(MATCH(Tasks[[#This Row],[_Pred2UID]],Tasks[UID],0),-1))</f>
        <v>0</v>
      </c>
      <c r="CK81" s="43" t="n">
        <f aca="false">IF(N(Tasks[[#This Row],[_Pred3UID]])=0,0,IFERROR(MATCH(Tasks[[#This Row],[_Pred3UID]],Tasks[UID],0),-1))</f>
        <v>0</v>
      </c>
      <c r="CL81" s="43" t="n">
        <f aca="false">IF(N(Tasks[[#This Row],[_Pred4UID]])=0,0,IFERROR(MATCH(Tasks[[#This Row],[_Pred4UID]],Tasks[UID],0),-1))</f>
        <v>0</v>
      </c>
      <c r="CM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1" s="91" t="n">
        <f aca="false">IF(OR(Tasks[[#This Row],[_ConstraintCode]]=2,Tasks[[#This Row],[_ConstraintCode]]=3,Tasks[[#This Row],[_ConstraintCode]]=4,Tasks[[#This Row],[_ConstraintCode]]=6),Tasks[[#This Row],[_ConstraintStart]],0)</f>
        <v>0</v>
      </c>
      <c r="CP81" s="91" t="n">
        <f aca="false">IF(OR(Tasks[[#This Row],[_ConstraintCode]]=2,Tasks[[#This Row],[_ConstraintCode]]=3,Tasks[[#This Row],[_ConstraintCode]]=5,Tasks[[#This Row],[_ConstraintCode]]=7),Tasks[[#This Row],[_ConstraintStart]],2958465)</f>
        <v>2958465</v>
      </c>
      <c r="CQ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1" s="91" t="str">
        <f aca="false">IF(NOT(Tasks[[#This Row],[_IsLeaf]]=1),"",IF(N(Tasks[[#This Row],[_Days]])&lt;=0,Tasks[[#This Row],[_LeafCalcStart]],WORKDAY.INTL(Tasks[[#This Row],[_LeafCalcStart]],Tasks[[#This Row],[_Days]]-1,WorkWeek,Holidays)))</f>
        <v/>
      </c>
      <c r="CS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1" s="43" t="str">
        <f aca="false">IF(Tasks[[#This Row],[_Predecessors]]="","",TRIM(MID(SUBSTITUTE(SUBSTITUTE(SUBSTITUTE(UPPER(Tasks[[#This Row],[_Predecessors]]),";",",")," ",""),",",REPT(" ",99)),1,99)))</f>
        <v/>
      </c>
      <c r="CV81" s="43" t="str">
        <f aca="false">IF(Tasks[[#This Row],[_Pred1Text]]="","",IFERROR(VALUE(LEFT(Tasks[[#This Row],[_Pred1Text]],MIN(FIND("F",Tasks[[#This Row],[_Pred1Text]]&amp;"F"),FIND("S",Tasks[[#This Row],[_Pred1Text]]&amp;"S"),FIND("+",Tasks[[#This Row],[_Pred1Text]]&amp;"+"),FIND("-",Tasks[[#This Row],[_Pred1Text]]&amp;"-"))-1)),""))</f>
        <v/>
      </c>
      <c r="CW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1" s="43" t="str">
        <f aca="false">IF(Tasks[[#This Row],[_Pred1Text]]="","",TRIM(MID(SUBSTITUTE(SUBSTITUTE(SUBSTITUTE(UPPER(Tasks[[#This Row],[_Predecessors]]),";",",")," ",""),",",REPT(" ",99)),100,99)))</f>
        <v/>
      </c>
      <c r="CZ81" s="43" t="str">
        <f aca="false">IF(Tasks[[#This Row],[_Pred2Text]]="","",IFERROR(VALUE(LEFT(Tasks[[#This Row],[_Pred2Text]],MIN(FIND("F",Tasks[[#This Row],[_Pred2Text]]&amp;"F"),FIND("S",Tasks[[#This Row],[_Pred2Text]]&amp;"S"),FIND("+",Tasks[[#This Row],[_Pred2Text]]&amp;"+"),FIND("-",Tasks[[#This Row],[_Pred2Text]]&amp;"-"))-1)),""))</f>
        <v/>
      </c>
      <c r="DA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1" s="43" t="str">
        <f aca="false">IF(Tasks[[#This Row],[_Pred2Text]]="","",TRIM(MID(SUBSTITUTE(SUBSTITUTE(SUBSTITUTE(UPPER(Tasks[[#This Row],[_Predecessors]]),";",",")," ",""),",",REPT(" ",99)),199,99)))</f>
        <v/>
      </c>
      <c r="DD81" s="43" t="str">
        <f aca="false">IF(Tasks[[#This Row],[_Pred3Text]]="","",IFERROR(VALUE(LEFT(Tasks[[#This Row],[_Pred3Text]],MIN(FIND("F",Tasks[[#This Row],[_Pred3Text]]&amp;"F"),FIND("S",Tasks[[#This Row],[_Pred3Text]]&amp;"S"),FIND("+",Tasks[[#This Row],[_Pred3Text]]&amp;"+"),FIND("-",Tasks[[#This Row],[_Pred3Text]]&amp;"-"))-1)),""))</f>
        <v/>
      </c>
      <c r="DE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1" s="43" t="str">
        <f aca="false">IF(Tasks[[#This Row],[_Pred3Text]]="","",TRIM(MID(SUBSTITUTE(SUBSTITUTE(SUBSTITUTE(UPPER(Tasks[[#This Row],[_Predecessors]]),";",",")," ",""),",",REPT(" ",99)),298,99)))</f>
        <v/>
      </c>
      <c r="DH81" s="43" t="str">
        <f aca="false">IF(Tasks[[#This Row],[_Pred4Text]]="","",IFERROR(VALUE(LEFT(Tasks[[#This Row],[_Pred4Text]],MIN(FIND("F",Tasks[[#This Row],[_Pred4Text]]&amp;"F"),FIND("S",Tasks[[#This Row],[_Pred4Text]]&amp;"S"),FIND("+",Tasks[[#This Row],[_Pred4Text]]&amp;"+"),FIND("-",Tasks[[#This Row],[_Pred4Text]]&amp;"-"))-1)),""))</f>
        <v/>
      </c>
      <c r="DI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1" s="43" t="str">
        <f aca="false">IF(OR(Tasks[[#This Row],[Task Name]]="",Tasks[[#This Row],[_Resources]]=""),"",TRIM(MID(SUBSTITUTE(Tasks[[#This Row],[_Resources]],",",REPT(" ",99)),1,99)))</f>
        <v/>
      </c>
      <c r="DL81" s="43" t="str">
        <f aca="false">IF(Tasks[[#This Row],[_Res1Text]]="","",TRIM(MID(SUBSTITUTE(Tasks[[#This Row],[_Resources]],",",REPT(" ",99)),100,99)))</f>
        <v/>
      </c>
      <c r="DM81" s="43" t="str">
        <f aca="false">IF(Tasks[[#This Row],[_Res2Text]]="","",TRIM(MID(SUBSTITUTE(Tasks[[#This Row],[_Resources]],",",REPT(" ",99)),199,99)))</f>
        <v/>
      </c>
      <c r="DN81" s="43" t="str">
        <f aca="false">IF(Tasks[[#This Row],[_Res3Text]]="","",TRIM(MID(SUBSTITUTE(Tasks[[#This Row],[_Resources]],",",REPT(" ",99)),298,99)))</f>
        <v/>
      </c>
      <c r="DO81" s="43" t="n">
        <f aca="false">IF(Tasks[[#This Row],[_Res1Text]]="",0,IFERROR(MATCH(TRIM(LEFT(Tasks[[#This Row],[_Res1Text]],FIND("[",Tasks[[#This Row],[_Res1Text]]&amp;"[")-1)),res_Name,0),IFERROR(MATCH(TRIM(LEFT(Tasks[[#This Row],[_Res1Text]],FIND("[",Tasks[[#This Row],[_Res1Text]]&amp;"[")-1)),res_Initials,0),0)))</f>
        <v>0</v>
      </c>
      <c r="DP81" s="43" t="n">
        <f aca="false">IF(Tasks[[#This Row],[_Res2Text]]="",0,IFERROR(MATCH(TRIM(LEFT(Tasks[[#This Row],[_Res2Text]],FIND("[",Tasks[[#This Row],[_Res2Text]]&amp;"[")-1)),res_Name,0),IFERROR(MATCH(TRIM(LEFT(Tasks[[#This Row],[_Res2Text]],FIND("[",Tasks[[#This Row],[_Res2Text]]&amp;"[")-1)),res_Initials,0),0)))</f>
        <v>0</v>
      </c>
      <c r="DQ81" s="43" t="n">
        <f aca="false">IF(Tasks[[#This Row],[_Res3Text]]="",0,IFERROR(MATCH(TRIM(LEFT(Tasks[[#This Row],[_Res3Text]],FIND("[",Tasks[[#This Row],[_Res3Text]]&amp;"[")-1)),res_Name,0),IFERROR(MATCH(TRIM(LEFT(Tasks[[#This Row],[_Res3Text]],FIND("[",Tasks[[#This Row],[_Res3Text]]&amp;"[")-1)),res_Initials,0),0)))</f>
        <v>0</v>
      </c>
      <c r="DR81" s="43" t="n">
        <f aca="false">IF(Tasks[[#This Row],[_Res4Text]]="",0,IFERROR(MATCH(TRIM(LEFT(Tasks[[#This Row],[_Res4Text]],FIND("[",Tasks[[#This Row],[_Res4Text]]&amp;"[")-1)),res_Name,0),IFERROR(MATCH(TRIM(LEFT(Tasks[[#This Row],[_Res4Text]],FIND("[",Tasks[[#This Row],[_Res4Text]]&amp;"[")-1)),res_Initials,0),0)))</f>
        <v>0</v>
      </c>
      <c r="DS81" s="43" t="str">
        <f aca="false">IF(Tasks[[#This Row],[_Res1Text]]="","",IF(Tasks[[#This Row],[_Res1Row]]&gt;0,INDEX(res_Name,Tasks[[#This Row],[_Res1Row]]),TRIM(LEFT(Tasks[[#This Row],[_Res1Text]],FIND("[",Tasks[[#This Row],[_Res1Text]]&amp;"[")-1))))</f>
        <v/>
      </c>
      <c r="DT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1" s="43" t="n">
        <f aca="false">IF(NOT(Tasks[[#This Row],[_IsLeaf]]=1),0,(Tasks[[#This Row],[_Resource1]]&lt;&gt;"")+(Tasks[[#This Row],[_Res2]]&lt;&gt;"")+(Tasks[[#This Row],[_Res3]]&lt;&gt;"")+(Tasks[[#This Row],[_Res4]]&lt;&gt;""))</f>
        <v>0</v>
      </c>
      <c r="DV81" s="43" t="str">
        <f aca="false">IF(Tasks[[#This Row],[_Res2Text]]="","",IF(Tasks[[#This Row],[_Res2Row]]&gt;0,INDEX(res_Name,Tasks[[#This Row],[_Res2Row]]),TRIM(LEFT(Tasks[[#This Row],[_Res2Text]],FIND("[",Tasks[[#This Row],[_Res2Text]]&amp;"[")-1))))</f>
        <v/>
      </c>
      <c r="DW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1" s="43" t="n">
        <f aca="false">IF(OR(NOT(Tasks[[#This Row],[_IsLeaf]]=1),Tasks[[#This Row],[_Res2Row]]=0),0,N(Tasks[[#This Row],[_Days]])*HoursPerDay*IF(Tasks[[#This Row],[_Res2Units]]="",DefaultUnits,Tasks[[#This Row],[_Res2Units]]))</f>
        <v>0</v>
      </c>
      <c r="DY81" s="43" t="n">
        <f aca="false">IF(AND(AND(Tasks[[#This Row],[_IsLeaf]]=1,Tasks[[#This Row],[_LeafTotalWork]]&gt;0),Tasks[[#This Row],[_Res2Work]]&gt;0),Tasks[[#This Row],[_Res2Work]]/(Tasks[[#This Row],[_FinishWorkday]]-Tasks[[#This Row],[_StartWorkday]]+1),0)</f>
        <v>0</v>
      </c>
      <c r="DZ81" s="43" t="n">
        <f aca="false">Tasks[[#This Row],[_Res2WorkPerWD]]*MAX(0,Tasks[[#This Row],[_StartWorkday]]-1)</f>
        <v>0</v>
      </c>
      <c r="EA81" s="43" t="n">
        <f aca="false">Tasks[[#This Row],[_Res2Work]]*Tasks[[#This Row],[_LeafProgress]]</f>
        <v>0</v>
      </c>
      <c r="EB81" s="43" t="str">
        <f aca="false">IF(Tasks[[#This Row],[_Res3Text]]="","",IF(Tasks[[#This Row],[_Res3Row]]&gt;0,INDEX(res_Name,Tasks[[#This Row],[_Res3Row]]),TRIM(LEFT(Tasks[[#This Row],[_Res3Text]],FIND("[",Tasks[[#This Row],[_Res3Text]]&amp;"[")-1))))</f>
        <v/>
      </c>
      <c r="EC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1" s="43" t="n">
        <f aca="false">IF(OR(NOT(Tasks[[#This Row],[_IsLeaf]]=1),Tasks[[#This Row],[_Res3Row]]=0),0,N(Tasks[[#This Row],[_Days]])*HoursPerDay*IF(Tasks[[#This Row],[_Res3Units]]="",DefaultUnits,Tasks[[#This Row],[_Res3Units]]))</f>
        <v>0</v>
      </c>
      <c r="EE81" s="43" t="n">
        <f aca="false">IF(AND(AND(Tasks[[#This Row],[_IsLeaf]]=1,Tasks[[#This Row],[_LeafTotalWork]]&gt;0),Tasks[[#This Row],[_Res3Work]]&gt;0),Tasks[[#This Row],[_Res3Work]]/(Tasks[[#This Row],[_FinishWorkday]]-Tasks[[#This Row],[_StartWorkday]]+1),0)</f>
        <v>0</v>
      </c>
      <c r="EF81" s="43" t="n">
        <f aca="false">Tasks[[#This Row],[_Res3WorkPerWD]]*MAX(0,Tasks[[#This Row],[_StartWorkday]]-1)</f>
        <v>0</v>
      </c>
      <c r="EG81" s="43" t="n">
        <f aca="false">Tasks[[#This Row],[_Res3Work]]*Tasks[[#This Row],[_LeafProgress]]</f>
        <v>0</v>
      </c>
      <c r="EH81" s="43" t="str">
        <f aca="false">IF(Tasks[[#This Row],[_Res4Text]]="","",IF(Tasks[[#This Row],[_Res4Row]]&gt;0,INDEX(res_Name,Tasks[[#This Row],[_Res4Row]]),TRIM(LEFT(Tasks[[#This Row],[_Res4Text]],FIND("[",Tasks[[#This Row],[_Res4Text]]&amp;"[")-1))))</f>
        <v/>
      </c>
      <c r="EI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1" s="43" t="n">
        <f aca="false">IF(OR(NOT(Tasks[[#This Row],[_IsLeaf]]=1),Tasks[[#This Row],[_Res4Row]]=0),0,N(Tasks[[#This Row],[_Days]])*HoursPerDay*IF(Tasks[[#This Row],[_Res4Units]]="",DefaultUnits,Tasks[[#This Row],[_Res4Units]]))</f>
        <v>0</v>
      </c>
      <c r="EK81" s="43" t="n">
        <f aca="false">IF(AND(AND(Tasks[[#This Row],[_IsLeaf]]=1,Tasks[[#This Row],[_LeafTotalWork]]&gt;0),Tasks[[#This Row],[_Res4Work]]&gt;0),Tasks[[#This Row],[_Res4Work]]/(Tasks[[#This Row],[_FinishWorkday]]-Tasks[[#This Row],[_StartWorkday]]+1),0)</f>
        <v>0</v>
      </c>
      <c r="EL81" s="43" t="n">
        <f aca="false">Tasks[[#This Row],[_Res4WorkPerWD]]*MAX(0,Tasks[[#This Row],[_StartWorkday]]-1)</f>
        <v>0</v>
      </c>
      <c r="EM81" s="43" t="n">
        <f aca="false">Tasks[[#This Row],[_Res4Work]]*Tasks[[#This Row],[_LeafProgress]]</f>
        <v>0</v>
      </c>
      <c r="EN81" s="43" t="n">
        <f aca="false">IF(ISNUMBER(Tasks[[#This Row],[% Complete]]),Tasks[[#This Row],[% Complete]],IF(Tasks[[#This Row],[Stage]]="",0,IFERROR(INDEX(stg_Pct,MATCH(Tasks[[#This Row],[Stage]],stg_Name,0)),0)))</f>
        <v>0</v>
      </c>
      <c r="EO81" s="43" t="n">
        <f aca="false">IF(NOT(Tasks[[#This Row],[_IsLeaf]]=1),0,IF(N(Tasks[[#This Row],[Actual Finish]])&gt;0,1,MIN(1,Tasks[[#This Row],[_Pct]])))</f>
        <v>0</v>
      </c>
      <c r="EP81" s="43" t="n">
        <f aca="false">IF(OR(NOT(Tasks[[#This Row],[_IsLeaf]]=1),Tasks[[#This Row],[_Res1Row]]=0),0,N(Tasks[[#This Row],[_Days]])*HoursPerDay*IF(Tasks[[#This Row],[_Units1]]="",DefaultUnits,Tasks[[#This Row],[_Units1]]))</f>
        <v>0</v>
      </c>
      <c r="EQ81" s="43" t="n">
        <f aca="false">Tasks[[#This Row],[_LeafWork]]+Tasks[[#This Row],[_Res2Work]]+Tasks[[#This Row],[_Res3Work]]+Tasks[[#This Row],[_Res4Work]]</f>
        <v>0</v>
      </c>
      <c r="ER8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1" s="43" t="n">
        <f aca="false">IF(NOT(Tasks[[#This Row],[_IsLeaf]]=1),0,MAX(_xlfn.MAXIFS(Tasks[_Row],Tasks[_Pred1UID],Tasks[[#This Row],[UID]]),_xlfn.MAXIFS(Tasks[_Row],Tasks[_Pred2UID],Tasks[[#This Row],[UID]]),_xlfn.MAXIFS(Tasks[_Row],Tasks[_Pred3UID],Tasks[[#This Row],[UID]]),_xlfn.MAXIFS(Tasks[_Row],Tasks[_Pred4UID],Tasks[[#This Row],[UID]])))</f>
        <v>0</v>
      </c>
      <c r="FA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1" s="91" t="str">
        <f aca="false">IF(NOT(Tasks[[#This Row],[_IsLeaf]]=1),"",IF(N(Tasks[[#This Row],[_Days]])&lt;=0,Tasks[[#This Row],[_LeafLateFinish]],WORKDAY.INTL(Tasks[[#This Row],[_LeafLateFinish]],-(Tasks[[#This Row],[_Days]]-1),WorkWeek,Holidays)))</f>
        <v/>
      </c>
      <c r="FD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1" s="90" t="b">
        <f aca="false">AND(Tasks[[#This Row],[_IsLeaf]]=1,Tasks[[#This Row],[_LeafProgress]]&lt;1,N(Tasks[[#This Row],[_LeafTotalSlack]])&lt;=CriticalSlackDays)</f>
        <v>0</v>
      </c>
      <c r="FF81" s="43" t="n">
        <f aca="false">IF(AND(Tasks[[#This Row],[_IsLeaf]]=1,Tasks[[#This Row],[_ConstraintCode]]=1,Tasks[[#This Row],[Mode]]&lt;&gt;"Manual",N(Tasks[[#This Row],[Actual Start]])=0),MAX(0,N(Tasks[[#This Row],[Free Slack]])),0)</f>
        <v>0</v>
      </c>
      <c r="FG81" s="91" t="str">
        <f aca="false">IF(NOT(Tasks[[#This Row],[_IsLeaf]]=1),"",IF(Tasks[[#This Row],[_AlapShift]]=0,Tasks[[#This Row],[_LeafCalcStart]],WORKDAY.INTL(Tasks[[#This Row],[_LeafCalcStart]],Tasks[[#This Row],[_AlapShift]],WorkWeek,Holidays)))</f>
        <v/>
      </c>
      <c r="FH81" s="91" t="str">
        <f aca="false">IF(NOT(Tasks[[#This Row],[_IsLeaf]]=1),"",IF(Tasks[[#This Row],[_AlapShift]]=0,Tasks[[#This Row],[_LeafCalcFinish]],WORKDAY.INTL(Tasks[[#This Row],[_LeafCalcFinish]],Tasks[[#This Row],[_AlapShift]],WorkWeek,Holidays)))</f>
        <v/>
      </c>
      <c r="FI81" s="91" t="str">
        <f aca="false">IF(NOT(Tasks[[#This Row],[_IsLeaf]]=1),"",IF(Tasks[[#This Row],[_AlapShift]]=0,Tasks[[#This Row],[_LeafFcstStart]],WORKDAY.INTL(Tasks[[#This Row],[_LeafFcstStart]],Tasks[[#This Row],[_AlapShift]],WorkWeek,Holidays)))</f>
        <v/>
      </c>
      <c r="FJ81" s="91" t="str">
        <f aca="false">IF(NOT(Tasks[[#This Row],[_IsLeaf]]=1),"",IF(Tasks[[#This Row],[_AlapShift]]=0,Tasks[[#This Row],[_LeafFcstFinish]],WORKDAY.INTL(Tasks[[#This Row],[_LeafFcstFinish]],Tasks[[#This Row],[_AlapShift]],WorkWeek,Holidays)))</f>
        <v/>
      </c>
      <c r="FK81" s="91" t="str">
        <f aca="false">IF(Tasks[[#This Row],[Task Name]]="","",IF(Tasks[[#This Row],[_IsSummary]],MIN(INDEX(Tasks[_ShownCalcStart],Tasks[[#This Row],[_Row]]+1):INDEX(Tasks[_ShownCalcStart],Tasks[[#This Row],[_Row]]+Tasks[[#This Row],[_Descendants]])),Tasks[[#This Row],[_ShownCalcStart]]))</f>
        <v/>
      </c>
      <c r="FL81" s="91" t="str">
        <f aca="false">IF(Tasks[[#This Row],[Task Name]]="","",IF(Tasks[[#This Row],[_IsSummary]],MAX(INDEX(Tasks[_ShownCalcFinish],Tasks[[#This Row],[_Row]]+1):INDEX(Tasks[_ShownCalcFinish],Tasks[[#This Row],[_Row]]+Tasks[[#This Row],[_Descendants]])),Tasks[[#This Row],[_ShownCalcFinish]]))</f>
        <v/>
      </c>
      <c r="FM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1" s="43" t="n">
        <f aca="false">IF(AND(Tasks[[#This Row],[_IsLeaf]]=1,Tasks[[#This Row],[_LeafTotalWork]]&gt;0),NETWORKDAYS.INTL(ProjectStart,Tasks[[#This Row],[_ShownFcstStart]],WorkWeek,Holidays),0)</f>
        <v>0</v>
      </c>
      <c r="FZ81" s="43" t="n">
        <f aca="false">IF(AND(Tasks[[#This Row],[_IsLeaf]]=1,Tasks[[#This Row],[_LeafTotalWork]]&gt;0),MAX(Tasks[[#This Row],[_StartWorkday]],NETWORKDAYS.INTL(ProjectStart,Tasks[[#This Row],[_ShownFcstFinish]],WorkWeek,Holidays)),0)</f>
        <v>0</v>
      </c>
      <c r="GA81" s="43" t="n">
        <f aca="false">IF(AND(Tasks[[#This Row],[_IsLeaf]]=1,Tasks[[#This Row],[_LeafTotalWork]]&gt;0),Tasks[[#This Row],[_LeafWork]]/(Tasks[[#This Row],[_FinishWorkday]]-Tasks[[#This Row],[_StartWorkday]]+1),0)</f>
        <v>0</v>
      </c>
      <c r="GB81" s="43" t="n">
        <f aca="false">Tasks[[#This Row],[_WorkPerWorkday]]*(Tasks[[#This Row],[_StartWorkday]]-1)</f>
        <v>-0</v>
      </c>
      <c r="GC81" s="43" t="n">
        <f aca="false">IF(Tasks[[#This Row],[_IsLeaf]]=1,MAX(N(Tasks[[#This Row],[_Days]]),0.1),0)</f>
        <v>0</v>
      </c>
      <c r="GD81" s="43" t="n">
        <f aca="false">Tasks[[#This Row],[_WeightDur]]*Tasks[[#This Row],[_LeafProgress]]</f>
        <v>0</v>
      </c>
      <c r="GE81" s="43" t="n">
        <f aca="false">Tasks[[#This Row],[_WeightDur]]*Tasks[[#This Row],[_PlannedPct]]</f>
        <v>0</v>
      </c>
      <c r="GF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1" s="43" t="str">
        <f aca="false">IF(AND(Tasks[[#This Row],[_IsLeaf]]=1,N(Tasks[[#This Row],[_Days]])=0,Tasks[[#This Row],[_LeafProgress]]&lt;1),Tasks[[#This Row],[_ShownFcstFinish]]+Tasks[[#This Row],[_Row]]/100000,"")</f>
        <v/>
      </c>
      <c r="GH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1" s="43" t="str">
        <f aca="false">IF(Tasks[[#This Row],[Task Name]]="","",LEFT(Tasks[[#This Row],[WBS]],FIND(".",Tasks[[#This Row],[WBS]]&amp;".")-1))</f>
        <v/>
      </c>
      <c r="GJ81" s="43" t="str">
        <f aca="false">IF(AND(Tasks[[#This Row],[Task Name]]&lt;&gt;"",Tasks[[#This Row],[_Level]]=1),Tasks[[#This Row],[_Row]],"")</f>
        <v/>
      </c>
      <c r="GK81" s="43" t="str">
        <f aca="false">IF(AND(Tasks[[#This Row],[_IsLeaf]]=1,N(Tasks[[#This Row],[_Days]])=0),Tasks[[#This Row],[Planned Finish]]+Tasks[[#This Row],[_Row]]/100000,"")</f>
        <v/>
      </c>
      <c r="GL81" s="43" t="str">
        <f aca="false">IF(AND(Tasks[[#This Row],[_IsLeaf]]=1,Tasks[[#This Row],[_LeafProgress]]&lt;1,OR(N(Tasks[[#This Row],[Finish Var]])&gt;0,Tasks[[#This Row],[Status]]="Late Start")),MAX(0,Tasks[[#This Row],[Finish Var]])+1-Tasks[[#This Row],[_Row]]/1000000,"")</f>
        <v/>
      </c>
      <c r="GM81" s="43" t="str">
        <f aca="false">IF(AND(Tasks[[#This Row],[_IsLeaf]]=1,N(Tasks[[#This Row],[Actual Start]])=0,Tasks[[#This Row],[_ShownFcstStart]]&gt;=StatusDate,Tasks[[#This Row],[_ShownFcstStart]]&lt;=LookaheadEnd),Tasks[[#This Row],[_ShownFcstStart]]+Tasks[[#This Row],[_Row]]/100000,"")</f>
        <v/>
      </c>
      <c r="GN81" s="43" t="str">
        <f aca="false">IF(AND(Tasks[[#This Row],[_IsLeaf]]=1,Tasks[[#This Row],[_LeafProgress]]&lt;1,Tasks[[#This Row],[_ShownFcstFinish]]&gt;=StatusDate,Tasks[[#This Row],[_ShownFcstFinish]]&lt;=LookaheadEnd),Tasks[[#This Row],[_ShownFcstFinish]]+Tasks[[#This Row],[_Row]]/100000,"")</f>
        <v/>
      </c>
      <c r="GO81" s="43" t="str">
        <f aca="false">IF(Tasks[[#This Row],[_LeafCritical]],Tasks[[#This Row],[_ShownFcstStart]]+Tasks[[#This Row],[_Row]]/100000,"")</f>
        <v/>
      </c>
      <c r="GP81" s="43" t="n">
        <f aca="false">Tasks[[#This Row],[_LeafWork]]*Tasks[[#This Row],[_LeafProgress]]</f>
        <v>0</v>
      </c>
      <c r="GQ81" s="91" t="str">
        <f aca="false">IF(AND(Tasks[[#This Row],[_IsLeaf]]=1,Tasks[[#This Row],[_LeafProgress]]&gt;=1),IF(N(Tasks[[#This Row],[Actual Finish]])&gt;0,Tasks[[#This Row],[Actual Finish]],Tasks[[#This Row],[_ShownFcstFinish]]),"")</f>
        <v/>
      </c>
      <c r="GR81" s="43" t="n">
        <f aca="false">IF(Tasks[[#This Row],[_IsLeaf]]=1,N(Tasks[[#This Row],[Story Points]]),0)</f>
        <v>0</v>
      </c>
      <c r="GS81" s="43" t="str">
        <f aca="false">""</f>
        <v/>
      </c>
      <c r="GT81" s="90" t="b">
        <f aca="false">IF(Tasks[[#This Row],[Task Name]]="",FALSE(),AND(Tasks[[#This Row],[_IsLeaf]]=1,N(Tasks[[#This Row],[_Days]])=0))</f>
        <v>0</v>
      </c>
      <c r="GU81" s="91" t="n">
        <f aca="false">IF(Tasks[[#This Row],[Task Name]]="",0,IF(AND(Tasks[[#This Row],[_IsLeaf]]=1,NOT(Tasks[[#This Row],[_IsMilestone]]),N(Tasks[[#This Row],[Progress]])&gt;0),Tasks[[#This Row],[Start]],0))</f>
        <v>0</v>
      </c>
      <c r="GV81" s="91" t="n">
        <f aca="false">IF(Tasks[[#This Row],[_DoneFrom]]=0,0,IF(Tasks[[#This Row],[Progress]]&gt;=1,Tasks[[#This Row],[Finish]],MAX(Tasks[[#This Row],[_DoneFrom]],Tasks[[#This Row],[Start]]+ROUND((Tasks[[#This Row],[Finish]]-Tasks[[#This Row],[Start]]+1)*Tasks[[#This Row],[Progress]],0)-1)))</f>
        <v>0</v>
      </c>
      <c r="GW81" s="91" t="n">
        <f aca="false">IF(Tasks[[#This Row],[Task Name]]="",0,IF(OR(NOT(Tasks[[#This Row],[_IsLeaf]]=1),Tasks[[#This Row],[_IsMilestone]],N(Tasks[[#This Row],[Progress]])&gt;=1),0,IF(Tasks[[#This Row],[_DoneTo]]&gt;0,Tasks[[#This Row],[_DoneTo]]+1,Tasks[[#This Row],[Start]])))</f>
        <v>0</v>
      </c>
      <c r="GX81" s="91" t="n">
        <f aca="false">IF(Tasks[[#This Row],[_RemFrom]]=0,0,Tasks[[#This Row],[Finish]])</f>
        <v>0</v>
      </c>
      <c r="GY81" s="90" t="b">
        <f aca="false">IF(Tasks[[#This Row],[Task Name]]="",FALSE(),OR(NOT(BaselineSet),N(Tasks[[#This Row],[Baseline Start]])&gt;0))</f>
        <v>0</v>
      </c>
      <c r="GZ8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1" s="92" t="str">
        <f aca="false">IF(Tasks[[#This Row],[_IsLeaf]]=1,Tasks[[#This Row],[_Row]],"")</f>
        <v/>
      </c>
      <c r="HD81" s="92" t="str">
        <f aca="false">IFERROR(INDEX(Tasks[UID],SMALL(Tasks[_PickKey],Tasks[[#This Row],[_Row]]))&amp;" "&amp;INDEX(Tasks[Task Name],SMALL(Tasks[_PickKey],Tasks[[#This Row],[_Row]])),"")</f>
        <v/>
      </c>
      <c r="HE81" s="43" t="str">
        <f aca="false">IF(Tasks[[#This Row],[Task Name]]="","",IF(Tasks[[#This Row],[_IsSummary]],NETWORKDAYS.INTL(Tasks[[#This Row],[Start]],Tasks[[#This Row],[Finish]],WorkWeek,Holidays),N(Tasks[[#This Row],[_Days]])))</f>
        <v/>
      </c>
      <c r="HF81" s="43" t="n">
        <f aca="false">IF(Tasks[[#This Row],[Expected]]="",0,((Tasks[[#This Row],[Pessimistic]]-Tasks[[#This Row],[Optimistic]])/6)^2)</f>
        <v>0</v>
      </c>
      <c r="HG81" s="43" t="n">
        <f aca="false">IF(Tasks[[#This Row],[Expected]]="",0,Tasks[[#This Row],[Expected]]-N(Tasks[[#This Row],[_Days]]))</f>
        <v>0</v>
      </c>
    </row>
    <row r="82" customFormat="false" ht="15" hidden="false" customHeight="false" outlineLevel="0" collapsed="false">
      <c r="A82" s="21" t="str">
        <f aca="false">IF(Tasks[[#This Row],[Task Name]]="","",COUNTA(Tasks[[#Headers],[Task Name]]:Tasks[[#This Row],[Task Name]])-1)</f>
        <v/>
      </c>
      <c r="B82" s="22" t="n">
        <v>90</v>
      </c>
      <c r="C82" s="22"/>
      <c r="D82" s="23"/>
      <c r="E82" s="22"/>
      <c r="F82" s="23"/>
      <c r="G82" s="22"/>
      <c r="H82" s="22"/>
      <c r="I82" s="23"/>
      <c r="J82" s="22"/>
      <c r="K82" s="22"/>
      <c r="L82" s="23"/>
      <c r="M82" s="22"/>
      <c r="N82" s="22"/>
      <c r="O82" s="23"/>
      <c r="P82" s="22"/>
      <c r="Q82" s="22"/>
      <c r="R82" s="23"/>
      <c r="S82" s="23"/>
      <c r="T82" s="84"/>
      <c r="U82" s="23"/>
      <c r="V82" s="84"/>
      <c r="W82" s="23"/>
      <c r="X82" s="84"/>
      <c r="Y82" s="23"/>
      <c r="Z82" s="84"/>
      <c r="AA82" s="23"/>
      <c r="AB82" s="23"/>
      <c r="AC82" s="7"/>
      <c r="AD82" s="7"/>
      <c r="AE82" s="63" t="str">
        <f aca="false">IF(Tasks[[#This Row],[Task Name]]="","",IF(Tasks[[#This Row],[_IsSummary]],MIN(INDEX(Tasks[_ShownFcstStart],Tasks[[#This Row],[_Row]]+1):INDEX(Tasks[_ShownFcstStart],Tasks[[#This Row],[_Row]]+Tasks[[#This Row],[_Descendants]])),Tasks[[#This Row],[_ShownFcstStart]]))</f>
        <v/>
      </c>
      <c r="AF82" s="63" t="str">
        <f aca="false">IF(Tasks[[#This Row],[Task Name]]="","",IF(Tasks[[#This Row],[_IsSummary]],MAX(INDEX(Tasks[_ShownFcstFinish],Tasks[[#This Row],[_Row]]+1):INDEX(Tasks[_ShownFcstFinish],Tasks[[#This Row],[_Row]]+Tasks[[#This Row],[_Descendants]])),Tasks[[#This Row],[_ShownFcstFinish]]))</f>
        <v/>
      </c>
      <c r="AG82" s="21" t="str">
        <f aca="false">""</f>
        <v/>
      </c>
      <c r="AH82" s="23"/>
      <c r="AI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2" s="7"/>
      <c r="AK82" s="22"/>
      <c r="AL82" s="23"/>
      <c r="AM82" s="7"/>
      <c r="AN82" s="47" t="str">
        <f aca="false">IF(Tasks[[#This Row],[Task Name]]="","",IF(Tasks[[#This Row],[Finish]]&gt;=Tasks[[#This Row],[Planned Finish]],NETWORKDAYS.INTL(Tasks[[#This Row],[Planned Finish]],Tasks[[#This Row],[Finish]],WorkWeek,Holidays)-1,1-NETWORKDAYS.INTL(Tasks[[#This Row],[Finish]],Tasks[[#This Row],[Planned Finish]],WorkWeek,Holidays)))</f>
        <v/>
      </c>
      <c r="AO82" s="21" t="str">
        <f aca="false">IF(Tasks[[#This Row],[Task Name]]="","",IF(Tasks[[#This Row],[Progress]]&gt;=1,"Complete",IF(OR(N(Tasks[[#This Row],[Actual Start]])&gt;0,Tasks[[#This Row],[Progress]]&gt;0),IF(Tasks[[#This Row],[Finish Var]]&gt;0,"Behind","In Progress"),IF(Tasks[[#This Row],[Planned Start]]&lt;StatusDate,"Late Start","Not Started"))))</f>
        <v/>
      </c>
      <c r="AP82" s="21" t="str">
        <f aca="false">IF(Tasks[[#This Row],[Task Name]]="","",IF(IF(Tasks[[#This Row],[_IsSummary]],COUNTIF(INDEX(Tasks[_LeafCritical],Tasks[[#This Row],[_Row]]+1):INDEX(Tasks[_LeafCritical],Tasks[[#This Row],[_Row]]+Tasks[[#This Row],[_Descendants]]),TRUE())&gt;0,Tasks[[#This Row],[_LeafCritical]]),"Yes",""))</f>
        <v/>
      </c>
      <c r="AQ82" s="63" t="str">
        <f aca="false">IF(Tasks[[#This Row],[Task Name]]="","",IF(N(Tasks[[#This Row],[Baseline Start]])&gt;0,Tasks[[#This Row],[Baseline Start]],Tasks[[#This Row],[_CalcStart]]))</f>
        <v/>
      </c>
      <c r="AR82" s="63" t="str">
        <f aca="false">IF(Tasks[[#This Row],[Task Name]]="","",IF(N(Tasks[[#This Row],[Baseline Finish]])&gt;0,Tasks[[#This Row],[Baseline Finish]],Tasks[[#This Row],[_CalcFinish]]))</f>
        <v/>
      </c>
      <c r="AS82" s="47" t="str">
        <f aca="false">IF(Tasks[[#This Row],[Task Name]]="","",IF(Tasks[[#This Row],[Start]]&gt;=Tasks[[#This Row],[Planned Start]],NETWORKDAYS.INTL(Tasks[[#This Row],[Planned Start]],Tasks[[#This Row],[Start]],WorkWeek,Holidays)-1,1-NETWORKDAYS.INTL(Tasks[[#This Row],[Start]],Tasks[[#This Row],[Planned Start]],WorkWeek,Holidays)))</f>
        <v/>
      </c>
      <c r="AT82" s="63" t="str">
        <f aca="false">IF(Tasks[[#This Row],[Task Name]]="","",IF(Tasks[[#This Row],[_IsSummary]],MIN(INDEX(Tasks[_LeafLateStart],Tasks[[#This Row],[_Row]]+1):INDEX(Tasks[_LeafLateStart],Tasks[[#This Row],[_Row]]+Tasks[[#This Row],[_Descendants]])),Tasks[[#This Row],[_LeafLateStart]]))</f>
        <v/>
      </c>
      <c r="AU82" s="63" t="str">
        <f aca="false">IF(Tasks[[#This Row],[Task Name]]="","",IF(Tasks[[#This Row],[_IsSummary]],MAX(INDEX(Tasks[_LeafLateFinish],Tasks[[#This Row],[_Row]]+1):INDEX(Tasks[_LeafLateFinish],Tasks[[#This Row],[_Row]]+Tasks[[#This Row],[_Descendants]])),Tasks[[#This Row],[_LeafLateFinish]]))</f>
        <v/>
      </c>
      <c r="AV82" s="47" t="str">
        <f aca="false">IF(Tasks[[#This Row],[Task Name]]="","",IF(Tasks[[#This Row],[_IsSummary]],MIN(INDEX(Tasks[_LeafTotalSlack],Tasks[[#This Row],[_Row]]+1):INDEX(Tasks[_LeafTotalSlack],Tasks[[#This Row],[_Row]]+Tasks[[#This Row],[_Descendants]])),Tasks[[#This Row],[_LeafTotalSlack]]))</f>
        <v/>
      </c>
      <c r="AW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5"/>
      <c r="BA8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t="str">
        <f aca="false">IF(Tasks[[#This Row],[Task Name]]="","",IF(Tasks[[#This Row],[_Level]]&lt;=OutlineShowLevel,"Yes","No"))</f>
        <v/>
      </c>
      <c r="BE82" s="86" t="str">
        <f aca="false">IF(Tasks[[#This Row],[Task Name]]="","",IF(Tasks[[#This Row],[_IsSummary]],SUM(INDEX(Tasks[_LeafTotalWork],Tasks[[#This Row],[_Row]]+1):INDEX(Tasks[_LeafTotalWork],Tasks[[#This Row],[_Row]]+Tasks[[#This Row],[_Descendants]])),Tasks[[#This Row],[_LeafTotalWork]]))</f>
        <v/>
      </c>
      <c r="BF82" s="23"/>
      <c r="BG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t="str">
        <f aca="false">""</f>
        <v/>
      </c>
      <c r="BI82" s="87"/>
      <c r="BJ82" s="22"/>
      <c r="BK82" s="47" t="str">
        <f aca="false">IF(OR(Tasks[[#This Row],[Task Name]]="",Tasks[[#This Row],[Baseline Duration]]=""),"",Tasks[[#This Row],[_SpanDays]]-N(Tasks[[#This Row],[Baseline Duration]]))</f>
        <v/>
      </c>
      <c r="BL82" s="86" t="str">
        <f aca="false">IF(OR(Tasks[[#This Row],[Task Name]]="",Tasks[[#This Row],[Baseline Work]]=""),"",Tasks[[#This Row],[Work]]-N(Tasks[[#This Row],[Baseline Work]]))</f>
        <v/>
      </c>
      <c r="BM82" s="63" t="str">
        <f aca="false">IF(Tasks[[#This Row],[Task Name]]="","",IF(OR(TakeBaseline="Yes",N(Tasks[[#This Row],[Baseline Start]])=0),Tasks[[#This Row],[Start]],Tasks[[#This Row],[Baseline Start]]))</f>
        <v/>
      </c>
      <c r="BN82" s="63" t="str">
        <f aca="false">IF(Tasks[[#This Row],[Task Name]]="","",IF(OR(TakeBaseline="Yes",N(Tasks[[#This Row],[Baseline Finish]])=0),Tasks[[#This Row],[Finish]],Tasks[[#This Row],[Baseline Finish]]))</f>
        <v/>
      </c>
      <c r="BO82" s="21" t="str">
        <f aca="false">IF(Tasks[[#This Row],[Task Name]]="","",IF(OR(TakeBaseline="Yes",N(Tasks[[#This Row],[Baseline Duration]])=0),Tasks[[#This Row],[_SpanDays]],Tasks[[#This Row],[Baseline Duration]]))</f>
        <v/>
      </c>
      <c r="BP82" s="86" t="str">
        <f aca="false">IF(Tasks[[#This Row],[Task Name]]="","",IF(OR(TakeBaseline="Yes",N(Tasks[[#This Row],[Baseline Work]])=0),Tasks[[#This Row],[Work]],Tasks[[#This Row],[Baseline Work]]))</f>
        <v/>
      </c>
      <c r="BQ82" s="7"/>
      <c r="BR82" s="7"/>
      <c r="BS82" s="22"/>
      <c r="BT82" s="88"/>
      <c r="BU82" s="23"/>
      <c r="BV82" s="23"/>
      <c r="BW82" s="23"/>
      <c r="BX82" s="89" t="str">
        <f aca="false">IF(AND(Tasks[[#This Row],[_IsLeaf]]=1,ISNUMBER(Tasks[[#This Row],[Optimistic]]),ISNUMBER(Tasks[[#This Row],[Pessimistic]])),ROUND((Tasks[[#This Row],[Optimistic]]+4*N(Tasks[[#This Row],[_Days]])+Tasks[[#This Row],[Pessimistic]])/6,1),"")</f>
        <v/>
      </c>
      <c r="BY82" s="87"/>
      <c r="BZ82" s="87"/>
      <c r="CA82" s="22"/>
      <c r="CB82" s="43" t="str">
        <f aca="false">IF(Tasks[[#This Row],[Task Name]]="","",MAX(1,N(Tasks[[#This Row],[Level]])))</f>
        <v/>
      </c>
      <c r="CC82" s="43" t="n">
        <f aca="false">ROW()-ROW(Tasks[[#Headers],[ID]])</f>
        <v>77</v>
      </c>
      <c r="CD82" s="43" t="n">
        <f aca="false">IF(OR(Tasks[[#This Row],[Task Name]]="",Tasks[[#This Row],[_Level]]&lt;=1),0,IFERROR(LOOKUP(2,1/(Tasks[[#Headers],[_Level]]:Tasks[[#This Row],[_Level]]=Tasks[[#This Row],[_Level]]-1),ROW(Tasks[[#Headers],[_Level]]:Tasks[[#This Row],[_Level]])),0))</f>
        <v>0</v>
      </c>
      <c r="CE82" s="43" t="n">
        <f aca="false">IFERROR(N(INDEX(Tasks[_Level],Tasks[[#This Row],[_Row]]+1)),0)</f>
        <v>0</v>
      </c>
      <c r="CF82" s="90" t="b">
        <f aca="false">AND(Tasks[[#This Row],[Task Name]]&lt;&gt;"",Tasks[[#This Row],[_NextLevel]]&gt;Tasks[[#This Row],[_Level]])</f>
        <v>0</v>
      </c>
      <c r="CG82" s="43" t="n">
        <f aca="false">IF(Tasks[[#This Row],[_IsSummary]],COUNTIF(Tasks[WBS],Tasks[[#This Row],[WBS]]&amp;".*"),0)</f>
        <v>0</v>
      </c>
      <c r="CH82" s="43" t="n">
        <f aca="false">IF(AND(Tasks[[#This Row],[Task Name]]&lt;&gt;"",NOT(Tasks[[#This Row],[_IsSummary]])),1,0)</f>
        <v>0</v>
      </c>
      <c r="CI82" s="43" t="n">
        <f aca="false">IF(N(Tasks[[#This Row],[_Pred1UID]])=0,0,IFERROR(MATCH(Tasks[[#This Row],[_Pred1UID]],Tasks[UID],0),-1))</f>
        <v>0</v>
      </c>
      <c r="CJ82" s="43" t="n">
        <f aca="false">IF(N(Tasks[[#This Row],[_Pred2UID]])=0,0,IFERROR(MATCH(Tasks[[#This Row],[_Pred2UID]],Tasks[UID],0),-1))</f>
        <v>0</v>
      </c>
      <c r="CK82" s="43" t="n">
        <f aca="false">IF(N(Tasks[[#This Row],[_Pred3UID]])=0,0,IFERROR(MATCH(Tasks[[#This Row],[_Pred3UID]],Tasks[UID],0),-1))</f>
        <v>0</v>
      </c>
      <c r="CL82" s="43" t="n">
        <f aca="false">IF(N(Tasks[[#This Row],[_Pred4UID]])=0,0,IFERROR(MATCH(Tasks[[#This Row],[_Pred4UID]],Tasks[UID],0),-1))</f>
        <v>0</v>
      </c>
      <c r="CM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2" s="91" t="n">
        <f aca="false">IF(OR(Tasks[[#This Row],[_ConstraintCode]]=2,Tasks[[#This Row],[_ConstraintCode]]=3,Tasks[[#This Row],[_ConstraintCode]]=4,Tasks[[#This Row],[_ConstraintCode]]=6),Tasks[[#This Row],[_ConstraintStart]],0)</f>
        <v>0</v>
      </c>
      <c r="CP82" s="91" t="n">
        <f aca="false">IF(OR(Tasks[[#This Row],[_ConstraintCode]]=2,Tasks[[#This Row],[_ConstraintCode]]=3,Tasks[[#This Row],[_ConstraintCode]]=5,Tasks[[#This Row],[_ConstraintCode]]=7),Tasks[[#This Row],[_ConstraintStart]],2958465)</f>
        <v>2958465</v>
      </c>
      <c r="CQ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2" s="91" t="str">
        <f aca="false">IF(NOT(Tasks[[#This Row],[_IsLeaf]]=1),"",IF(N(Tasks[[#This Row],[_Days]])&lt;=0,Tasks[[#This Row],[_LeafCalcStart]],WORKDAY.INTL(Tasks[[#This Row],[_LeafCalcStart]],Tasks[[#This Row],[_Days]]-1,WorkWeek,Holidays)))</f>
        <v/>
      </c>
      <c r="CS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2" s="43" t="str">
        <f aca="false">IF(Tasks[[#This Row],[_Predecessors]]="","",TRIM(MID(SUBSTITUTE(SUBSTITUTE(SUBSTITUTE(UPPER(Tasks[[#This Row],[_Predecessors]]),";",",")," ",""),",",REPT(" ",99)),1,99)))</f>
        <v/>
      </c>
      <c r="CV82" s="43" t="str">
        <f aca="false">IF(Tasks[[#This Row],[_Pred1Text]]="","",IFERROR(VALUE(LEFT(Tasks[[#This Row],[_Pred1Text]],MIN(FIND("F",Tasks[[#This Row],[_Pred1Text]]&amp;"F"),FIND("S",Tasks[[#This Row],[_Pred1Text]]&amp;"S"),FIND("+",Tasks[[#This Row],[_Pred1Text]]&amp;"+"),FIND("-",Tasks[[#This Row],[_Pred1Text]]&amp;"-"))-1)),""))</f>
        <v/>
      </c>
      <c r="CW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2" s="43" t="str">
        <f aca="false">IF(Tasks[[#This Row],[_Pred1Text]]="","",TRIM(MID(SUBSTITUTE(SUBSTITUTE(SUBSTITUTE(UPPER(Tasks[[#This Row],[_Predecessors]]),";",",")," ",""),",",REPT(" ",99)),100,99)))</f>
        <v/>
      </c>
      <c r="CZ82" s="43" t="str">
        <f aca="false">IF(Tasks[[#This Row],[_Pred2Text]]="","",IFERROR(VALUE(LEFT(Tasks[[#This Row],[_Pred2Text]],MIN(FIND("F",Tasks[[#This Row],[_Pred2Text]]&amp;"F"),FIND("S",Tasks[[#This Row],[_Pred2Text]]&amp;"S"),FIND("+",Tasks[[#This Row],[_Pred2Text]]&amp;"+"),FIND("-",Tasks[[#This Row],[_Pred2Text]]&amp;"-"))-1)),""))</f>
        <v/>
      </c>
      <c r="DA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2" s="43" t="str">
        <f aca="false">IF(Tasks[[#This Row],[_Pred2Text]]="","",TRIM(MID(SUBSTITUTE(SUBSTITUTE(SUBSTITUTE(UPPER(Tasks[[#This Row],[_Predecessors]]),";",",")," ",""),",",REPT(" ",99)),199,99)))</f>
        <v/>
      </c>
      <c r="DD82" s="43" t="str">
        <f aca="false">IF(Tasks[[#This Row],[_Pred3Text]]="","",IFERROR(VALUE(LEFT(Tasks[[#This Row],[_Pred3Text]],MIN(FIND("F",Tasks[[#This Row],[_Pred3Text]]&amp;"F"),FIND("S",Tasks[[#This Row],[_Pred3Text]]&amp;"S"),FIND("+",Tasks[[#This Row],[_Pred3Text]]&amp;"+"),FIND("-",Tasks[[#This Row],[_Pred3Text]]&amp;"-"))-1)),""))</f>
        <v/>
      </c>
      <c r="DE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2" s="43" t="str">
        <f aca="false">IF(Tasks[[#This Row],[_Pred3Text]]="","",TRIM(MID(SUBSTITUTE(SUBSTITUTE(SUBSTITUTE(UPPER(Tasks[[#This Row],[_Predecessors]]),";",",")," ",""),",",REPT(" ",99)),298,99)))</f>
        <v/>
      </c>
      <c r="DH82" s="43" t="str">
        <f aca="false">IF(Tasks[[#This Row],[_Pred4Text]]="","",IFERROR(VALUE(LEFT(Tasks[[#This Row],[_Pred4Text]],MIN(FIND("F",Tasks[[#This Row],[_Pred4Text]]&amp;"F"),FIND("S",Tasks[[#This Row],[_Pred4Text]]&amp;"S"),FIND("+",Tasks[[#This Row],[_Pred4Text]]&amp;"+"),FIND("-",Tasks[[#This Row],[_Pred4Text]]&amp;"-"))-1)),""))</f>
        <v/>
      </c>
      <c r="DI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2" s="43" t="str">
        <f aca="false">IF(OR(Tasks[[#This Row],[Task Name]]="",Tasks[[#This Row],[_Resources]]=""),"",TRIM(MID(SUBSTITUTE(Tasks[[#This Row],[_Resources]],",",REPT(" ",99)),1,99)))</f>
        <v/>
      </c>
      <c r="DL82" s="43" t="str">
        <f aca="false">IF(Tasks[[#This Row],[_Res1Text]]="","",TRIM(MID(SUBSTITUTE(Tasks[[#This Row],[_Resources]],",",REPT(" ",99)),100,99)))</f>
        <v/>
      </c>
      <c r="DM82" s="43" t="str">
        <f aca="false">IF(Tasks[[#This Row],[_Res2Text]]="","",TRIM(MID(SUBSTITUTE(Tasks[[#This Row],[_Resources]],",",REPT(" ",99)),199,99)))</f>
        <v/>
      </c>
      <c r="DN82" s="43" t="str">
        <f aca="false">IF(Tasks[[#This Row],[_Res3Text]]="","",TRIM(MID(SUBSTITUTE(Tasks[[#This Row],[_Resources]],",",REPT(" ",99)),298,99)))</f>
        <v/>
      </c>
      <c r="DO82" s="43" t="n">
        <f aca="false">IF(Tasks[[#This Row],[_Res1Text]]="",0,IFERROR(MATCH(TRIM(LEFT(Tasks[[#This Row],[_Res1Text]],FIND("[",Tasks[[#This Row],[_Res1Text]]&amp;"[")-1)),res_Name,0),IFERROR(MATCH(TRIM(LEFT(Tasks[[#This Row],[_Res1Text]],FIND("[",Tasks[[#This Row],[_Res1Text]]&amp;"[")-1)),res_Initials,0),0)))</f>
        <v>0</v>
      </c>
      <c r="DP82" s="43" t="n">
        <f aca="false">IF(Tasks[[#This Row],[_Res2Text]]="",0,IFERROR(MATCH(TRIM(LEFT(Tasks[[#This Row],[_Res2Text]],FIND("[",Tasks[[#This Row],[_Res2Text]]&amp;"[")-1)),res_Name,0),IFERROR(MATCH(TRIM(LEFT(Tasks[[#This Row],[_Res2Text]],FIND("[",Tasks[[#This Row],[_Res2Text]]&amp;"[")-1)),res_Initials,0),0)))</f>
        <v>0</v>
      </c>
      <c r="DQ82" s="43" t="n">
        <f aca="false">IF(Tasks[[#This Row],[_Res3Text]]="",0,IFERROR(MATCH(TRIM(LEFT(Tasks[[#This Row],[_Res3Text]],FIND("[",Tasks[[#This Row],[_Res3Text]]&amp;"[")-1)),res_Name,0),IFERROR(MATCH(TRIM(LEFT(Tasks[[#This Row],[_Res3Text]],FIND("[",Tasks[[#This Row],[_Res3Text]]&amp;"[")-1)),res_Initials,0),0)))</f>
        <v>0</v>
      </c>
      <c r="DR82" s="43" t="n">
        <f aca="false">IF(Tasks[[#This Row],[_Res4Text]]="",0,IFERROR(MATCH(TRIM(LEFT(Tasks[[#This Row],[_Res4Text]],FIND("[",Tasks[[#This Row],[_Res4Text]]&amp;"[")-1)),res_Name,0),IFERROR(MATCH(TRIM(LEFT(Tasks[[#This Row],[_Res4Text]],FIND("[",Tasks[[#This Row],[_Res4Text]]&amp;"[")-1)),res_Initials,0),0)))</f>
        <v>0</v>
      </c>
      <c r="DS82" s="43" t="str">
        <f aca="false">IF(Tasks[[#This Row],[_Res1Text]]="","",IF(Tasks[[#This Row],[_Res1Row]]&gt;0,INDEX(res_Name,Tasks[[#This Row],[_Res1Row]]),TRIM(LEFT(Tasks[[#This Row],[_Res1Text]],FIND("[",Tasks[[#This Row],[_Res1Text]]&amp;"[")-1))))</f>
        <v/>
      </c>
      <c r="DT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2" s="43" t="n">
        <f aca="false">IF(NOT(Tasks[[#This Row],[_IsLeaf]]=1),0,(Tasks[[#This Row],[_Resource1]]&lt;&gt;"")+(Tasks[[#This Row],[_Res2]]&lt;&gt;"")+(Tasks[[#This Row],[_Res3]]&lt;&gt;"")+(Tasks[[#This Row],[_Res4]]&lt;&gt;""))</f>
        <v>0</v>
      </c>
      <c r="DV82" s="43" t="str">
        <f aca="false">IF(Tasks[[#This Row],[_Res2Text]]="","",IF(Tasks[[#This Row],[_Res2Row]]&gt;0,INDEX(res_Name,Tasks[[#This Row],[_Res2Row]]),TRIM(LEFT(Tasks[[#This Row],[_Res2Text]],FIND("[",Tasks[[#This Row],[_Res2Text]]&amp;"[")-1))))</f>
        <v/>
      </c>
      <c r="DW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2" s="43" t="n">
        <f aca="false">IF(OR(NOT(Tasks[[#This Row],[_IsLeaf]]=1),Tasks[[#This Row],[_Res2Row]]=0),0,N(Tasks[[#This Row],[_Days]])*HoursPerDay*IF(Tasks[[#This Row],[_Res2Units]]="",DefaultUnits,Tasks[[#This Row],[_Res2Units]]))</f>
        <v>0</v>
      </c>
      <c r="DY82" s="43" t="n">
        <f aca="false">IF(AND(AND(Tasks[[#This Row],[_IsLeaf]]=1,Tasks[[#This Row],[_LeafTotalWork]]&gt;0),Tasks[[#This Row],[_Res2Work]]&gt;0),Tasks[[#This Row],[_Res2Work]]/(Tasks[[#This Row],[_FinishWorkday]]-Tasks[[#This Row],[_StartWorkday]]+1),0)</f>
        <v>0</v>
      </c>
      <c r="DZ82" s="43" t="n">
        <f aca="false">Tasks[[#This Row],[_Res2WorkPerWD]]*MAX(0,Tasks[[#This Row],[_StartWorkday]]-1)</f>
        <v>0</v>
      </c>
      <c r="EA82" s="43" t="n">
        <f aca="false">Tasks[[#This Row],[_Res2Work]]*Tasks[[#This Row],[_LeafProgress]]</f>
        <v>0</v>
      </c>
      <c r="EB82" s="43" t="str">
        <f aca="false">IF(Tasks[[#This Row],[_Res3Text]]="","",IF(Tasks[[#This Row],[_Res3Row]]&gt;0,INDEX(res_Name,Tasks[[#This Row],[_Res3Row]]),TRIM(LEFT(Tasks[[#This Row],[_Res3Text]],FIND("[",Tasks[[#This Row],[_Res3Text]]&amp;"[")-1))))</f>
        <v/>
      </c>
      <c r="EC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2" s="43" t="n">
        <f aca="false">IF(OR(NOT(Tasks[[#This Row],[_IsLeaf]]=1),Tasks[[#This Row],[_Res3Row]]=0),0,N(Tasks[[#This Row],[_Days]])*HoursPerDay*IF(Tasks[[#This Row],[_Res3Units]]="",DefaultUnits,Tasks[[#This Row],[_Res3Units]]))</f>
        <v>0</v>
      </c>
      <c r="EE82" s="43" t="n">
        <f aca="false">IF(AND(AND(Tasks[[#This Row],[_IsLeaf]]=1,Tasks[[#This Row],[_LeafTotalWork]]&gt;0),Tasks[[#This Row],[_Res3Work]]&gt;0),Tasks[[#This Row],[_Res3Work]]/(Tasks[[#This Row],[_FinishWorkday]]-Tasks[[#This Row],[_StartWorkday]]+1),0)</f>
        <v>0</v>
      </c>
      <c r="EF82" s="43" t="n">
        <f aca="false">Tasks[[#This Row],[_Res3WorkPerWD]]*MAX(0,Tasks[[#This Row],[_StartWorkday]]-1)</f>
        <v>0</v>
      </c>
      <c r="EG82" s="43" t="n">
        <f aca="false">Tasks[[#This Row],[_Res3Work]]*Tasks[[#This Row],[_LeafProgress]]</f>
        <v>0</v>
      </c>
      <c r="EH82" s="43" t="str">
        <f aca="false">IF(Tasks[[#This Row],[_Res4Text]]="","",IF(Tasks[[#This Row],[_Res4Row]]&gt;0,INDEX(res_Name,Tasks[[#This Row],[_Res4Row]]),TRIM(LEFT(Tasks[[#This Row],[_Res4Text]],FIND("[",Tasks[[#This Row],[_Res4Text]]&amp;"[")-1))))</f>
        <v/>
      </c>
      <c r="EI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2" s="43" t="n">
        <f aca="false">IF(OR(NOT(Tasks[[#This Row],[_IsLeaf]]=1),Tasks[[#This Row],[_Res4Row]]=0),0,N(Tasks[[#This Row],[_Days]])*HoursPerDay*IF(Tasks[[#This Row],[_Res4Units]]="",DefaultUnits,Tasks[[#This Row],[_Res4Units]]))</f>
        <v>0</v>
      </c>
      <c r="EK82" s="43" t="n">
        <f aca="false">IF(AND(AND(Tasks[[#This Row],[_IsLeaf]]=1,Tasks[[#This Row],[_LeafTotalWork]]&gt;0),Tasks[[#This Row],[_Res4Work]]&gt;0),Tasks[[#This Row],[_Res4Work]]/(Tasks[[#This Row],[_FinishWorkday]]-Tasks[[#This Row],[_StartWorkday]]+1),0)</f>
        <v>0</v>
      </c>
      <c r="EL82" s="43" t="n">
        <f aca="false">Tasks[[#This Row],[_Res4WorkPerWD]]*MAX(0,Tasks[[#This Row],[_StartWorkday]]-1)</f>
        <v>0</v>
      </c>
      <c r="EM82" s="43" t="n">
        <f aca="false">Tasks[[#This Row],[_Res4Work]]*Tasks[[#This Row],[_LeafProgress]]</f>
        <v>0</v>
      </c>
      <c r="EN82" s="43" t="n">
        <f aca="false">IF(ISNUMBER(Tasks[[#This Row],[% Complete]]),Tasks[[#This Row],[% Complete]],IF(Tasks[[#This Row],[Stage]]="",0,IFERROR(INDEX(stg_Pct,MATCH(Tasks[[#This Row],[Stage]],stg_Name,0)),0)))</f>
        <v>0</v>
      </c>
      <c r="EO82" s="43" t="n">
        <f aca="false">IF(NOT(Tasks[[#This Row],[_IsLeaf]]=1),0,IF(N(Tasks[[#This Row],[Actual Finish]])&gt;0,1,MIN(1,Tasks[[#This Row],[_Pct]])))</f>
        <v>0</v>
      </c>
      <c r="EP82" s="43" t="n">
        <f aca="false">IF(OR(NOT(Tasks[[#This Row],[_IsLeaf]]=1),Tasks[[#This Row],[_Res1Row]]=0),0,N(Tasks[[#This Row],[_Days]])*HoursPerDay*IF(Tasks[[#This Row],[_Units1]]="",DefaultUnits,Tasks[[#This Row],[_Units1]]))</f>
        <v>0</v>
      </c>
      <c r="EQ82" s="43" t="n">
        <f aca="false">Tasks[[#This Row],[_LeafWork]]+Tasks[[#This Row],[_Res2Work]]+Tasks[[#This Row],[_Res3Work]]+Tasks[[#This Row],[_Res4Work]]</f>
        <v>0</v>
      </c>
      <c r="ER8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2" s="43" t="n">
        <f aca="false">IF(NOT(Tasks[[#This Row],[_IsLeaf]]=1),0,MAX(_xlfn.MAXIFS(Tasks[_Row],Tasks[_Pred1UID],Tasks[[#This Row],[UID]]),_xlfn.MAXIFS(Tasks[_Row],Tasks[_Pred2UID],Tasks[[#This Row],[UID]]),_xlfn.MAXIFS(Tasks[_Row],Tasks[_Pred3UID],Tasks[[#This Row],[UID]]),_xlfn.MAXIFS(Tasks[_Row],Tasks[_Pred4UID],Tasks[[#This Row],[UID]])))</f>
        <v>0</v>
      </c>
      <c r="FA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2" s="91" t="str">
        <f aca="false">IF(NOT(Tasks[[#This Row],[_IsLeaf]]=1),"",IF(N(Tasks[[#This Row],[_Days]])&lt;=0,Tasks[[#This Row],[_LeafLateFinish]],WORKDAY.INTL(Tasks[[#This Row],[_LeafLateFinish]],-(Tasks[[#This Row],[_Days]]-1),WorkWeek,Holidays)))</f>
        <v/>
      </c>
      <c r="FD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2" s="90" t="b">
        <f aca="false">AND(Tasks[[#This Row],[_IsLeaf]]=1,Tasks[[#This Row],[_LeafProgress]]&lt;1,N(Tasks[[#This Row],[_LeafTotalSlack]])&lt;=CriticalSlackDays)</f>
        <v>0</v>
      </c>
      <c r="FF82" s="43" t="n">
        <f aca="false">IF(AND(Tasks[[#This Row],[_IsLeaf]]=1,Tasks[[#This Row],[_ConstraintCode]]=1,Tasks[[#This Row],[Mode]]&lt;&gt;"Manual",N(Tasks[[#This Row],[Actual Start]])=0),MAX(0,N(Tasks[[#This Row],[Free Slack]])),0)</f>
        <v>0</v>
      </c>
      <c r="FG82" s="91" t="str">
        <f aca="false">IF(NOT(Tasks[[#This Row],[_IsLeaf]]=1),"",IF(Tasks[[#This Row],[_AlapShift]]=0,Tasks[[#This Row],[_LeafCalcStart]],WORKDAY.INTL(Tasks[[#This Row],[_LeafCalcStart]],Tasks[[#This Row],[_AlapShift]],WorkWeek,Holidays)))</f>
        <v/>
      </c>
      <c r="FH82" s="91" t="str">
        <f aca="false">IF(NOT(Tasks[[#This Row],[_IsLeaf]]=1),"",IF(Tasks[[#This Row],[_AlapShift]]=0,Tasks[[#This Row],[_LeafCalcFinish]],WORKDAY.INTL(Tasks[[#This Row],[_LeafCalcFinish]],Tasks[[#This Row],[_AlapShift]],WorkWeek,Holidays)))</f>
        <v/>
      </c>
      <c r="FI82" s="91" t="str">
        <f aca="false">IF(NOT(Tasks[[#This Row],[_IsLeaf]]=1),"",IF(Tasks[[#This Row],[_AlapShift]]=0,Tasks[[#This Row],[_LeafFcstStart]],WORKDAY.INTL(Tasks[[#This Row],[_LeafFcstStart]],Tasks[[#This Row],[_AlapShift]],WorkWeek,Holidays)))</f>
        <v/>
      </c>
      <c r="FJ82" s="91" t="str">
        <f aca="false">IF(NOT(Tasks[[#This Row],[_IsLeaf]]=1),"",IF(Tasks[[#This Row],[_AlapShift]]=0,Tasks[[#This Row],[_LeafFcstFinish]],WORKDAY.INTL(Tasks[[#This Row],[_LeafFcstFinish]],Tasks[[#This Row],[_AlapShift]],WorkWeek,Holidays)))</f>
        <v/>
      </c>
      <c r="FK82" s="91" t="str">
        <f aca="false">IF(Tasks[[#This Row],[Task Name]]="","",IF(Tasks[[#This Row],[_IsSummary]],MIN(INDEX(Tasks[_ShownCalcStart],Tasks[[#This Row],[_Row]]+1):INDEX(Tasks[_ShownCalcStart],Tasks[[#This Row],[_Row]]+Tasks[[#This Row],[_Descendants]])),Tasks[[#This Row],[_ShownCalcStart]]))</f>
        <v/>
      </c>
      <c r="FL82" s="91" t="str">
        <f aca="false">IF(Tasks[[#This Row],[Task Name]]="","",IF(Tasks[[#This Row],[_IsSummary]],MAX(INDEX(Tasks[_ShownCalcFinish],Tasks[[#This Row],[_Row]]+1):INDEX(Tasks[_ShownCalcFinish],Tasks[[#This Row],[_Row]]+Tasks[[#This Row],[_Descendants]])),Tasks[[#This Row],[_ShownCalcFinish]]))</f>
        <v/>
      </c>
      <c r="FM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2" s="43" t="n">
        <f aca="false">IF(AND(Tasks[[#This Row],[_IsLeaf]]=1,Tasks[[#This Row],[_LeafTotalWork]]&gt;0),NETWORKDAYS.INTL(ProjectStart,Tasks[[#This Row],[_ShownFcstStart]],WorkWeek,Holidays),0)</f>
        <v>0</v>
      </c>
      <c r="FZ82" s="43" t="n">
        <f aca="false">IF(AND(Tasks[[#This Row],[_IsLeaf]]=1,Tasks[[#This Row],[_LeafTotalWork]]&gt;0),MAX(Tasks[[#This Row],[_StartWorkday]],NETWORKDAYS.INTL(ProjectStart,Tasks[[#This Row],[_ShownFcstFinish]],WorkWeek,Holidays)),0)</f>
        <v>0</v>
      </c>
      <c r="GA82" s="43" t="n">
        <f aca="false">IF(AND(Tasks[[#This Row],[_IsLeaf]]=1,Tasks[[#This Row],[_LeafTotalWork]]&gt;0),Tasks[[#This Row],[_LeafWork]]/(Tasks[[#This Row],[_FinishWorkday]]-Tasks[[#This Row],[_StartWorkday]]+1),0)</f>
        <v>0</v>
      </c>
      <c r="GB82" s="43" t="n">
        <f aca="false">Tasks[[#This Row],[_WorkPerWorkday]]*(Tasks[[#This Row],[_StartWorkday]]-1)</f>
        <v>-0</v>
      </c>
      <c r="GC82" s="43" t="n">
        <f aca="false">IF(Tasks[[#This Row],[_IsLeaf]]=1,MAX(N(Tasks[[#This Row],[_Days]]),0.1),0)</f>
        <v>0</v>
      </c>
      <c r="GD82" s="43" t="n">
        <f aca="false">Tasks[[#This Row],[_WeightDur]]*Tasks[[#This Row],[_LeafProgress]]</f>
        <v>0</v>
      </c>
      <c r="GE82" s="43" t="n">
        <f aca="false">Tasks[[#This Row],[_WeightDur]]*Tasks[[#This Row],[_PlannedPct]]</f>
        <v>0</v>
      </c>
      <c r="GF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2" s="43" t="str">
        <f aca="false">IF(AND(Tasks[[#This Row],[_IsLeaf]]=1,N(Tasks[[#This Row],[_Days]])=0,Tasks[[#This Row],[_LeafProgress]]&lt;1),Tasks[[#This Row],[_ShownFcstFinish]]+Tasks[[#This Row],[_Row]]/100000,"")</f>
        <v/>
      </c>
      <c r="GH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2" s="43" t="str">
        <f aca="false">IF(Tasks[[#This Row],[Task Name]]="","",LEFT(Tasks[[#This Row],[WBS]],FIND(".",Tasks[[#This Row],[WBS]]&amp;".")-1))</f>
        <v/>
      </c>
      <c r="GJ82" s="43" t="str">
        <f aca="false">IF(AND(Tasks[[#This Row],[Task Name]]&lt;&gt;"",Tasks[[#This Row],[_Level]]=1),Tasks[[#This Row],[_Row]],"")</f>
        <v/>
      </c>
      <c r="GK82" s="43" t="str">
        <f aca="false">IF(AND(Tasks[[#This Row],[_IsLeaf]]=1,N(Tasks[[#This Row],[_Days]])=0),Tasks[[#This Row],[Planned Finish]]+Tasks[[#This Row],[_Row]]/100000,"")</f>
        <v/>
      </c>
      <c r="GL82" s="43" t="str">
        <f aca="false">IF(AND(Tasks[[#This Row],[_IsLeaf]]=1,Tasks[[#This Row],[_LeafProgress]]&lt;1,OR(N(Tasks[[#This Row],[Finish Var]])&gt;0,Tasks[[#This Row],[Status]]="Late Start")),MAX(0,Tasks[[#This Row],[Finish Var]])+1-Tasks[[#This Row],[_Row]]/1000000,"")</f>
        <v/>
      </c>
      <c r="GM82" s="43" t="str">
        <f aca="false">IF(AND(Tasks[[#This Row],[_IsLeaf]]=1,N(Tasks[[#This Row],[Actual Start]])=0,Tasks[[#This Row],[_ShownFcstStart]]&gt;=StatusDate,Tasks[[#This Row],[_ShownFcstStart]]&lt;=LookaheadEnd),Tasks[[#This Row],[_ShownFcstStart]]+Tasks[[#This Row],[_Row]]/100000,"")</f>
        <v/>
      </c>
      <c r="GN82" s="43" t="str">
        <f aca="false">IF(AND(Tasks[[#This Row],[_IsLeaf]]=1,Tasks[[#This Row],[_LeafProgress]]&lt;1,Tasks[[#This Row],[_ShownFcstFinish]]&gt;=StatusDate,Tasks[[#This Row],[_ShownFcstFinish]]&lt;=LookaheadEnd),Tasks[[#This Row],[_ShownFcstFinish]]+Tasks[[#This Row],[_Row]]/100000,"")</f>
        <v/>
      </c>
      <c r="GO82" s="43" t="str">
        <f aca="false">IF(Tasks[[#This Row],[_LeafCritical]],Tasks[[#This Row],[_ShownFcstStart]]+Tasks[[#This Row],[_Row]]/100000,"")</f>
        <v/>
      </c>
      <c r="GP82" s="43" t="n">
        <f aca="false">Tasks[[#This Row],[_LeafWork]]*Tasks[[#This Row],[_LeafProgress]]</f>
        <v>0</v>
      </c>
      <c r="GQ82" s="91" t="str">
        <f aca="false">IF(AND(Tasks[[#This Row],[_IsLeaf]]=1,Tasks[[#This Row],[_LeafProgress]]&gt;=1),IF(N(Tasks[[#This Row],[Actual Finish]])&gt;0,Tasks[[#This Row],[Actual Finish]],Tasks[[#This Row],[_ShownFcstFinish]]),"")</f>
        <v/>
      </c>
      <c r="GR82" s="43" t="n">
        <f aca="false">IF(Tasks[[#This Row],[_IsLeaf]]=1,N(Tasks[[#This Row],[Story Points]]),0)</f>
        <v>0</v>
      </c>
      <c r="GS82" s="43" t="str">
        <f aca="false">""</f>
        <v/>
      </c>
      <c r="GT82" s="90" t="b">
        <f aca="false">IF(Tasks[[#This Row],[Task Name]]="",FALSE(),AND(Tasks[[#This Row],[_IsLeaf]]=1,N(Tasks[[#This Row],[_Days]])=0))</f>
        <v>0</v>
      </c>
      <c r="GU82" s="91" t="n">
        <f aca="false">IF(Tasks[[#This Row],[Task Name]]="",0,IF(AND(Tasks[[#This Row],[_IsLeaf]]=1,NOT(Tasks[[#This Row],[_IsMilestone]]),N(Tasks[[#This Row],[Progress]])&gt;0),Tasks[[#This Row],[Start]],0))</f>
        <v>0</v>
      </c>
      <c r="GV82" s="91" t="n">
        <f aca="false">IF(Tasks[[#This Row],[_DoneFrom]]=0,0,IF(Tasks[[#This Row],[Progress]]&gt;=1,Tasks[[#This Row],[Finish]],MAX(Tasks[[#This Row],[_DoneFrom]],Tasks[[#This Row],[Start]]+ROUND((Tasks[[#This Row],[Finish]]-Tasks[[#This Row],[Start]]+1)*Tasks[[#This Row],[Progress]],0)-1)))</f>
        <v>0</v>
      </c>
      <c r="GW82" s="91" t="n">
        <f aca="false">IF(Tasks[[#This Row],[Task Name]]="",0,IF(OR(NOT(Tasks[[#This Row],[_IsLeaf]]=1),Tasks[[#This Row],[_IsMilestone]],N(Tasks[[#This Row],[Progress]])&gt;=1),0,IF(Tasks[[#This Row],[_DoneTo]]&gt;0,Tasks[[#This Row],[_DoneTo]]+1,Tasks[[#This Row],[Start]])))</f>
        <v>0</v>
      </c>
      <c r="GX82" s="91" t="n">
        <f aca="false">IF(Tasks[[#This Row],[_RemFrom]]=0,0,Tasks[[#This Row],[Finish]])</f>
        <v>0</v>
      </c>
      <c r="GY82" s="90" t="b">
        <f aca="false">IF(Tasks[[#This Row],[Task Name]]="",FALSE(),OR(NOT(BaselineSet),N(Tasks[[#This Row],[Baseline Start]])&gt;0))</f>
        <v>0</v>
      </c>
      <c r="GZ8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2" s="92" t="str">
        <f aca="false">IF(Tasks[[#This Row],[_IsLeaf]]=1,Tasks[[#This Row],[_Row]],"")</f>
        <v/>
      </c>
      <c r="HD82" s="92" t="str">
        <f aca="false">IFERROR(INDEX(Tasks[UID],SMALL(Tasks[_PickKey],Tasks[[#This Row],[_Row]]))&amp;" "&amp;INDEX(Tasks[Task Name],SMALL(Tasks[_PickKey],Tasks[[#This Row],[_Row]])),"")</f>
        <v/>
      </c>
      <c r="HE82" s="43" t="str">
        <f aca="false">IF(Tasks[[#This Row],[Task Name]]="","",IF(Tasks[[#This Row],[_IsSummary]],NETWORKDAYS.INTL(Tasks[[#This Row],[Start]],Tasks[[#This Row],[Finish]],WorkWeek,Holidays),N(Tasks[[#This Row],[_Days]])))</f>
        <v/>
      </c>
      <c r="HF82" s="43" t="n">
        <f aca="false">IF(Tasks[[#This Row],[Expected]]="",0,((Tasks[[#This Row],[Pessimistic]]-Tasks[[#This Row],[Optimistic]])/6)^2)</f>
        <v>0</v>
      </c>
      <c r="HG82" s="43" t="n">
        <f aca="false">IF(Tasks[[#This Row],[Expected]]="",0,Tasks[[#This Row],[Expected]]-N(Tasks[[#This Row],[_Days]]))</f>
        <v>0</v>
      </c>
    </row>
    <row r="83" customFormat="false" ht="15" hidden="false" customHeight="false" outlineLevel="0" collapsed="false">
      <c r="A83" s="21" t="str">
        <f aca="false">IF(Tasks[[#This Row],[Task Name]]="","",COUNTA(Tasks[[#Headers],[Task Name]]:Tasks[[#This Row],[Task Name]])-1)</f>
        <v/>
      </c>
      <c r="B83" s="22" t="n">
        <v>91</v>
      </c>
      <c r="C83" s="22"/>
      <c r="D83" s="23"/>
      <c r="E83" s="22"/>
      <c r="F83" s="23"/>
      <c r="G83" s="22"/>
      <c r="H83" s="22"/>
      <c r="I83" s="23"/>
      <c r="J83" s="22"/>
      <c r="K83" s="22"/>
      <c r="L83" s="23"/>
      <c r="M83" s="22"/>
      <c r="N83" s="22"/>
      <c r="O83" s="23"/>
      <c r="P83" s="22"/>
      <c r="Q83" s="22"/>
      <c r="R83" s="23"/>
      <c r="S83" s="23"/>
      <c r="T83" s="84"/>
      <c r="U83" s="23"/>
      <c r="V83" s="84"/>
      <c r="W83" s="23"/>
      <c r="X83" s="84"/>
      <c r="Y83" s="23"/>
      <c r="Z83" s="84"/>
      <c r="AA83" s="23"/>
      <c r="AB83" s="23"/>
      <c r="AC83" s="7"/>
      <c r="AD83" s="7"/>
      <c r="AE83" s="63" t="str">
        <f aca="false">IF(Tasks[[#This Row],[Task Name]]="","",IF(Tasks[[#This Row],[_IsSummary]],MIN(INDEX(Tasks[_ShownFcstStart],Tasks[[#This Row],[_Row]]+1):INDEX(Tasks[_ShownFcstStart],Tasks[[#This Row],[_Row]]+Tasks[[#This Row],[_Descendants]])),Tasks[[#This Row],[_ShownFcstStart]]))</f>
        <v/>
      </c>
      <c r="AF83" s="63" t="str">
        <f aca="false">IF(Tasks[[#This Row],[Task Name]]="","",IF(Tasks[[#This Row],[_IsSummary]],MAX(INDEX(Tasks[_ShownFcstFinish],Tasks[[#This Row],[_Row]]+1):INDEX(Tasks[_ShownFcstFinish],Tasks[[#This Row],[_Row]]+Tasks[[#This Row],[_Descendants]])),Tasks[[#This Row],[_ShownFcstFinish]]))</f>
        <v/>
      </c>
      <c r="AG83" s="21" t="str">
        <f aca="false">""</f>
        <v/>
      </c>
      <c r="AH83" s="23"/>
      <c r="AI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3" s="7"/>
      <c r="AK83" s="22"/>
      <c r="AL83" s="23"/>
      <c r="AM83" s="7"/>
      <c r="AN83" s="47" t="str">
        <f aca="false">IF(Tasks[[#This Row],[Task Name]]="","",IF(Tasks[[#This Row],[Finish]]&gt;=Tasks[[#This Row],[Planned Finish]],NETWORKDAYS.INTL(Tasks[[#This Row],[Planned Finish]],Tasks[[#This Row],[Finish]],WorkWeek,Holidays)-1,1-NETWORKDAYS.INTL(Tasks[[#This Row],[Finish]],Tasks[[#This Row],[Planned Finish]],WorkWeek,Holidays)))</f>
        <v/>
      </c>
      <c r="AO83" s="21" t="str">
        <f aca="false">IF(Tasks[[#This Row],[Task Name]]="","",IF(Tasks[[#This Row],[Progress]]&gt;=1,"Complete",IF(OR(N(Tasks[[#This Row],[Actual Start]])&gt;0,Tasks[[#This Row],[Progress]]&gt;0),IF(Tasks[[#This Row],[Finish Var]]&gt;0,"Behind","In Progress"),IF(Tasks[[#This Row],[Planned Start]]&lt;StatusDate,"Late Start","Not Started"))))</f>
        <v/>
      </c>
      <c r="AP83" s="21" t="str">
        <f aca="false">IF(Tasks[[#This Row],[Task Name]]="","",IF(IF(Tasks[[#This Row],[_IsSummary]],COUNTIF(INDEX(Tasks[_LeafCritical],Tasks[[#This Row],[_Row]]+1):INDEX(Tasks[_LeafCritical],Tasks[[#This Row],[_Row]]+Tasks[[#This Row],[_Descendants]]),TRUE())&gt;0,Tasks[[#This Row],[_LeafCritical]]),"Yes",""))</f>
        <v/>
      </c>
      <c r="AQ83" s="63" t="str">
        <f aca="false">IF(Tasks[[#This Row],[Task Name]]="","",IF(N(Tasks[[#This Row],[Baseline Start]])&gt;0,Tasks[[#This Row],[Baseline Start]],Tasks[[#This Row],[_CalcStart]]))</f>
        <v/>
      </c>
      <c r="AR83" s="63" t="str">
        <f aca="false">IF(Tasks[[#This Row],[Task Name]]="","",IF(N(Tasks[[#This Row],[Baseline Finish]])&gt;0,Tasks[[#This Row],[Baseline Finish]],Tasks[[#This Row],[_CalcFinish]]))</f>
        <v/>
      </c>
      <c r="AS83" s="47" t="str">
        <f aca="false">IF(Tasks[[#This Row],[Task Name]]="","",IF(Tasks[[#This Row],[Start]]&gt;=Tasks[[#This Row],[Planned Start]],NETWORKDAYS.INTL(Tasks[[#This Row],[Planned Start]],Tasks[[#This Row],[Start]],WorkWeek,Holidays)-1,1-NETWORKDAYS.INTL(Tasks[[#This Row],[Start]],Tasks[[#This Row],[Planned Start]],WorkWeek,Holidays)))</f>
        <v/>
      </c>
      <c r="AT83" s="63" t="str">
        <f aca="false">IF(Tasks[[#This Row],[Task Name]]="","",IF(Tasks[[#This Row],[_IsSummary]],MIN(INDEX(Tasks[_LeafLateStart],Tasks[[#This Row],[_Row]]+1):INDEX(Tasks[_LeafLateStart],Tasks[[#This Row],[_Row]]+Tasks[[#This Row],[_Descendants]])),Tasks[[#This Row],[_LeafLateStart]]))</f>
        <v/>
      </c>
      <c r="AU83" s="63" t="str">
        <f aca="false">IF(Tasks[[#This Row],[Task Name]]="","",IF(Tasks[[#This Row],[_IsSummary]],MAX(INDEX(Tasks[_LeafLateFinish],Tasks[[#This Row],[_Row]]+1):INDEX(Tasks[_LeafLateFinish],Tasks[[#This Row],[_Row]]+Tasks[[#This Row],[_Descendants]])),Tasks[[#This Row],[_LeafLateFinish]]))</f>
        <v/>
      </c>
      <c r="AV83" s="47" t="str">
        <f aca="false">IF(Tasks[[#This Row],[Task Name]]="","",IF(Tasks[[#This Row],[_IsSummary]],MIN(INDEX(Tasks[_LeafTotalSlack],Tasks[[#This Row],[_Row]]+1):INDEX(Tasks[_LeafTotalSlack],Tasks[[#This Row],[_Row]]+Tasks[[#This Row],[_Descendants]])),Tasks[[#This Row],[_LeafTotalSlack]]))</f>
        <v/>
      </c>
      <c r="AW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5"/>
      <c r="BA8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t="str">
        <f aca="false">IF(Tasks[[#This Row],[Task Name]]="","",IF(Tasks[[#This Row],[_Level]]&lt;=OutlineShowLevel,"Yes","No"))</f>
        <v/>
      </c>
      <c r="BE83" s="86" t="str">
        <f aca="false">IF(Tasks[[#This Row],[Task Name]]="","",IF(Tasks[[#This Row],[_IsSummary]],SUM(INDEX(Tasks[_LeafTotalWork],Tasks[[#This Row],[_Row]]+1):INDEX(Tasks[_LeafTotalWork],Tasks[[#This Row],[_Row]]+Tasks[[#This Row],[_Descendants]])),Tasks[[#This Row],[_LeafTotalWork]]))</f>
        <v/>
      </c>
      <c r="BF83" s="23"/>
      <c r="BG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t="str">
        <f aca="false">""</f>
        <v/>
      </c>
      <c r="BI83" s="87"/>
      <c r="BJ83" s="22"/>
      <c r="BK83" s="47" t="str">
        <f aca="false">IF(OR(Tasks[[#This Row],[Task Name]]="",Tasks[[#This Row],[Baseline Duration]]=""),"",Tasks[[#This Row],[_SpanDays]]-N(Tasks[[#This Row],[Baseline Duration]]))</f>
        <v/>
      </c>
      <c r="BL83" s="86" t="str">
        <f aca="false">IF(OR(Tasks[[#This Row],[Task Name]]="",Tasks[[#This Row],[Baseline Work]]=""),"",Tasks[[#This Row],[Work]]-N(Tasks[[#This Row],[Baseline Work]]))</f>
        <v/>
      </c>
      <c r="BM83" s="63" t="str">
        <f aca="false">IF(Tasks[[#This Row],[Task Name]]="","",IF(OR(TakeBaseline="Yes",N(Tasks[[#This Row],[Baseline Start]])=0),Tasks[[#This Row],[Start]],Tasks[[#This Row],[Baseline Start]]))</f>
        <v/>
      </c>
      <c r="BN83" s="63" t="str">
        <f aca="false">IF(Tasks[[#This Row],[Task Name]]="","",IF(OR(TakeBaseline="Yes",N(Tasks[[#This Row],[Baseline Finish]])=0),Tasks[[#This Row],[Finish]],Tasks[[#This Row],[Baseline Finish]]))</f>
        <v/>
      </c>
      <c r="BO83" s="21" t="str">
        <f aca="false">IF(Tasks[[#This Row],[Task Name]]="","",IF(OR(TakeBaseline="Yes",N(Tasks[[#This Row],[Baseline Duration]])=0),Tasks[[#This Row],[_SpanDays]],Tasks[[#This Row],[Baseline Duration]]))</f>
        <v/>
      </c>
      <c r="BP83" s="86" t="str">
        <f aca="false">IF(Tasks[[#This Row],[Task Name]]="","",IF(OR(TakeBaseline="Yes",N(Tasks[[#This Row],[Baseline Work]])=0),Tasks[[#This Row],[Work]],Tasks[[#This Row],[Baseline Work]]))</f>
        <v/>
      </c>
      <c r="BQ83" s="7"/>
      <c r="BR83" s="7"/>
      <c r="BS83" s="22"/>
      <c r="BT83" s="88"/>
      <c r="BU83" s="23"/>
      <c r="BV83" s="23"/>
      <c r="BW83" s="23"/>
      <c r="BX83" s="89" t="str">
        <f aca="false">IF(AND(Tasks[[#This Row],[_IsLeaf]]=1,ISNUMBER(Tasks[[#This Row],[Optimistic]]),ISNUMBER(Tasks[[#This Row],[Pessimistic]])),ROUND((Tasks[[#This Row],[Optimistic]]+4*N(Tasks[[#This Row],[_Days]])+Tasks[[#This Row],[Pessimistic]])/6,1),"")</f>
        <v/>
      </c>
      <c r="BY83" s="87"/>
      <c r="BZ83" s="87"/>
      <c r="CA83" s="22"/>
      <c r="CB83" s="43" t="str">
        <f aca="false">IF(Tasks[[#This Row],[Task Name]]="","",MAX(1,N(Tasks[[#This Row],[Level]])))</f>
        <v/>
      </c>
      <c r="CC83" s="43" t="n">
        <f aca="false">ROW()-ROW(Tasks[[#Headers],[ID]])</f>
        <v>78</v>
      </c>
      <c r="CD83" s="43" t="n">
        <f aca="false">IF(OR(Tasks[[#This Row],[Task Name]]="",Tasks[[#This Row],[_Level]]&lt;=1),0,IFERROR(LOOKUP(2,1/(Tasks[[#Headers],[_Level]]:Tasks[[#This Row],[_Level]]=Tasks[[#This Row],[_Level]]-1),ROW(Tasks[[#Headers],[_Level]]:Tasks[[#This Row],[_Level]])),0))</f>
        <v>0</v>
      </c>
      <c r="CE83" s="43" t="n">
        <f aca="false">IFERROR(N(INDEX(Tasks[_Level],Tasks[[#This Row],[_Row]]+1)),0)</f>
        <v>0</v>
      </c>
      <c r="CF83" s="90" t="b">
        <f aca="false">AND(Tasks[[#This Row],[Task Name]]&lt;&gt;"",Tasks[[#This Row],[_NextLevel]]&gt;Tasks[[#This Row],[_Level]])</f>
        <v>0</v>
      </c>
      <c r="CG83" s="43" t="n">
        <f aca="false">IF(Tasks[[#This Row],[_IsSummary]],COUNTIF(Tasks[WBS],Tasks[[#This Row],[WBS]]&amp;".*"),0)</f>
        <v>0</v>
      </c>
      <c r="CH83" s="43" t="n">
        <f aca="false">IF(AND(Tasks[[#This Row],[Task Name]]&lt;&gt;"",NOT(Tasks[[#This Row],[_IsSummary]])),1,0)</f>
        <v>0</v>
      </c>
      <c r="CI83" s="43" t="n">
        <f aca="false">IF(N(Tasks[[#This Row],[_Pred1UID]])=0,0,IFERROR(MATCH(Tasks[[#This Row],[_Pred1UID]],Tasks[UID],0),-1))</f>
        <v>0</v>
      </c>
      <c r="CJ83" s="43" t="n">
        <f aca="false">IF(N(Tasks[[#This Row],[_Pred2UID]])=0,0,IFERROR(MATCH(Tasks[[#This Row],[_Pred2UID]],Tasks[UID],0),-1))</f>
        <v>0</v>
      </c>
      <c r="CK83" s="43" t="n">
        <f aca="false">IF(N(Tasks[[#This Row],[_Pred3UID]])=0,0,IFERROR(MATCH(Tasks[[#This Row],[_Pred3UID]],Tasks[UID],0),-1))</f>
        <v>0</v>
      </c>
      <c r="CL83" s="43" t="n">
        <f aca="false">IF(N(Tasks[[#This Row],[_Pred4UID]])=0,0,IFERROR(MATCH(Tasks[[#This Row],[_Pred4UID]],Tasks[UID],0),-1))</f>
        <v>0</v>
      </c>
      <c r="CM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3" s="91" t="n">
        <f aca="false">IF(OR(Tasks[[#This Row],[_ConstraintCode]]=2,Tasks[[#This Row],[_ConstraintCode]]=3,Tasks[[#This Row],[_ConstraintCode]]=4,Tasks[[#This Row],[_ConstraintCode]]=6),Tasks[[#This Row],[_ConstraintStart]],0)</f>
        <v>0</v>
      </c>
      <c r="CP83" s="91" t="n">
        <f aca="false">IF(OR(Tasks[[#This Row],[_ConstraintCode]]=2,Tasks[[#This Row],[_ConstraintCode]]=3,Tasks[[#This Row],[_ConstraintCode]]=5,Tasks[[#This Row],[_ConstraintCode]]=7),Tasks[[#This Row],[_ConstraintStart]],2958465)</f>
        <v>2958465</v>
      </c>
      <c r="CQ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3" s="91" t="str">
        <f aca="false">IF(NOT(Tasks[[#This Row],[_IsLeaf]]=1),"",IF(N(Tasks[[#This Row],[_Days]])&lt;=0,Tasks[[#This Row],[_LeafCalcStart]],WORKDAY.INTL(Tasks[[#This Row],[_LeafCalcStart]],Tasks[[#This Row],[_Days]]-1,WorkWeek,Holidays)))</f>
        <v/>
      </c>
      <c r="CS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3" s="43" t="str">
        <f aca="false">IF(Tasks[[#This Row],[_Predecessors]]="","",TRIM(MID(SUBSTITUTE(SUBSTITUTE(SUBSTITUTE(UPPER(Tasks[[#This Row],[_Predecessors]]),";",",")," ",""),",",REPT(" ",99)),1,99)))</f>
        <v/>
      </c>
      <c r="CV83" s="43" t="str">
        <f aca="false">IF(Tasks[[#This Row],[_Pred1Text]]="","",IFERROR(VALUE(LEFT(Tasks[[#This Row],[_Pred1Text]],MIN(FIND("F",Tasks[[#This Row],[_Pred1Text]]&amp;"F"),FIND("S",Tasks[[#This Row],[_Pred1Text]]&amp;"S"),FIND("+",Tasks[[#This Row],[_Pred1Text]]&amp;"+"),FIND("-",Tasks[[#This Row],[_Pred1Text]]&amp;"-"))-1)),""))</f>
        <v/>
      </c>
      <c r="CW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3" s="43" t="str">
        <f aca="false">IF(Tasks[[#This Row],[_Pred1Text]]="","",TRIM(MID(SUBSTITUTE(SUBSTITUTE(SUBSTITUTE(UPPER(Tasks[[#This Row],[_Predecessors]]),";",",")," ",""),",",REPT(" ",99)),100,99)))</f>
        <v/>
      </c>
      <c r="CZ83" s="43" t="str">
        <f aca="false">IF(Tasks[[#This Row],[_Pred2Text]]="","",IFERROR(VALUE(LEFT(Tasks[[#This Row],[_Pred2Text]],MIN(FIND("F",Tasks[[#This Row],[_Pred2Text]]&amp;"F"),FIND("S",Tasks[[#This Row],[_Pred2Text]]&amp;"S"),FIND("+",Tasks[[#This Row],[_Pred2Text]]&amp;"+"),FIND("-",Tasks[[#This Row],[_Pred2Text]]&amp;"-"))-1)),""))</f>
        <v/>
      </c>
      <c r="DA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3" s="43" t="str">
        <f aca="false">IF(Tasks[[#This Row],[_Pred2Text]]="","",TRIM(MID(SUBSTITUTE(SUBSTITUTE(SUBSTITUTE(UPPER(Tasks[[#This Row],[_Predecessors]]),";",",")," ",""),",",REPT(" ",99)),199,99)))</f>
        <v/>
      </c>
      <c r="DD83" s="43" t="str">
        <f aca="false">IF(Tasks[[#This Row],[_Pred3Text]]="","",IFERROR(VALUE(LEFT(Tasks[[#This Row],[_Pred3Text]],MIN(FIND("F",Tasks[[#This Row],[_Pred3Text]]&amp;"F"),FIND("S",Tasks[[#This Row],[_Pred3Text]]&amp;"S"),FIND("+",Tasks[[#This Row],[_Pred3Text]]&amp;"+"),FIND("-",Tasks[[#This Row],[_Pred3Text]]&amp;"-"))-1)),""))</f>
        <v/>
      </c>
      <c r="DE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3" s="43" t="str">
        <f aca="false">IF(Tasks[[#This Row],[_Pred3Text]]="","",TRIM(MID(SUBSTITUTE(SUBSTITUTE(SUBSTITUTE(UPPER(Tasks[[#This Row],[_Predecessors]]),";",",")," ",""),",",REPT(" ",99)),298,99)))</f>
        <v/>
      </c>
      <c r="DH83" s="43" t="str">
        <f aca="false">IF(Tasks[[#This Row],[_Pred4Text]]="","",IFERROR(VALUE(LEFT(Tasks[[#This Row],[_Pred4Text]],MIN(FIND("F",Tasks[[#This Row],[_Pred4Text]]&amp;"F"),FIND("S",Tasks[[#This Row],[_Pred4Text]]&amp;"S"),FIND("+",Tasks[[#This Row],[_Pred4Text]]&amp;"+"),FIND("-",Tasks[[#This Row],[_Pred4Text]]&amp;"-"))-1)),""))</f>
        <v/>
      </c>
      <c r="DI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3" s="43" t="str">
        <f aca="false">IF(OR(Tasks[[#This Row],[Task Name]]="",Tasks[[#This Row],[_Resources]]=""),"",TRIM(MID(SUBSTITUTE(Tasks[[#This Row],[_Resources]],",",REPT(" ",99)),1,99)))</f>
        <v/>
      </c>
      <c r="DL83" s="43" t="str">
        <f aca="false">IF(Tasks[[#This Row],[_Res1Text]]="","",TRIM(MID(SUBSTITUTE(Tasks[[#This Row],[_Resources]],",",REPT(" ",99)),100,99)))</f>
        <v/>
      </c>
      <c r="DM83" s="43" t="str">
        <f aca="false">IF(Tasks[[#This Row],[_Res2Text]]="","",TRIM(MID(SUBSTITUTE(Tasks[[#This Row],[_Resources]],",",REPT(" ",99)),199,99)))</f>
        <v/>
      </c>
      <c r="DN83" s="43" t="str">
        <f aca="false">IF(Tasks[[#This Row],[_Res3Text]]="","",TRIM(MID(SUBSTITUTE(Tasks[[#This Row],[_Resources]],",",REPT(" ",99)),298,99)))</f>
        <v/>
      </c>
      <c r="DO83" s="43" t="n">
        <f aca="false">IF(Tasks[[#This Row],[_Res1Text]]="",0,IFERROR(MATCH(TRIM(LEFT(Tasks[[#This Row],[_Res1Text]],FIND("[",Tasks[[#This Row],[_Res1Text]]&amp;"[")-1)),res_Name,0),IFERROR(MATCH(TRIM(LEFT(Tasks[[#This Row],[_Res1Text]],FIND("[",Tasks[[#This Row],[_Res1Text]]&amp;"[")-1)),res_Initials,0),0)))</f>
        <v>0</v>
      </c>
      <c r="DP83" s="43" t="n">
        <f aca="false">IF(Tasks[[#This Row],[_Res2Text]]="",0,IFERROR(MATCH(TRIM(LEFT(Tasks[[#This Row],[_Res2Text]],FIND("[",Tasks[[#This Row],[_Res2Text]]&amp;"[")-1)),res_Name,0),IFERROR(MATCH(TRIM(LEFT(Tasks[[#This Row],[_Res2Text]],FIND("[",Tasks[[#This Row],[_Res2Text]]&amp;"[")-1)),res_Initials,0),0)))</f>
        <v>0</v>
      </c>
      <c r="DQ83" s="43" t="n">
        <f aca="false">IF(Tasks[[#This Row],[_Res3Text]]="",0,IFERROR(MATCH(TRIM(LEFT(Tasks[[#This Row],[_Res3Text]],FIND("[",Tasks[[#This Row],[_Res3Text]]&amp;"[")-1)),res_Name,0),IFERROR(MATCH(TRIM(LEFT(Tasks[[#This Row],[_Res3Text]],FIND("[",Tasks[[#This Row],[_Res3Text]]&amp;"[")-1)),res_Initials,0),0)))</f>
        <v>0</v>
      </c>
      <c r="DR83" s="43" t="n">
        <f aca="false">IF(Tasks[[#This Row],[_Res4Text]]="",0,IFERROR(MATCH(TRIM(LEFT(Tasks[[#This Row],[_Res4Text]],FIND("[",Tasks[[#This Row],[_Res4Text]]&amp;"[")-1)),res_Name,0),IFERROR(MATCH(TRIM(LEFT(Tasks[[#This Row],[_Res4Text]],FIND("[",Tasks[[#This Row],[_Res4Text]]&amp;"[")-1)),res_Initials,0),0)))</f>
        <v>0</v>
      </c>
      <c r="DS83" s="43" t="str">
        <f aca="false">IF(Tasks[[#This Row],[_Res1Text]]="","",IF(Tasks[[#This Row],[_Res1Row]]&gt;0,INDEX(res_Name,Tasks[[#This Row],[_Res1Row]]),TRIM(LEFT(Tasks[[#This Row],[_Res1Text]],FIND("[",Tasks[[#This Row],[_Res1Text]]&amp;"[")-1))))</f>
        <v/>
      </c>
      <c r="DT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3" s="43" t="n">
        <f aca="false">IF(NOT(Tasks[[#This Row],[_IsLeaf]]=1),0,(Tasks[[#This Row],[_Resource1]]&lt;&gt;"")+(Tasks[[#This Row],[_Res2]]&lt;&gt;"")+(Tasks[[#This Row],[_Res3]]&lt;&gt;"")+(Tasks[[#This Row],[_Res4]]&lt;&gt;""))</f>
        <v>0</v>
      </c>
      <c r="DV83" s="43" t="str">
        <f aca="false">IF(Tasks[[#This Row],[_Res2Text]]="","",IF(Tasks[[#This Row],[_Res2Row]]&gt;0,INDEX(res_Name,Tasks[[#This Row],[_Res2Row]]),TRIM(LEFT(Tasks[[#This Row],[_Res2Text]],FIND("[",Tasks[[#This Row],[_Res2Text]]&amp;"[")-1))))</f>
        <v/>
      </c>
      <c r="DW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3" s="43" t="n">
        <f aca="false">IF(OR(NOT(Tasks[[#This Row],[_IsLeaf]]=1),Tasks[[#This Row],[_Res2Row]]=0),0,N(Tasks[[#This Row],[_Days]])*HoursPerDay*IF(Tasks[[#This Row],[_Res2Units]]="",DefaultUnits,Tasks[[#This Row],[_Res2Units]]))</f>
        <v>0</v>
      </c>
      <c r="DY83" s="43" t="n">
        <f aca="false">IF(AND(AND(Tasks[[#This Row],[_IsLeaf]]=1,Tasks[[#This Row],[_LeafTotalWork]]&gt;0),Tasks[[#This Row],[_Res2Work]]&gt;0),Tasks[[#This Row],[_Res2Work]]/(Tasks[[#This Row],[_FinishWorkday]]-Tasks[[#This Row],[_StartWorkday]]+1),0)</f>
        <v>0</v>
      </c>
      <c r="DZ83" s="43" t="n">
        <f aca="false">Tasks[[#This Row],[_Res2WorkPerWD]]*MAX(0,Tasks[[#This Row],[_StartWorkday]]-1)</f>
        <v>0</v>
      </c>
      <c r="EA83" s="43" t="n">
        <f aca="false">Tasks[[#This Row],[_Res2Work]]*Tasks[[#This Row],[_LeafProgress]]</f>
        <v>0</v>
      </c>
      <c r="EB83" s="43" t="str">
        <f aca="false">IF(Tasks[[#This Row],[_Res3Text]]="","",IF(Tasks[[#This Row],[_Res3Row]]&gt;0,INDEX(res_Name,Tasks[[#This Row],[_Res3Row]]),TRIM(LEFT(Tasks[[#This Row],[_Res3Text]],FIND("[",Tasks[[#This Row],[_Res3Text]]&amp;"[")-1))))</f>
        <v/>
      </c>
      <c r="EC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3" s="43" t="n">
        <f aca="false">IF(OR(NOT(Tasks[[#This Row],[_IsLeaf]]=1),Tasks[[#This Row],[_Res3Row]]=0),0,N(Tasks[[#This Row],[_Days]])*HoursPerDay*IF(Tasks[[#This Row],[_Res3Units]]="",DefaultUnits,Tasks[[#This Row],[_Res3Units]]))</f>
        <v>0</v>
      </c>
      <c r="EE83" s="43" t="n">
        <f aca="false">IF(AND(AND(Tasks[[#This Row],[_IsLeaf]]=1,Tasks[[#This Row],[_LeafTotalWork]]&gt;0),Tasks[[#This Row],[_Res3Work]]&gt;0),Tasks[[#This Row],[_Res3Work]]/(Tasks[[#This Row],[_FinishWorkday]]-Tasks[[#This Row],[_StartWorkday]]+1),0)</f>
        <v>0</v>
      </c>
      <c r="EF83" s="43" t="n">
        <f aca="false">Tasks[[#This Row],[_Res3WorkPerWD]]*MAX(0,Tasks[[#This Row],[_StartWorkday]]-1)</f>
        <v>0</v>
      </c>
      <c r="EG83" s="43" t="n">
        <f aca="false">Tasks[[#This Row],[_Res3Work]]*Tasks[[#This Row],[_LeafProgress]]</f>
        <v>0</v>
      </c>
      <c r="EH83" s="43" t="str">
        <f aca="false">IF(Tasks[[#This Row],[_Res4Text]]="","",IF(Tasks[[#This Row],[_Res4Row]]&gt;0,INDEX(res_Name,Tasks[[#This Row],[_Res4Row]]),TRIM(LEFT(Tasks[[#This Row],[_Res4Text]],FIND("[",Tasks[[#This Row],[_Res4Text]]&amp;"[")-1))))</f>
        <v/>
      </c>
      <c r="EI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3" s="43" t="n">
        <f aca="false">IF(OR(NOT(Tasks[[#This Row],[_IsLeaf]]=1),Tasks[[#This Row],[_Res4Row]]=0),0,N(Tasks[[#This Row],[_Days]])*HoursPerDay*IF(Tasks[[#This Row],[_Res4Units]]="",DefaultUnits,Tasks[[#This Row],[_Res4Units]]))</f>
        <v>0</v>
      </c>
      <c r="EK83" s="43" t="n">
        <f aca="false">IF(AND(AND(Tasks[[#This Row],[_IsLeaf]]=1,Tasks[[#This Row],[_LeafTotalWork]]&gt;0),Tasks[[#This Row],[_Res4Work]]&gt;0),Tasks[[#This Row],[_Res4Work]]/(Tasks[[#This Row],[_FinishWorkday]]-Tasks[[#This Row],[_StartWorkday]]+1),0)</f>
        <v>0</v>
      </c>
      <c r="EL83" s="43" t="n">
        <f aca="false">Tasks[[#This Row],[_Res4WorkPerWD]]*MAX(0,Tasks[[#This Row],[_StartWorkday]]-1)</f>
        <v>0</v>
      </c>
      <c r="EM83" s="43" t="n">
        <f aca="false">Tasks[[#This Row],[_Res4Work]]*Tasks[[#This Row],[_LeafProgress]]</f>
        <v>0</v>
      </c>
      <c r="EN83" s="43" t="n">
        <f aca="false">IF(ISNUMBER(Tasks[[#This Row],[% Complete]]),Tasks[[#This Row],[% Complete]],IF(Tasks[[#This Row],[Stage]]="",0,IFERROR(INDEX(stg_Pct,MATCH(Tasks[[#This Row],[Stage]],stg_Name,0)),0)))</f>
        <v>0</v>
      </c>
      <c r="EO83" s="43" t="n">
        <f aca="false">IF(NOT(Tasks[[#This Row],[_IsLeaf]]=1),0,IF(N(Tasks[[#This Row],[Actual Finish]])&gt;0,1,MIN(1,Tasks[[#This Row],[_Pct]])))</f>
        <v>0</v>
      </c>
      <c r="EP83" s="43" t="n">
        <f aca="false">IF(OR(NOT(Tasks[[#This Row],[_IsLeaf]]=1),Tasks[[#This Row],[_Res1Row]]=0),0,N(Tasks[[#This Row],[_Days]])*HoursPerDay*IF(Tasks[[#This Row],[_Units1]]="",DefaultUnits,Tasks[[#This Row],[_Units1]]))</f>
        <v>0</v>
      </c>
      <c r="EQ83" s="43" t="n">
        <f aca="false">Tasks[[#This Row],[_LeafWork]]+Tasks[[#This Row],[_Res2Work]]+Tasks[[#This Row],[_Res3Work]]+Tasks[[#This Row],[_Res4Work]]</f>
        <v>0</v>
      </c>
      <c r="ER8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3" s="43" t="n">
        <f aca="false">IF(NOT(Tasks[[#This Row],[_IsLeaf]]=1),0,MAX(_xlfn.MAXIFS(Tasks[_Row],Tasks[_Pred1UID],Tasks[[#This Row],[UID]]),_xlfn.MAXIFS(Tasks[_Row],Tasks[_Pred2UID],Tasks[[#This Row],[UID]]),_xlfn.MAXIFS(Tasks[_Row],Tasks[_Pred3UID],Tasks[[#This Row],[UID]]),_xlfn.MAXIFS(Tasks[_Row],Tasks[_Pred4UID],Tasks[[#This Row],[UID]])))</f>
        <v>0</v>
      </c>
      <c r="FA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3" s="91" t="str">
        <f aca="false">IF(NOT(Tasks[[#This Row],[_IsLeaf]]=1),"",IF(N(Tasks[[#This Row],[_Days]])&lt;=0,Tasks[[#This Row],[_LeafLateFinish]],WORKDAY.INTL(Tasks[[#This Row],[_LeafLateFinish]],-(Tasks[[#This Row],[_Days]]-1),WorkWeek,Holidays)))</f>
        <v/>
      </c>
      <c r="FD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3" s="90" t="b">
        <f aca="false">AND(Tasks[[#This Row],[_IsLeaf]]=1,Tasks[[#This Row],[_LeafProgress]]&lt;1,N(Tasks[[#This Row],[_LeafTotalSlack]])&lt;=CriticalSlackDays)</f>
        <v>0</v>
      </c>
      <c r="FF83" s="43" t="n">
        <f aca="false">IF(AND(Tasks[[#This Row],[_IsLeaf]]=1,Tasks[[#This Row],[_ConstraintCode]]=1,Tasks[[#This Row],[Mode]]&lt;&gt;"Manual",N(Tasks[[#This Row],[Actual Start]])=0),MAX(0,N(Tasks[[#This Row],[Free Slack]])),0)</f>
        <v>0</v>
      </c>
      <c r="FG83" s="91" t="str">
        <f aca="false">IF(NOT(Tasks[[#This Row],[_IsLeaf]]=1),"",IF(Tasks[[#This Row],[_AlapShift]]=0,Tasks[[#This Row],[_LeafCalcStart]],WORKDAY.INTL(Tasks[[#This Row],[_LeafCalcStart]],Tasks[[#This Row],[_AlapShift]],WorkWeek,Holidays)))</f>
        <v/>
      </c>
      <c r="FH83" s="91" t="str">
        <f aca="false">IF(NOT(Tasks[[#This Row],[_IsLeaf]]=1),"",IF(Tasks[[#This Row],[_AlapShift]]=0,Tasks[[#This Row],[_LeafCalcFinish]],WORKDAY.INTL(Tasks[[#This Row],[_LeafCalcFinish]],Tasks[[#This Row],[_AlapShift]],WorkWeek,Holidays)))</f>
        <v/>
      </c>
      <c r="FI83" s="91" t="str">
        <f aca="false">IF(NOT(Tasks[[#This Row],[_IsLeaf]]=1),"",IF(Tasks[[#This Row],[_AlapShift]]=0,Tasks[[#This Row],[_LeafFcstStart]],WORKDAY.INTL(Tasks[[#This Row],[_LeafFcstStart]],Tasks[[#This Row],[_AlapShift]],WorkWeek,Holidays)))</f>
        <v/>
      </c>
      <c r="FJ83" s="91" t="str">
        <f aca="false">IF(NOT(Tasks[[#This Row],[_IsLeaf]]=1),"",IF(Tasks[[#This Row],[_AlapShift]]=0,Tasks[[#This Row],[_LeafFcstFinish]],WORKDAY.INTL(Tasks[[#This Row],[_LeafFcstFinish]],Tasks[[#This Row],[_AlapShift]],WorkWeek,Holidays)))</f>
        <v/>
      </c>
      <c r="FK83" s="91" t="str">
        <f aca="false">IF(Tasks[[#This Row],[Task Name]]="","",IF(Tasks[[#This Row],[_IsSummary]],MIN(INDEX(Tasks[_ShownCalcStart],Tasks[[#This Row],[_Row]]+1):INDEX(Tasks[_ShownCalcStart],Tasks[[#This Row],[_Row]]+Tasks[[#This Row],[_Descendants]])),Tasks[[#This Row],[_ShownCalcStart]]))</f>
        <v/>
      </c>
      <c r="FL83" s="91" t="str">
        <f aca="false">IF(Tasks[[#This Row],[Task Name]]="","",IF(Tasks[[#This Row],[_IsSummary]],MAX(INDEX(Tasks[_ShownCalcFinish],Tasks[[#This Row],[_Row]]+1):INDEX(Tasks[_ShownCalcFinish],Tasks[[#This Row],[_Row]]+Tasks[[#This Row],[_Descendants]])),Tasks[[#This Row],[_ShownCalcFinish]]))</f>
        <v/>
      </c>
      <c r="FM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3" s="43" t="n">
        <f aca="false">IF(AND(Tasks[[#This Row],[_IsLeaf]]=1,Tasks[[#This Row],[_LeafTotalWork]]&gt;0),NETWORKDAYS.INTL(ProjectStart,Tasks[[#This Row],[_ShownFcstStart]],WorkWeek,Holidays),0)</f>
        <v>0</v>
      </c>
      <c r="FZ83" s="43" t="n">
        <f aca="false">IF(AND(Tasks[[#This Row],[_IsLeaf]]=1,Tasks[[#This Row],[_LeafTotalWork]]&gt;0),MAX(Tasks[[#This Row],[_StartWorkday]],NETWORKDAYS.INTL(ProjectStart,Tasks[[#This Row],[_ShownFcstFinish]],WorkWeek,Holidays)),0)</f>
        <v>0</v>
      </c>
      <c r="GA83" s="43" t="n">
        <f aca="false">IF(AND(Tasks[[#This Row],[_IsLeaf]]=1,Tasks[[#This Row],[_LeafTotalWork]]&gt;0),Tasks[[#This Row],[_LeafWork]]/(Tasks[[#This Row],[_FinishWorkday]]-Tasks[[#This Row],[_StartWorkday]]+1),0)</f>
        <v>0</v>
      </c>
      <c r="GB83" s="43" t="n">
        <f aca="false">Tasks[[#This Row],[_WorkPerWorkday]]*(Tasks[[#This Row],[_StartWorkday]]-1)</f>
        <v>-0</v>
      </c>
      <c r="GC83" s="43" t="n">
        <f aca="false">IF(Tasks[[#This Row],[_IsLeaf]]=1,MAX(N(Tasks[[#This Row],[_Days]]),0.1),0)</f>
        <v>0</v>
      </c>
      <c r="GD83" s="43" t="n">
        <f aca="false">Tasks[[#This Row],[_WeightDur]]*Tasks[[#This Row],[_LeafProgress]]</f>
        <v>0</v>
      </c>
      <c r="GE83" s="43" t="n">
        <f aca="false">Tasks[[#This Row],[_WeightDur]]*Tasks[[#This Row],[_PlannedPct]]</f>
        <v>0</v>
      </c>
      <c r="GF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3" s="43" t="str">
        <f aca="false">IF(AND(Tasks[[#This Row],[_IsLeaf]]=1,N(Tasks[[#This Row],[_Days]])=0,Tasks[[#This Row],[_LeafProgress]]&lt;1),Tasks[[#This Row],[_ShownFcstFinish]]+Tasks[[#This Row],[_Row]]/100000,"")</f>
        <v/>
      </c>
      <c r="GH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3" s="43" t="str">
        <f aca="false">IF(Tasks[[#This Row],[Task Name]]="","",LEFT(Tasks[[#This Row],[WBS]],FIND(".",Tasks[[#This Row],[WBS]]&amp;".")-1))</f>
        <v/>
      </c>
      <c r="GJ83" s="43" t="str">
        <f aca="false">IF(AND(Tasks[[#This Row],[Task Name]]&lt;&gt;"",Tasks[[#This Row],[_Level]]=1),Tasks[[#This Row],[_Row]],"")</f>
        <v/>
      </c>
      <c r="GK83" s="43" t="str">
        <f aca="false">IF(AND(Tasks[[#This Row],[_IsLeaf]]=1,N(Tasks[[#This Row],[_Days]])=0),Tasks[[#This Row],[Planned Finish]]+Tasks[[#This Row],[_Row]]/100000,"")</f>
        <v/>
      </c>
      <c r="GL83" s="43" t="str">
        <f aca="false">IF(AND(Tasks[[#This Row],[_IsLeaf]]=1,Tasks[[#This Row],[_LeafProgress]]&lt;1,OR(N(Tasks[[#This Row],[Finish Var]])&gt;0,Tasks[[#This Row],[Status]]="Late Start")),MAX(0,Tasks[[#This Row],[Finish Var]])+1-Tasks[[#This Row],[_Row]]/1000000,"")</f>
        <v/>
      </c>
      <c r="GM83" s="43" t="str">
        <f aca="false">IF(AND(Tasks[[#This Row],[_IsLeaf]]=1,N(Tasks[[#This Row],[Actual Start]])=0,Tasks[[#This Row],[_ShownFcstStart]]&gt;=StatusDate,Tasks[[#This Row],[_ShownFcstStart]]&lt;=LookaheadEnd),Tasks[[#This Row],[_ShownFcstStart]]+Tasks[[#This Row],[_Row]]/100000,"")</f>
        <v/>
      </c>
      <c r="GN83" s="43" t="str">
        <f aca="false">IF(AND(Tasks[[#This Row],[_IsLeaf]]=1,Tasks[[#This Row],[_LeafProgress]]&lt;1,Tasks[[#This Row],[_ShownFcstFinish]]&gt;=StatusDate,Tasks[[#This Row],[_ShownFcstFinish]]&lt;=LookaheadEnd),Tasks[[#This Row],[_ShownFcstFinish]]+Tasks[[#This Row],[_Row]]/100000,"")</f>
        <v/>
      </c>
      <c r="GO83" s="43" t="str">
        <f aca="false">IF(Tasks[[#This Row],[_LeafCritical]],Tasks[[#This Row],[_ShownFcstStart]]+Tasks[[#This Row],[_Row]]/100000,"")</f>
        <v/>
      </c>
      <c r="GP83" s="43" t="n">
        <f aca="false">Tasks[[#This Row],[_LeafWork]]*Tasks[[#This Row],[_LeafProgress]]</f>
        <v>0</v>
      </c>
      <c r="GQ83" s="91" t="str">
        <f aca="false">IF(AND(Tasks[[#This Row],[_IsLeaf]]=1,Tasks[[#This Row],[_LeafProgress]]&gt;=1),IF(N(Tasks[[#This Row],[Actual Finish]])&gt;0,Tasks[[#This Row],[Actual Finish]],Tasks[[#This Row],[_ShownFcstFinish]]),"")</f>
        <v/>
      </c>
      <c r="GR83" s="43" t="n">
        <f aca="false">IF(Tasks[[#This Row],[_IsLeaf]]=1,N(Tasks[[#This Row],[Story Points]]),0)</f>
        <v>0</v>
      </c>
      <c r="GS83" s="43" t="str">
        <f aca="false">""</f>
        <v/>
      </c>
      <c r="GT83" s="90" t="b">
        <f aca="false">IF(Tasks[[#This Row],[Task Name]]="",FALSE(),AND(Tasks[[#This Row],[_IsLeaf]]=1,N(Tasks[[#This Row],[_Days]])=0))</f>
        <v>0</v>
      </c>
      <c r="GU83" s="91" t="n">
        <f aca="false">IF(Tasks[[#This Row],[Task Name]]="",0,IF(AND(Tasks[[#This Row],[_IsLeaf]]=1,NOT(Tasks[[#This Row],[_IsMilestone]]),N(Tasks[[#This Row],[Progress]])&gt;0),Tasks[[#This Row],[Start]],0))</f>
        <v>0</v>
      </c>
      <c r="GV83" s="91" t="n">
        <f aca="false">IF(Tasks[[#This Row],[_DoneFrom]]=0,0,IF(Tasks[[#This Row],[Progress]]&gt;=1,Tasks[[#This Row],[Finish]],MAX(Tasks[[#This Row],[_DoneFrom]],Tasks[[#This Row],[Start]]+ROUND((Tasks[[#This Row],[Finish]]-Tasks[[#This Row],[Start]]+1)*Tasks[[#This Row],[Progress]],0)-1)))</f>
        <v>0</v>
      </c>
      <c r="GW83" s="91" t="n">
        <f aca="false">IF(Tasks[[#This Row],[Task Name]]="",0,IF(OR(NOT(Tasks[[#This Row],[_IsLeaf]]=1),Tasks[[#This Row],[_IsMilestone]],N(Tasks[[#This Row],[Progress]])&gt;=1),0,IF(Tasks[[#This Row],[_DoneTo]]&gt;0,Tasks[[#This Row],[_DoneTo]]+1,Tasks[[#This Row],[Start]])))</f>
        <v>0</v>
      </c>
      <c r="GX83" s="91" t="n">
        <f aca="false">IF(Tasks[[#This Row],[_RemFrom]]=0,0,Tasks[[#This Row],[Finish]])</f>
        <v>0</v>
      </c>
      <c r="GY83" s="90" t="b">
        <f aca="false">IF(Tasks[[#This Row],[Task Name]]="",FALSE(),OR(NOT(BaselineSet),N(Tasks[[#This Row],[Baseline Start]])&gt;0))</f>
        <v>0</v>
      </c>
      <c r="GZ8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3" s="92" t="str">
        <f aca="false">IF(Tasks[[#This Row],[_IsLeaf]]=1,Tasks[[#This Row],[_Row]],"")</f>
        <v/>
      </c>
      <c r="HD83" s="92" t="str">
        <f aca="false">IFERROR(INDEX(Tasks[UID],SMALL(Tasks[_PickKey],Tasks[[#This Row],[_Row]]))&amp;" "&amp;INDEX(Tasks[Task Name],SMALL(Tasks[_PickKey],Tasks[[#This Row],[_Row]])),"")</f>
        <v/>
      </c>
      <c r="HE83" s="43" t="str">
        <f aca="false">IF(Tasks[[#This Row],[Task Name]]="","",IF(Tasks[[#This Row],[_IsSummary]],NETWORKDAYS.INTL(Tasks[[#This Row],[Start]],Tasks[[#This Row],[Finish]],WorkWeek,Holidays),N(Tasks[[#This Row],[_Days]])))</f>
        <v/>
      </c>
      <c r="HF83" s="43" t="n">
        <f aca="false">IF(Tasks[[#This Row],[Expected]]="",0,((Tasks[[#This Row],[Pessimistic]]-Tasks[[#This Row],[Optimistic]])/6)^2)</f>
        <v>0</v>
      </c>
      <c r="HG83" s="43" t="n">
        <f aca="false">IF(Tasks[[#This Row],[Expected]]="",0,Tasks[[#This Row],[Expected]]-N(Tasks[[#This Row],[_Days]]))</f>
        <v>0</v>
      </c>
    </row>
    <row r="84" customFormat="false" ht="15" hidden="false" customHeight="false" outlineLevel="0" collapsed="false">
      <c r="A84" s="21" t="str">
        <f aca="false">IF(Tasks[[#This Row],[Task Name]]="","",COUNTA(Tasks[[#Headers],[Task Name]]:Tasks[[#This Row],[Task Name]])-1)</f>
        <v/>
      </c>
      <c r="B84" s="22" t="n">
        <v>92</v>
      </c>
      <c r="C84" s="22"/>
      <c r="D84" s="23"/>
      <c r="E84" s="22"/>
      <c r="F84" s="23"/>
      <c r="G84" s="22"/>
      <c r="H84" s="22"/>
      <c r="I84" s="23"/>
      <c r="J84" s="22"/>
      <c r="K84" s="22"/>
      <c r="L84" s="23"/>
      <c r="M84" s="22"/>
      <c r="N84" s="22"/>
      <c r="O84" s="23"/>
      <c r="P84" s="22"/>
      <c r="Q84" s="22"/>
      <c r="R84" s="23"/>
      <c r="S84" s="23"/>
      <c r="T84" s="84"/>
      <c r="U84" s="23"/>
      <c r="V84" s="84"/>
      <c r="W84" s="23"/>
      <c r="X84" s="84"/>
      <c r="Y84" s="23"/>
      <c r="Z84" s="84"/>
      <c r="AA84" s="23"/>
      <c r="AB84" s="23"/>
      <c r="AC84" s="7"/>
      <c r="AD84" s="7"/>
      <c r="AE84" s="63" t="str">
        <f aca="false">IF(Tasks[[#This Row],[Task Name]]="","",IF(Tasks[[#This Row],[_IsSummary]],MIN(INDEX(Tasks[_ShownFcstStart],Tasks[[#This Row],[_Row]]+1):INDEX(Tasks[_ShownFcstStart],Tasks[[#This Row],[_Row]]+Tasks[[#This Row],[_Descendants]])),Tasks[[#This Row],[_ShownFcstStart]]))</f>
        <v/>
      </c>
      <c r="AF84" s="63" t="str">
        <f aca="false">IF(Tasks[[#This Row],[Task Name]]="","",IF(Tasks[[#This Row],[_IsSummary]],MAX(INDEX(Tasks[_ShownFcstFinish],Tasks[[#This Row],[_Row]]+1):INDEX(Tasks[_ShownFcstFinish],Tasks[[#This Row],[_Row]]+Tasks[[#This Row],[_Descendants]])),Tasks[[#This Row],[_ShownFcstFinish]]))</f>
        <v/>
      </c>
      <c r="AG84" s="21" t="str">
        <f aca="false">""</f>
        <v/>
      </c>
      <c r="AH84" s="23"/>
      <c r="AI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4" s="7"/>
      <c r="AK84" s="22"/>
      <c r="AL84" s="23"/>
      <c r="AM84" s="7"/>
      <c r="AN84" s="47" t="str">
        <f aca="false">IF(Tasks[[#This Row],[Task Name]]="","",IF(Tasks[[#This Row],[Finish]]&gt;=Tasks[[#This Row],[Planned Finish]],NETWORKDAYS.INTL(Tasks[[#This Row],[Planned Finish]],Tasks[[#This Row],[Finish]],WorkWeek,Holidays)-1,1-NETWORKDAYS.INTL(Tasks[[#This Row],[Finish]],Tasks[[#This Row],[Planned Finish]],WorkWeek,Holidays)))</f>
        <v/>
      </c>
      <c r="AO84" s="21" t="str">
        <f aca="false">IF(Tasks[[#This Row],[Task Name]]="","",IF(Tasks[[#This Row],[Progress]]&gt;=1,"Complete",IF(OR(N(Tasks[[#This Row],[Actual Start]])&gt;0,Tasks[[#This Row],[Progress]]&gt;0),IF(Tasks[[#This Row],[Finish Var]]&gt;0,"Behind","In Progress"),IF(Tasks[[#This Row],[Planned Start]]&lt;StatusDate,"Late Start","Not Started"))))</f>
        <v/>
      </c>
      <c r="AP84" s="21" t="str">
        <f aca="false">IF(Tasks[[#This Row],[Task Name]]="","",IF(IF(Tasks[[#This Row],[_IsSummary]],COUNTIF(INDEX(Tasks[_LeafCritical],Tasks[[#This Row],[_Row]]+1):INDEX(Tasks[_LeafCritical],Tasks[[#This Row],[_Row]]+Tasks[[#This Row],[_Descendants]]),TRUE())&gt;0,Tasks[[#This Row],[_LeafCritical]]),"Yes",""))</f>
        <v/>
      </c>
      <c r="AQ84" s="63" t="str">
        <f aca="false">IF(Tasks[[#This Row],[Task Name]]="","",IF(N(Tasks[[#This Row],[Baseline Start]])&gt;0,Tasks[[#This Row],[Baseline Start]],Tasks[[#This Row],[_CalcStart]]))</f>
        <v/>
      </c>
      <c r="AR84" s="63" t="str">
        <f aca="false">IF(Tasks[[#This Row],[Task Name]]="","",IF(N(Tasks[[#This Row],[Baseline Finish]])&gt;0,Tasks[[#This Row],[Baseline Finish]],Tasks[[#This Row],[_CalcFinish]]))</f>
        <v/>
      </c>
      <c r="AS84" s="47" t="str">
        <f aca="false">IF(Tasks[[#This Row],[Task Name]]="","",IF(Tasks[[#This Row],[Start]]&gt;=Tasks[[#This Row],[Planned Start]],NETWORKDAYS.INTL(Tasks[[#This Row],[Planned Start]],Tasks[[#This Row],[Start]],WorkWeek,Holidays)-1,1-NETWORKDAYS.INTL(Tasks[[#This Row],[Start]],Tasks[[#This Row],[Planned Start]],WorkWeek,Holidays)))</f>
        <v/>
      </c>
      <c r="AT84" s="63" t="str">
        <f aca="false">IF(Tasks[[#This Row],[Task Name]]="","",IF(Tasks[[#This Row],[_IsSummary]],MIN(INDEX(Tasks[_LeafLateStart],Tasks[[#This Row],[_Row]]+1):INDEX(Tasks[_LeafLateStart],Tasks[[#This Row],[_Row]]+Tasks[[#This Row],[_Descendants]])),Tasks[[#This Row],[_LeafLateStart]]))</f>
        <v/>
      </c>
      <c r="AU84" s="63" t="str">
        <f aca="false">IF(Tasks[[#This Row],[Task Name]]="","",IF(Tasks[[#This Row],[_IsSummary]],MAX(INDEX(Tasks[_LeafLateFinish],Tasks[[#This Row],[_Row]]+1):INDEX(Tasks[_LeafLateFinish],Tasks[[#This Row],[_Row]]+Tasks[[#This Row],[_Descendants]])),Tasks[[#This Row],[_LeafLateFinish]]))</f>
        <v/>
      </c>
      <c r="AV84" s="47" t="str">
        <f aca="false">IF(Tasks[[#This Row],[Task Name]]="","",IF(Tasks[[#This Row],[_IsSummary]],MIN(INDEX(Tasks[_LeafTotalSlack],Tasks[[#This Row],[_Row]]+1):INDEX(Tasks[_LeafTotalSlack],Tasks[[#This Row],[_Row]]+Tasks[[#This Row],[_Descendants]])),Tasks[[#This Row],[_LeafTotalSlack]]))</f>
        <v/>
      </c>
      <c r="AW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5"/>
      <c r="BA8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t="str">
        <f aca="false">IF(Tasks[[#This Row],[Task Name]]="","",IF(Tasks[[#This Row],[_Level]]&lt;=OutlineShowLevel,"Yes","No"))</f>
        <v/>
      </c>
      <c r="BE84" s="86" t="str">
        <f aca="false">IF(Tasks[[#This Row],[Task Name]]="","",IF(Tasks[[#This Row],[_IsSummary]],SUM(INDEX(Tasks[_LeafTotalWork],Tasks[[#This Row],[_Row]]+1):INDEX(Tasks[_LeafTotalWork],Tasks[[#This Row],[_Row]]+Tasks[[#This Row],[_Descendants]])),Tasks[[#This Row],[_LeafTotalWork]]))</f>
        <v/>
      </c>
      <c r="BF84" s="23"/>
      <c r="BG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t="str">
        <f aca="false">""</f>
        <v/>
      </c>
      <c r="BI84" s="87"/>
      <c r="BJ84" s="22"/>
      <c r="BK84" s="47" t="str">
        <f aca="false">IF(OR(Tasks[[#This Row],[Task Name]]="",Tasks[[#This Row],[Baseline Duration]]=""),"",Tasks[[#This Row],[_SpanDays]]-N(Tasks[[#This Row],[Baseline Duration]]))</f>
        <v/>
      </c>
      <c r="BL84" s="86" t="str">
        <f aca="false">IF(OR(Tasks[[#This Row],[Task Name]]="",Tasks[[#This Row],[Baseline Work]]=""),"",Tasks[[#This Row],[Work]]-N(Tasks[[#This Row],[Baseline Work]]))</f>
        <v/>
      </c>
      <c r="BM84" s="63" t="str">
        <f aca="false">IF(Tasks[[#This Row],[Task Name]]="","",IF(OR(TakeBaseline="Yes",N(Tasks[[#This Row],[Baseline Start]])=0),Tasks[[#This Row],[Start]],Tasks[[#This Row],[Baseline Start]]))</f>
        <v/>
      </c>
      <c r="BN84" s="63" t="str">
        <f aca="false">IF(Tasks[[#This Row],[Task Name]]="","",IF(OR(TakeBaseline="Yes",N(Tasks[[#This Row],[Baseline Finish]])=0),Tasks[[#This Row],[Finish]],Tasks[[#This Row],[Baseline Finish]]))</f>
        <v/>
      </c>
      <c r="BO84" s="21" t="str">
        <f aca="false">IF(Tasks[[#This Row],[Task Name]]="","",IF(OR(TakeBaseline="Yes",N(Tasks[[#This Row],[Baseline Duration]])=0),Tasks[[#This Row],[_SpanDays]],Tasks[[#This Row],[Baseline Duration]]))</f>
        <v/>
      </c>
      <c r="BP84" s="86" t="str">
        <f aca="false">IF(Tasks[[#This Row],[Task Name]]="","",IF(OR(TakeBaseline="Yes",N(Tasks[[#This Row],[Baseline Work]])=0),Tasks[[#This Row],[Work]],Tasks[[#This Row],[Baseline Work]]))</f>
        <v/>
      </c>
      <c r="BQ84" s="7"/>
      <c r="BR84" s="7"/>
      <c r="BS84" s="22"/>
      <c r="BT84" s="88"/>
      <c r="BU84" s="23"/>
      <c r="BV84" s="23"/>
      <c r="BW84" s="23"/>
      <c r="BX84" s="89" t="str">
        <f aca="false">IF(AND(Tasks[[#This Row],[_IsLeaf]]=1,ISNUMBER(Tasks[[#This Row],[Optimistic]]),ISNUMBER(Tasks[[#This Row],[Pessimistic]])),ROUND((Tasks[[#This Row],[Optimistic]]+4*N(Tasks[[#This Row],[_Days]])+Tasks[[#This Row],[Pessimistic]])/6,1),"")</f>
        <v/>
      </c>
      <c r="BY84" s="87"/>
      <c r="BZ84" s="87"/>
      <c r="CA84" s="22"/>
      <c r="CB84" s="43" t="str">
        <f aca="false">IF(Tasks[[#This Row],[Task Name]]="","",MAX(1,N(Tasks[[#This Row],[Level]])))</f>
        <v/>
      </c>
      <c r="CC84" s="43" t="n">
        <f aca="false">ROW()-ROW(Tasks[[#Headers],[ID]])</f>
        <v>79</v>
      </c>
      <c r="CD84" s="43" t="n">
        <f aca="false">IF(OR(Tasks[[#This Row],[Task Name]]="",Tasks[[#This Row],[_Level]]&lt;=1),0,IFERROR(LOOKUP(2,1/(Tasks[[#Headers],[_Level]]:Tasks[[#This Row],[_Level]]=Tasks[[#This Row],[_Level]]-1),ROW(Tasks[[#Headers],[_Level]]:Tasks[[#This Row],[_Level]])),0))</f>
        <v>0</v>
      </c>
      <c r="CE84" s="43" t="n">
        <f aca="false">IFERROR(N(INDEX(Tasks[_Level],Tasks[[#This Row],[_Row]]+1)),0)</f>
        <v>0</v>
      </c>
      <c r="CF84" s="90" t="b">
        <f aca="false">AND(Tasks[[#This Row],[Task Name]]&lt;&gt;"",Tasks[[#This Row],[_NextLevel]]&gt;Tasks[[#This Row],[_Level]])</f>
        <v>0</v>
      </c>
      <c r="CG84" s="43" t="n">
        <f aca="false">IF(Tasks[[#This Row],[_IsSummary]],COUNTIF(Tasks[WBS],Tasks[[#This Row],[WBS]]&amp;".*"),0)</f>
        <v>0</v>
      </c>
      <c r="CH84" s="43" t="n">
        <f aca="false">IF(AND(Tasks[[#This Row],[Task Name]]&lt;&gt;"",NOT(Tasks[[#This Row],[_IsSummary]])),1,0)</f>
        <v>0</v>
      </c>
      <c r="CI84" s="43" t="n">
        <f aca="false">IF(N(Tasks[[#This Row],[_Pred1UID]])=0,0,IFERROR(MATCH(Tasks[[#This Row],[_Pred1UID]],Tasks[UID],0),-1))</f>
        <v>0</v>
      </c>
      <c r="CJ84" s="43" t="n">
        <f aca="false">IF(N(Tasks[[#This Row],[_Pred2UID]])=0,0,IFERROR(MATCH(Tasks[[#This Row],[_Pred2UID]],Tasks[UID],0),-1))</f>
        <v>0</v>
      </c>
      <c r="CK84" s="43" t="n">
        <f aca="false">IF(N(Tasks[[#This Row],[_Pred3UID]])=0,0,IFERROR(MATCH(Tasks[[#This Row],[_Pred3UID]],Tasks[UID],0),-1))</f>
        <v>0</v>
      </c>
      <c r="CL84" s="43" t="n">
        <f aca="false">IF(N(Tasks[[#This Row],[_Pred4UID]])=0,0,IFERROR(MATCH(Tasks[[#This Row],[_Pred4UID]],Tasks[UID],0),-1))</f>
        <v>0</v>
      </c>
      <c r="CM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4" s="91" t="n">
        <f aca="false">IF(OR(Tasks[[#This Row],[_ConstraintCode]]=2,Tasks[[#This Row],[_ConstraintCode]]=3,Tasks[[#This Row],[_ConstraintCode]]=4,Tasks[[#This Row],[_ConstraintCode]]=6),Tasks[[#This Row],[_ConstraintStart]],0)</f>
        <v>0</v>
      </c>
      <c r="CP84" s="91" t="n">
        <f aca="false">IF(OR(Tasks[[#This Row],[_ConstraintCode]]=2,Tasks[[#This Row],[_ConstraintCode]]=3,Tasks[[#This Row],[_ConstraintCode]]=5,Tasks[[#This Row],[_ConstraintCode]]=7),Tasks[[#This Row],[_ConstraintStart]],2958465)</f>
        <v>2958465</v>
      </c>
      <c r="CQ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4" s="91" t="str">
        <f aca="false">IF(NOT(Tasks[[#This Row],[_IsLeaf]]=1),"",IF(N(Tasks[[#This Row],[_Days]])&lt;=0,Tasks[[#This Row],[_LeafCalcStart]],WORKDAY.INTL(Tasks[[#This Row],[_LeafCalcStart]],Tasks[[#This Row],[_Days]]-1,WorkWeek,Holidays)))</f>
        <v/>
      </c>
      <c r="CS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4" s="43" t="str">
        <f aca="false">IF(Tasks[[#This Row],[_Predecessors]]="","",TRIM(MID(SUBSTITUTE(SUBSTITUTE(SUBSTITUTE(UPPER(Tasks[[#This Row],[_Predecessors]]),";",",")," ",""),",",REPT(" ",99)),1,99)))</f>
        <v/>
      </c>
      <c r="CV84" s="43" t="str">
        <f aca="false">IF(Tasks[[#This Row],[_Pred1Text]]="","",IFERROR(VALUE(LEFT(Tasks[[#This Row],[_Pred1Text]],MIN(FIND("F",Tasks[[#This Row],[_Pred1Text]]&amp;"F"),FIND("S",Tasks[[#This Row],[_Pred1Text]]&amp;"S"),FIND("+",Tasks[[#This Row],[_Pred1Text]]&amp;"+"),FIND("-",Tasks[[#This Row],[_Pred1Text]]&amp;"-"))-1)),""))</f>
        <v/>
      </c>
      <c r="CW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4" s="43" t="str">
        <f aca="false">IF(Tasks[[#This Row],[_Pred1Text]]="","",TRIM(MID(SUBSTITUTE(SUBSTITUTE(SUBSTITUTE(UPPER(Tasks[[#This Row],[_Predecessors]]),";",",")," ",""),",",REPT(" ",99)),100,99)))</f>
        <v/>
      </c>
      <c r="CZ84" s="43" t="str">
        <f aca="false">IF(Tasks[[#This Row],[_Pred2Text]]="","",IFERROR(VALUE(LEFT(Tasks[[#This Row],[_Pred2Text]],MIN(FIND("F",Tasks[[#This Row],[_Pred2Text]]&amp;"F"),FIND("S",Tasks[[#This Row],[_Pred2Text]]&amp;"S"),FIND("+",Tasks[[#This Row],[_Pred2Text]]&amp;"+"),FIND("-",Tasks[[#This Row],[_Pred2Text]]&amp;"-"))-1)),""))</f>
        <v/>
      </c>
      <c r="DA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4" s="43" t="str">
        <f aca="false">IF(Tasks[[#This Row],[_Pred2Text]]="","",TRIM(MID(SUBSTITUTE(SUBSTITUTE(SUBSTITUTE(UPPER(Tasks[[#This Row],[_Predecessors]]),";",",")," ",""),",",REPT(" ",99)),199,99)))</f>
        <v/>
      </c>
      <c r="DD84" s="43" t="str">
        <f aca="false">IF(Tasks[[#This Row],[_Pred3Text]]="","",IFERROR(VALUE(LEFT(Tasks[[#This Row],[_Pred3Text]],MIN(FIND("F",Tasks[[#This Row],[_Pred3Text]]&amp;"F"),FIND("S",Tasks[[#This Row],[_Pred3Text]]&amp;"S"),FIND("+",Tasks[[#This Row],[_Pred3Text]]&amp;"+"),FIND("-",Tasks[[#This Row],[_Pred3Text]]&amp;"-"))-1)),""))</f>
        <v/>
      </c>
      <c r="DE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4" s="43" t="str">
        <f aca="false">IF(Tasks[[#This Row],[_Pred3Text]]="","",TRIM(MID(SUBSTITUTE(SUBSTITUTE(SUBSTITUTE(UPPER(Tasks[[#This Row],[_Predecessors]]),";",",")," ",""),",",REPT(" ",99)),298,99)))</f>
        <v/>
      </c>
      <c r="DH84" s="43" t="str">
        <f aca="false">IF(Tasks[[#This Row],[_Pred4Text]]="","",IFERROR(VALUE(LEFT(Tasks[[#This Row],[_Pred4Text]],MIN(FIND("F",Tasks[[#This Row],[_Pred4Text]]&amp;"F"),FIND("S",Tasks[[#This Row],[_Pred4Text]]&amp;"S"),FIND("+",Tasks[[#This Row],[_Pred4Text]]&amp;"+"),FIND("-",Tasks[[#This Row],[_Pred4Text]]&amp;"-"))-1)),""))</f>
        <v/>
      </c>
      <c r="DI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4" s="43" t="str">
        <f aca="false">IF(OR(Tasks[[#This Row],[Task Name]]="",Tasks[[#This Row],[_Resources]]=""),"",TRIM(MID(SUBSTITUTE(Tasks[[#This Row],[_Resources]],",",REPT(" ",99)),1,99)))</f>
        <v/>
      </c>
      <c r="DL84" s="43" t="str">
        <f aca="false">IF(Tasks[[#This Row],[_Res1Text]]="","",TRIM(MID(SUBSTITUTE(Tasks[[#This Row],[_Resources]],",",REPT(" ",99)),100,99)))</f>
        <v/>
      </c>
      <c r="DM84" s="43" t="str">
        <f aca="false">IF(Tasks[[#This Row],[_Res2Text]]="","",TRIM(MID(SUBSTITUTE(Tasks[[#This Row],[_Resources]],",",REPT(" ",99)),199,99)))</f>
        <v/>
      </c>
      <c r="DN84" s="43" t="str">
        <f aca="false">IF(Tasks[[#This Row],[_Res3Text]]="","",TRIM(MID(SUBSTITUTE(Tasks[[#This Row],[_Resources]],",",REPT(" ",99)),298,99)))</f>
        <v/>
      </c>
      <c r="DO84" s="43" t="n">
        <f aca="false">IF(Tasks[[#This Row],[_Res1Text]]="",0,IFERROR(MATCH(TRIM(LEFT(Tasks[[#This Row],[_Res1Text]],FIND("[",Tasks[[#This Row],[_Res1Text]]&amp;"[")-1)),res_Name,0),IFERROR(MATCH(TRIM(LEFT(Tasks[[#This Row],[_Res1Text]],FIND("[",Tasks[[#This Row],[_Res1Text]]&amp;"[")-1)),res_Initials,0),0)))</f>
        <v>0</v>
      </c>
      <c r="DP84" s="43" t="n">
        <f aca="false">IF(Tasks[[#This Row],[_Res2Text]]="",0,IFERROR(MATCH(TRIM(LEFT(Tasks[[#This Row],[_Res2Text]],FIND("[",Tasks[[#This Row],[_Res2Text]]&amp;"[")-1)),res_Name,0),IFERROR(MATCH(TRIM(LEFT(Tasks[[#This Row],[_Res2Text]],FIND("[",Tasks[[#This Row],[_Res2Text]]&amp;"[")-1)),res_Initials,0),0)))</f>
        <v>0</v>
      </c>
      <c r="DQ84" s="43" t="n">
        <f aca="false">IF(Tasks[[#This Row],[_Res3Text]]="",0,IFERROR(MATCH(TRIM(LEFT(Tasks[[#This Row],[_Res3Text]],FIND("[",Tasks[[#This Row],[_Res3Text]]&amp;"[")-1)),res_Name,0),IFERROR(MATCH(TRIM(LEFT(Tasks[[#This Row],[_Res3Text]],FIND("[",Tasks[[#This Row],[_Res3Text]]&amp;"[")-1)),res_Initials,0),0)))</f>
        <v>0</v>
      </c>
      <c r="DR84" s="43" t="n">
        <f aca="false">IF(Tasks[[#This Row],[_Res4Text]]="",0,IFERROR(MATCH(TRIM(LEFT(Tasks[[#This Row],[_Res4Text]],FIND("[",Tasks[[#This Row],[_Res4Text]]&amp;"[")-1)),res_Name,0),IFERROR(MATCH(TRIM(LEFT(Tasks[[#This Row],[_Res4Text]],FIND("[",Tasks[[#This Row],[_Res4Text]]&amp;"[")-1)),res_Initials,0),0)))</f>
        <v>0</v>
      </c>
      <c r="DS84" s="43" t="str">
        <f aca="false">IF(Tasks[[#This Row],[_Res1Text]]="","",IF(Tasks[[#This Row],[_Res1Row]]&gt;0,INDEX(res_Name,Tasks[[#This Row],[_Res1Row]]),TRIM(LEFT(Tasks[[#This Row],[_Res1Text]],FIND("[",Tasks[[#This Row],[_Res1Text]]&amp;"[")-1))))</f>
        <v/>
      </c>
      <c r="DT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4" s="43" t="n">
        <f aca="false">IF(NOT(Tasks[[#This Row],[_IsLeaf]]=1),0,(Tasks[[#This Row],[_Resource1]]&lt;&gt;"")+(Tasks[[#This Row],[_Res2]]&lt;&gt;"")+(Tasks[[#This Row],[_Res3]]&lt;&gt;"")+(Tasks[[#This Row],[_Res4]]&lt;&gt;""))</f>
        <v>0</v>
      </c>
      <c r="DV84" s="43" t="str">
        <f aca="false">IF(Tasks[[#This Row],[_Res2Text]]="","",IF(Tasks[[#This Row],[_Res2Row]]&gt;0,INDEX(res_Name,Tasks[[#This Row],[_Res2Row]]),TRIM(LEFT(Tasks[[#This Row],[_Res2Text]],FIND("[",Tasks[[#This Row],[_Res2Text]]&amp;"[")-1))))</f>
        <v/>
      </c>
      <c r="DW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4" s="43" t="n">
        <f aca="false">IF(OR(NOT(Tasks[[#This Row],[_IsLeaf]]=1),Tasks[[#This Row],[_Res2Row]]=0),0,N(Tasks[[#This Row],[_Days]])*HoursPerDay*IF(Tasks[[#This Row],[_Res2Units]]="",DefaultUnits,Tasks[[#This Row],[_Res2Units]]))</f>
        <v>0</v>
      </c>
      <c r="DY84" s="43" t="n">
        <f aca="false">IF(AND(AND(Tasks[[#This Row],[_IsLeaf]]=1,Tasks[[#This Row],[_LeafTotalWork]]&gt;0),Tasks[[#This Row],[_Res2Work]]&gt;0),Tasks[[#This Row],[_Res2Work]]/(Tasks[[#This Row],[_FinishWorkday]]-Tasks[[#This Row],[_StartWorkday]]+1),0)</f>
        <v>0</v>
      </c>
      <c r="DZ84" s="43" t="n">
        <f aca="false">Tasks[[#This Row],[_Res2WorkPerWD]]*MAX(0,Tasks[[#This Row],[_StartWorkday]]-1)</f>
        <v>0</v>
      </c>
      <c r="EA84" s="43" t="n">
        <f aca="false">Tasks[[#This Row],[_Res2Work]]*Tasks[[#This Row],[_LeafProgress]]</f>
        <v>0</v>
      </c>
      <c r="EB84" s="43" t="str">
        <f aca="false">IF(Tasks[[#This Row],[_Res3Text]]="","",IF(Tasks[[#This Row],[_Res3Row]]&gt;0,INDEX(res_Name,Tasks[[#This Row],[_Res3Row]]),TRIM(LEFT(Tasks[[#This Row],[_Res3Text]],FIND("[",Tasks[[#This Row],[_Res3Text]]&amp;"[")-1))))</f>
        <v/>
      </c>
      <c r="EC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4" s="43" t="n">
        <f aca="false">IF(OR(NOT(Tasks[[#This Row],[_IsLeaf]]=1),Tasks[[#This Row],[_Res3Row]]=0),0,N(Tasks[[#This Row],[_Days]])*HoursPerDay*IF(Tasks[[#This Row],[_Res3Units]]="",DefaultUnits,Tasks[[#This Row],[_Res3Units]]))</f>
        <v>0</v>
      </c>
      <c r="EE84" s="43" t="n">
        <f aca="false">IF(AND(AND(Tasks[[#This Row],[_IsLeaf]]=1,Tasks[[#This Row],[_LeafTotalWork]]&gt;0),Tasks[[#This Row],[_Res3Work]]&gt;0),Tasks[[#This Row],[_Res3Work]]/(Tasks[[#This Row],[_FinishWorkday]]-Tasks[[#This Row],[_StartWorkday]]+1),0)</f>
        <v>0</v>
      </c>
      <c r="EF84" s="43" t="n">
        <f aca="false">Tasks[[#This Row],[_Res3WorkPerWD]]*MAX(0,Tasks[[#This Row],[_StartWorkday]]-1)</f>
        <v>0</v>
      </c>
      <c r="EG84" s="43" t="n">
        <f aca="false">Tasks[[#This Row],[_Res3Work]]*Tasks[[#This Row],[_LeafProgress]]</f>
        <v>0</v>
      </c>
      <c r="EH84" s="43" t="str">
        <f aca="false">IF(Tasks[[#This Row],[_Res4Text]]="","",IF(Tasks[[#This Row],[_Res4Row]]&gt;0,INDEX(res_Name,Tasks[[#This Row],[_Res4Row]]),TRIM(LEFT(Tasks[[#This Row],[_Res4Text]],FIND("[",Tasks[[#This Row],[_Res4Text]]&amp;"[")-1))))</f>
        <v/>
      </c>
      <c r="EI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4" s="43" t="n">
        <f aca="false">IF(OR(NOT(Tasks[[#This Row],[_IsLeaf]]=1),Tasks[[#This Row],[_Res4Row]]=0),0,N(Tasks[[#This Row],[_Days]])*HoursPerDay*IF(Tasks[[#This Row],[_Res4Units]]="",DefaultUnits,Tasks[[#This Row],[_Res4Units]]))</f>
        <v>0</v>
      </c>
      <c r="EK84" s="43" t="n">
        <f aca="false">IF(AND(AND(Tasks[[#This Row],[_IsLeaf]]=1,Tasks[[#This Row],[_LeafTotalWork]]&gt;0),Tasks[[#This Row],[_Res4Work]]&gt;0),Tasks[[#This Row],[_Res4Work]]/(Tasks[[#This Row],[_FinishWorkday]]-Tasks[[#This Row],[_StartWorkday]]+1),0)</f>
        <v>0</v>
      </c>
      <c r="EL84" s="43" t="n">
        <f aca="false">Tasks[[#This Row],[_Res4WorkPerWD]]*MAX(0,Tasks[[#This Row],[_StartWorkday]]-1)</f>
        <v>0</v>
      </c>
      <c r="EM84" s="43" t="n">
        <f aca="false">Tasks[[#This Row],[_Res4Work]]*Tasks[[#This Row],[_LeafProgress]]</f>
        <v>0</v>
      </c>
      <c r="EN84" s="43" t="n">
        <f aca="false">IF(ISNUMBER(Tasks[[#This Row],[% Complete]]),Tasks[[#This Row],[% Complete]],IF(Tasks[[#This Row],[Stage]]="",0,IFERROR(INDEX(stg_Pct,MATCH(Tasks[[#This Row],[Stage]],stg_Name,0)),0)))</f>
        <v>0</v>
      </c>
      <c r="EO84" s="43" t="n">
        <f aca="false">IF(NOT(Tasks[[#This Row],[_IsLeaf]]=1),0,IF(N(Tasks[[#This Row],[Actual Finish]])&gt;0,1,MIN(1,Tasks[[#This Row],[_Pct]])))</f>
        <v>0</v>
      </c>
      <c r="EP84" s="43" t="n">
        <f aca="false">IF(OR(NOT(Tasks[[#This Row],[_IsLeaf]]=1),Tasks[[#This Row],[_Res1Row]]=0),0,N(Tasks[[#This Row],[_Days]])*HoursPerDay*IF(Tasks[[#This Row],[_Units1]]="",DefaultUnits,Tasks[[#This Row],[_Units1]]))</f>
        <v>0</v>
      </c>
      <c r="EQ84" s="43" t="n">
        <f aca="false">Tasks[[#This Row],[_LeafWork]]+Tasks[[#This Row],[_Res2Work]]+Tasks[[#This Row],[_Res3Work]]+Tasks[[#This Row],[_Res4Work]]</f>
        <v>0</v>
      </c>
      <c r="ER8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4" s="43" t="n">
        <f aca="false">IF(NOT(Tasks[[#This Row],[_IsLeaf]]=1),0,MAX(_xlfn.MAXIFS(Tasks[_Row],Tasks[_Pred1UID],Tasks[[#This Row],[UID]]),_xlfn.MAXIFS(Tasks[_Row],Tasks[_Pred2UID],Tasks[[#This Row],[UID]]),_xlfn.MAXIFS(Tasks[_Row],Tasks[_Pred3UID],Tasks[[#This Row],[UID]]),_xlfn.MAXIFS(Tasks[_Row],Tasks[_Pred4UID],Tasks[[#This Row],[UID]])))</f>
        <v>0</v>
      </c>
      <c r="FA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4" s="91" t="str">
        <f aca="false">IF(NOT(Tasks[[#This Row],[_IsLeaf]]=1),"",IF(N(Tasks[[#This Row],[_Days]])&lt;=0,Tasks[[#This Row],[_LeafLateFinish]],WORKDAY.INTL(Tasks[[#This Row],[_LeafLateFinish]],-(Tasks[[#This Row],[_Days]]-1),WorkWeek,Holidays)))</f>
        <v/>
      </c>
      <c r="FD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4" s="90" t="b">
        <f aca="false">AND(Tasks[[#This Row],[_IsLeaf]]=1,Tasks[[#This Row],[_LeafProgress]]&lt;1,N(Tasks[[#This Row],[_LeafTotalSlack]])&lt;=CriticalSlackDays)</f>
        <v>0</v>
      </c>
      <c r="FF84" s="43" t="n">
        <f aca="false">IF(AND(Tasks[[#This Row],[_IsLeaf]]=1,Tasks[[#This Row],[_ConstraintCode]]=1,Tasks[[#This Row],[Mode]]&lt;&gt;"Manual",N(Tasks[[#This Row],[Actual Start]])=0),MAX(0,N(Tasks[[#This Row],[Free Slack]])),0)</f>
        <v>0</v>
      </c>
      <c r="FG84" s="91" t="str">
        <f aca="false">IF(NOT(Tasks[[#This Row],[_IsLeaf]]=1),"",IF(Tasks[[#This Row],[_AlapShift]]=0,Tasks[[#This Row],[_LeafCalcStart]],WORKDAY.INTL(Tasks[[#This Row],[_LeafCalcStart]],Tasks[[#This Row],[_AlapShift]],WorkWeek,Holidays)))</f>
        <v/>
      </c>
      <c r="FH84" s="91" t="str">
        <f aca="false">IF(NOT(Tasks[[#This Row],[_IsLeaf]]=1),"",IF(Tasks[[#This Row],[_AlapShift]]=0,Tasks[[#This Row],[_LeafCalcFinish]],WORKDAY.INTL(Tasks[[#This Row],[_LeafCalcFinish]],Tasks[[#This Row],[_AlapShift]],WorkWeek,Holidays)))</f>
        <v/>
      </c>
      <c r="FI84" s="91" t="str">
        <f aca="false">IF(NOT(Tasks[[#This Row],[_IsLeaf]]=1),"",IF(Tasks[[#This Row],[_AlapShift]]=0,Tasks[[#This Row],[_LeafFcstStart]],WORKDAY.INTL(Tasks[[#This Row],[_LeafFcstStart]],Tasks[[#This Row],[_AlapShift]],WorkWeek,Holidays)))</f>
        <v/>
      </c>
      <c r="FJ84" s="91" t="str">
        <f aca="false">IF(NOT(Tasks[[#This Row],[_IsLeaf]]=1),"",IF(Tasks[[#This Row],[_AlapShift]]=0,Tasks[[#This Row],[_LeafFcstFinish]],WORKDAY.INTL(Tasks[[#This Row],[_LeafFcstFinish]],Tasks[[#This Row],[_AlapShift]],WorkWeek,Holidays)))</f>
        <v/>
      </c>
      <c r="FK84" s="91" t="str">
        <f aca="false">IF(Tasks[[#This Row],[Task Name]]="","",IF(Tasks[[#This Row],[_IsSummary]],MIN(INDEX(Tasks[_ShownCalcStart],Tasks[[#This Row],[_Row]]+1):INDEX(Tasks[_ShownCalcStart],Tasks[[#This Row],[_Row]]+Tasks[[#This Row],[_Descendants]])),Tasks[[#This Row],[_ShownCalcStart]]))</f>
        <v/>
      </c>
      <c r="FL84" s="91" t="str">
        <f aca="false">IF(Tasks[[#This Row],[Task Name]]="","",IF(Tasks[[#This Row],[_IsSummary]],MAX(INDEX(Tasks[_ShownCalcFinish],Tasks[[#This Row],[_Row]]+1):INDEX(Tasks[_ShownCalcFinish],Tasks[[#This Row],[_Row]]+Tasks[[#This Row],[_Descendants]])),Tasks[[#This Row],[_ShownCalcFinish]]))</f>
        <v/>
      </c>
      <c r="FM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4" s="43" t="n">
        <f aca="false">IF(AND(Tasks[[#This Row],[_IsLeaf]]=1,Tasks[[#This Row],[_LeafTotalWork]]&gt;0),NETWORKDAYS.INTL(ProjectStart,Tasks[[#This Row],[_ShownFcstStart]],WorkWeek,Holidays),0)</f>
        <v>0</v>
      </c>
      <c r="FZ84" s="43" t="n">
        <f aca="false">IF(AND(Tasks[[#This Row],[_IsLeaf]]=1,Tasks[[#This Row],[_LeafTotalWork]]&gt;0),MAX(Tasks[[#This Row],[_StartWorkday]],NETWORKDAYS.INTL(ProjectStart,Tasks[[#This Row],[_ShownFcstFinish]],WorkWeek,Holidays)),0)</f>
        <v>0</v>
      </c>
      <c r="GA84" s="43" t="n">
        <f aca="false">IF(AND(Tasks[[#This Row],[_IsLeaf]]=1,Tasks[[#This Row],[_LeafTotalWork]]&gt;0),Tasks[[#This Row],[_LeafWork]]/(Tasks[[#This Row],[_FinishWorkday]]-Tasks[[#This Row],[_StartWorkday]]+1),0)</f>
        <v>0</v>
      </c>
      <c r="GB84" s="43" t="n">
        <f aca="false">Tasks[[#This Row],[_WorkPerWorkday]]*(Tasks[[#This Row],[_StartWorkday]]-1)</f>
        <v>-0</v>
      </c>
      <c r="GC84" s="43" t="n">
        <f aca="false">IF(Tasks[[#This Row],[_IsLeaf]]=1,MAX(N(Tasks[[#This Row],[_Days]]),0.1),0)</f>
        <v>0</v>
      </c>
      <c r="GD84" s="43" t="n">
        <f aca="false">Tasks[[#This Row],[_WeightDur]]*Tasks[[#This Row],[_LeafProgress]]</f>
        <v>0</v>
      </c>
      <c r="GE84" s="43" t="n">
        <f aca="false">Tasks[[#This Row],[_WeightDur]]*Tasks[[#This Row],[_PlannedPct]]</f>
        <v>0</v>
      </c>
      <c r="GF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4" s="43" t="str">
        <f aca="false">IF(AND(Tasks[[#This Row],[_IsLeaf]]=1,N(Tasks[[#This Row],[_Days]])=0,Tasks[[#This Row],[_LeafProgress]]&lt;1),Tasks[[#This Row],[_ShownFcstFinish]]+Tasks[[#This Row],[_Row]]/100000,"")</f>
        <v/>
      </c>
      <c r="GH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4" s="43" t="str">
        <f aca="false">IF(Tasks[[#This Row],[Task Name]]="","",LEFT(Tasks[[#This Row],[WBS]],FIND(".",Tasks[[#This Row],[WBS]]&amp;".")-1))</f>
        <v/>
      </c>
      <c r="GJ84" s="43" t="str">
        <f aca="false">IF(AND(Tasks[[#This Row],[Task Name]]&lt;&gt;"",Tasks[[#This Row],[_Level]]=1),Tasks[[#This Row],[_Row]],"")</f>
        <v/>
      </c>
      <c r="GK84" s="43" t="str">
        <f aca="false">IF(AND(Tasks[[#This Row],[_IsLeaf]]=1,N(Tasks[[#This Row],[_Days]])=0),Tasks[[#This Row],[Planned Finish]]+Tasks[[#This Row],[_Row]]/100000,"")</f>
        <v/>
      </c>
      <c r="GL84" s="43" t="str">
        <f aca="false">IF(AND(Tasks[[#This Row],[_IsLeaf]]=1,Tasks[[#This Row],[_LeafProgress]]&lt;1,OR(N(Tasks[[#This Row],[Finish Var]])&gt;0,Tasks[[#This Row],[Status]]="Late Start")),MAX(0,Tasks[[#This Row],[Finish Var]])+1-Tasks[[#This Row],[_Row]]/1000000,"")</f>
        <v/>
      </c>
      <c r="GM84" s="43" t="str">
        <f aca="false">IF(AND(Tasks[[#This Row],[_IsLeaf]]=1,N(Tasks[[#This Row],[Actual Start]])=0,Tasks[[#This Row],[_ShownFcstStart]]&gt;=StatusDate,Tasks[[#This Row],[_ShownFcstStart]]&lt;=LookaheadEnd),Tasks[[#This Row],[_ShownFcstStart]]+Tasks[[#This Row],[_Row]]/100000,"")</f>
        <v/>
      </c>
      <c r="GN84" s="43" t="str">
        <f aca="false">IF(AND(Tasks[[#This Row],[_IsLeaf]]=1,Tasks[[#This Row],[_LeafProgress]]&lt;1,Tasks[[#This Row],[_ShownFcstFinish]]&gt;=StatusDate,Tasks[[#This Row],[_ShownFcstFinish]]&lt;=LookaheadEnd),Tasks[[#This Row],[_ShownFcstFinish]]+Tasks[[#This Row],[_Row]]/100000,"")</f>
        <v/>
      </c>
      <c r="GO84" s="43" t="str">
        <f aca="false">IF(Tasks[[#This Row],[_LeafCritical]],Tasks[[#This Row],[_ShownFcstStart]]+Tasks[[#This Row],[_Row]]/100000,"")</f>
        <v/>
      </c>
      <c r="GP84" s="43" t="n">
        <f aca="false">Tasks[[#This Row],[_LeafWork]]*Tasks[[#This Row],[_LeafProgress]]</f>
        <v>0</v>
      </c>
      <c r="GQ84" s="91" t="str">
        <f aca="false">IF(AND(Tasks[[#This Row],[_IsLeaf]]=1,Tasks[[#This Row],[_LeafProgress]]&gt;=1),IF(N(Tasks[[#This Row],[Actual Finish]])&gt;0,Tasks[[#This Row],[Actual Finish]],Tasks[[#This Row],[_ShownFcstFinish]]),"")</f>
        <v/>
      </c>
      <c r="GR84" s="43" t="n">
        <f aca="false">IF(Tasks[[#This Row],[_IsLeaf]]=1,N(Tasks[[#This Row],[Story Points]]),0)</f>
        <v>0</v>
      </c>
      <c r="GS84" s="43" t="str">
        <f aca="false">""</f>
        <v/>
      </c>
      <c r="GT84" s="90" t="b">
        <f aca="false">IF(Tasks[[#This Row],[Task Name]]="",FALSE(),AND(Tasks[[#This Row],[_IsLeaf]]=1,N(Tasks[[#This Row],[_Days]])=0))</f>
        <v>0</v>
      </c>
      <c r="GU84" s="91" t="n">
        <f aca="false">IF(Tasks[[#This Row],[Task Name]]="",0,IF(AND(Tasks[[#This Row],[_IsLeaf]]=1,NOT(Tasks[[#This Row],[_IsMilestone]]),N(Tasks[[#This Row],[Progress]])&gt;0),Tasks[[#This Row],[Start]],0))</f>
        <v>0</v>
      </c>
      <c r="GV84" s="91" t="n">
        <f aca="false">IF(Tasks[[#This Row],[_DoneFrom]]=0,0,IF(Tasks[[#This Row],[Progress]]&gt;=1,Tasks[[#This Row],[Finish]],MAX(Tasks[[#This Row],[_DoneFrom]],Tasks[[#This Row],[Start]]+ROUND((Tasks[[#This Row],[Finish]]-Tasks[[#This Row],[Start]]+1)*Tasks[[#This Row],[Progress]],0)-1)))</f>
        <v>0</v>
      </c>
      <c r="GW84" s="91" t="n">
        <f aca="false">IF(Tasks[[#This Row],[Task Name]]="",0,IF(OR(NOT(Tasks[[#This Row],[_IsLeaf]]=1),Tasks[[#This Row],[_IsMilestone]],N(Tasks[[#This Row],[Progress]])&gt;=1),0,IF(Tasks[[#This Row],[_DoneTo]]&gt;0,Tasks[[#This Row],[_DoneTo]]+1,Tasks[[#This Row],[Start]])))</f>
        <v>0</v>
      </c>
      <c r="GX84" s="91" t="n">
        <f aca="false">IF(Tasks[[#This Row],[_RemFrom]]=0,0,Tasks[[#This Row],[Finish]])</f>
        <v>0</v>
      </c>
      <c r="GY84" s="90" t="b">
        <f aca="false">IF(Tasks[[#This Row],[Task Name]]="",FALSE(),OR(NOT(BaselineSet),N(Tasks[[#This Row],[Baseline Start]])&gt;0))</f>
        <v>0</v>
      </c>
      <c r="GZ8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4" s="92" t="str">
        <f aca="false">IF(Tasks[[#This Row],[_IsLeaf]]=1,Tasks[[#This Row],[_Row]],"")</f>
        <v/>
      </c>
      <c r="HD84" s="92" t="str">
        <f aca="false">IFERROR(INDEX(Tasks[UID],SMALL(Tasks[_PickKey],Tasks[[#This Row],[_Row]]))&amp;" "&amp;INDEX(Tasks[Task Name],SMALL(Tasks[_PickKey],Tasks[[#This Row],[_Row]])),"")</f>
        <v/>
      </c>
      <c r="HE84" s="43" t="str">
        <f aca="false">IF(Tasks[[#This Row],[Task Name]]="","",IF(Tasks[[#This Row],[_IsSummary]],NETWORKDAYS.INTL(Tasks[[#This Row],[Start]],Tasks[[#This Row],[Finish]],WorkWeek,Holidays),N(Tasks[[#This Row],[_Days]])))</f>
        <v/>
      </c>
      <c r="HF84" s="43" t="n">
        <f aca="false">IF(Tasks[[#This Row],[Expected]]="",0,((Tasks[[#This Row],[Pessimistic]]-Tasks[[#This Row],[Optimistic]])/6)^2)</f>
        <v>0</v>
      </c>
      <c r="HG84" s="43" t="n">
        <f aca="false">IF(Tasks[[#This Row],[Expected]]="",0,Tasks[[#This Row],[Expected]]-N(Tasks[[#This Row],[_Days]]))</f>
        <v>0</v>
      </c>
    </row>
    <row r="85" customFormat="false" ht="15" hidden="false" customHeight="false" outlineLevel="0" collapsed="false">
      <c r="A85" s="21" t="str">
        <f aca="false">IF(Tasks[[#This Row],[Task Name]]="","",COUNTA(Tasks[[#Headers],[Task Name]]:Tasks[[#This Row],[Task Name]])-1)</f>
        <v/>
      </c>
      <c r="B85" s="22" t="n">
        <v>93</v>
      </c>
      <c r="C85" s="22"/>
      <c r="D85" s="23"/>
      <c r="E85" s="22"/>
      <c r="F85" s="23"/>
      <c r="G85" s="22"/>
      <c r="H85" s="22"/>
      <c r="I85" s="23"/>
      <c r="J85" s="22"/>
      <c r="K85" s="22"/>
      <c r="L85" s="23"/>
      <c r="M85" s="22"/>
      <c r="N85" s="22"/>
      <c r="O85" s="23"/>
      <c r="P85" s="22"/>
      <c r="Q85" s="22"/>
      <c r="R85" s="23"/>
      <c r="S85" s="23"/>
      <c r="T85" s="84"/>
      <c r="U85" s="23"/>
      <c r="V85" s="84"/>
      <c r="W85" s="23"/>
      <c r="X85" s="84"/>
      <c r="Y85" s="23"/>
      <c r="Z85" s="84"/>
      <c r="AA85" s="23"/>
      <c r="AB85" s="23"/>
      <c r="AC85" s="7"/>
      <c r="AD85" s="7"/>
      <c r="AE85" s="63" t="str">
        <f aca="false">IF(Tasks[[#This Row],[Task Name]]="","",IF(Tasks[[#This Row],[_IsSummary]],MIN(INDEX(Tasks[_ShownFcstStart],Tasks[[#This Row],[_Row]]+1):INDEX(Tasks[_ShownFcstStart],Tasks[[#This Row],[_Row]]+Tasks[[#This Row],[_Descendants]])),Tasks[[#This Row],[_ShownFcstStart]]))</f>
        <v/>
      </c>
      <c r="AF85" s="63" t="str">
        <f aca="false">IF(Tasks[[#This Row],[Task Name]]="","",IF(Tasks[[#This Row],[_IsSummary]],MAX(INDEX(Tasks[_ShownFcstFinish],Tasks[[#This Row],[_Row]]+1):INDEX(Tasks[_ShownFcstFinish],Tasks[[#This Row],[_Row]]+Tasks[[#This Row],[_Descendants]])),Tasks[[#This Row],[_ShownFcstFinish]]))</f>
        <v/>
      </c>
      <c r="AG85" s="21" t="str">
        <f aca="false">""</f>
        <v/>
      </c>
      <c r="AH85" s="23"/>
      <c r="AI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5" s="7"/>
      <c r="AK85" s="22"/>
      <c r="AL85" s="23"/>
      <c r="AM85" s="7"/>
      <c r="AN85" s="47" t="str">
        <f aca="false">IF(Tasks[[#This Row],[Task Name]]="","",IF(Tasks[[#This Row],[Finish]]&gt;=Tasks[[#This Row],[Planned Finish]],NETWORKDAYS.INTL(Tasks[[#This Row],[Planned Finish]],Tasks[[#This Row],[Finish]],WorkWeek,Holidays)-1,1-NETWORKDAYS.INTL(Tasks[[#This Row],[Finish]],Tasks[[#This Row],[Planned Finish]],WorkWeek,Holidays)))</f>
        <v/>
      </c>
      <c r="AO85" s="21" t="str">
        <f aca="false">IF(Tasks[[#This Row],[Task Name]]="","",IF(Tasks[[#This Row],[Progress]]&gt;=1,"Complete",IF(OR(N(Tasks[[#This Row],[Actual Start]])&gt;0,Tasks[[#This Row],[Progress]]&gt;0),IF(Tasks[[#This Row],[Finish Var]]&gt;0,"Behind","In Progress"),IF(Tasks[[#This Row],[Planned Start]]&lt;StatusDate,"Late Start","Not Started"))))</f>
        <v/>
      </c>
      <c r="AP85" s="21" t="str">
        <f aca="false">IF(Tasks[[#This Row],[Task Name]]="","",IF(IF(Tasks[[#This Row],[_IsSummary]],COUNTIF(INDEX(Tasks[_LeafCritical],Tasks[[#This Row],[_Row]]+1):INDEX(Tasks[_LeafCritical],Tasks[[#This Row],[_Row]]+Tasks[[#This Row],[_Descendants]]),TRUE())&gt;0,Tasks[[#This Row],[_LeafCritical]]),"Yes",""))</f>
        <v/>
      </c>
      <c r="AQ85" s="63" t="str">
        <f aca="false">IF(Tasks[[#This Row],[Task Name]]="","",IF(N(Tasks[[#This Row],[Baseline Start]])&gt;0,Tasks[[#This Row],[Baseline Start]],Tasks[[#This Row],[_CalcStart]]))</f>
        <v/>
      </c>
      <c r="AR85" s="63" t="str">
        <f aca="false">IF(Tasks[[#This Row],[Task Name]]="","",IF(N(Tasks[[#This Row],[Baseline Finish]])&gt;0,Tasks[[#This Row],[Baseline Finish]],Tasks[[#This Row],[_CalcFinish]]))</f>
        <v/>
      </c>
      <c r="AS85" s="47" t="str">
        <f aca="false">IF(Tasks[[#This Row],[Task Name]]="","",IF(Tasks[[#This Row],[Start]]&gt;=Tasks[[#This Row],[Planned Start]],NETWORKDAYS.INTL(Tasks[[#This Row],[Planned Start]],Tasks[[#This Row],[Start]],WorkWeek,Holidays)-1,1-NETWORKDAYS.INTL(Tasks[[#This Row],[Start]],Tasks[[#This Row],[Planned Start]],WorkWeek,Holidays)))</f>
        <v/>
      </c>
      <c r="AT85" s="63" t="str">
        <f aca="false">IF(Tasks[[#This Row],[Task Name]]="","",IF(Tasks[[#This Row],[_IsSummary]],MIN(INDEX(Tasks[_LeafLateStart],Tasks[[#This Row],[_Row]]+1):INDEX(Tasks[_LeafLateStart],Tasks[[#This Row],[_Row]]+Tasks[[#This Row],[_Descendants]])),Tasks[[#This Row],[_LeafLateStart]]))</f>
        <v/>
      </c>
      <c r="AU85" s="63" t="str">
        <f aca="false">IF(Tasks[[#This Row],[Task Name]]="","",IF(Tasks[[#This Row],[_IsSummary]],MAX(INDEX(Tasks[_LeafLateFinish],Tasks[[#This Row],[_Row]]+1):INDEX(Tasks[_LeafLateFinish],Tasks[[#This Row],[_Row]]+Tasks[[#This Row],[_Descendants]])),Tasks[[#This Row],[_LeafLateFinish]]))</f>
        <v/>
      </c>
      <c r="AV85" s="47" t="str">
        <f aca="false">IF(Tasks[[#This Row],[Task Name]]="","",IF(Tasks[[#This Row],[_IsSummary]],MIN(INDEX(Tasks[_LeafTotalSlack],Tasks[[#This Row],[_Row]]+1):INDEX(Tasks[_LeafTotalSlack],Tasks[[#This Row],[_Row]]+Tasks[[#This Row],[_Descendants]])),Tasks[[#This Row],[_LeafTotalSlack]]))</f>
        <v/>
      </c>
      <c r="AW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5"/>
      <c r="BA8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t="str">
        <f aca="false">IF(Tasks[[#This Row],[Task Name]]="","",IF(Tasks[[#This Row],[_Level]]&lt;=OutlineShowLevel,"Yes","No"))</f>
        <v/>
      </c>
      <c r="BE85" s="86" t="str">
        <f aca="false">IF(Tasks[[#This Row],[Task Name]]="","",IF(Tasks[[#This Row],[_IsSummary]],SUM(INDEX(Tasks[_LeafTotalWork],Tasks[[#This Row],[_Row]]+1):INDEX(Tasks[_LeafTotalWork],Tasks[[#This Row],[_Row]]+Tasks[[#This Row],[_Descendants]])),Tasks[[#This Row],[_LeafTotalWork]]))</f>
        <v/>
      </c>
      <c r="BF85" s="23"/>
      <c r="BG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t="str">
        <f aca="false">""</f>
        <v/>
      </c>
      <c r="BI85" s="87"/>
      <c r="BJ85" s="22"/>
      <c r="BK85" s="47" t="str">
        <f aca="false">IF(OR(Tasks[[#This Row],[Task Name]]="",Tasks[[#This Row],[Baseline Duration]]=""),"",Tasks[[#This Row],[_SpanDays]]-N(Tasks[[#This Row],[Baseline Duration]]))</f>
        <v/>
      </c>
      <c r="BL85" s="86" t="str">
        <f aca="false">IF(OR(Tasks[[#This Row],[Task Name]]="",Tasks[[#This Row],[Baseline Work]]=""),"",Tasks[[#This Row],[Work]]-N(Tasks[[#This Row],[Baseline Work]]))</f>
        <v/>
      </c>
      <c r="BM85" s="63" t="str">
        <f aca="false">IF(Tasks[[#This Row],[Task Name]]="","",IF(OR(TakeBaseline="Yes",N(Tasks[[#This Row],[Baseline Start]])=0),Tasks[[#This Row],[Start]],Tasks[[#This Row],[Baseline Start]]))</f>
        <v/>
      </c>
      <c r="BN85" s="63" t="str">
        <f aca="false">IF(Tasks[[#This Row],[Task Name]]="","",IF(OR(TakeBaseline="Yes",N(Tasks[[#This Row],[Baseline Finish]])=0),Tasks[[#This Row],[Finish]],Tasks[[#This Row],[Baseline Finish]]))</f>
        <v/>
      </c>
      <c r="BO85" s="21" t="str">
        <f aca="false">IF(Tasks[[#This Row],[Task Name]]="","",IF(OR(TakeBaseline="Yes",N(Tasks[[#This Row],[Baseline Duration]])=0),Tasks[[#This Row],[_SpanDays]],Tasks[[#This Row],[Baseline Duration]]))</f>
        <v/>
      </c>
      <c r="BP85" s="86" t="str">
        <f aca="false">IF(Tasks[[#This Row],[Task Name]]="","",IF(OR(TakeBaseline="Yes",N(Tasks[[#This Row],[Baseline Work]])=0),Tasks[[#This Row],[Work]],Tasks[[#This Row],[Baseline Work]]))</f>
        <v/>
      </c>
      <c r="BQ85" s="7"/>
      <c r="BR85" s="7"/>
      <c r="BS85" s="22"/>
      <c r="BT85" s="88"/>
      <c r="BU85" s="23"/>
      <c r="BV85" s="23"/>
      <c r="BW85" s="23"/>
      <c r="BX85" s="89" t="str">
        <f aca="false">IF(AND(Tasks[[#This Row],[_IsLeaf]]=1,ISNUMBER(Tasks[[#This Row],[Optimistic]]),ISNUMBER(Tasks[[#This Row],[Pessimistic]])),ROUND((Tasks[[#This Row],[Optimistic]]+4*N(Tasks[[#This Row],[_Days]])+Tasks[[#This Row],[Pessimistic]])/6,1),"")</f>
        <v/>
      </c>
      <c r="BY85" s="87"/>
      <c r="BZ85" s="87"/>
      <c r="CA85" s="22"/>
      <c r="CB85" s="43" t="str">
        <f aca="false">IF(Tasks[[#This Row],[Task Name]]="","",MAX(1,N(Tasks[[#This Row],[Level]])))</f>
        <v/>
      </c>
      <c r="CC85" s="43" t="n">
        <f aca="false">ROW()-ROW(Tasks[[#Headers],[ID]])</f>
        <v>80</v>
      </c>
      <c r="CD85" s="43" t="n">
        <f aca="false">IF(OR(Tasks[[#This Row],[Task Name]]="",Tasks[[#This Row],[_Level]]&lt;=1),0,IFERROR(LOOKUP(2,1/(Tasks[[#Headers],[_Level]]:Tasks[[#This Row],[_Level]]=Tasks[[#This Row],[_Level]]-1),ROW(Tasks[[#Headers],[_Level]]:Tasks[[#This Row],[_Level]])),0))</f>
        <v>0</v>
      </c>
      <c r="CE85" s="43" t="n">
        <f aca="false">IFERROR(N(INDEX(Tasks[_Level],Tasks[[#This Row],[_Row]]+1)),0)</f>
        <v>0</v>
      </c>
      <c r="CF85" s="90" t="b">
        <f aca="false">AND(Tasks[[#This Row],[Task Name]]&lt;&gt;"",Tasks[[#This Row],[_NextLevel]]&gt;Tasks[[#This Row],[_Level]])</f>
        <v>0</v>
      </c>
      <c r="CG85" s="43" t="n">
        <f aca="false">IF(Tasks[[#This Row],[_IsSummary]],COUNTIF(Tasks[WBS],Tasks[[#This Row],[WBS]]&amp;".*"),0)</f>
        <v>0</v>
      </c>
      <c r="CH85" s="43" t="n">
        <f aca="false">IF(AND(Tasks[[#This Row],[Task Name]]&lt;&gt;"",NOT(Tasks[[#This Row],[_IsSummary]])),1,0)</f>
        <v>0</v>
      </c>
      <c r="CI85" s="43" t="n">
        <f aca="false">IF(N(Tasks[[#This Row],[_Pred1UID]])=0,0,IFERROR(MATCH(Tasks[[#This Row],[_Pred1UID]],Tasks[UID],0),-1))</f>
        <v>0</v>
      </c>
      <c r="CJ85" s="43" t="n">
        <f aca="false">IF(N(Tasks[[#This Row],[_Pred2UID]])=0,0,IFERROR(MATCH(Tasks[[#This Row],[_Pred2UID]],Tasks[UID],0),-1))</f>
        <v>0</v>
      </c>
      <c r="CK85" s="43" t="n">
        <f aca="false">IF(N(Tasks[[#This Row],[_Pred3UID]])=0,0,IFERROR(MATCH(Tasks[[#This Row],[_Pred3UID]],Tasks[UID],0),-1))</f>
        <v>0</v>
      </c>
      <c r="CL85" s="43" t="n">
        <f aca="false">IF(N(Tasks[[#This Row],[_Pred4UID]])=0,0,IFERROR(MATCH(Tasks[[#This Row],[_Pred4UID]],Tasks[UID],0),-1))</f>
        <v>0</v>
      </c>
      <c r="CM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5" s="91" t="n">
        <f aca="false">IF(OR(Tasks[[#This Row],[_ConstraintCode]]=2,Tasks[[#This Row],[_ConstraintCode]]=3,Tasks[[#This Row],[_ConstraintCode]]=4,Tasks[[#This Row],[_ConstraintCode]]=6),Tasks[[#This Row],[_ConstraintStart]],0)</f>
        <v>0</v>
      </c>
      <c r="CP85" s="91" t="n">
        <f aca="false">IF(OR(Tasks[[#This Row],[_ConstraintCode]]=2,Tasks[[#This Row],[_ConstraintCode]]=3,Tasks[[#This Row],[_ConstraintCode]]=5,Tasks[[#This Row],[_ConstraintCode]]=7),Tasks[[#This Row],[_ConstraintStart]],2958465)</f>
        <v>2958465</v>
      </c>
      <c r="CQ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5" s="91" t="str">
        <f aca="false">IF(NOT(Tasks[[#This Row],[_IsLeaf]]=1),"",IF(N(Tasks[[#This Row],[_Days]])&lt;=0,Tasks[[#This Row],[_LeafCalcStart]],WORKDAY.INTL(Tasks[[#This Row],[_LeafCalcStart]],Tasks[[#This Row],[_Days]]-1,WorkWeek,Holidays)))</f>
        <v/>
      </c>
      <c r="CS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5" s="43" t="str">
        <f aca="false">IF(Tasks[[#This Row],[_Predecessors]]="","",TRIM(MID(SUBSTITUTE(SUBSTITUTE(SUBSTITUTE(UPPER(Tasks[[#This Row],[_Predecessors]]),";",",")," ",""),",",REPT(" ",99)),1,99)))</f>
        <v/>
      </c>
      <c r="CV85" s="43" t="str">
        <f aca="false">IF(Tasks[[#This Row],[_Pred1Text]]="","",IFERROR(VALUE(LEFT(Tasks[[#This Row],[_Pred1Text]],MIN(FIND("F",Tasks[[#This Row],[_Pred1Text]]&amp;"F"),FIND("S",Tasks[[#This Row],[_Pred1Text]]&amp;"S"),FIND("+",Tasks[[#This Row],[_Pred1Text]]&amp;"+"),FIND("-",Tasks[[#This Row],[_Pred1Text]]&amp;"-"))-1)),""))</f>
        <v/>
      </c>
      <c r="CW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5" s="43" t="str">
        <f aca="false">IF(Tasks[[#This Row],[_Pred1Text]]="","",TRIM(MID(SUBSTITUTE(SUBSTITUTE(SUBSTITUTE(UPPER(Tasks[[#This Row],[_Predecessors]]),";",",")," ",""),",",REPT(" ",99)),100,99)))</f>
        <v/>
      </c>
      <c r="CZ85" s="43" t="str">
        <f aca="false">IF(Tasks[[#This Row],[_Pred2Text]]="","",IFERROR(VALUE(LEFT(Tasks[[#This Row],[_Pred2Text]],MIN(FIND("F",Tasks[[#This Row],[_Pred2Text]]&amp;"F"),FIND("S",Tasks[[#This Row],[_Pred2Text]]&amp;"S"),FIND("+",Tasks[[#This Row],[_Pred2Text]]&amp;"+"),FIND("-",Tasks[[#This Row],[_Pred2Text]]&amp;"-"))-1)),""))</f>
        <v/>
      </c>
      <c r="DA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5" s="43" t="str">
        <f aca="false">IF(Tasks[[#This Row],[_Pred2Text]]="","",TRIM(MID(SUBSTITUTE(SUBSTITUTE(SUBSTITUTE(UPPER(Tasks[[#This Row],[_Predecessors]]),";",",")," ",""),",",REPT(" ",99)),199,99)))</f>
        <v/>
      </c>
      <c r="DD85" s="43" t="str">
        <f aca="false">IF(Tasks[[#This Row],[_Pred3Text]]="","",IFERROR(VALUE(LEFT(Tasks[[#This Row],[_Pred3Text]],MIN(FIND("F",Tasks[[#This Row],[_Pred3Text]]&amp;"F"),FIND("S",Tasks[[#This Row],[_Pred3Text]]&amp;"S"),FIND("+",Tasks[[#This Row],[_Pred3Text]]&amp;"+"),FIND("-",Tasks[[#This Row],[_Pred3Text]]&amp;"-"))-1)),""))</f>
        <v/>
      </c>
      <c r="DE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5" s="43" t="str">
        <f aca="false">IF(Tasks[[#This Row],[_Pred3Text]]="","",TRIM(MID(SUBSTITUTE(SUBSTITUTE(SUBSTITUTE(UPPER(Tasks[[#This Row],[_Predecessors]]),";",",")," ",""),",",REPT(" ",99)),298,99)))</f>
        <v/>
      </c>
      <c r="DH85" s="43" t="str">
        <f aca="false">IF(Tasks[[#This Row],[_Pred4Text]]="","",IFERROR(VALUE(LEFT(Tasks[[#This Row],[_Pred4Text]],MIN(FIND("F",Tasks[[#This Row],[_Pred4Text]]&amp;"F"),FIND("S",Tasks[[#This Row],[_Pred4Text]]&amp;"S"),FIND("+",Tasks[[#This Row],[_Pred4Text]]&amp;"+"),FIND("-",Tasks[[#This Row],[_Pred4Text]]&amp;"-"))-1)),""))</f>
        <v/>
      </c>
      <c r="DI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5" s="43" t="str">
        <f aca="false">IF(OR(Tasks[[#This Row],[Task Name]]="",Tasks[[#This Row],[_Resources]]=""),"",TRIM(MID(SUBSTITUTE(Tasks[[#This Row],[_Resources]],",",REPT(" ",99)),1,99)))</f>
        <v/>
      </c>
      <c r="DL85" s="43" t="str">
        <f aca="false">IF(Tasks[[#This Row],[_Res1Text]]="","",TRIM(MID(SUBSTITUTE(Tasks[[#This Row],[_Resources]],",",REPT(" ",99)),100,99)))</f>
        <v/>
      </c>
      <c r="DM85" s="43" t="str">
        <f aca="false">IF(Tasks[[#This Row],[_Res2Text]]="","",TRIM(MID(SUBSTITUTE(Tasks[[#This Row],[_Resources]],",",REPT(" ",99)),199,99)))</f>
        <v/>
      </c>
      <c r="DN85" s="43" t="str">
        <f aca="false">IF(Tasks[[#This Row],[_Res3Text]]="","",TRIM(MID(SUBSTITUTE(Tasks[[#This Row],[_Resources]],",",REPT(" ",99)),298,99)))</f>
        <v/>
      </c>
      <c r="DO85" s="43" t="n">
        <f aca="false">IF(Tasks[[#This Row],[_Res1Text]]="",0,IFERROR(MATCH(TRIM(LEFT(Tasks[[#This Row],[_Res1Text]],FIND("[",Tasks[[#This Row],[_Res1Text]]&amp;"[")-1)),res_Name,0),IFERROR(MATCH(TRIM(LEFT(Tasks[[#This Row],[_Res1Text]],FIND("[",Tasks[[#This Row],[_Res1Text]]&amp;"[")-1)),res_Initials,0),0)))</f>
        <v>0</v>
      </c>
      <c r="DP85" s="43" t="n">
        <f aca="false">IF(Tasks[[#This Row],[_Res2Text]]="",0,IFERROR(MATCH(TRIM(LEFT(Tasks[[#This Row],[_Res2Text]],FIND("[",Tasks[[#This Row],[_Res2Text]]&amp;"[")-1)),res_Name,0),IFERROR(MATCH(TRIM(LEFT(Tasks[[#This Row],[_Res2Text]],FIND("[",Tasks[[#This Row],[_Res2Text]]&amp;"[")-1)),res_Initials,0),0)))</f>
        <v>0</v>
      </c>
      <c r="DQ85" s="43" t="n">
        <f aca="false">IF(Tasks[[#This Row],[_Res3Text]]="",0,IFERROR(MATCH(TRIM(LEFT(Tasks[[#This Row],[_Res3Text]],FIND("[",Tasks[[#This Row],[_Res3Text]]&amp;"[")-1)),res_Name,0),IFERROR(MATCH(TRIM(LEFT(Tasks[[#This Row],[_Res3Text]],FIND("[",Tasks[[#This Row],[_Res3Text]]&amp;"[")-1)),res_Initials,0),0)))</f>
        <v>0</v>
      </c>
      <c r="DR85" s="43" t="n">
        <f aca="false">IF(Tasks[[#This Row],[_Res4Text]]="",0,IFERROR(MATCH(TRIM(LEFT(Tasks[[#This Row],[_Res4Text]],FIND("[",Tasks[[#This Row],[_Res4Text]]&amp;"[")-1)),res_Name,0),IFERROR(MATCH(TRIM(LEFT(Tasks[[#This Row],[_Res4Text]],FIND("[",Tasks[[#This Row],[_Res4Text]]&amp;"[")-1)),res_Initials,0),0)))</f>
        <v>0</v>
      </c>
      <c r="DS85" s="43" t="str">
        <f aca="false">IF(Tasks[[#This Row],[_Res1Text]]="","",IF(Tasks[[#This Row],[_Res1Row]]&gt;0,INDEX(res_Name,Tasks[[#This Row],[_Res1Row]]),TRIM(LEFT(Tasks[[#This Row],[_Res1Text]],FIND("[",Tasks[[#This Row],[_Res1Text]]&amp;"[")-1))))</f>
        <v/>
      </c>
      <c r="DT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5" s="43" t="n">
        <f aca="false">IF(NOT(Tasks[[#This Row],[_IsLeaf]]=1),0,(Tasks[[#This Row],[_Resource1]]&lt;&gt;"")+(Tasks[[#This Row],[_Res2]]&lt;&gt;"")+(Tasks[[#This Row],[_Res3]]&lt;&gt;"")+(Tasks[[#This Row],[_Res4]]&lt;&gt;""))</f>
        <v>0</v>
      </c>
      <c r="DV85" s="43" t="str">
        <f aca="false">IF(Tasks[[#This Row],[_Res2Text]]="","",IF(Tasks[[#This Row],[_Res2Row]]&gt;0,INDEX(res_Name,Tasks[[#This Row],[_Res2Row]]),TRIM(LEFT(Tasks[[#This Row],[_Res2Text]],FIND("[",Tasks[[#This Row],[_Res2Text]]&amp;"[")-1))))</f>
        <v/>
      </c>
      <c r="DW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5" s="43" t="n">
        <f aca="false">IF(OR(NOT(Tasks[[#This Row],[_IsLeaf]]=1),Tasks[[#This Row],[_Res2Row]]=0),0,N(Tasks[[#This Row],[_Days]])*HoursPerDay*IF(Tasks[[#This Row],[_Res2Units]]="",DefaultUnits,Tasks[[#This Row],[_Res2Units]]))</f>
        <v>0</v>
      </c>
      <c r="DY85" s="43" t="n">
        <f aca="false">IF(AND(AND(Tasks[[#This Row],[_IsLeaf]]=1,Tasks[[#This Row],[_LeafTotalWork]]&gt;0),Tasks[[#This Row],[_Res2Work]]&gt;0),Tasks[[#This Row],[_Res2Work]]/(Tasks[[#This Row],[_FinishWorkday]]-Tasks[[#This Row],[_StartWorkday]]+1),0)</f>
        <v>0</v>
      </c>
      <c r="DZ85" s="43" t="n">
        <f aca="false">Tasks[[#This Row],[_Res2WorkPerWD]]*MAX(0,Tasks[[#This Row],[_StartWorkday]]-1)</f>
        <v>0</v>
      </c>
      <c r="EA85" s="43" t="n">
        <f aca="false">Tasks[[#This Row],[_Res2Work]]*Tasks[[#This Row],[_LeafProgress]]</f>
        <v>0</v>
      </c>
      <c r="EB85" s="43" t="str">
        <f aca="false">IF(Tasks[[#This Row],[_Res3Text]]="","",IF(Tasks[[#This Row],[_Res3Row]]&gt;0,INDEX(res_Name,Tasks[[#This Row],[_Res3Row]]),TRIM(LEFT(Tasks[[#This Row],[_Res3Text]],FIND("[",Tasks[[#This Row],[_Res3Text]]&amp;"[")-1))))</f>
        <v/>
      </c>
      <c r="EC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5" s="43" t="n">
        <f aca="false">IF(OR(NOT(Tasks[[#This Row],[_IsLeaf]]=1),Tasks[[#This Row],[_Res3Row]]=0),0,N(Tasks[[#This Row],[_Days]])*HoursPerDay*IF(Tasks[[#This Row],[_Res3Units]]="",DefaultUnits,Tasks[[#This Row],[_Res3Units]]))</f>
        <v>0</v>
      </c>
      <c r="EE85" s="43" t="n">
        <f aca="false">IF(AND(AND(Tasks[[#This Row],[_IsLeaf]]=1,Tasks[[#This Row],[_LeafTotalWork]]&gt;0),Tasks[[#This Row],[_Res3Work]]&gt;0),Tasks[[#This Row],[_Res3Work]]/(Tasks[[#This Row],[_FinishWorkday]]-Tasks[[#This Row],[_StartWorkday]]+1),0)</f>
        <v>0</v>
      </c>
      <c r="EF85" s="43" t="n">
        <f aca="false">Tasks[[#This Row],[_Res3WorkPerWD]]*MAX(0,Tasks[[#This Row],[_StartWorkday]]-1)</f>
        <v>0</v>
      </c>
      <c r="EG85" s="43" t="n">
        <f aca="false">Tasks[[#This Row],[_Res3Work]]*Tasks[[#This Row],[_LeafProgress]]</f>
        <v>0</v>
      </c>
      <c r="EH85" s="43" t="str">
        <f aca="false">IF(Tasks[[#This Row],[_Res4Text]]="","",IF(Tasks[[#This Row],[_Res4Row]]&gt;0,INDEX(res_Name,Tasks[[#This Row],[_Res4Row]]),TRIM(LEFT(Tasks[[#This Row],[_Res4Text]],FIND("[",Tasks[[#This Row],[_Res4Text]]&amp;"[")-1))))</f>
        <v/>
      </c>
      <c r="EI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5" s="43" t="n">
        <f aca="false">IF(OR(NOT(Tasks[[#This Row],[_IsLeaf]]=1),Tasks[[#This Row],[_Res4Row]]=0),0,N(Tasks[[#This Row],[_Days]])*HoursPerDay*IF(Tasks[[#This Row],[_Res4Units]]="",DefaultUnits,Tasks[[#This Row],[_Res4Units]]))</f>
        <v>0</v>
      </c>
      <c r="EK85" s="43" t="n">
        <f aca="false">IF(AND(AND(Tasks[[#This Row],[_IsLeaf]]=1,Tasks[[#This Row],[_LeafTotalWork]]&gt;0),Tasks[[#This Row],[_Res4Work]]&gt;0),Tasks[[#This Row],[_Res4Work]]/(Tasks[[#This Row],[_FinishWorkday]]-Tasks[[#This Row],[_StartWorkday]]+1),0)</f>
        <v>0</v>
      </c>
      <c r="EL85" s="43" t="n">
        <f aca="false">Tasks[[#This Row],[_Res4WorkPerWD]]*MAX(0,Tasks[[#This Row],[_StartWorkday]]-1)</f>
        <v>0</v>
      </c>
      <c r="EM85" s="43" t="n">
        <f aca="false">Tasks[[#This Row],[_Res4Work]]*Tasks[[#This Row],[_LeafProgress]]</f>
        <v>0</v>
      </c>
      <c r="EN85" s="43" t="n">
        <f aca="false">IF(ISNUMBER(Tasks[[#This Row],[% Complete]]),Tasks[[#This Row],[% Complete]],IF(Tasks[[#This Row],[Stage]]="",0,IFERROR(INDEX(stg_Pct,MATCH(Tasks[[#This Row],[Stage]],stg_Name,0)),0)))</f>
        <v>0</v>
      </c>
      <c r="EO85" s="43" t="n">
        <f aca="false">IF(NOT(Tasks[[#This Row],[_IsLeaf]]=1),0,IF(N(Tasks[[#This Row],[Actual Finish]])&gt;0,1,MIN(1,Tasks[[#This Row],[_Pct]])))</f>
        <v>0</v>
      </c>
      <c r="EP85" s="43" t="n">
        <f aca="false">IF(OR(NOT(Tasks[[#This Row],[_IsLeaf]]=1),Tasks[[#This Row],[_Res1Row]]=0),0,N(Tasks[[#This Row],[_Days]])*HoursPerDay*IF(Tasks[[#This Row],[_Units1]]="",DefaultUnits,Tasks[[#This Row],[_Units1]]))</f>
        <v>0</v>
      </c>
      <c r="EQ85" s="43" t="n">
        <f aca="false">Tasks[[#This Row],[_LeafWork]]+Tasks[[#This Row],[_Res2Work]]+Tasks[[#This Row],[_Res3Work]]+Tasks[[#This Row],[_Res4Work]]</f>
        <v>0</v>
      </c>
      <c r="ER8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5" s="43" t="n">
        <f aca="false">IF(NOT(Tasks[[#This Row],[_IsLeaf]]=1),0,MAX(_xlfn.MAXIFS(Tasks[_Row],Tasks[_Pred1UID],Tasks[[#This Row],[UID]]),_xlfn.MAXIFS(Tasks[_Row],Tasks[_Pred2UID],Tasks[[#This Row],[UID]]),_xlfn.MAXIFS(Tasks[_Row],Tasks[_Pred3UID],Tasks[[#This Row],[UID]]),_xlfn.MAXIFS(Tasks[_Row],Tasks[_Pred4UID],Tasks[[#This Row],[UID]])))</f>
        <v>0</v>
      </c>
      <c r="FA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5" s="91" t="str">
        <f aca="false">IF(NOT(Tasks[[#This Row],[_IsLeaf]]=1),"",IF(N(Tasks[[#This Row],[_Days]])&lt;=0,Tasks[[#This Row],[_LeafLateFinish]],WORKDAY.INTL(Tasks[[#This Row],[_LeafLateFinish]],-(Tasks[[#This Row],[_Days]]-1),WorkWeek,Holidays)))</f>
        <v/>
      </c>
      <c r="FD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5" s="90" t="b">
        <f aca="false">AND(Tasks[[#This Row],[_IsLeaf]]=1,Tasks[[#This Row],[_LeafProgress]]&lt;1,N(Tasks[[#This Row],[_LeafTotalSlack]])&lt;=CriticalSlackDays)</f>
        <v>0</v>
      </c>
      <c r="FF85" s="43" t="n">
        <f aca="false">IF(AND(Tasks[[#This Row],[_IsLeaf]]=1,Tasks[[#This Row],[_ConstraintCode]]=1,Tasks[[#This Row],[Mode]]&lt;&gt;"Manual",N(Tasks[[#This Row],[Actual Start]])=0),MAX(0,N(Tasks[[#This Row],[Free Slack]])),0)</f>
        <v>0</v>
      </c>
      <c r="FG85" s="91" t="str">
        <f aca="false">IF(NOT(Tasks[[#This Row],[_IsLeaf]]=1),"",IF(Tasks[[#This Row],[_AlapShift]]=0,Tasks[[#This Row],[_LeafCalcStart]],WORKDAY.INTL(Tasks[[#This Row],[_LeafCalcStart]],Tasks[[#This Row],[_AlapShift]],WorkWeek,Holidays)))</f>
        <v/>
      </c>
      <c r="FH85" s="91" t="str">
        <f aca="false">IF(NOT(Tasks[[#This Row],[_IsLeaf]]=1),"",IF(Tasks[[#This Row],[_AlapShift]]=0,Tasks[[#This Row],[_LeafCalcFinish]],WORKDAY.INTL(Tasks[[#This Row],[_LeafCalcFinish]],Tasks[[#This Row],[_AlapShift]],WorkWeek,Holidays)))</f>
        <v/>
      </c>
      <c r="FI85" s="91" t="str">
        <f aca="false">IF(NOT(Tasks[[#This Row],[_IsLeaf]]=1),"",IF(Tasks[[#This Row],[_AlapShift]]=0,Tasks[[#This Row],[_LeafFcstStart]],WORKDAY.INTL(Tasks[[#This Row],[_LeafFcstStart]],Tasks[[#This Row],[_AlapShift]],WorkWeek,Holidays)))</f>
        <v/>
      </c>
      <c r="FJ85" s="91" t="str">
        <f aca="false">IF(NOT(Tasks[[#This Row],[_IsLeaf]]=1),"",IF(Tasks[[#This Row],[_AlapShift]]=0,Tasks[[#This Row],[_LeafFcstFinish]],WORKDAY.INTL(Tasks[[#This Row],[_LeafFcstFinish]],Tasks[[#This Row],[_AlapShift]],WorkWeek,Holidays)))</f>
        <v/>
      </c>
      <c r="FK85" s="91" t="str">
        <f aca="false">IF(Tasks[[#This Row],[Task Name]]="","",IF(Tasks[[#This Row],[_IsSummary]],MIN(INDEX(Tasks[_ShownCalcStart],Tasks[[#This Row],[_Row]]+1):INDEX(Tasks[_ShownCalcStart],Tasks[[#This Row],[_Row]]+Tasks[[#This Row],[_Descendants]])),Tasks[[#This Row],[_ShownCalcStart]]))</f>
        <v/>
      </c>
      <c r="FL85" s="91" t="str">
        <f aca="false">IF(Tasks[[#This Row],[Task Name]]="","",IF(Tasks[[#This Row],[_IsSummary]],MAX(INDEX(Tasks[_ShownCalcFinish],Tasks[[#This Row],[_Row]]+1):INDEX(Tasks[_ShownCalcFinish],Tasks[[#This Row],[_Row]]+Tasks[[#This Row],[_Descendants]])),Tasks[[#This Row],[_ShownCalcFinish]]))</f>
        <v/>
      </c>
      <c r="FM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5" s="43" t="n">
        <f aca="false">IF(AND(Tasks[[#This Row],[_IsLeaf]]=1,Tasks[[#This Row],[_LeafTotalWork]]&gt;0),NETWORKDAYS.INTL(ProjectStart,Tasks[[#This Row],[_ShownFcstStart]],WorkWeek,Holidays),0)</f>
        <v>0</v>
      </c>
      <c r="FZ85" s="43" t="n">
        <f aca="false">IF(AND(Tasks[[#This Row],[_IsLeaf]]=1,Tasks[[#This Row],[_LeafTotalWork]]&gt;0),MAX(Tasks[[#This Row],[_StartWorkday]],NETWORKDAYS.INTL(ProjectStart,Tasks[[#This Row],[_ShownFcstFinish]],WorkWeek,Holidays)),0)</f>
        <v>0</v>
      </c>
      <c r="GA85" s="43" t="n">
        <f aca="false">IF(AND(Tasks[[#This Row],[_IsLeaf]]=1,Tasks[[#This Row],[_LeafTotalWork]]&gt;0),Tasks[[#This Row],[_LeafWork]]/(Tasks[[#This Row],[_FinishWorkday]]-Tasks[[#This Row],[_StartWorkday]]+1),0)</f>
        <v>0</v>
      </c>
      <c r="GB85" s="43" t="n">
        <f aca="false">Tasks[[#This Row],[_WorkPerWorkday]]*(Tasks[[#This Row],[_StartWorkday]]-1)</f>
        <v>-0</v>
      </c>
      <c r="GC85" s="43" t="n">
        <f aca="false">IF(Tasks[[#This Row],[_IsLeaf]]=1,MAX(N(Tasks[[#This Row],[_Days]]),0.1),0)</f>
        <v>0</v>
      </c>
      <c r="GD85" s="43" t="n">
        <f aca="false">Tasks[[#This Row],[_WeightDur]]*Tasks[[#This Row],[_LeafProgress]]</f>
        <v>0</v>
      </c>
      <c r="GE85" s="43" t="n">
        <f aca="false">Tasks[[#This Row],[_WeightDur]]*Tasks[[#This Row],[_PlannedPct]]</f>
        <v>0</v>
      </c>
      <c r="GF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5" s="43" t="str">
        <f aca="false">IF(AND(Tasks[[#This Row],[_IsLeaf]]=1,N(Tasks[[#This Row],[_Days]])=0,Tasks[[#This Row],[_LeafProgress]]&lt;1),Tasks[[#This Row],[_ShownFcstFinish]]+Tasks[[#This Row],[_Row]]/100000,"")</f>
        <v/>
      </c>
      <c r="GH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5" s="43" t="str">
        <f aca="false">IF(Tasks[[#This Row],[Task Name]]="","",LEFT(Tasks[[#This Row],[WBS]],FIND(".",Tasks[[#This Row],[WBS]]&amp;".")-1))</f>
        <v/>
      </c>
      <c r="GJ85" s="43" t="str">
        <f aca="false">IF(AND(Tasks[[#This Row],[Task Name]]&lt;&gt;"",Tasks[[#This Row],[_Level]]=1),Tasks[[#This Row],[_Row]],"")</f>
        <v/>
      </c>
      <c r="GK85" s="43" t="str">
        <f aca="false">IF(AND(Tasks[[#This Row],[_IsLeaf]]=1,N(Tasks[[#This Row],[_Days]])=0),Tasks[[#This Row],[Planned Finish]]+Tasks[[#This Row],[_Row]]/100000,"")</f>
        <v/>
      </c>
      <c r="GL85" s="43" t="str">
        <f aca="false">IF(AND(Tasks[[#This Row],[_IsLeaf]]=1,Tasks[[#This Row],[_LeafProgress]]&lt;1,OR(N(Tasks[[#This Row],[Finish Var]])&gt;0,Tasks[[#This Row],[Status]]="Late Start")),MAX(0,Tasks[[#This Row],[Finish Var]])+1-Tasks[[#This Row],[_Row]]/1000000,"")</f>
        <v/>
      </c>
      <c r="GM85" s="43" t="str">
        <f aca="false">IF(AND(Tasks[[#This Row],[_IsLeaf]]=1,N(Tasks[[#This Row],[Actual Start]])=0,Tasks[[#This Row],[_ShownFcstStart]]&gt;=StatusDate,Tasks[[#This Row],[_ShownFcstStart]]&lt;=LookaheadEnd),Tasks[[#This Row],[_ShownFcstStart]]+Tasks[[#This Row],[_Row]]/100000,"")</f>
        <v/>
      </c>
      <c r="GN85" s="43" t="str">
        <f aca="false">IF(AND(Tasks[[#This Row],[_IsLeaf]]=1,Tasks[[#This Row],[_LeafProgress]]&lt;1,Tasks[[#This Row],[_ShownFcstFinish]]&gt;=StatusDate,Tasks[[#This Row],[_ShownFcstFinish]]&lt;=LookaheadEnd),Tasks[[#This Row],[_ShownFcstFinish]]+Tasks[[#This Row],[_Row]]/100000,"")</f>
        <v/>
      </c>
      <c r="GO85" s="43" t="str">
        <f aca="false">IF(Tasks[[#This Row],[_LeafCritical]],Tasks[[#This Row],[_ShownFcstStart]]+Tasks[[#This Row],[_Row]]/100000,"")</f>
        <v/>
      </c>
      <c r="GP85" s="43" t="n">
        <f aca="false">Tasks[[#This Row],[_LeafWork]]*Tasks[[#This Row],[_LeafProgress]]</f>
        <v>0</v>
      </c>
      <c r="GQ85" s="91" t="str">
        <f aca="false">IF(AND(Tasks[[#This Row],[_IsLeaf]]=1,Tasks[[#This Row],[_LeafProgress]]&gt;=1),IF(N(Tasks[[#This Row],[Actual Finish]])&gt;0,Tasks[[#This Row],[Actual Finish]],Tasks[[#This Row],[_ShownFcstFinish]]),"")</f>
        <v/>
      </c>
      <c r="GR85" s="43" t="n">
        <f aca="false">IF(Tasks[[#This Row],[_IsLeaf]]=1,N(Tasks[[#This Row],[Story Points]]),0)</f>
        <v>0</v>
      </c>
      <c r="GS85" s="43" t="str">
        <f aca="false">""</f>
        <v/>
      </c>
      <c r="GT85" s="90" t="b">
        <f aca="false">IF(Tasks[[#This Row],[Task Name]]="",FALSE(),AND(Tasks[[#This Row],[_IsLeaf]]=1,N(Tasks[[#This Row],[_Days]])=0))</f>
        <v>0</v>
      </c>
      <c r="GU85" s="91" t="n">
        <f aca="false">IF(Tasks[[#This Row],[Task Name]]="",0,IF(AND(Tasks[[#This Row],[_IsLeaf]]=1,NOT(Tasks[[#This Row],[_IsMilestone]]),N(Tasks[[#This Row],[Progress]])&gt;0),Tasks[[#This Row],[Start]],0))</f>
        <v>0</v>
      </c>
      <c r="GV85" s="91" t="n">
        <f aca="false">IF(Tasks[[#This Row],[_DoneFrom]]=0,0,IF(Tasks[[#This Row],[Progress]]&gt;=1,Tasks[[#This Row],[Finish]],MAX(Tasks[[#This Row],[_DoneFrom]],Tasks[[#This Row],[Start]]+ROUND((Tasks[[#This Row],[Finish]]-Tasks[[#This Row],[Start]]+1)*Tasks[[#This Row],[Progress]],0)-1)))</f>
        <v>0</v>
      </c>
      <c r="GW85" s="91" t="n">
        <f aca="false">IF(Tasks[[#This Row],[Task Name]]="",0,IF(OR(NOT(Tasks[[#This Row],[_IsLeaf]]=1),Tasks[[#This Row],[_IsMilestone]],N(Tasks[[#This Row],[Progress]])&gt;=1),0,IF(Tasks[[#This Row],[_DoneTo]]&gt;0,Tasks[[#This Row],[_DoneTo]]+1,Tasks[[#This Row],[Start]])))</f>
        <v>0</v>
      </c>
      <c r="GX85" s="91" t="n">
        <f aca="false">IF(Tasks[[#This Row],[_RemFrom]]=0,0,Tasks[[#This Row],[Finish]])</f>
        <v>0</v>
      </c>
      <c r="GY85" s="90" t="b">
        <f aca="false">IF(Tasks[[#This Row],[Task Name]]="",FALSE(),OR(NOT(BaselineSet),N(Tasks[[#This Row],[Baseline Start]])&gt;0))</f>
        <v>0</v>
      </c>
      <c r="GZ8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5" s="92" t="str">
        <f aca="false">IF(Tasks[[#This Row],[_IsLeaf]]=1,Tasks[[#This Row],[_Row]],"")</f>
        <v/>
      </c>
      <c r="HD85" s="92" t="str">
        <f aca="false">IFERROR(INDEX(Tasks[UID],SMALL(Tasks[_PickKey],Tasks[[#This Row],[_Row]]))&amp;" "&amp;INDEX(Tasks[Task Name],SMALL(Tasks[_PickKey],Tasks[[#This Row],[_Row]])),"")</f>
        <v/>
      </c>
      <c r="HE85" s="43" t="str">
        <f aca="false">IF(Tasks[[#This Row],[Task Name]]="","",IF(Tasks[[#This Row],[_IsSummary]],NETWORKDAYS.INTL(Tasks[[#This Row],[Start]],Tasks[[#This Row],[Finish]],WorkWeek,Holidays),N(Tasks[[#This Row],[_Days]])))</f>
        <v/>
      </c>
      <c r="HF85" s="43" t="n">
        <f aca="false">IF(Tasks[[#This Row],[Expected]]="",0,((Tasks[[#This Row],[Pessimistic]]-Tasks[[#This Row],[Optimistic]])/6)^2)</f>
        <v>0</v>
      </c>
      <c r="HG85" s="43" t="n">
        <f aca="false">IF(Tasks[[#This Row],[Expected]]="",0,Tasks[[#This Row],[Expected]]-N(Tasks[[#This Row],[_Days]]))</f>
        <v>0</v>
      </c>
    </row>
    <row r="86" customFormat="false" ht="15" hidden="false" customHeight="false" outlineLevel="0" collapsed="false">
      <c r="A86" s="21" t="str">
        <f aca="false">IF(Tasks[[#This Row],[Task Name]]="","",COUNTA(Tasks[[#Headers],[Task Name]]:Tasks[[#This Row],[Task Name]])-1)</f>
        <v/>
      </c>
      <c r="B86" s="22" t="n">
        <v>94</v>
      </c>
      <c r="C86" s="22"/>
      <c r="D86" s="23"/>
      <c r="E86" s="22"/>
      <c r="F86" s="23"/>
      <c r="G86" s="22"/>
      <c r="H86" s="22"/>
      <c r="I86" s="23"/>
      <c r="J86" s="22"/>
      <c r="K86" s="22"/>
      <c r="L86" s="23"/>
      <c r="M86" s="22"/>
      <c r="N86" s="22"/>
      <c r="O86" s="23"/>
      <c r="P86" s="22"/>
      <c r="Q86" s="22"/>
      <c r="R86" s="23"/>
      <c r="S86" s="23"/>
      <c r="T86" s="84"/>
      <c r="U86" s="23"/>
      <c r="V86" s="84"/>
      <c r="W86" s="23"/>
      <c r="X86" s="84"/>
      <c r="Y86" s="23"/>
      <c r="Z86" s="84"/>
      <c r="AA86" s="23"/>
      <c r="AB86" s="23"/>
      <c r="AC86" s="7"/>
      <c r="AD86" s="7"/>
      <c r="AE86" s="63" t="str">
        <f aca="false">IF(Tasks[[#This Row],[Task Name]]="","",IF(Tasks[[#This Row],[_IsSummary]],MIN(INDEX(Tasks[_ShownFcstStart],Tasks[[#This Row],[_Row]]+1):INDEX(Tasks[_ShownFcstStart],Tasks[[#This Row],[_Row]]+Tasks[[#This Row],[_Descendants]])),Tasks[[#This Row],[_ShownFcstStart]]))</f>
        <v/>
      </c>
      <c r="AF86" s="63" t="str">
        <f aca="false">IF(Tasks[[#This Row],[Task Name]]="","",IF(Tasks[[#This Row],[_IsSummary]],MAX(INDEX(Tasks[_ShownFcstFinish],Tasks[[#This Row],[_Row]]+1):INDEX(Tasks[_ShownFcstFinish],Tasks[[#This Row],[_Row]]+Tasks[[#This Row],[_Descendants]])),Tasks[[#This Row],[_ShownFcstFinish]]))</f>
        <v/>
      </c>
      <c r="AG86" s="21" t="str">
        <f aca="false">""</f>
        <v/>
      </c>
      <c r="AH86" s="23"/>
      <c r="AI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6" s="7"/>
      <c r="AK86" s="22"/>
      <c r="AL86" s="23"/>
      <c r="AM86" s="7"/>
      <c r="AN86" s="47" t="str">
        <f aca="false">IF(Tasks[[#This Row],[Task Name]]="","",IF(Tasks[[#This Row],[Finish]]&gt;=Tasks[[#This Row],[Planned Finish]],NETWORKDAYS.INTL(Tasks[[#This Row],[Planned Finish]],Tasks[[#This Row],[Finish]],WorkWeek,Holidays)-1,1-NETWORKDAYS.INTL(Tasks[[#This Row],[Finish]],Tasks[[#This Row],[Planned Finish]],WorkWeek,Holidays)))</f>
        <v/>
      </c>
      <c r="AO86" s="21" t="str">
        <f aca="false">IF(Tasks[[#This Row],[Task Name]]="","",IF(Tasks[[#This Row],[Progress]]&gt;=1,"Complete",IF(OR(N(Tasks[[#This Row],[Actual Start]])&gt;0,Tasks[[#This Row],[Progress]]&gt;0),IF(Tasks[[#This Row],[Finish Var]]&gt;0,"Behind","In Progress"),IF(Tasks[[#This Row],[Planned Start]]&lt;StatusDate,"Late Start","Not Started"))))</f>
        <v/>
      </c>
      <c r="AP86" s="21" t="str">
        <f aca="false">IF(Tasks[[#This Row],[Task Name]]="","",IF(IF(Tasks[[#This Row],[_IsSummary]],COUNTIF(INDEX(Tasks[_LeafCritical],Tasks[[#This Row],[_Row]]+1):INDEX(Tasks[_LeafCritical],Tasks[[#This Row],[_Row]]+Tasks[[#This Row],[_Descendants]]),TRUE())&gt;0,Tasks[[#This Row],[_LeafCritical]]),"Yes",""))</f>
        <v/>
      </c>
      <c r="AQ86" s="63" t="str">
        <f aca="false">IF(Tasks[[#This Row],[Task Name]]="","",IF(N(Tasks[[#This Row],[Baseline Start]])&gt;0,Tasks[[#This Row],[Baseline Start]],Tasks[[#This Row],[_CalcStart]]))</f>
        <v/>
      </c>
      <c r="AR86" s="63" t="str">
        <f aca="false">IF(Tasks[[#This Row],[Task Name]]="","",IF(N(Tasks[[#This Row],[Baseline Finish]])&gt;0,Tasks[[#This Row],[Baseline Finish]],Tasks[[#This Row],[_CalcFinish]]))</f>
        <v/>
      </c>
      <c r="AS86" s="47" t="str">
        <f aca="false">IF(Tasks[[#This Row],[Task Name]]="","",IF(Tasks[[#This Row],[Start]]&gt;=Tasks[[#This Row],[Planned Start]],NETWORKDAYS.INTL(Tasks[[#This Row],[Planned Start]],Tasks[[#This Row],[Start]],WorkWeek,Holidays)-1,1-NETWORKDAYS.INTL(Tasks[[#This Row],[Start]],Tasks[[#This Row],[Planned Start]],WorkWeek,Holidays)))</f>
        <v/>
      </c>
      <c r="AT86" s="63" t="str">
        <f aca="false">IF(Tasks[[#This Row],[Task Name]]="","",IF(Tasks[[#This Row],[_IsSummary]],MIN(INDEX(Tasks[_LeafLateStart],Tasks[[#This Row],[_Row]]+1):INDEX(Tasks[_LeafLateStart],Tasks[[#This Row],[_Row]]+Tasks[[#This Row],[_Descendants]])),Tasks[[#This Row],[_LeafLateStart]]))</f>
        <v/>
      </c>
      <c r="AU86" s="63" t="str">
        <f aca="false">IF(Tasks[[#This Row],[Task Name]]="","",IF(Tasks[[#This Row],[_IsSummary]],MAX(INDEX(Tasks[_LeafLateFinish],Tasks[[#This Row],[_Row]]+1):INDEX(Tasks[_LeafLateFinish],Tasks[[#This Row],[_Row]]+Tasks[[#This Row],[_Descendants]])),Tasks[[#This Row],[_LeafLateFinish]]))</f>
        <v/>
      </c>
      <c r="AV86" s="47" t="str">
        <f aca="false">IF(Tasks[[#This Row],[Task Name]]="","",IF(Tasks[[#This Row],[_IsSummary]],MIN(INDEX(Tasks[_LeafTotalSlack],Tasks[[#This Row],[_Row]]+1):INDEX(Tasks[_LeafTotalSlack],Tasks[[#This Row],[_Row]]+Tasks[[#This Row],[_Descendants]])),Tasks[[#This Row],[_LeafTotalSlack]]))</f>
        <v/>
      </c>
      <c r="AW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5"/>
      <c r="BA8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t="str">
        <f aca="false">IF(Tasks[[#This Row],[Task Name]]="","",IF(Tasks[[#This Row],[_Level]]&lt;=OutlineShowLevel,"Yes","No"))</f>
        <v/>
      </c>
      <c r="BE86" s="86" t="str">
        <f aca="false">IF(Tasks[[#This Row],[Task Name]]="","",IF(Tasks[[#This Row],[_IsSummary]],SUM(INDEX(Tasks[_LeafTotalWork],Tasks[[#This Row],[_Row]]+1):INDEX(Tasks[_LeafTotalWork],Tasks[[#This Row],[_Row]]+Tasks[[#This Row],[_Descendants]])),Tasks[[#This Row],[_LeafTotalWork]]))</f>
        <v/>
      </c>
      <c r="BF86" s="23"/>
      <c r="BG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t="str">
        <f aca="false">""</f>
        <v/>
      </c>
      <c r="BI86" s="87"/>
      <c r="BJ86" s="22"/>
      <c r="BK86" s="47" t="str">
        <f aca="false">IF(OR(Tasks[[#This Row],[Task Name]]="",Tasks[[#This Row],[Baseline Duration]]=""),"",Tasks[[#This Row],[_SpanDays]]-N(Tasks[[#This Row],[Baseline Duration]]))</f>
        <v/>
      </c>
      <c r="BL86" s="86" t="str">
        <f aca="false">IF(OR(Tasks[[#This Row],[Task Name]]="",Tasks[[#This Row],[Baseline Work]]=""),"",Tasks[[#This Row],[Work]]-N(Tasks[[#This Row],[Baseline Work]]))</f>
        <v/>
      </c>
      <c r="BM86" s="63" t="str">
        <f aca="false">IF(Tasks[[#This Row],[Task Name]]="","",IF(OR(TakeBaseline="Yes",N(Tasks[[#This Row],[Baseline Start]])=0),Tasks[[#This Row],[Start]],Tasks[[#This Row],[Baseline Start]]))</f>
        <v/>
      </c>
      <c r="BN86" s="63" t="str">
        <f aca="false">IF(Tasks[[#This Row],[Task Name]]="","",IF(OR(TakeBaseline="Yes",N(Tasks[[#This Row],[Baseline Finish]])=0),Tasks[[#This Row],[Finish]],Tasks[[#This Row],[Baseline Finish]]))</f>
        <v/>
      </c>
      <c r="BO86" s="21" t="str">
        <f aca="false">IF(Tasks[[#This Row],[Task Name]]="","",IF(OR(TakeBaseline="Yes",N(Tasks[[#This Row],[Baseline Duration]])=0),Tasks[[#This Row],[_SpanDays]],Tasks[[#This Row],[Baseline Duration]]))</f>
        <v/>
      </c>
      <c r="BP86" s="86" t="str">
        <f aca="false">IF(Tasks[[#This Row],[Task Name]]="","",IF(OR(TakeBaseline="Yes",N(Tasks[[#This Row],[Baseline Work]])=0),Tasks[[#This Row],[Work]],Tasks[[#This Row],[Baseline Work]]))</f>
        <v/>
      </c>
      <c r="BQ86" s="7"/>
      <c r="BR86" s="7"/>
      <c r="BS86" s="22"/>
      <c r="BT86" s="88"/>
      <c r="BU86" s="23"/>
      <c r="BV86" s="23"/>
      <c r="BW86" s="23"/>
      <c r="BX86" s="89" t="str">
        <f aca="false">IF(AND(Tasks[[#This Row],[_IsLeaf]]=1,ISNUMBER(Tasks[[#This Row],[Optimistic]]),ISNUMBER(Tasks[[#This Row],[Pessimistic]])),ROUND((Tasks[[#This Row],[Optimistic]]+4*N(Tasks[[#This Row],[_Days]])+Tasks[[#This Row],[Pessimistic]])/6,1),"")</f>
        <v/>
      </c>
      <c r="BY86" s="87"/>
      <c r="BZ86" s="87"/>
      <c r="CA86" s="22"/>
      <c r="CB86" s="43" t="str">
        <f aca="false">IF(Tasks[[#This Row],[Task Name]]="","",MAX(1,N(Tasks[[#This Row],[Level]])))</f>
        <v/>
      </c>
      <c r="CC86" s="43" t="n">
        <f aca="false">ROW()-ROW(Tasks[[#Headers],[ID]])</f>
        <v>81</v>
      </c>
      <c r="CD86" s="43" t="n">
        <f aca="false">IF(OR(Tasks[[#This Row],[Task Name]]="",Tasks[[#This Row],[_Level]]&lt;=1),0,IFERROR(LOOKUP(2,1/(Tasks[[#Headers],[_Level]]:Tasks[[#This Row],[_Level]]=Tasks[[#This Row],[_Level]]-1),ROW(Tasks[[#Headers],[_Level]]:Tasks[[#This Row],[_Level]])),0))</f>
        <v>0</v>
      </c>
      <c r="CE86" s="43" t="n">
        <f aca="false">IFERROR(N(INDEX(Tasks[_Level],Tasks[[#This Row],[_Row]]+1)),0)</f>
        <v>0</v>
      </c>
      <c r="CF86" s="90" t="b">
        <f aca="false">AND(Tasks[[#This Row],[Task Name]]&lt;&gt;"",Tasks[[#This Row],[_NextLevel]]&gt;Tasks[[#This Row],[_Level]])</f>
        <v>0</v>
      </c>
      <c r="CG86" s="43" t="n">
        <f aca="false">IF(Tasks[[#This Row],[_IsSummary]],COUNTIF(Tasks[WBS],Tasks[[#This Row],[WBS]]&amp;".*"),0)</f>
        <v>0</v>
      </c>
      <c r="CH86" s="43" t="n">
        <f aca="false">IF(AND(Tasks[[#This Row],[Task Name]]&lt;&gt;"",NOT(Tasks[[#This Row],[_IsSummary]])),1,0)</f>
        <v>0</v>
      </c>
      <c r="CI86" s="43" t="n">
        <f aca="false">IF(N(Tasks[[#This Row],[_Pred1UID]])=0,0,IFERROR(MATCH(Tasks[[#This Row],[_Pred1UID]],Tasks[UID],0),-1))</f>
        <v>0</v>
      </c>
      <c r="CJ86" s="43" t="n">
        <f aca="false">IF(N(Tasks[[#This Row],[_Pred2UID]])=0,0,IFERROR(MATCH(Tasks[[#This Row],[_Pred2UID]],Tasks[UID],0),-1))</f>
        <v>0</v>
      </c>
      <c r="CK86" s="43" t="n">
        <f aca="false">IF(N(Tasks[[#This Row],[_Pred3UID]])=0,0,IFERROR(MATCH(Tasks[[#This Row],[_Pred3UID]],Tasks[UID],0),-1))</f>
        <v>0</v>
      </c>
      <c r="CL86" s="43" t="n">
        <f aca="false">IF(N(Tasks[[#This Row],[_Pred4UID]])=0,0,IFERROR(MATCH(Tasks[[#This Row],[_Pred4UID]],Tasks[UID],0),-1))</f>
        <v>0</v>
      </c>
      <c r="CM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6" s="91" t="n">
        <f aca="false">IF(OR(Tasks[[#This Row],[_ConstraintCode]]=2,Tasks[[#This Row],[_ConstraintCode]]=3,Tasks[[#This Row],[_ConstraintCode]]=4,Tasks[[#This Row],[_ConstraintCode]]=6),Tasks[[#This Row],[_ConstraintStart]],0)</f>
        <v>0</v>
      </c>
      <c r="CP86" s="91" t="n">
        <f aca="false">IF(OR(Tasks[[#This Row],[_ConstraintCode]]=2,Tasks[[#This Row],[_ConstraintCode]]=3,Tasks[[#This Row],[_ConstraintCode]]=5,Tasks[[#This Row],[_ConstraintCode]]=7),Tasks[[#This Row],[_ConstraintStart]],2958465)</f>
        <v>2958465</v>
      </c>
      <c r="CQ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6" s="91" t="str">
        <f aca="false">IF(NOT(Tasks[[#This Row],[_IsLeaf]]=1),"",IF(N(Tasks[[#This Row],[_Days]])&lt;=0,Tasks[[#This Row],[_LeafCalcStart]],WORKDAY.INTL(Tasks[[#This Row],[_LeafCalcStart]],Tasks[[#This Row],[_Days]]-1,WorkWeek,Holidays)))</f>
        <v/>
      </c>
      <c r="CS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6" s="43" t="str">
        <f aca="false">IF(Tasks[[#This Row],[_Predecessors]]="","",TRIM(MID(SUBSTITUTE(SUBSTITUTE(SUBSTITUTE(UPPER(Tasks[[#This Row],[_Predecessors]]),";",",")," ",""),",",REPT(" ",99)),1,99)))</f>
        <v/>
      </c>
      <c r="CV86" s="43" t="str">
        <f aca="false">IF(Tasks[[#This Row],[_Pred1Text]]="","",IFERROR(VALUE(LEFT(Tasks[[#This Row],[_Pred1Text]],MIN(FIND("F",Tasks[[#This Row],[_Pred1Text]]&amp;"F"),FIND("S",Tasks[[#This Row],[_Pred1Text]]&amp;"S"),FIND("+",Tasks[[#This Row],[_Pred1Text]]&amp;"+"),FIND("-",Tasks[[#This Row],[_Pred1Text]]&amp;"-"))-1)),""))</f>
        <v/>
      </c>
      <c r="CW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6" s="43" t="str">
        <f aca="false">IF(Tasks[[#This Row],[_Pred1Text]]="","",TRIM(MID(SUBSTITUTE(SUBSTITUTE(SUBSTITUTE(UPPER(Tasks[[#This Row],[_Predecessors]]),";",",")," ",""),",",REPT(" ",99)),100,99)))</f>
        <v/>
      </c>
      <c r="CZ86" s="43" t="str">
        <f aca="false">IF(Tasks[[#This Row],[_Pred2Text]]="","",IFERROR(VALUE(LEFT(Tasks[[#This Row],[_Pred2Text]],MIN(FIND("F",Tasks[[#This Row],[_Pred2Text]]&amp;"F"),FIND("S",Tasks[[#This Row],[_Pred2Text]]&amp;"S"),FIND("+",Tasks[[#This Row],[_Pred2Text]]&amp;"+"),FIND("-",Tasks[[#This Row],[_Pred2Text]]&amp;"-"))-1)),""))</f>
        <v/>
      </c>
      <c r="DA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6" s="43" t="str">
        <f aca="false">IF(Tasks[[#This Row],[_Pred2Text]]="","",TRIM(MID(SUBSTITUTE(SUBSTITUTE(SUBSTITUTE(UPPER(Tasks[[#This Row],[_Predecessors]]),";",",")," ",""),",",REPT(" ",99)),199,99)))</f>
        <v/>
      </c>
      <c r="DD86" s="43" t="str">
        <f aca="false">IF(Tasks[[#This Row],[_Pred3Text]]="","",IFERROR(VALUE(LEFT(Tasks[[#This Row],[_Pred3Text]],MIN(FIND("F",Tasks[[#This Row],[_Pred3Text]]&amp;"F"),FIND("S",Tasks[[#This Row],[_Pred3Text]]&amp;"S"),FIND("+",Tasks[[#This Row],[_Pred3Text]]&amp;"+"),FIND("-",Tasks[[#This Row],[_Pred3Text]]&amp;"-"))-1)),""))</f>
        <v/>
      </c>
      <c r="DE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6" s="43" t="str">
        <f aca="false">IF(Tasks[[#This Row],[_Pred3Text]]="","",TRIM(MID(SUBSTITUTE(SUBSTITUTE(SUBSTITUTE(UPPER(Tasks[[#This Row],[_Predecessors]]),";",",")," ",""),",",REPT(" ",99)),298,99)))</f>
        <v/>
      </c>
      <c r="DH86" s="43" t="str">
        <f aca="false">IF(Tasks[[#This Row],[_Pred4Text]]="","",IFERROR(VALUE(LEFT(Tasks[[#This Row],[_Pred4Text]],MIN(FIND("F",Tasks[[#This Row],[_Pred4Text]]&amp;"F"),FIND("S",Tasks[[#This Row],[_Pred4Text]]&amp;"S"),FIND("+",Tasks[[#This Row],[_Pred4Text]]&amp;"+"),FIND("-",Tasks[[#This Row],[_Pred4Text]]&amp;"-"))-1)),""))</f>
        <v/>
      </c>
      <c r="DI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6" s="43" t="str">
        <f aca="false">IF(OR(Tasks[[#This Row],[Task Name]]="",Tasks[[#This Row],[_Resources]]=""),"",TRIM(MID(SUBSTITUTE(Tasks[[#This Row],[_Resources]],",",REPT(" ",99)),1,99)))</f>
        <v/>
      </c>
      <c r="DL86" s="43" t="str">
        <f aca="false">IF(Tasks[[#This Row],[_Res1Text]]="","",TRIM(MID(SUBSTITUTE(Tasks[[#This Row],[_Resources]],",",REPT(" ",99)),100,99)))</f>
        <v/>
      </c>
      <c r="DM86" s="43" t="str">
        <f aca="false">IF(Tasks[[#This Row],[_Res2Text]]="","",TRIM(MID(SUBSTITUTE(Tasks[[#This Row],[_Resources]],",",REPT(" ",99)),199,99)))</f>
        <v/>
      </c>
      <c r="DN86" s="43" t="str">
        <f aca="false">IF(Tasks[[#This Row],[_Res3Text]]="","",TRIM(MID(SUBSTITUTE(Tasks[[#This Row],[_Resources]],",",REPT(" ",99)),298,99)))</f>
        <v/>
      </c>
      <c r="DO86" s="43" t="n">
        <f aca="false">IF(Tasks[[#This Row],[_Res1Text]]="",0,IFERROR(MATCH(TRIM(LEFT(Tasks[[#This Row],[_Res1Text]],FIND("[",Tasks[[#This Row],[_Res1Text]]&amp;"[")-1)),res_Name,0),IFERROR(MATCH(TRIM(LEFT(Tasks[[#This Row],[_Res1Text]],FIND("[",Tasks[[#This Row],[_Res1Text]]&amp;"[")-1)),res_Initials,0),0)))</f>
        <v>0</v>
      </c>
      <c r="DP86" s="43" t="n">
        <f aca="false">IF(Tasks[[#This Row],[_Res2Text]]="",0,IFERROR(MATCH(TRIM(LEFT(Tasks[[#This Row],[_Res2Text]],FIND("[",Tasks[[#This Row],[_Res2Text]]&amp;"[")-1)),res_Name,0),IFERROR(MATCH(TRIM(LEFT(Tasks[[#This Row],[_Res2Text]],FIND("[",Tasks[[#This Row],[_Res2Text]]&amp;"[")-1)),res_Initials,0),0)))</f>
        <v>0</v>
      </c>
      <c r="DQ86" s="43" t="n">
        <f aca="false">IF(Tasks[[#This Row],[_Res3Text]]="",0,IFERROR(MATCH(TRIM(LEFT(Tasks[[#This Row],[_Res3Text]],FIND("[",Tasks[[#This Row],[_Res3Text]]&amp;"[")-1)),res_Name,0),IFERROR(MATCH(TRIM(LEFT(Tasks[[#This Row],[_Res3Text]],FIND("[",Tasks[[#This Row],[_Res3Text]]&amp;"[")-1)),res_Initials,0),0)))</f>
        <v>0</v>
      </c>
      <c r="DR86" s="43" t="n">
        <f aca="false">IF(Tasks[[#This Row],[_Res4Text]]="",0,IFERROR(MATCH(TRIM(LEFT(Tasks[[#This Row],[_Res4Text]],FIND("[",Tasks[[#This Row],[_Res4Text]]&amp;"[")-1)),res_Name,0),IFERROR(MATCH(TRIM(LEFT(Tasks[[#This Row],[_Res4Text]],FIND("[",Tasks[[#This Row],[_Res4Text]]&amp;"[")-1)),res_Initials,0),0)))</f>
        <v>0</v>
      </c>
      <c r="DS86" s="43" t="str">
        <f aca="false">IF(Tasks[[#This Row],[_Res1Text]]="","",IF(Tasks[[#This Row],[_Res1Row]]&gt;0,INDEX(res_Name,Tasks[[#This Row],[_Res1Row]]),TRIM(LEFT(Tasks[[#This Row],[_Res1Text]],FIND("[",Tasks[[#This Row],[_Res1Text]]&amp;"[")-1))))</f>
        <v/>
      </c>
      <c r="DT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6" s="43" t="n">
        <f aca="false">IF(NOT(Tasks[[#This Row],[_IsLeaf]]=1),0,(Tasks[[#This Row],[_Resource1]]&lt;&gt;"")+(Tasks[[#This Row],[_Res2]]&lt;&gt;"")+(Tasks[[#This Row],[_Res3]]&lt;&gt;"")+(Tasks[[#This Row],[_Res4]]&lt;&gt;""))</f>
        <v>0</v>
      </c>
      <c r="DV86" s="43" t="str">
        <f aca="false">IF(Tasks[[#This Row],[_Res2Text]]="","",IF(Tasks[[#This Row],[_Res2Row]]&gt;0,INDEX(res_Name,Tasks[[#This Row],[_Res2Row]]),TRIM(LEFT(Tasks[[#This Row],[_Res2Text]],FIND("[",Tasks[[#This Row],[_Res2Text]]&amp;"[")-1))))</f>
        <v/>
      </c>
      <c r="DW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6" s="43" t="n">
        <f aca="false">IF(OR(NOT(Tasks[[#This Row],[_IsLeaf]]=1),Tasks[[#This Row],[_Res2Row]]=0),0,N(Tasks[[#This Row],[_Days]])*HoursPerDay*IF(Tasks[[#This Row],[_Res2Units]]="",DefaultUnits,Tasks[[#This Row],[_Res2Units]]))</f>
        <v>0</v>
      </c>
      <c r="DY86" s="43" t="n">
        <f aca="false">IF(AND(AND(Tasks[[#This Row],[_IsLeaf]]=1,Tasks[[#This Row],[_LeafTotalWork]]&gt;0),Tasks[[#This Row],[_Res2Work]]&gt;0),Tasks[[#This Row],[_Res2Work]]/(Tasks[[#This Row],[_FinishWorkday]]-Tasks[[#This Row],[_StartWorkday]]+1),0)</f>
        <v>0</v>
      </c>
      <c r="DZ86" s="43" t="n">
        <f aca="false">Tasks[[#This Row],[_Res2WorkPerWD]]*MAX(0,Tasks[[#This Row],[_StartWorkday]]-1)</f>
        <v>0</v>
      </c>
      <c r="EA86" s="43" t="n">
        <f aca="false">Tasks[[#This Row],[_Res2Work]]*Tasks[[#This Row],[_LeafProgress]]</f>
        <v>0</v>
      </c>
      <c r="EB86" s="43" t="str">
        <f aca="false">IF(Tasks[[#This Row],[_Res3Text]]="","",IF(Tasks[[#This Row],[_Res3Row]]&gt;0,INDEX(res_Name,Tasks[[#This Row],[_Res3Row]]),TRIM(LEFT(Tasks[[#This Row],[_Res3Text]],FIND("[",Tasks[[#This Row],[_Res3Text]]&amp;"[")-1))))</f>
        <v/>
      </c>
      <c r="EC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6" s="43" t="n">
        <f aca="false">IF(OR(NOT(Tasks[[#This Row],[_IsLeaf]]=1),Tasks[[#This Row],[_Res3Row]]=0),0,N(Tasks[[#This Row],[_Days]])*HoursPerDay*IF(Tasks[[#This Row],[_Res3Units]]="",DefaultUnits,Tasks[[#This Row],[_Res3Units]]))</f>
        <v>0</v>
      </c>
      <c r="EE86" s="43" t="n">
        <f aca="false">IF(AND(AND(Tasks[[#This Row],[_IsLeaf]]=1,Tasks[[#This Row],[_LeafTotalWork]]&gt;0),Tasks[[#This Row],[_Res3Work]]&gt;0),Tasks[[#This Row],[_Res3Work]]/(Tasks[[#This Row],[_FinishWorkday]]-Tasks[[#This Row],[_StartWorkday]]+1),0)</f>
        <v>0</v>
      </c>
      <c r="EF86" s="43" t="n">
        <f aca="false">Tasks[[#This Row],[_Res3WorkPerWD]]*MAX(0,Tasks[[#This Row],[_StartWorkday]]-1)</f>
        <v>0</v>
      </c>
      <c r="EG86" s="43" t="n">
        <f aca="false">Tasks[[#This Row],[_Res3Work]]*Tasks[[#This Row],[_LeafProgress]]</f>
        <v>0</v>
      </c>
      <c r="EH86" s="43" t="str">
        <f aca="false">IF(Tasks[[#This Row],[_Res4Text]]="","",IF(Tasks[[#This Row],[_Res4Row]]&gt;0,INDEX(res_Name,Tasks[[#This Row],[_Res4Row]]),TRIM(LEFT(Tasks[[#This Row],[_Res4Text]],FIND("[",Tasks[[#This Row],[_Res4Text]]&amp;"[")-1))))</f>
        <v/>
      </c>
      <c r="EI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6" s="43" t="n">
        <f aca="false">IF(OR(NOT(Tasks[[#This Row],[_IsLeaf]]=1),Tasks[[#This Row],[_Res4Row]]=0),0,N(Tasks[[#This Row],[_Days]])*HoursPerDay*IF(Tasks[[#This Row],[_Res4Units]]="",DefaultUnits,Tasks[[#This Row],[_Res4Units]]))</f>
        <v>0</v>
      </c>
      <c r="EK86" s="43" t="n">
        <f aca="false">IF(AND(AND(Tasks[[#This Row],[_IsLeaf]]=1,Tasks[[#This Row],[_LeafTotalWork]]&gt;0),Tasks[[#This Row],[_Res4Work]]&gt;0),Tasks[[#This Row],[_Res4Work]]/(Tasks[[#This Row],[_FinishWorkday]]-Tasks[[#This Row],[_StartWorkday]]+1),0)</f>
        <v>0</v>
      </c>
      <c r="EL86" s="43" t="n">
        <f aca="false">Tasks[[#This Row],[_Res4WorkPerWD]]*MAX(0,Tasks[[#This Row],[_StartWorkday]]-1)</f>
        <v>0</v>
      </c>
      <c r="EM86" s="43" t="n">
        <f aca="false">Tasks[[#This Row],[_Res4Work]]*Tasks[[#This Row],[_LeafProgress]]</f>
        <v>0</v>
      </c>
      <c r="EN86" s="43" t="n">
        <f aca="false">IF(ISNUMBER(Tasks[[#This Row],[% Complete]]),Tasks[[#This Row],[% Complete]],IF(Tasks[[#This Row],[Stage]]="",0,IFERROR(INDEX(stg_Pct,MATCH(Tasks[[#This Row],[Stage]],stg_Name,0)),0)))</f>
        <v>0</v>
      </c>
      <c r="EO86" s="43" t="n">
        <f aca="false">IF(NOT(Tasks[[#This Row],[_IsLeaf]]=1),0,IF(N(Tasks[[#This Row],[Actual Finish]])&gt;0,1,MIN(1,Tasks[[#This Row],[_Pct]])))</f>
        <v>0</v>
      </c>
      <c r="EP86" s="43" t="n">
        <f aca="false">IF(OR(NOT(Tasks[[#This Row],[_IsLeaf]]=1),Tasks[[#This Row],[_Res1Row]]=0),0,N(Tasks[[#This Row],[_Days]])*HoursPerDay*IF(Tasks[[#This Row],[_Units1]]="",DefaultUnits,Tasks[[#This Row],[_Units1]]))</f>
        <v>0</v>
      </c>
      <c r="EQ86" s="43" t="n">
        <f aca="false">Tasks[[#This Row],[_LeafWork]]+Tasks[[#This Row],[_Res2Work]]+Tasks[[#This Row],[_Res3Work]]+Tasks[[#This Row],[_Res4Work]]</f>
        <v>0</v>
      </c>
      <c r="ER8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6" s="43" t="n">
        <f aca="false">IF(NOT(Tasks[[#This Row],[_IsLeaf]]=1),0,MAX(_xlfn.MAXIFS(Tasks[_Row],Tasks[_Pred1UID],Tasks[[#This Row],[UID]]),_xlfn.MAXIFS(Tasks[_Row],Tasks[_Pred2UID],Tasks[[#This Row],[UID]]),_xlfn.MAXIFS(Tasks[_Row],Tasks[_Pred3UID],Tasks[[#This Row],[UID]]),_xlfn.MAXIFS(Tasks[_Row],Tasks[_Pred4UID],Tasks[[#This Row],[UID]])))</f>
        <v>0</v>
      </c>
      <c r="FA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6" s="91" t="str">
        <f aca="false">IF(NOT(Tasks[[#This Row],[_IsLeaf]]=1),"",IF(N(Tasks[[#This Row],[_Days]])&lt;=0,Tasks[[#This Row],[_LeafLateFinish]],WORKDAY.INTL(Tasks[[#This Row],[_LeafLateFinish]],-(Tasks[[#This Row],[_Days]]-1),WorkWeek,Holidays)))</f>
        <v/>
      </c>
      <c r="FD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6" s="90" t="b">
        <f aca="false">AND(Tasks[[#This Row],[_IsLeaf]]=1,Tasks[[#This Row],[_LeafProgress]]&lt;1,N(Tasks[[#This Row],[_LeafTotalSlack]])&lt;=CriticalSlackDays)</f>
        <v>0</v>
      </c>
      <c r="FF86" s="43" t="n">
        <f aca="false">IF(AND(Tasks[[#This Row],[_IsLeaf]]=1,Tasks[[#This Row],[_ConstraintCode]]=1,Tasks[[#This Row],[Mode]]&lt;&gt;"Manual",N(Tasks[[#This Row],[Actual Start]])=0),MAX(0,N(Tasks[[#This Row],[Free Slack]])),0)</f>
        <v>0</v>
      </c>
      <c r="FG86" s="91" t="str">
        <f aca="false">IF(NOT(Tasks[[#This Row],[_IsLeaf]]=1),"",IF(Tasks[[#This Row],[_AlapShift]]=0,Tasks[[#This Row],[_LeafCalcStart]],WORKDAY.INTL(Tasks[[#This Row],[_LeafCalcStart]],Tasks[[#This Row],[_AlapShift]],WorkWeek,Holidays)))</f>
        <v/>
      </c>
      <c r="FH86" s="91" t="str">
        <f aca="false">IF(NOT(Tasks[[#This Row],[_IsLeaf]]=1),"",IF(Tasks[[#This Row],[_AlapShift]]=0,Tasks[[#This Row],[_LeafCalcFinish]],WORKDAY.INTL(Tasks[[#This Row],[_LeafCalcFinish]],Tasks[[#This Row],[_AlapShift]],WorkWeek,Holidays)))</f>
        <v/>
      </c>
      <c r="FI86" s="91" t="str">
        <f aca="false">IF(NOT(Tasks[[#This Row],[_IsLeaf]]=1),"",IF(Tasks[[#This Row],[_AlapShift]]=0,Tasks[[#This Row],[_LeafFcstStart]],WORKDAY.INTL(Tasks[[#This Row],[_LeafFcstStart]],Tasks[[#This Row],[_AlapShift]],WorkWeek,Holidays)))</f>
        <v/>
      </c>
      <c r="FJ86" s="91" t="str">
        <f aca="false">IF(NOT(Tasks[[#This Row],[_IsLeaf]]=1),"",IF(Tasks[[#This Row],[_AlapShift]]=0,Tasks[[#This Row],[_LeafFcstFinish]],WORKDAY.INTL(Tasks[[#This Row],[_LeafFcstFinish]],Tasks[[#This Row],[_AlapShift]],WorkWeek,Holidays)))</f>
        <v/>
      </c>
      <c r="FK86" s="91" t="str">
        <f aca="false">IF(Tasks[[#This Row],[Task Name]]="","",IF(Tasks[[#This Row],[_IsSummary]],MIN(INDEX(Tasks[_ShownCalcStart],Tasks[[#This Row],[_Row]]+1):INDEX(Tasks[_ShownCalcStart],Tasks[[#This Row],[_Row]]+Tasks[[#This Row],[_Descendants]])),Tasks[[#This Row],[_ShownCalcStart]]))</f>
        <v/>
      </c>
      <c r="FL86" s="91" t="str">
        <f aca="false">IF(Tasks[[#This Row],[Task Name]]="","",IF(Tasks[[#This Row],[_IsSummary]],MAX(INDEX(Tasks[_ShownCalcFinish],Tasks[[#This Row],[_Row]]+1):INDEX(Tasks[_ShownCalcFinish],Tasks[[#This Row],[_Row]]+Tasks[[#This Row],[_Descendants]])),Tasks[[#This Row],[_ShownCalcFinish]]))</f>
        <v/>
      </c>
      <c r="FM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6" s="43" t="n">
        <f aca="false">IF(AND(Tasks[[#This Row],[_IsLeaf]]=1,Tasks[[#This Row],[_LeafTotalWork]]&gt;0),NETWORKDAYS.INTL(ProjectStart,Tasks[[#This Row],[_ShownFcstStart]],WorkWeek,Holidays),0)</f>
        <v>0</v>
      </c>
      <c r="FZ86" s="43" t="n">
        <f aca="false">IF(AND(Tasks[[#This Row],[_IsLeaf]]=1,Tasks[[#This Row],[_LeafTotalWork]]&gt;0),MAX(Tasks[[#This Row],[_StartWorkday]],NETWORKDAYS.INTL(ProjectStart,Tasks[[#This Row],[_ShownFcstFinish]],WorkWeek,Holidays)),0)</f>
        <v>0</v>
      </c>
      <c r="GA86" s="43" t="n">
        <f aca="false">IF(AND(Tasks[[#This Row],[_IsLeaf]]=1,Tasks[[#This Row],[_LeafTotalWork]]&gt;0),Tasks[[#This Row],[_LeafWork]]/(Tasks[[#This Row],[_FinishWorkday]]-Tasks[[#This Row],[_StartWorkday]]+1),0)</f>
        <v>0</v>
      </c>
      <c r="GB86" s="43" t="n">
        <f aca="false">Tasks[[#This Row],[_WorkPerWorkday]]*(Tasks[[#This Row],[_StartWorkday]]-1)</f>
        <v>-0</v>
      </c>
      <c r="GC86" s="43" t="n">
        <f aca="false">IF(Tasks[[#This Row],[_IsLeaf]]=1,MAX(N(Tasks[[#This Row],[_Days]]),0.1),0)</f>
        <v>0</v>
      </c>
      <c r="GD86" s="43" t="n">
        <f aca="false">Tasks[[#This Row],[_WeightDur]]*Tasks[[#This Row],[_LeafProgress]]</f>
        <v>0</v>
      </c>
      <c r="GE86" s="43" t="n">
        <f aca="false">Tasks[[#This Row],[_WeightDur]]*Tasks[[#This Row],[_PlannedPct]]</f>
        <v>0</v>
      </c>
      <c r="GF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6" s="43" t="str">
        <f aca="false">IF(AND(Tasks[[#This Row],[_IsLeaf]]=1,N(Tasks[[#This Row],[_Days]])=0,Tasks[[#This Row],[_LeafProgress]]&lt;1),Tasks[[#This Row],[_ShownFcstFinish]]+Tasks[[#This Row],[_Row]]/100000,"")</f>
        <v/>
      </c>
      <c r="GH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6" s="43" t="str">
        <f aca="false">IF(Tasks[[#This Row],[Task Name]]="","",LEFT(Tasks[[#This Row],[WBS]],FIND(".",Tasks[[#This Row],[WBS]]&amp;".")-1))</f>
        <v/>
      </c>
      <c r="GJ86" s="43" t="str">
        <f aca="false">IF(AND(Tasks[[#This Row],[Task Name]]&lt;&gt;"",Tasks[[#This Row],[_Level]]=1),Tasks[[#This Row],[_Row]],"")</f>
        <v/>
      </c>
      <c r="GK86" s="43" t="str">
        <f aca="false">IF(AND(Tasks[[#This Row],[_IsLeaf]]=1,N(Tasks[[#This Row],[_Days]])=0),Tasks[[#This Row],[Planned Finish]]+Tasks[[#This Row],[_Row]]/100000,"")</f>
        <v/>
      </c>
      <c r="GL86" s="43" t="str">
        <f aca="false">IF(AND(Tasks[[#This Row],[_IsLeaf]]=1,Tasks[[#This Row],[_LeafProgress]]&lt;1,OR(N(Tasks[[#This Row],[Finish Var]])&gt;0,Tasks[[#This Row],[Status]]="Late Start")),MAX(0,Tasks[[#This Row],[Finish Var]])+1-Tasks[[#This Row],[_Row]]/1000000,"")</f>
        <v/>
      </c>
      <c r="GM86" s="43" t="str">
        <f aca="false">IF(AND(Tasks[[#This Row],[_IsLeaf]]=1,N(Tasks[[#This Row],[Actual Start]])=0,Tasks[[#This Row],[_ShownFcstStart]]&gt;=StatusDate,Tasks[[#This Row],[_ShownFcstStart]]&lt;=LookaheadEnd),Tasks[[#This Row],[_ShownFcstStart]]+Tasks[[#This Row],[_Row]]/100000,"")</f>
        <v/>
      </c>
      <c r="GN86" s="43" t="str">
        <f aca="false">IF(AND(Tasks[[#This Row],[_IsLeaf]]=1,Tasks[[#This Row],[_LeafProgress]]&lt;1,Tasks[[#This Row],[_ShownFcstFinish]]&gt;=StatusDate,Tasks[[#This Row],[_ShownFcstFinish]]&lt;=LookaheadEnd),Tasks[[#This Row],[_ShownFcstFinish]]+Tasks[[#This Row],[_Row]]/100000,"")</f>
        <v/>
      </c>
      <c r="GO86" s="43" t="str">
        <f aca="false">IF(Tasks[[#This Row],[_LeafCritical]],Tasks[[#This Row],[_ShownFcstStart]]+Tasks[[#This Row],[_Row]]/100000,"")</f>
        <v/>
      </c>
      <c r="GP86" s="43" t="n">
        <f aca="false">Tasks[[#This Row],[_LeafWork]]*Tasks[[#This Row],[_LeafProgress]]</f>
        <v>0</v>
      </c>
      <c r="GQ86" s="91" t="str">
        <f aca="false">IF(AND(Tasks[[#This Row],[_IsLeaf]]=1,Tasks[[#This Row],[_LeafProgress]]&gt;=1),IF(N(Tasks[[#This Row],[Actual Finish]])&gt;0,Tasks[[#This Row],[Actual Finish]],Tasks[[#This Row],[_ShownFcstFinish]]),"")</f>
        <v/>
      </c>
      <c r="GR86" s="43" t="n">
        <f aca="false">IF(Tasks[[#This Row],[_IsLeaf]]=1,N(Tasks[[#This Row],[Story Points]]),0)</f>
        <v>0</v>
      </c>
      <c r="GS86" s="43" t="str">
        <f aca="false">""</f>
        <v/>
      </c>
      <c r="GT86" s="90" t="b">
        <f aca="false">IF(Tasks[[#This Row],[Task Name]]="",FALSE(),AND(Tasks[[#This Row],[_IsLeaf]]=1,N(Tasks[[#This Row],[_Days]])=0))</f>
        <v>0</v>
      </c>
      <c r="GU86" s="91" t="n">
        <f aca="false">IF(Tasks[[#This Row],[Task Name]]="",0,IF(AND(Tasks[[#This Row],[_IsLeaf]]=1,NOT(Tasks[[#This Row],[_IsMilestone]]),N(Tasks[[#This Row],[Progress]])&gt;0),Tasks[[#This Row],[Start]],0))</f>
        <v>0</v>
      </c>
      <c r="GV86" s="91" t="n">
        <f aca="false">IF(Tasks[[#This Row],[_DoneFrom]]=0,0,IF(Tasks[[#This Row],[Progress]]&gt;=1,Tasks[[#This Row],[Finish]],MAX(Tasks[[#This Row],[_DoneFrom]],Tasks[[#This Row],[Start]]+ROUND((Tasks[[#This Row],[Finish]]-Tasks[[#This Row],[Start]]+1)*Tasks[[#This Row],[Progress]],0)-1)))</f>
        <v>0</v>
      </c>
      <c r="GW86" s="91" t="n">
        <f aca="false">IF(Tasks[[#This Row],[Task Name]]="",0,IF(OR(NOT(Tasks[[#This Row],[_IsLeaf]]=1),Tasks[[#This Row],[_IsMilestone]],N(Tasks[[#This Row],[Progress]])&gt;=1),0,IF(Tasks[[#This Row],[_DoneTo]]&gt;0,Tasks[[#This Row],[_DoneTo]]+1,Tasks[[#This Row],[Start]])))</f>
        <v>0</v>
      </c>
      <c r="GX86" s="91" t="n">
        <f aca="false">IF(Tasks[[#This Row],[_RemFrom]]=0,0,Tasks[[#This Row],[Finish]])</f>
        <v>0</v>
      </c>
      <c r="GY86" s="90" t="b">
        <f aca="false">IF(Tasks[[#This Row],[Task Name]]="",FALSE(),OR(NOT(BaselineSet),N(Tasks[[#This Row],[Baseline Start]])&gt;0))</f>
        <v>0</v>
      </c>
      <c r="GZ8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6" s="92" t="str">
        <f aca="false">IF(Tasks[[#This Row],[_IsLeaf]]=1,Tasks[[#This Row],[_Row]],"")</f>
        <v/>
      </c>
      <c r="HD86" s="92" t="str">
        <f aca="false">IFERROR(INDEX(Tasks[UID],SMALL(Tasks[_PickKey],Tasks[[#This Row],[_Row]]))&amp;" "&amp;INDEX(Tasks[Task Name],SMALL(Tasks[_PickKey],Tasks[[#This Row],[_Row]])),"")</f>
        <v/>
      </c>
      <c r="HE86" s="43" t="str">
        <f aca="false">IF(Tasks[[#This Row],[Task Name]]="","",IF(Tasks[[#This Row],[_IsSummary]],NETWORKDAYS.INTL(Tasks[[#This Row],[Start]],Tasks[[#This Row],[Finish]],WorkWeek,Holidays),N(Tasks[[#This Row],[_Days]])))</f>
        <v/>
      </c>
      <c r="HF86" s="43" t="n">
        <f aca="false">IF(Tasks[[#This Row],[Expected]]="",0,((Tasks[[#This Row],[Pessimistic]]-Tasks[[#This Row],[Optimistic]])/6)^2)</f>
        <v>0</v>
      </c>
      <c r="HG86" s="43" t="n">
        <f aca="false">IF(Tasks[[#This Row],[Expected]]="",0,Tasks[[#This Row],[Expected]]-N(Tasks[[#This Row],[_Days]]))</f>
        <v>0</v>
      </c>
    </row>
    <row r="87" customFormat="false" ht="15" hidden="false" customHeight="false" outlineLevel="0" collapsed="false">
      <c r="A87" s="21" t="str">
        <f aca="false">IF(Tasks[[#This Row],[Task Name]]="","",COUNTA(Tasks[[#Headers],[Task Name]]:Tasks[[#This Row],[Task Name]])-1)</f>
        <v/>
      </c>
      <c r="B87" s="22" t="n">
        <v>95</v>
      </c>
      <c r="C87" s="22"/>
      <c r="D87" s="23"/>
      <c r="E87" s="22"/>
      <c r="F87" s="23"/>
      <c r="G87" s="22"/>
      <c r="H87" s="22"/>
      <c r="I87" s="23"/>
      <c r="J87" s="22"/>
      <c r="K87" s="22"/>
      <c r="L87" s="23"/>
      <c r="M87" s="22"/>
      <c r="N87" s="22"/>
      <c r="O87" s="23"/>
      <c r="P87" s="22"/>
      <c r="Q87" s="22"/>
      <c r="R87" s="23"/>
      <c r="S87" s="23"/>
      <c r="T87" s="84"/>
      <c r="U87" s="23"/>
      <c r="V87" s="84"/>
      <c r="W87" s="23"/>
      <c r="X87" s="84"/>
      <c r="Y87" s="23"/>
      <c r="Z87" s="84"/>
      <c r="AA87" s="23"/>
      <c r="AB87" s="23"/>
      <c r="AC87" s="7"/>
      <c r="AD87" s="7"/>
      <c r="AE87" s="63" t="str">
        <f aca="false">IF(Tasks[[#This Row],[Task Name]]="","",IF(Tasks[[#This Row],[_IsSummary]],MIN(INDEX(Tasks[_ShownFcstStart],Tasks[[#This Row],[_Row]]+1):INDEX(Tasks[_ShownFcstStart],Tasks[[#This Row],[_Row]]+Tasks[[#This Row],[_Descendants]])),Tasks[[#This Row],[_ShownFcstStart]]))</f>
        <v/>
      </c>
      <c r="AF87" s="63" t="str">
        <f aca="false">IF(Tasks[[#This Row],[Task Name]]="","",IF(Tasks[[#This Row],[_IsSummary]],MAX(INDEX(Tasks[_ShownFcstFinish],Tasks[[#This Row],[_Row]]+1):INDEX(Tasks[_ShownFcstFinish],Tasks[[#This Row],[_Row]]+Tasks[[#This Row],[_Descendants]])),Tasks[[#This Row],[_ShownFcstFinish]]))</f>
        <v/>
      </c>
      <c r="AG87" s="21" t="str">
        <f aca="false">""</f>
        <v/>
      </c>
      <c r="AH87" s="23"/>
      <c r="AI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7" s="7"/>
      <c r="AK87" s="22"/>
      <c r="AL87" s="23"/>
      <c r="AM87" s="7"/>
      <c r="AN87" s="47" t="str">
        <f aca="false">IF(Tasks[[#This Row],[Task Name]]="","",IF(Tasks[[#This Row],[Finish]]&gt;=Tasks[[#This Row],[Planned Finish]],NETWORKDAYS.INTL(Tasks[[#This Row],[Planned Finish]],Tasks[[#This Row],[Finish]],WorkWeek,Holidays)-1,1-NETWORKDAYS.INTL(Tasks[[#This Row],[Finish]],Tasks[[#This Row],[Planned Finish]],WorkWeek,Holidays)))</f>
        <v/>
      </c>
      <c r="AO87" s="21" t="str">
        <f aca="false">IF(Tasks[[#This Row],[Task Name]]="","",IF(Tasks[[#This Row],[Progress]]&gt;=1,"Complete",IF(OR(N(Tasks[[#This Row],[Actual Start]])&gt;0,Tasks[[#This Row],[Progress]]&gt;0),IF(Tasks[[#This Row],[Finish Var]]&gt;0,"Behind","In Progress"),IF(Tasks[[#This Row],[Planned Start]]&lt;StatusDate,"Late Start","Not Started"))))</f>
        <v/>
      </c>
      <c r="AP87" s="21" t="str">
        <f aca="false">IF(Tasks[[#This Row],[Task Name]]="","",IF(IF(Tasks[[#This Row],[_IsSummary]],COUNTIF(INDEX(Tasks[_LeafCritical],Tasks[[#This Row],[_Row]]+1):INDEX(Tasks[_LeafCritical],Tasks[[#This Row],[_Row]]+Tasks[[#This Row],[_Descendants]]),TRUE())&gt;0,Tasks[[#This Row],[_LeafCritical]]),"Yes",""))</f>
        <v/>
      </c>
      <c r="AQ87" s="63" t="str">
        <f aca="false">IF(Tasks[[#This Row],[Task Name]]="","",IF(N(Tasks[[#This Row],[Baseline Start]])&gt;0,Tasks[[#This Row],[Baseline Start]],Tasks[[#This Row],[_CalcStart]]))</f>
        <v/>
      </c>
      <c r="AR87" s="63" t="str">
        <f aca="false">IF(Tasks[[#This Row],[Task Name]]="","",IF(N(Tasks[[#This Row],[Baseline Finish]])&gt;0,Tasks[[#This Row],[Baseline Finish]],Tasks[[#This Row],[_CalcFinish]]))</f>
        <v/>
      </c>
      <c r="AS87" s="47" t="str">
        <f aca="false">IF(Tasks[[#This Row],[Task Name]]="","",IF(Tasks[[#This Row],[Start]]&gt;=Tasks[[#This Row],[Planned Start]],NETWORKDAYS.INTL(Tasks[[#This Row],[Planned Start]],Tasks[[#This Row],[Start]],WorkWeek,Holidays)-1,1-NETWORKDAYS.INTL(Tasks[[#This Row],[Start]],Tasks[[#This Row],[Planned Start]],WorkWeek,Holidays)))</f>
        <v/>
      </c>
      <c r="AT87" s="63" t="str">
        <f aca="false">IF(Tasks[[#This Row],[Task Name]]="","",IF(Tasks[[#This Row],[_IsSummary]],MIN(INDEX(Tasks[_LeafLateStart],Tasks[[#This Row],[_Row]]+1):INDEX(Tasks[_LeafLateStart],Tasks[[#This Row],[_Row]]+Tasks[[#This Row],[_Descendants]])),Tasks[[#This Row],[_LeafLateStart]]))</f>
        <v/>
      </c>
      <c r="AU87" s="63" t="str">
        <f aca="false">IF(Tasks[[#This Row],[Task Name]]="","",IF(Tasks[[#This Row],[_IsSummary]],MAX(INDEX(Tasks[_LeafLateFinish],Tasks[[#This Row],[_Row]]+1):INDEX(Tasks[_LeafLateFinish],Tasks[[#This Row],[_Row]]+Tasks[[#This Row],[_Descendants]])),Tasks[[#This Row],[_LeafLateFinish]]))</f>
        <v/>
      </c>
      <c r="AV87" s="47" t="str">
        <f aca="false">IF(Tasks[[#This Row],[Task Name]]="","",IF(Tasks[[#This Row],[_IsSummary]],MIN(INDEX(Tasks[_LeafTotalSlack],Tasks[[#This Row],[_Row]]+1):INDEX(Tasks[_LeafTotalSlack],Tasks[[#This Row],[_Row]]+Tasks[[#This Row],[_Descendants]])),Tasks[[#This Row],[_LeafTotalSlack]]))</f>
        <v/>
      </c>
      <c r="AW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5"/>
      <c r="BA8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t="str">
        <f aca="false">IF(Tasks[[#This Row],[Task Name]]="","",IF(Tasks[[#This Row],[_Level]]&lt;=OutlineShowLevel,"Yes","No"))</f>
        <v/>
      </c>
      <c r="BE87" s="86" t="str">
        <f aca="false">IF(Tasks[[#This Row],[Task Name]]="","",IF(Tasks[[#This Row],[_IsSummary]],SUM(INDEX(Tasks[_LeafTotalWork],Tasks[[#This Row],[_Row]]+1):INDEX(Tasks[_LeafTotalWork],Tasks[[#This Row],[_Row]]+Tasks[[#This Row],[_Descendants]])),Tasks[[#This Row],[_LeafTotalWork]]))</f>
        <v/>
      </c>
      <c r="BF87" s="23"/>
      <c r="BG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t="str">
        <f aca="false">""</f>
        <v/>
      </c>
      <c r="BI87" s="87"/>
      <c r="BJ87" s="22"/>
      <c r="BK87" s="47" t="str">
        <f aca="false">IF(OR(Tasks[[#This Row],[Task Name]]="",Tasks[[#This Row],[Baseline Duration]]=""),"",Tasks[[#This Row],[_SpanDays]]-N(Tasks[[#This Row],[Baseline Duration]]))</f>
        <v/>
      </c>
      <c r="BL87" s="86" t="str">
        <f aca="false">IF(OR(Tasks[[#This Row],[Task Name]]="",Tasks[[#This Row],[Baseline Work]]=""),"",Tasks[[#This Row],[Work]]-N(Tasks[[#This Row],[Baseline Work]]))</f>
        <v/>
      </c>
      <c r="BM87" s="63" t="str">
        <f aca="false">IF(Tasks[[#This Row],[Task Name]]="","",IF(OR(TakeBaseline="Yes",N(Tasks[[#This Row],[Baseline Start]])=0),Tasks[[#This Row],[Start]],Tasks[[#This Row],[Baseline Start]]))</f>
        <v/>
      </c>
      <c r="BN87" s="63" t="str">
        <f aca="false">IF(Tasks[[#This Row],[Task Name]]="","",IF(OR(TakeBaseline="Yes",N(Tasks[[#This Row],[Baseline Finish]])=0),Tasks[[#This Row],[Finish]],Tasks[[#This Row],[Baseline Finish]]))</f>
        <v/>
      </c>
      <c r="BO87" s="21" t="str">
        <f aca="false">IF(Tasks[[#This Row],[Task Name]]="","",IF(OR(TakeBaseline="Yes",N(Tasks[[#This Row],[Baseline Duration]])=0),Tasks[[#This Row],[_SpanDays]],Tasks[[#This Row],[Baseline Duration]]))</f>
        <v/>
      </c>
      <c r="BP87" s="86" t="str">
        <f aca="false">IF(Tasks[[#This Row],[Task Name]]="","",IF(OR(TakeBaseline="Yes",N(Tasks[[#This Row],[Baseline Work]])=0),Tasks[[#This Row],[Work]],Tasks[[#This Row],[Baseline Work]]))</f>
        <v/>
      </c>
      <c r="BQ87" s="7"/>
      <c r="BR87" s="7"/>
      <c r="BS87" s="22"/>
      <c r="BT87" s="88"/>
      <c r="BU87" s="23"/>
      <c r="BV87" s="23"/>
      <c r="BW87" s="23"/>
      <c r="BX87" s="89" t="str">
        <f aca="false">IF(AND(Tasks[[#This Row],[_IsLeaf]]=1,ISNUMBER(Tasks[[#This Row],[Optimistic]]),ISNUMBER(Tasks[[#This Row],[Pessimistic]])),ROUND((Tasks[[#This Row],[Optimistic]]+4*N(Tasks[[#This Row],[_Days]])+Tasks[[#This Row],[Pessimistic]])/6,1),"")</f>
        <v/>
      </c>
      <c r="BY87" s="87"/>
      <c r="BZ87" s="87"/>
      <c r="CA87" s="22"/>
      <c r="CB87" s="43" t="str">
        <f aca="false">IF(Tasks[[#This Row],[Task Name]]="","",MAX(1,N(Tasks[[#This Row],[Level]])))</f>
        <v/>
      </c>
      <c r="CC87" s="43" t="n">
        <f aca="false">ROW()-ROW(Tasks[[#Headers],[ID]])</f>
        <v>82</v>
      </c>
      <c r="CD87" s="43" t="n">
        <f aca="false">IF(OR(Tasks[[#This Row],[Task Name]]="",Tasks[[#This Row],[_Level]]&lt;=1),0,IFERROR(LOOKUP(2,1/(Tasks[[#Headers],[_Level]]:Tasks[[#This Row],[_Level]]=Tasks[[#This Row],[_Level]]-1),ROW(Tasks[[#Headers],[_Level]]:Tasks[[#This Row],[_Level]])),0))</f>
        <v>0</v>
      </c>
      <c r="CE87" s="43" t="n">
        <f aca="false">IFERROR(N(INDEX(Tasks[_Level],Tasks[[#This Row],[_Row]]+1)),0)</f>
        <v>0</v>
      </c>
      <c r="CF87" s="90" t="b">
        <f aca="false">AND(Tasks[[#This Row],[Task Name]]&lt;&gt;"",Tasks[[#This Row],[_NextLevel]]&gt;Tasks[[#This Row],[_Level]])</f>
        <v>0</v>
      </c>
      <c r="CG87" s="43" t="n">
        <f aca="false">IF(Tasks[[#This Row],[_IsSummary]],COUNTIF(Tasks[WBS],Tasks[[#This Row],[WBS]]&amp;".*"),0)</f>
        <v>0</v>
      </c>
      <c r="CH87" s="43" t="n">
        <f aca="false">IF(AND(Tasks[[#This Row],[Task Name]]&lt;&gt;"",NOT(Tasks[[#This Row],[_IsSummary]])),1,0)</f>
        <v>0</v>
      </c>
      <c r="CI87" s="43" t="n">
        <f aca="false">IF(N(Tasks[[#This Row],[_Pred1UID]])=0,0,IFERROR(MATCH(Tasks[[#This Row],[_Pred1UID]],Tasks[UID],0),-1))</f>
        <v>0</v>
      </c>
      <c r="CJ87" s="43" t="n">
        <f aca="false">IF(N(Tasks[[#This Row],[_Pred2UID]])=0,0,IFERROR(MATCH(Tasks[[#This Row],[_Pred2UID]],Tasks[UID],0),-1))</f>
        <v>0</v>
      </c>
      <c r="CK87" s="43" t="n">
        <f aca="false">IF(N(Tasks[[#This Row],[_Pred3UID]])=0,0,IFERROR(MATCH(Tasks[[#This Row],[_Pred3UID]],Tasks[UID],0),-1))</f>
        <v>0</v>
      </c>
      <c r="CL87" s="43" t="n">
        <f aca="false">IF(N(Tasks[[#This Row],[_Pred4UID]])=0,0,IFERROR(MATCH(Tasks[[#This Row],[_Pred4UID]],Tasks[UID],0),-1))</f>
        <v>0</v>
      </c>
      <c r="CM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7" s="91" t="n">
        <f aca="false">IF(OR(Tasks[[#This Row],[_ConstraintCode]]=2,Tasks[[#This Row],[_ConstraintCode]]=3,Tasks[[#This Row],[_ConstraintCode]]=4,Tasks[[#This Row],[_ConstraintCode]]=6),Tasks[[#This Row],[_ConstraintStart]],0)</f>
        <v>0</v>
      </c>
      <c r="CP87" s="91" t="n">
        <f aca="false">IF(OR(Tasks[[#This Row],[_ConstraintCode]]=2,Tasks[[#This Row],[_ConstraintCode]]=3,Tasks[[#This Row],[_ConstraintCode]]=5,Tasks[[#This Row],[_ConstraintCode]]=7),Tasks[[#This Row],[_ConstraintStart]],2958465)</f>
        <v>2958465</v>
      </c>
      <c r="CQ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7" s="91" t="str">
        <f aca="false">IF(NOT(Tasks[[#This Row],[_IsLeaf]]=1),"",IF(N(Tasks[[#This Row],[_Days]])&lt;=0,Tasks[[#This Row],[_LeafCalcStart]],WORKDAY.INTL(Tasks[[#This Row],[_LeafCalcStart]],Tasks[[#This Row],[_Days]]-1,WorkWeek,Holidays)))</f>
        <v/>
      </c>
      <c r="CS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7" s="43" t="str">
        <f aca="false">IF(Tasks[[#This Row],[_Predecessors]]="","",TRIM(MID(SUBSTITUTE(SUBSTITUTE(SUBSTITUTE(UPPER(Tasks[[#This Row],[_Predecessors]]),";",",")," ",""),",",REPT(" ",99)),1,99)))</f>
        <v/>
      </c>
      <c r="CV87" s="43" t="str">
        <f aca="false">IF(Tasks[[#This Row],[_Pred1Text]]="","",IFERROR(VALUE(LEFT(Tasks[[#This Row],[_Pred1Text]],MIN(FIND("F",Tasks[[#This Row],[_Pred1Text]]&amp;"F"),FIND("S",Tasks[[#This Row],[_Pred1Text]]&amp;"S"),FIND("+",Tasks[[#This Row],[_Pred1Text]]&amp;"+"),FIND("-",Tasks[[#This Row],[_Pred1Text]]&amp;"-"))-1)),""))</f>
        <v/>
      </c>
      <c r="CW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7" s="43" t="str">
        <f aca="false">IF(Tasks[[#This Row],[_Pred1Text]]="","",TRIM(MID(SUBSTITUTE(SUBSTITUTE(SUBSTITUTE(UPPER(Tasks[[#This Row],[_Predecessors]]),";",",")," ",""),",",REPT(" ",99)),100,99)))</f>
        <v/>
      </c>
      <c r="CZ87" s="43" t="str">
        <f aca="false">IF(Tasks[[#This Row],[_Pred2Text]]="","",IFERROR(VALUE(LEFT(Tasks[[#This Row],[_Pred2Text]],MIN(FIND("F",Tasks[[#This Row],[_Pred2Text]]&amp;"F"),FIND("S",Tasks[[#This Row],[_Pred2Text]]&amp;"S"),FIND("+",Tasks[[#This Row],[_Pred2Text]]&amp;"+"),FIND("-",Tasks[[#This Row],[_Pred2Text]]&amp;"-"))-1)),""))</f>
        <v/>
      </c>
      <c r="DA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7" s="43" t="str">
        <f aca="false">IF(Tasks[[#This Row],[_Pred2Text]]="","",TRIM(MID(SUBSTITUTE(SUBSTITUTE(SUBSTITUTE(UPPER(Tasks[[#This Row],[_Predecessors]]),";",",")," ",""),",",REPT(" ",99)),199,99)))</f>
        <v/>
      </c>
      <c r="DD87" s="43" t="str">
        <f aca="false">IF(Tasks[[#This Row],[_Pred3Text]]="","",IFERROR(VALUE(LEFT(Tasks[[#This Row],[_Pred3Text]],MIN(FIND("F",Tasks[[#This Row],[_Pred3Text]]&amp;"F"),FIND("S",Tasks[[#This Row],[_Pred3Text]]&amp;"S"),FIND("+",Tasks[[#This Row],[_Pred3Text]]&amp;"+"),FIND("-",Tasks[[#This Row],[_Pred3Text]]&amp;"-"))-1)),""))</f>
        <v/>
      </c>
      <c r="DE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7" s="43" t="str">
        <f aca="false">IF(Tasks[[#This Row],[_Pred3Text]]="","",TRIM(MID(SUBSTITUTE(SUBSTITUTE(SUBSTITUTE(UPPER(Tasks[[#This Row],[_Predecessors]]),";",",")," ",""),",",REPT(" ",99)),298,99)))</f>
        <v/>
      </c>
      <c r="DH87" s="43" t="str">
        <f aca="false">IF(Tasks[[#This Row],[_Pred4Text]]="","",IFERROR(VALUE(LEFT(Tasks[[#This Row],[_Pred4Text]],MIN(FIND("F",Tasks[[#This Row],[_Pred4Text]]&amp;"F"),FIND("S",Tasks[[#This Row],[_Pred4Text]]&amp;"S"),FIND("+",Tasks[[#This Row],[_Pred4Text]]&amp;"+"),FIND("-",Tasks[[#This Row],[_Pred4Text]]&amp;"-"))-1)),""))</f>
        <v/>
      </c>
      <c r="DI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7" s="43" t="str">
        <f aca="false">IF(OR(Tasks[[#This Row],[Task Name]]="",Tasks[[#This Row],[_Resources]]=""),"",TRIM(MID(SUBSTITUTE(Tasks[[#This Row],[_Resources]],",",REPT(" ",99)),1,99)))</f>
        <v/>
      </c>
      <c r="DL87" s="43" t="str">
        <f aca="false">IF(Tasks[[#This Row],[_Res1Text]]="","",TRIM(MID(SUBSTITUTE(Tasks[[#This Row],[_Resources]],",",REPT(" ",99)),100,99)))</f>
        <v/>
      </c>
      <c r="DM87" s="43" t="str">
        <f aca="false">IF(Tasks[[#This Row],[_Res2Text]]="","",TRIM(MID(SUBSTITUTE(Tasks[[#This Row],[_Resources]],",",REPT(" ",99)),199,99)))</f>
        <v/>
      </c>
      <c r="DN87" s="43" t="str">
        <f aca="false">IF(Tasks[[#This Row],[_Res3Text]]="","",TRIM(MID(SUBSTITUTE(Tasks[[#This Row],[_Resources]],",",REPT(" ",99)),298,99)))</f>
        <v/>
      </c>
      <c r="DO87" s="43" t="n">
        <f aca="false">IF(Tasks[[#This Row],[_Res1Text]]="",0,IFERROR(MATCH(TRIM(LEFT(Tasks[[#This Row],[_Res1Text]],FIND("[",Tasks[[#This Row],[_Res1Text]]&amp;"[")-1)),res_Name,0),IFERROR(MATCH(TRIM(LEFT(Tasks[[#This Row],[_Res1Text]],FIND("[",Tasks[[#This Row],[_Res1Text]]&amp;"[")-1)),res_Initials,0),0)))</f>
        <v>0</v>
      </c>
      <c r="DP87" s="43" t="n">
        <f aca="false">IF(Tasks[[#This Row],[_Res2Text]]="",0,IFERROR(MATCH(TRIM(LEFT(Tasks[[#This Row],[_Res2Text]],FIND("[",Tasks[[#This Row],[_Res2Text]]&amp;"[")-1)),res_Name,0),IFERROR(MATCH(TRIM(LEFT(Tasks[[#This Row],[_Res2Text]],FIND("[",Tasks[[#This Row],[_Res2Text]]&amp;"[")-1)),res_Initials,0),0)))</f>
        <v>0</v>
      </c>
      <c r="DQ87" s="43" t="n">
        <f aca="false">IF(Tasks[[#This Row],[_Res3Text]]="",0,IFERROR(MATCH(TRIM(LEFT(Tasks[[#This Row],[_Res3Text]],FIND("[",Tasks[[#This Row],[_Res3Text]]&amp;"[")-1)),res_Name,0),IFERROR(MATCH(TRIM(LEFT(Tasks[[#This Row],[_Res3Text]],FIND("[",Tasks[[#This Row],[_Res3Text]]&amp;"[")-1)),res_Initials,0),0)))</f>
        <v>0</v>
      </c>
      <c r="DR87" s="43" t="n">
        <f aca="false">IF(Tasks[[#This Row],[_Res4Text]]="",0,IFERROR(MATCH(TRIM(LEFT(Tasks[[#This Row],[_Res4Text]],FIND("[",Tasks[[#This Row],[_Res4Text]]&amp;"[")-1)),res_Name,0),IFERROR(MATCH(TRIM(LEFT(Tasks[[#This Row],[_Res4Text]],FIND("[",Tasks[[#This Row],[_Res4Text]]&amp;"[")-1)),res_Initials,0),0)))</f>
        <v>0</v>
      </c>
      <c r="DS87" s="43" t="str">
        <f aca="false">IF(Tasks[[#This Row],[_Res1Text]]="","",IF(Tasks[[#This Row],[_Res1Row]]&gt;0,INDEX(res_Name,Tasks[[#This Row],[_Res1Row]]),TRIM(LEFT(Tasks[[#This Row],[_Res1Text]],FIND("[",Tasks[[#This Row],[_Res1Text]]&amp;"[")-1))))</f>
        <v/>
      </c>
      <c r="DT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7" s="43" t="n">
        <f aca="false">IF(NOT(Tasks[[#This Row],[_IsLeaf]]=1),0,(Tasks[[#This Row],[_Resource1]]&lt;&gt;"")+(Tasks[[#This Row],[_Res2]]&lt;&gt;"")+(Tasks[[#This Row],[_Res3]]&lt;&gt;"")+(Tasks[[#This Row],[_Res4]]&lt;&gt;""))</f>
        <v>0</v>
      </c>
      <c r="DV87" s="43" t="str">
        <f aca="false">IF(Tasks[[#This Row],[_Res2Text]]="","",IF(Tasks[[#This Row],[_Res2Row]]&gt;0,INDEX(res_Name,Tasks[[#This Row],[_Res2Row]]),TRIM(LEFT(Tasks[[#This Row],[_Res2Text]],FIND("[",Tasks[[#This Row],[_Res2Text]]&amp;"[")-1))))</f>
        <v/>
      </c>
      <c r="DW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7" s="43" t="n">
        <f aca="false">IF(OR(NOT(Tasks[[#This Row],[_IsLeaf]]=1),Tasks[[#This Row],[_Res2Row]]=0),0,N(Tasks[[#This Row],[_Days]])*HoursPerDay*IF(Tasks[[#This Row],[_Res2Units]]="",DefaultUnits,Tasks[[#This Row],[_Res2Units]]))</f>
        <v>0</v>
      </c>
      <c r="DY87" s="43" t="n">
        <f aca="false">IF(AND(AND(Tasks[[#This Row],[_IsLeaf]]=1,Tasks[[#This Row],[_LeafTotalWork]]&gt;0),Tasks[[#This Row],[_Res2Work]]&gt;0),Tasks[[#This Row],[_Res2Work]]/(Tasks[[#This Row],[_FinishWorkday]]-Tasks[[#This Row],[_StartWorkday]]+1),0)</f>
        <v>0</v>
      </c>
      <c r="DZ87" s="43" t="n">
        <f aca="false">Tasks[[#This Row],[_Res2WorkPerWD]]*MAX(0,Tasks[[#This Row],[_StartWorkday]]-1)</f>
        <v>0</v>
      </c>
      <c r="EA87" s="43" t="n">
        <f aca="false">Tasks[[#This Row],[_Res2Work]]*Tasks[[#This Row],[_LeafProgress]]</f>
        <v>0</v>
      </c>
      <c r="EB87" s="43" t="str">
        <f aca="false">IF(Tasks[[#This Row],[_Res3Text]]="","",IF(Tasks[[#This Row],[_Res3Row]]&gt;0,INDEX(res_Name,Tasks[[#This Row],[_Res3Row]]),TRIM(LEFT(Tasks[[#This Row],[_Res3Text]],FIND("[",Tasks[[#This Row],[_Res3Text]]&amp;"[")-1))))</f>
        <v/>
      </c>
      <c r="EC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7" s="43" t="n">
        <f aca="false">IF(OR(NOT(Tasks[[#This Row],[_IsLeaf]]=1),Tasks[[#This Row],[_Res3Row]]=0),0,N(Tasks[[#This Row],[_Days]])*HoursPerDay*IF(Tasks[[#This Row],[_Res3Units]]="",DefaultUnits,Tasks[[#This Row],[_Res3Units]]))</f>
        <v>0</v>
      </c>
      <c r="EE87" s="43" t="n">
        <f aca="false">IF(AND(AND(Tasks[[#This Row],[_IsLeaf]]=1,Tasks[[#This Row],[_LeafTotalWork]]&gt;0),Tasks[[#This Row],[_Res3Work]]&gt;0),Tasks[[#This Row],[_Res3Work]]/(Tasks[[#This Row],[_FinishWorkday]]-Tasks[[#This Row],[_StartWorkday]]+1),0)</f>
        <v>0</v>
      </c>
      <c r="EF87" s="43" t="n">
        <f aca="false">Tasks[[#This Row],[_Res3WorkPerWD]]*MAX(0,Tasks[[#This Row],[_StartWorkday]]-1)</f>
        <v>0</v>
      </c>
      <c r="EG87" s="43" t="n">
        <f aca="false">Tasks[[#This Row],[_Res3Work]]*Tasks[[#This Row],[_LeafProgress]]</f>
        <v>0</v>
      </c>
      <c r="EH87" s="43" t="str">
        <f aca="false">IF(Tasks[[#This Row],[_Res4Text]]="","",IF(Tasks[[#This Row],[_Res4Row]]&gt;0,INDEX(res_Name,Tasks[[#This Row],[_Res4Row]]),TRIM(LEFT(Tasks[[#This Row],[_Res4Text]],FIND("[",Tasks[[#This Row],[_Res4Text]]&amp;"[")-1))))</f>
        <v/>
      </c>
      <c r="EI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7" s="43" t="n">
        <f aca="false">IF(OR(NOT(Tasks[[#This Row],[_IsLeaf]]=1),Tasks[[#This Row],[_Res4Row]]=0),0,N(Tasks[[#This Row],[_Days]])*HoursPerDay*IF(Tasks[[#This Row],[_Res4Units]]="",DefaultUnits,Tasks[[#This Row],[_Res4Units]]))</f>
        <v>0</v>
      </c>
      <c r="EK87" s="43" t="n">
        <f aca="false">IF(AND(AND(Tasks[[#This Row],[_IsLeaf]]=1,Tasks[[#This Row],[_LeafTotalWork]]&gt;0),Tasks[[#This Row],[_Res4Work]]&gt;0),Tasks[[#This Row],[_Res4Work]]/(Tasks[[#This Row],[_FinishWorkday]]-Tasks[[#This Row],[_StartWorkday]]+1),0)</f>
        <v>0</v>
      </c>
      <c r="EL87" s="43" t="n">
        <f aca="false">Tasks[[#This Row],[_Res4WorkPerWD]]*MAX(0,Tasks[[#This Row],[_StartWorkday]]-1)</f>
        <v>0</v>
      </c>
      <c r="EM87" s="43" t="n">
        <f aca="false">Tasks[[#This Row],[_Res4Work]]*Tasks[[#This Row],[_LeafProgress]]</f>
        <v>0</v>
      </c>
      <c r="EN87" s="43" t="n">
        <f aca="false">IF(ISNUMBER(Tasks[[#This Row],[% Complete]]),Tasks[[#This Row],[% Complete]],IF(Tasks[[#This Row],[Stage]]="",0,IFERROR(INDEX(stg_Pct,MATCH(Tasks[[#This Row],[Stage]],stg_Name,0)),0)))</f>
        <v>0</v>
      </c>
      <c r="EO87" s="43" t="n">
        <f aca="false">IF(NOT(Tasks[[#This Row],[_IsLeaf]]=1),0,IF(N(Tasks[[#This Row],[Actual Finish]])&gt;0,1,MIN(1,Tasks[[#This Row],[_Pct]])))</f>
        <v>0</v>
      </c>
      <c r="EP87" s="43" t="n">
        <f aca="false">IF(OR(NOT(Tasks[[#This Row],[_IsLeaf]]=1),Tasks[[#This Row],[_Res1Row]]=0),0,N(Tasks[[#This Row],[_Days]])*HoursPerDay*IF(Tasks[[#This Row],[_Units1]]="",DefaultUnits,Tasks[[#This Row],[_Units1]]))</f>
        <v>0</v>
      </c>
      <c r="EQ87" s="43" t="n">
        <f aca="false">Tasks[[#This Row],[_LeafWork]]+Tasks[[#This Row],[_Res2Work]]+Tasks[[#This Row],[_Res3Work]]+Tasks[[#This Row],[_Res4Work]]</f>
        <v>0</v>
      </c>
      <c r="ER8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7" s="43" t="n">
        <f aca="false">IF(NOT(Tasks[[#This Row],[_IsLeaf]]=1),0,MAX(_xlfn.MAXIFS(Tasks[_Row],Tasks[_Pred1UID],Tasks[[#This Row],[UID]]),_xlfn.MAXIFS(Tasks[_Row],Tasks[_Pred2UID],Tasks[[#This Row],[UID]]),_xlfn.MAXIFS(Tasks[_Row],Tasks[_Pred3UID],Tasks[[#This Row],[UID]]),_xlfn.MAXIFS(Tasks[_Row],Tasks[_Pred4UID],Tasks[[#This Row],[UID]])))</f>
        <v>0</v>
      </c>
      <c r="FA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7" s="91" t="str">
        <f aca="false">IF(NOT(Tasks[[#This Row],[_IsLeaf]]=1),"",IF(N(Tasks[[#This Row],[_Days]])&lt;=0,Tasks[[#This Row],[_LeafLateFinish]],WORKDAY.INTL(Tasks[[#This Row],[_LeafLateFinish]],-(Tasks[[#This Row],[_Days]]-1),WorkWeek,Holidays)))</f>
        <v/>
      </c>
      <c r="FD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7" s="90" t="b">
        <f aca="false">AND(Tasks[[#This Row],[_IsLeaf]]=1,Tasks[[#This Row],[_LeafProgress]]&lt;1,N(Tasks[[#This Row],[_LeafTotalSlack]])&lt;=CriticalSlackDays)</f>
        <v>0</v>
      </c>
      <c r="FF87" s="43" t="n">
        <f aca="false">IF(AND(Tasks[[#This Row],[_IsLeaf]]=1,Tasks[[#This Row],[_ConstraintCode]]=1,Tasks[[#This Row],[Mode]]&lt;&gt;"Manual",N(Tasks[[#This Row],[Actual Start]])=0),MAX(0,N(Tasks[[#This Row],[Free Slack]])),0)</f>
        <v>0</v>
      </c>
      <c r="FG87" s="91" t="str">
        <f aca="false">IF(NOT(Tasks[[#This Row],[_IsLeaf]]=1),"",IF(Tasks[[#This Row],[_AlapShift]]=0,Tasks[[#This Row],[_LeafCalcStart]],WORKDAY.INTL(Tasks[[#This Row],[_LeafCalcStart]],Tasks[[#This Row],[_AlapShift]],WorkWeek,Holidays)))</f>
        <v/>
      </c>
      <c r="FH87" s="91" t="str">
        <f aca="false">IF(NOT(Tasks[[#This Row],[_IsLeaf]]=1),"",IF(Tasks[[#This Row],[_AlapShift]]=0,Tasks[[#This Row],[_LeafCalcFinish]],WORKDAY.INTL(Tasks[[#This Row],[_LeafCalcFinish]],Tasks[[#This Row],[_AlapShift]],WorkWeek,Holidays)))</f>
        <v/>
      </c>
      <c r="FI87" s="91" t="str">
        <f aca="false">IF(NOT(Tasks[[#This Row],[_IsLeaf]]=1),"",IF(Tasks[[#This Row],[_AlapShift]]=0,Tasks[[#This Row],[_LeafFcstStart]],WORKDAY.INTL(Tasks[[#This Row],[_LeafFcstStart]],Tasks[[#This Row],[_AlapShift]],WorkWeek,Holidays)))</f>
        <v/>
      </c>
      <c r="FJ87" s="91" t="str">
        <f aca="false">IF(NOT(Tasks[[#This Row],[_IsLeaf]]=1),"",IF(Tasks[[#This Row],[_AlapShift]]=0,Tasks[[#This Row],[_LeafFcstFinish]],WORKDAY.INTL(Tasks[[#This Row],[_LeafFcstFinish]],Tasks[[#This Row],[_AlapShift]],WorkWeek,Holidays)))</f>
        <v/>
      </c>
      <c r="FK87" s="91" t="str">
        <f aca="false">IF(Tasks[[#This Row],[Task Name]]="","",IF(Tasks[[#This Row],[_IsSummary]],MIN(INDEX(Tasks[_ShownCalcStart],Tasks[[#This Row],[_Row]]+1):INDEX(Tasks[_ShownCalcStart],Tasks[[#This Row],[_Row]]+Tasks[[#This Row],[_Descendants]])),Tasks[[#This Row],[_ShownCalcStart]]))</f>
        <v/>
      </c>
      <c r="FL87" s="91" t="str">
        <f aca="false">IF(Tasks[[#This Row],[Task Name]]="","",IF(Tasks[[#This Row],[_IsSummary]],MAX(INDEX(Tasks[_ShownCalcFinish],Tasks[[#This Row],[_Row]]+1):INDEX(Tasks[_ShownCalcFinish],Tasks[[#This Row],[_Row]]+Tasks[[#This Row],[_Descendants]])),Tasks[[#This Row],[_ShownCalcFinish]]))</f>
        <v/>
      </c>
      <c r="FM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7" s="43" t="n">
        <f aca="false">IF(AND(Tasks[[#This Row],[_IsLeaf]]=1,Tasks[[#This Row],[_LeafTotalWork]]&gt;0),NETWORKDAYS.INTL(ProjectStart,Tasks[[#This Row],[_ShownFcstStart]],WorkWeek,Holidays),0)</f>
        <v>0</v>
      </c>
      <c r="FZ87" s="43" t="n">
        <f aca="false">IF(AND(Tasks[[#This Row],[_IsLeaf]]=1,Tasks[[#This Row],[_LeafTotalWork]]&gt;0),MAX(Tasks[[#This Row],[_StartWorkday]],NETWORKDAYS.INTL(ProjectStart,Tasks[[#This Row],[_ShownFcstFinish]],WorkWeek,Holidays)),0)</f>
        <v>0</v>
      </c>
      <c r="GA87" s="43" t="n">
        <f aca="false">IF(AND(Tasks[[#This Row],[_IsLeaf]]=1,Tasks[[#This Row],[_LeafTotalWork]]&gt;0),Tasks[[#This Row],[_LeafWork]]/(Tasks[[#This Row],[_FinishWorkday]]-Tasks[[#This Row],[_StartWorkday]]+1),0)</f>
        <v>0</v>
      </c>
      <c r="GB87" s="43" t="n">
        <f aca="false">Tasks[[#This Row],[_WorkPerWorkday]]*(Tasks[[#This Row],[_StartWorkday]]-1)</f>
        <v>-0</v>
      </c>
      <c r="GC87" s="43" t="n">
        <f aca="false">IF(Tasks[[#This Row],[_IsLeaf]]=1,MAX(N(Tasks[[#This Row],[_Days]]),0.1),0)</f>
        <v>0</v>
      </c>
      <c r="GD87" s="43" t="n">
        <f aca="false">Tasks[[#This Row],[_WeightDur]]*Tasks[[#This Row],[_LeafProgress]]</f>
        <v>0</v>
      </c>
      <c r="GE87" s="43" t="n">
        <f aca="false">Tasks[[#This Row],[_WeightDur]]*Tasks[[#This Row],[_PlannedPct]]</f>
        <v>0</v>
      </c>
      <c r="GF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7" s="43" t="str">
        <f aca="false">IF(AND(Tasks[[#This Row],[_IsLeaf]]=1,N(Tasks[[#This Row],[_Days]])=0,Tasks[[#This Row],[_LeafProgress]]&lt;1),Tasks[[#This Row],[_ShownFcstFinish]]+Tasks[[#This Row],[_Row]]/100000,"")</f>
        <v/>
      </c>
      <c r="GH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7" s="43" t="str">
        <f aca="false">IF(Tasks[[#This Row],[Task Name]]="","",LEFT(Tasks[[#This Row],[WBS]],FIND(".",Tasks[[#This Row],[WBS]]&amp;".")-1))</f>
        <v/>
      </c>
      <c r="GJ87" s="43" t="str">
        <f aca="false">IF(AND(Tasks[[#This Row],[Task Name]]&lt;&gt;"",Tasks[[#This Row],[_Level]]=1),Tasks[[#This Row],[_Row]],"")</f>
        <v/>
      </c>
      <c r="GK87" s="43" t="str">
        <f aca="false">IF(AND(Tasks[[#This Row],[_IsLeaf]]=1,N(Tasks[[#This Row],[_Days]])=0),Tasks[[#This Row],[Planned Finish]]+Tasks[[#This Row],[_Row]]/100000,"")</f>
        <v/>
      </c>
      <c r="GL87" s="43" t="str">
        <f aca="false">IF(AND(Tasks[[#This Row],[_IsLeaf]]=1,Tasks[[#This Row],[_LeafProgress]]&lt;1,OR(N(Tasks[[#This Row],[Finish Var]])&gt;0,Tasks[[#This Row],[Status]]="Late Start")),MAX(0,Tasks[[#This Row],[Finish Var]])+1-Tasks[[#This Row],[_Row]]/1000000,"")</f>
        <v/>
      </c>
      <c r="GM87" s="43" t="str">
        <f aca="false">IF(AND(Tasks[[#This Row],[_IsLeaf]]=1,N(Tasks[[#This Row],[Actual Start]])=0,Tasks[[#This Row],[_ShownFcstStart]]&gt;=StatusDate,Tasks[[#This Row],[_ShownFcstStart]]&lt;=LookaheadEnd),Tasks[[#This Row],[_ShownFcstStart]]+Tasks[[#This Row],[_Row]]/100000,"")</f>
        <v/>
      </c>
      <c r="GN87" s="43" t="str">
        <f aca="false">IF(AND(Tasks[[#This Row],[_IsLeaf]]=1,Tasks[[#This Row],[_LeafProgress]]&lt;1,Tasks[[#This Row],[_ShownFcstFinish]]&gt;=StatusDate,Tasks[[#This Row],[_ShownFcstFinish]]&lt;=LookaheadEnd),Tasks[[#This Row],[_ShownFcstFinish]]+Tasks[[#This Row],[_Row]]/100000,"")</f>
        <v/>
      </c>
      <c r="GO87" s="43" t="str">
        <f aca="false">IF(Tasks[[#This Row],[_LeafCritical]],Tasks[[#This Row],[_ShownFcstStart]]+Tasks[[#This Row],[_Row]]/100000,"")</f>
        <v/>
      </c>
      <c r="GP87" s="43" t="n">
        <f aca="false">Tasks[[#This Row],[_LeafWork]]*Tasks[[#This Row],[_LeafProgress]]</f>
        <v>0</v>
      </c>
      <c r="GQ87" s="91" t="str">
        <f aca="false">IF(AND(Tasks[[#This Row],[_IsLeaf]]=1,Tasks[[#This Row],[_LeafProgress]]&gt;=1),IF(N(Tasks[[#This Row],[Actual Finish]])&gt;0,Tasks[[#This Row],[Actual Finish]],Tasks[[#This Row],[_ShownFcstFinish]]),"")</f>
        <v/>
      </c>
      <c r="GR87" s="43" t="n">
        <f aca="false">IF(Tasks[[#This Row],[_IsLeaf]]=1,N(Tasks[[#This Row],[Story Points]]),0)</f>
        <v>0</v>
      </c>
      <c r="GS87" s="43" t="str">
        <f aca="false">""</f>
        <v/>
      </c>
      <c r="GT87" s="90" t="b">
        <f aca="false">IF(Tasks[[#This Row],[Task Name]]="",FALSE(),AND(Tasks[[#This Row],[_IsLeaf]]=1,N(Tasks[[#This Row],[_Days]])=0))</f>
        <v>0</v>
      </c>
      <c r="GU87" s="91" t="n">
        <f aca="false">IF(Tasks[[#This Row],[Task Name]]="",0,IF(AND(Tasks[[#This Row],[_IsLeaf]]=1,NOT(Tasks[[#This Row],[_IsMilestone]]),N(Tasks[[#This Row],[Progress]])&gt;0),Tasks[[#This Row],[Start]],0))</f>
        <v>0</v>
      </c>
      <c r="GV87" s="91" t="n">
        <f aca="false">IF(Tasks[[#This Row],[_DoneFrom]]=0,0,IF(Tasks[[#This Row],[Progress]]&gt;=1,Tasks[[#This Row],[Finish]],MAX(Tasks[[#This Row],[_DoneFrom]],Tasks[[#This Row],[Start]]+ROUND((Tasks[[#This Row],[Finish]]-Tasks[[#This Row],[Start]]+1)*Tasks[[#This Row],[Progress]],0)-1)))</f>
        <v>0</v>
      </c>
      <c r="GW87" s="91" t="n">
        <f aca="false">IF(Tasks[[#This Row],[Task Name]]="",0,IF(OR(NOT(Tasks[[#This Row],[_IsLeaf]]=1),Tasks[[#This Row],[_IsMilestone]],N(Tasks[[#This Row],[Progress]])&gt;=1),0,IF(Tasks[[#This Row],[_DoneTo]]&gt;0,Tasks[[#This Row],[_DoneTo]]+1,Tasks[[#This Row],[Start]])))</f>
        <v>0</v>
      </c>
      <c r="GX87" s="91" t="n">
        <f aca="false">IF(Tasks[[#This Row],[_RemFrom]]=0,0,Tasks[[#This Row],[Finish]])</f>
        <v>0</v>
      </c>
      <c r="GY87" s="90" t="b">
        <f aca="false">IF(Tasks[[#This Row],[Task Name]]="",FALSE(),OR(NOT(BaselineSet),N(Tasks[[#This Row],[Baseline Start]])&gt;0))</f>
        <v>0</v>
      </c>
      <c r="GZ8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7" s="92" t="str">
        <f aca="false">IF(Tasks[[#This Row],[_IsLeaf]]=1,Tasks[[#This Row],[_Row]],"")</f>
        <v/>
      </c>
      <c r="HD87" s="92" t="str">
        <f aca="false">IFERROR(INDEX(Tasks[UID],SMALL(Tasks[_PickKey],Tasks[[#This Row],[_Row]]))&amp;" "&amp;INDEX(Tasks[Task Name],SMALL(Tasks[_PickKey],Tasks[[#This Row],[_Row]])),"")</f>
        <v/>
      </c>
      <c r="HE87" s="43" t="str">
        <f aca="false">IF(Tasks[[#This Row],[Task Name]]="","",IF(Tasks[[#This Row],[_IsSummary]],NETWORKDAYS.INTL(Tasks[[#This Row],[Start]],Tasks[[#This Row],[Finish]],WorkWeek,Holidays),N(Tasks[[#This Row],[_Days]])))</f>
        <v/>
      </c>
      <c r="HF87" s="43" t="n">
        <f aca="false">IF(Tasks[[#This Row],[Expected]]="",0,((Tasks[[#This Row],[Pessimistic]]-Tasks[[#This Row],[Optimistic]])/6)^2)</f>
        <v>0</v>
      </c>
      <c r="HG87" s="43" t="n">
        <f aca="false">IF(Tasks[[#This Row],[Expected]]="",0,Tasks[[#This Row],[Expected]]-N(Tasks[[#This Row],[_Days]]))</f>
        <v>0</v>
      </c>
    </row>
    <row r="88" customFormat="false" ht="15" hidden="false" customHeight="false" outlineLevel="0" collapsed="false">
      <c r="A88" s="21" t="str">
        <f aca="false">IF(Tasks[[#This Row],[Task Name]]="","",COUNTA(Tasks[[#Headers],[Task Name]]:Tasks[[#This Row],[Task Name]])-1)</f>
        <v/>
      </c>
      <c r="B88" s="22" t="n">
        <v>96</v>
      </c>
      <c r="C88" s="22"/>
      <c r="D88" s="23"/>
      <c r="E88" s="22"/>
      <c r="F88" s="23"/>
      <c r="G88" s="22"/>
      <c r="H88" s="22"/>
      <c r="I88" s="23"/>
      <c r="J88" s="22"/>
      <c r="K88" s="22"/>
      <c r="L88" s="23"/>
      <c r="M88" s="22"/>
      <c r="N88" s="22"/>
      <c r="O88" s="23"/>
      <c r="P88" s="22"/>
      <c r="Q88" s="22"/>
      <c r="R88" s="23"/>
      <c r="S88" s="23"/>
      <c r="T88" s="84"/>
      <c r="U88" s="23"/>
      <c r="V88" s="84"/>
      <c r="W88" s="23"/>
      <c r="X88" s="84"/>
      <c r="Y88" s="23"/>
      <c r="Z88" s="84"/>
      <c r="AA88" s="23"/>
      <c r="AB88" s="23"/>
      <c r="AC88" s="7"/>
      <c r="AD88" s="7"/>
      <c r="AE88" s="63" t="str">
        <f aca="false">IF(Tasks[[#This Row],[Task Name]]="","",IF(Tasks[[#This Row],[_IsSummary]],MIN(INDEX(Tasks[_ShownFcstStart],Tasks[[#This Row],[_Row]]+1):INDEX(Tasks[_ShownFcstStart],Tasks[[#This Row],[_Row]]+Tasks[[#This Row],[_Descendants]])),Tasks[[#This Row],[_ShownFcstStart]]))</f>
        <v/>
      </c>
      <c r="AF88" s="63" t="str">
        <f aca="false">IF(Tasks[[#This Row],[Task Name]]="","",IF(Tasks[[#This Row],[_IsSummary]],MAX(INDEX(Tasks[_ShownFcstFinish],Tasks[[#This Row],[_Row]]+1):INDEX(Tasks[_ShownFcstFinish],Tasks[[#This Row],[_Row]]+Tasks[[#This Row],[_Descendants]])),Tasks[[#This Row],[_ShownFcstFinish]]))</f>
        <v/>
      </c>
      <c r="AG88" s="21" t="str">
        <f aca="false">""</f>
        <v/>
      </c>
      <c r="AH88" s="23"/>
      <c r="AI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8" s="7"/>
      <c r="AK88" s="22"/>
      <c r="AL88" s="23"/>
      <c r="AM88" s="7"/>
      <c r="AN88" s="47" t="str">
        <f aca="false">IF(Tasks[[#This Row],[Task Name]]="","",IF(Tasks[[#This Row],[Finish]]&gt;=Tasks[[#This Row],[Planned Finish]],NETWORKDAYS.INTL(Tasks[[#This Row],[Planned Finish]],Tasks[[#This Row],[Finish]],WorkWeek,Holidays)-1,1-NETWORKDAYS.INTL(Tasks[[#This Row],[Finish]],Tasks[[#This Row],[Planned Finish]],WorkWeek,Holidays)))</f>
        <v/>
      </c>
      <c r="AO88" s="21" t="str">
        <f aca="false">IF(Tasks[[#This Row],[Task Name]]="","",IF(Tasks[[#This Row],[Progress]]&gt;=1,"Complete",IF(OR(N(Tasks[[#This Row],[Actual Start]])&gt;0,Tasks[[#This Row],[Progress]]&gt;0),IF(Tasks[[#This Row],[Finish Var]]&gt;0,"Behind","In Progress"),IF(Tasks[[#This Row],[Planned Start]]&lt;StatusDate,"Late Start","Not Started"))))</f>
        <v/>
      </c>
      <c r="AP88" s="21" t="str">
        <f aca="false">IF(Tasks[[#This Row],[Task Name]]="","",IF(IF(Tasks[[#This Row],[_IsSummary]],COUNTIF(INDEX(Tasks[_LeafCritical],Tasks[[#This Row],[_Row]]+1):INDEX(Tasks[_LeafCritical],Tasks[[#This Row],[_Row]]+Tasks[[#This Row],[_Descendants]]),TRUE())&gt;0,Tasks[[#This Row],[_LeafCritical]]),"Yes",""))</f>
        <v/>
      </c>
      <c r="AQ88" s="63" t="str">
        <f aca="false">IF(Tasks[[#This Row],[Task Name]]="","",IF(N(Tasks[[#This Row],[Baseline Start]])&gt;0,Tasks[[#This Row],[Baseline Start]],Tasks[[#This Row],[_CalcStart]]))</f>
        <v/>
      </c>
      <c r="AR88" s="63" t="str">
        <f aca="false">IF(Tasks[[#This Row],[Task Name]]="","",IF(N(Tasks[[#This Row],[Baseline Finish]])&gt;0,Tasks[[#This Row],[Baseline Finish]],Tasks[[#This Row],[_CalcFinish]]))</f>
        <v/>
      </c>
      <c r="AS88" s="47" t="str">
        <f aca="false">IF(Tasks[[#This Row],[Task Name]]="","",IF(Tasks[[#This Row],[Start]]&gt;=Tasks[[#This Row],[Planned Start]],NETWORKDAYS.INTL(Tasks[[#This Row],[Planned Start]],Tasks[[#This Row],[Start]],WorkWeek,Holidays)-1,1-NETWORKDAYS.INTL(Tasks[[#This Row],[Start]],Tasks[[#This Row],[Planned Start]],WorkWeek,Holidays)))</f>
        <v/>
      </c>
      <c r="AT88" s="63" t="str">
        <f aca="false">IF(Tasks[[#This Row],[Task Name]]="","",IF(Tasks[[#This Row],[_IsSummary]],MIN(INDEX(Tasks[_LeafLateStart],Tasks[[#This Row],[_Row]]+1):INDEX(Tasks[_LeafLateStart],Tasks[[#This Row],[_Row]]+Tasks[[#This Row],[_Descendants]])),Tasks[[#This Row],[_LeafLateStart]]))</f>
        <v/>
      </c>
      <c r="AU88" s="63" t="str">
        <f aca="false">IF(Tasks[[#This Row],[Task Name]]="","",IF(Tasks[[#This Row],[_IsSummary]],MAX(INDEX(Tasks[_LeafLateFinish],Tasks[[#This Row],[_Row]]+1):INDEX(Tasks[_LeafLateFinish],Tasks[[#This Row],[_Row]]+Tasks[[#This Row],[_Descendants]])),Tasks[[#This Row],[_LeafLateFinish]]))</f>
        <v/>
      </c>
      <c r="AV88" s="47" t="str">
        <f aca="false">IF(Tasks[[#This Row],[Task Name]]="","",IF(Tasks[[#This Row],[_IsSummary]],MIN(INDEX(Tasks[_LeafTotalSlack],Tasks[[#This Row],[_Row]]+1):INDEX(Tasks[_LeafTotalSlack],Tasks[[#This Row],[_Row]]+Tasks[[#This Row],[_Descendants]])),Tasks[[#This Row],[_LeafTotalSlack]]))</f>
        <v/>
      </c>
      <c r="AW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5"/>
      <c r="BA8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t="str">
        <f aca="false">IF(Tasks[[#This Row],[Task Name]]="","",IF(Tasks[[#This Row],[_Level]]&lt;=OutlineShowLevel,"Yes","No"))</f>
        <v/>
      </c>
      <c r="BE88" s="86" t="str">
        <f aca="false">IF(Tasks[[#This Row],[Task Name]]="","",IF(Tasks[[#This Row],[_IsSummary]],SUM(INDEX(Tasks[_LeafTotalWork],Tasks[[#This Row],[_Row]]+1):INDEX(Tasks[_LeafTotalWork],Tasks[[#This Row],[_Row]]+Tasks[[#This Row],[_Descendants]])),Tasks[[#This Row],[_LeafTotalWork]]))</f>
        <v/>
      </c>
      <c r="BF88" s="23"/>
      <c r="BG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t="str">
        <f aca="false">""</f>
        <v/>
      </c>
      <c r="BI88" s="87"/>
      <c r="BJ88" s="22"/>
      <c r="BK88" s="47" t="str">
        <f aca="false">IF(OR(Tasks[[#This Row],[Task Name]]="",Tasks[[#This Row],[Baseline Duration]]=""),"",Tasks[[#This Row],[_SpanDays]]-N(Tasks[[#This Row],[Baseline Duration]]))</f>
        <v/>
      </c>
      <c r="BL88" s="86" t="str">
        <f aca="false">IF(OR(Tasks[[#This Row],[Task Name]]="",Tasks[[#This Row],[Baseline Work]]=""),"",Tasks[[#This Row],[Work]]-N(Tasks[[#This Row],[Baseline Work]]))</f>
        <v/>
      </c>
      <c r="BM88" s="63" t="str">
        <f aca="false">IF(Tasks[[#This Row],[Task Name]]="","",IF(OR(TakeBaseline="Yes",N(Tasks[[#This Row],[Baseline Start]])=0),Tasks[[#This Row],[Start]],Tasks[[#This Row],[Baseline Start]]))</f>
        <v/>
      </c>
      <c r="BN88" s="63" t="str">
        <f aca="false">IF(Tasks[[#This Row],[Task Name]]="","",IF(OR(TakeBaseline="Yes",N(Tasks[[#This Row],[Baseline Finish]])=0),Tasks[[#This Row],[Finish]],Tasks[[#This Row],[Baseline Finish]]))</f>
        <v/>
      </c>
      <c r="BO88" s="21" t="str">
        <f aca="false">IF(Tasks[[#This Row],[Task Name]]="","",IF(OR(TakeBaseline="Yes",N(Tasks[[#This Row],[Baseline Duration]])=0),Tasks[[#This Row],[_SpanDays]],Tasks[[#This Row],[Baseline Duration]]))</f>
        <v/>
      </c>
      <c r="BP88" s="86" t="str">
        <f aca="false">IF(Tasks[[#This Row],[Task Name]]="","",IF(OR(TakeBaseline="Yes",N(Tasks[[#This Row],[Baseline Work]])=0),Tasks[[#This Row],[Work]],Tasks[[#This Row],[Baseline Work]]))</f>
        <v/>
      </c>
      <c r="BQ88" s="7"/>
      <c r="BR88" s="7"/>
      <c r="BS88" s="22"/>
      <c r="BT88" s="88"/>
      <c r="BU88" s="23"/>
      <c r="BV88" s="23"/>
      <c r="BW88" s="23"/>
      <c r="BX88" s="89" t="str">
        <f aca="false">IF(AND(Tasks[[#This Row],[_IsLeaf]]=1,ISNUMBER(Tasks[[#This Row],[Optimistic]]),ISNUMBER(Tasks[[#This Row],[Pessimistic]])),ROUND((Tasks[[#This Row],[Optimistic]]+4*N(Tasks[[#This Row],[_Days]])+Tasks[[#This Row],[Pessimistic]])/6,1),"")</f>
        <v/>
      </c>
      <c r="BY88" s="87"/>
      <c r="BZ88" s="87"/>
      <c r="CA88" s="22"/>
      <c r="CB88" s="43" t="str">
        <f aca="false">IF(Tasks[[#This Row],[Task Name]]="","",MAX(1,N(Tasks[[#This Row],[Level]])))</f>
        <v/>
      </c>
      <c r="CC88" s="43" t="n">
        <f aca="false">ROW()-ROW(Tasks[[#Headers],[ID]])</f>
        <v>83</v>
      </c>
      <c r="CD88" s="43" t="n">
        <f aca="false">IF(OR(Tasks[[#This Row],[Task Name]]="",Tasks[[#This Row],[_Level]]&lt;=1),0,IFERROR(LOOKUP(2,1/(Tasks[[#Headers],[_Level]]:Tasks[[#This Row],[_Level]]=Tasks[[#This Row],[_Level]]-1),ROW(Tasks[[#Headers],[_Level]]:Tasks[[#This Row],[_Level]])),0))</f>
        <v>0</v>
      </c>
      <c r="CE88" s="43" t="n">
        <f aca="false">IFERROR(N(INDEX(Tasks[_Level],Tasks[[#This Row],[_Row]]+1)),0)</f>
        <v>0</v>
      </c>
      <c r="CF88" s="90" t="b">
        <f aca="false">AND(Tasks[[#This Row],[Task Name]]&lt;&gt;"",Tasks[[#This Row],[_NextLevel]]&gt;Tasks[[#This Row],[_Level]])</f>
        <v>0</v>
      </c>
      <c r="CG88" s="43" t="n">
        <f aca="false">IF(Tasks[[#This Row],[_IsSummary]],COUNTIF(Tasks[WBS],Tasks[[#This Row],[WBS]]&amp;".*"),0)</f>
        <v>0</v>
      </c>
      <c r="CH88" s="43" t="n">
        <f aca="false">IF(AND(Tasks[[#This Row],[Task Name]]&lt;&gt;"",NOT(Tasks[[#This Row],[_IsSummary]])),1,0)</f>
        <v>0</v>
      </c>
      <c r="CI88" s="43" t="n">
        <f aca="false">IF(N(Tasks[[#This Row],[_Pred1UID]])=0,0,IFERROR(MATCH(Tasks[[#This Row],[_Pred1UID]],Tasks[UID],0),-1))</f>
        <v>0</v>
      </c>
      <c r="CJ88" s="43" t="n">
        <f aca="false">IF(N(Tasks[[#This Row],[_Pred2UID]])=0,0,IFERROR(MATCH(Tasks[[#This Row],[_Pred2UID]],Tasks[UID],0),-1))</f>
        <v>0</v>
      </c>
      <c r="CK88" s="43" t="n">
        <f aca="false">IF(N(Tasks[[#This Row],[_Pred3UID]])=0,0,IFERROR(MATCH(Tasks[[#This Row],[_Pred3UID]],Tasks[UID],0),-1))</f>
        <v>0</v>
      </c>
      <c r="CL88" s="43" t="n">
        <f aca="false">IF(N(Tasks[[#This Row],[_Pred4UID]])=0,0,IFERROR(MATCH(Tasks[[#This Row],[_Pred4UID]],Tasks[UID],0),-1))</f>
        <v>0</v>
      </c>
      <c r="CM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8" s="91" t="n">
        <f aca="false">IF(OR(Tasks[[#This Row],[_ConstraintCode]]=2,Tasks[[#This Row],[_ConstraintCode]]=3,Tasks[[#This Row],[_ConstraintCode]]=4,Tasks[[#This Row],[_ConstraintCode]]=6),Tasks[[#This Row],[_ConstraintStart]],0)</f>
        <v>0</v>
      </c>
      <c r="CP88" s="91" t="n">
        <f aca="false">IF(OR(Tasks[[#This Row],[_ConstraintCode]]=2,Tasks[[#This Row],[_ConstraintCode]]=3,Tasks[[#This Row],[_ConstraintCode]]=5,Tasks[[#This Row],[_ConstraintCode]]=7),Tasks[[#This Row],[_ConstraintStart]],2958465)</f>
        <v>2958465</v>
      </c>
      <c r="CQ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8" s="91" t="str">
        <f aca="false">IF(NOT(Tasks[[#This Row],[_IsLeaf]]=1),"",IF(N(Tasks[[#This Row],[_Days]])&lt;=0,Tasks[[#This Row],[_LeafCalcStart]],WORKDAY.INTL(Tasks[[#This Row],[_LeafCalcStart]],Tasks[[#This Row],[_Days]]-1,WorkWeek,Holidays)))</f>
        <v/>
      </c>
      <c r="CS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8" s="43" t="str">
        <f aca="false">IF(Tasks[[#This Row],[_Predecessors]]="","",TRIM(MID(SUBSTITUTE(SUBSTITUTE(SUBSTITUTE(UPPER(Tasks[[#This Row],[_Predecessors]]),";",",")," ",""),",",REPT(" ",99)),1,99)))</f>
        <v/>
      </c>
      <c r="CV88" s="43" t="str">
        <f aca="false">IF(Tasks[[#This Row],[_Pred1Text]]="","",IFERROR(VALUE(LEFT(Tasks[[#This Row],[_Pred1Text]],MIN(FIND("F",Tasks[[#This Row],[_Pred1Text]]&amp;"F"),FIND("S",Tasks[[#This Row],[_Pred1Text]]&amp;"S"),FIND("+",Tasks[[#This Row],[_Pred1Text]]&amp;"+"),FIND("-",Tasks[[#This Row],[_Pred1Text]]&amp;"-"))-1)),""))</f>
        <v/>
      </c>
      <c r="CW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8" s="43" t="str">
        <f aca="false">IF(Tasks[[#This Row],[_Pred1Text]]="","",TRIM(MID(SUBSTITUTE(SUBSTITUTE(SUBSTITUTE(UPPER(Tasks[[#This Row],[_Predecessors]]),";",",")," ",""),",",REPT(" ",99)),100,99)))</f>
        <v/>
      </c>
      <c r="CZ88" s="43" t="str">
        <f aca="false">IF(Tasks[[#This Row],[_Pred2Text]]="","",IFERROR(VALUE(LEFT(Tasks[[#This Row],[_Pred2Text]],MIN(FIND("F",Tasks[[#This Row],[_Pred2Text]]&amp;"F"),FIND("S",Tasks[[#This Row],[_Pred2Text]]&amp;"S"),FIND("+",Tasks[[#This Row],[_Pred2Text]]&amp;"+"),FIND("-",Tasks[[#This Row],[_Pred2Text]]&amp;"-"))-1)),""))</f>
        <v/>
      </c>
      <c r="DA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8" s="43" t="str">
        <f aca="false">IF(Tasks[[#This Row],[_Pred2Text]]="","",TRIM(MID(SUBSTITUTE(SUBSTITUTE(SUBSTITUTE(UPPER(Tasks[[#This Row],[_Predecessors]]),";",",")," ",""),",",REPT(" ",99)),199,99)))</f>
        <v/>
      </c>
      <c r="DD88" s="43" t="str">
        <f aca="false">IF(Tasks[[#This Row],[_Pred3Text]]="","",IFERROR(VALUE(LEFT(Tasks[[#This Row],[_Pred3Text]],MIN(FIND("F",Tasks[[#This Row],[_Pred3Text]]&amp;"F"),FIND("S",Tasks[[#This Row],[_Pred3Text]]&amp;"S"),FIND("+",Tasks[[#This Row],[_Pred3Text]]&amp;"+"),FIND("-",Tasks[[#This Row],[_Pred3Text]]&amp;"-"))-1)),""))</f>
        <v/>
      </c>
      <c r="DE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8" s="43" t="str">
        <f aca="false">IF(Tasks[[#This Row],[_Pred3Text]]="","",TRIM(MID(SUBSTITUTE(SUBSTITUTE(SUBSTITUTE(UPPER(Tasks[[#This Row],[_Predecessors]]),";",",")," ",""),",",REPT(" ",99)),298,99)))</f>
        <v/>
      </c>
      <c r="DH88" s="43" t="str">
        <f aca="false">IF(Tasks[[#This Row],[_Pred4Text]]="","",IFERROR(VALUE(LEFT(Tasks[[#This Row],[_Pred4Text]],MIN(FIND("F",Tasks[[#This Row],[_Pred4Text]]&amp;"F"),FIND("S",Tasks[[#This Row],[_Pred4Text]]&amp;"S"),FIND("+",Tasks[[#This Row],[_Pred4Text]]&amp;"+"),FIND("-",Tasks[[#This Row],[_Pred4Text]]&amp;"-"))-1)),""))</f>
        <v/>
      </c>
      <c r="DI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8" s="43" t="str">
        <f aca="false">IF(OR(Tasks[[#This Row],[Task Name]]="",Tasks[[#This Row],[_Resources]]=""),"",TRIM(MID(SUBSTITUTE(Tasks[[#This Row],[_Resources]],",",REPT(" ",99)),1,99)))</f>
        <v/>
      </c>
      <c r="DL88" s="43" t="str">
        <f aca="false">IF(Tasks[[#This Row],[_Res1Text]]="","",TRIM(MID(SUBSTITUTE(Tasks[[#This Row],[_Resources]],",",REPT(" ",99)),100,99)))</f>
        <v/>
      </c>
      <c r="DM88" s="43" t="str">
        <f aca="false">IF(Tasks[[#This Row],[_Res2Text]]="","",TRIM(MID(SUBSTITUTE(Tasks[[#This Row],[_Resources]],",",REPT(" ",99)),199,99)))</f>
        <v/>
      </c>
      <c r="DN88" s="43" t="str">
        <f aca="false">IF(Tasks[[#This Row],[_Res3Text]]="","",TRIM(MID(SUBSTITUTE(Tasks[[#This Row],[_Resources]],",",REPT(" ",99)),298,99)))</f>
        <v/>
      </c>
      <c r="DO88" s="43" t="n">
        <f aca="false">IF(Tasks[[#This Row],[_Res1Text]]="",0,IFERROR(MATCH(TRIM(LEFT(Tasks[[#This Row],[_Res1Text]],FIND("[",Tasks[[#This Row],[_Res1Text]]&amp;"[")-1)),res_Name,0),IFERROR(MATCH(TRIM(LEFT(Tasks[[#This Row],[_Res1Text]],FIND("[",Tasks[[#This Row],[_Res1Text]]&amp;"[")-1)),res_Initials,0),0)))</f>
        <v>0</v>
      </c>
      <c r="DP88" s="43" t="n">
        <f aca="false">IF(Tasks[[#This Row],[_Res2Text]]="",0,IFERROR(MATCH(TRIM(LEFT(Tasks[[#This Row],[_Res2Text]],FIND("[",Tasks[[#This Row],[_Res2Text]]&amp;"[")-1)),res_Name,0),IFERROR(MATCH(TRIM(LEFT(Tasks[[#This Row],[_Res2Text]],FIND("[",Tasks[[#This Row],[_Res2Text]]&amp;"[")-1)),res_Initials,0),0)))</f>
        <v>0</v>
      </c>
      <c r="DQ88" s="43" t="n">
        <f aca="false">IF(Tasks[[#This Row],[_Res3Text]]="",0,IFERROR(MATCH(TRIM(LEFT(Tasks[[#This Row],[_Res3Text]],FIND("[",Tasks[[#This Row],[_Res3Text]]&amp;"[")-1)),res_Name,0),IFERROR(MATCH(TRIM(LEFT(Tasks[[#This Row],[_Res3Text]],FIND("[",Tasks[[#This Row],[_Res3Text]]&amp;"[")-1)),res_Initials,0),0)))</f>
        <v>0</v>
      </c>
      <c r="DR88" s="43" t="n">
        <f aca="false">IF(Tasks[[#This Row],[_Res4Text]]="",0,IFERROR(MATCH(TRIM(LEFT(Tasks[[#This Row],[_Res4Text]],FIND("[",Tasks[[#This Row],[_Res4Text]]&amp;"[")-1)),res_Name,0),IFERROR(MATCH(TRIM(LEFT(Tasks[[#This Row],[_Res4Text]],FIND("[",Tasks[[#This Row],[_Res4Text]]&amp;"[")-1)),res_Initials,0),0)))</f>
        <v>0</v>
      </c>
      <c r="DS88" s="43" t="str">
        <f aca="false">IF(Tasks[[#This Row],[_Res1Text]]="","",IF(Tasks[[#This Row],[_Res1Row]]&gt;0,INDEX(res_Name,Tasks[[#This Row],[_Res1Row]]),TRIM(LEFT(Tasks[[#This Row],[_Res1Text]],FIND("[",Tasks[[#This Row],[_Res1Text]]&amp;"[")-1))))</f>
        <v/>
      </c>
      <c r="DT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8" s="43" t="n">
        <f aca="false">IF(NOT(Tasks[[#This Row],[_IsLeaf]]=1),0,(Tasks[[#This Row],[_Resource1]]&lt;&gt;"")+(Tasks[[#This Row],[_Res2]]&lt;&gt;"")+(Tasks[[#This Row],[_Res3]]&lt;&gt;"")+(Tasks[[#This Row],[_Res4]]&lt;&gt;""))</f>
        <v>0</v>
      </c>
      <c r="DV88" s="43" t="str">
        <f aca="false">IF(Tasks[[#This Row],[_Res2Text]]="","",IF(Tasks[[#This Row],[_Res2Row]]&gt;0,INDEX(res_Name,Tasks[[#This Row],[_Res2Row]]),TRIM(LEFT(Tasks[[#This Row],[_Res2Text]],FIND("[",Tasks[[#This Row],[_Res2Text]]&amp;"[")-1))))</f>
        <v/>
      </c>
      <c r="DW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8" s="43" t="n">
        <f aca="false">IF(OR(NOT(Tasks[[#This Row],[_IsLeaf]]=1),Tasks[[#This Row],[_Res2Row]]=0),0,N(Tasks[[#This Row],[_Days]])*HoursPerDay*IF(Tasks[[#This Row],[_Res2Units]]="",DefaultUnits,Tasks[[#This Row],[_Res2Units]]))</f>
        <v>0</v>
      </c>
      <c r="DY88" s="43" t="n">
        <f aca="false">IF(AND(AND(Tasks[[#This Row],[_IsLeaf]]=1,Tasks[[#This Row],[_LeafTotalWork]]&gt;0),Tasks[[#This Row],[_Res2Work]]&gt;0),Tasks[[#This Row],[_Res2Work]]/(Tasks[[#This Row],[_FinishWorkday]]-Tasks[[#This Row],[_StartWorkday]]+1),0)</f>
        <v>0</v>
      </c>
      <c r="DZ88" s="43" t="n">
        <f aca="false">Tasks[[#This Row],[_Res2WorkPerWD]]*MAX(0,Tasks[[#This Row],[_StartWorkday]]-1)</f>
        <v>0</v>
      </c>
      <c r="EA88" s="43" t="n">
        <f aca="false">Tasks[[#This Row],[_Res2Work]]*Tasks[[#This Row],[_LeafProgress]]</f>
        <v>0</v>
      </c>
      <c r="EB88" s="43" t="str">
        <f aca="false">IF(Tasks[[#This Row],[_Res3Text]]="","",IF(Tasks[[#This Row],[_Res3Row]]&gt;0,INDEX(res_Name,Tasks[[#This Row],[_Res3Row]]),TRIM(LEFT(Tasks[[#This Row],[_Res3Text]],FIND("[",Tasks[[#This Row],[_Res3Text]]&amp;"[")-1))))</f>
        <v/>
      </c>
      <c r="EC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8" s="43" t="n">
        <f aca="false">IF(OR(NOT(Tasks[[#This Row],[_IsLeaf]]=1),Tasks[[#This Row],[_Res3Row]]=0),0,N(Tasks[[#This Row],[_Days]])*HoursPerDay*IF(Tasks[[#This Row],[_Res3Units]]="",DefaultUnits,Tasks[[#This Row],[_Res3Units]]))</f>
        <v>0</v>
      </c>
      <c r="EE88" s="43" t="n">
        <f aca="false">IF(AND(AND(Tasks[[#This Row],[_IsLeaf]]=1,Tasks[[#This Row],[_LeafTotalWork]]&gt;0),Tasks[[#This Row],[_Res3Work]]&gt;0),Tasks[[#This Row],[_Res3Work]]/(Tasks[[#This Row],[_FinishWorkday]]-Tasks[[#This Row],[_StartWorkday]]+1),0)</f>
        <v>0</v>
      </c>
      <c r="EF88" s="43" t="n">
        <f aca="false">Tasks[[#This Row],[_Res3WorkPerWD]]*MAX(0,Tasks[[#This Row],[_StartWorkday]]-1)</f>
        <v>0</v>
      </c>
      <c r="EG88" s="43" t="n">
        <f aca="false">Tasks[[#This Row],[_Res3Work]]*Tasks[[#This Row],[_LeafProgress]]</f>
        <v>0</v>
      </c>
      <c r="EH88" s="43" t="str">
        <f aca="false">IF(Tasks[[#This Row],[_Res4Text]]="","",IF(Tasks[[#This Row],[_Res4Row]]&gt;0,INDEX(res_Name,Tasks[[#This Row],[_Res4Row]]),TRIM(LEFT(Tasks[[#This Row],[_Res4Text]],FIND("[",Tasks[[#This Row],[_Res4Text]]&amp;"[")-1))))</f>
        <v/>
      </c>
      <c r="EI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8" s="43" t="n">
        <f aca="false">IF(OR(NOT(Tasks[[#This Row],[_IsLeaf]]=1),Tasks[[#This Row],[_Res4Row]]=0),0,N(Tasks[[#This Row],[_Days]])*HoursPerDay*IF(Tasks[[#This Row],[_Res4Units]]="",DefaultUnits,Tasks[[#This Row],[_Res4Units]]))</f>
        <v>0</v>
      </c>
      <c r="EK88" s="43" t="n">
        <f aca="false">IF(AND(AND(Tasks[[#This Row],[_IsLeaf]]=1,Tasks[[#This Row],[_LeafTotalWork]]&gt;0),Tasks[[#This Row],[_Res4Work]]&gt;0),Tasks[[#This Row],[_Res4Work]]/(Tasks[[#This Row],[_FinishWorkday]]-Tasks[[#This Row],[_StartWorkday]]+1),0)</f>
        <v>0</v>
      </c>
      <c r="EL88" s="43" t="n">
        <f aca="false">Tasks[[#This Row],[_Res4WorkPerWD]]*MAX(0,Tasks[[#This Row],[_StartWorkday]]-1)</f>
        <v>0</v>
      </c>
      <c r="EM88" s="43" t="n">
        <f aca="false">Tasks[[#This Row],[_Res4Work]]*Tasks[[#This Row],[_LeafProgress]]</f>
        <v>0</v>
      </c>
      <c r="EN88" s="43" t="n">
        <f aca="false">IF(ISNUMBER(Tasks[[#This Row],[% Complete]]),Tasks[[#This Row],[% Complete]],IF(Tasks[[#This Row],[Stage]]="",0,IFERROR(INDEX(stg_Pct,MATCH(Tasks[[#This Row],[Stage]],stg_Name,0)),0)))</f>
        <v>0</v>
      </c>
      <c r="EO88" s="43" t="n">
        <f aca="false">IF(NOT(Tasks[[#This Row],[_IsLeaf]]=1),0,IF(N(Tasks[[#This Row],[Actual Finish]])&gt;0,1,MIN(1,Tasks[[#This Row],[_Pct]])))</f>
        <v>0</v>
      </c>
      <c r="EP88" s="43" t="n">
        <f aca="false">IF(OR(NOT(Tasks[[#This Row],[_IsLeaf]]=1),Tasks[[#This Row],[_Res1Row]]=0),0,N(Tasks[[#This Row],[_Days]])*HoursPerDay*IF(Tasks[[#This Row],[_Units1]]="",DefaultUnits,Tasks[[#This Row],[_Units1]]))</f>
        <v>0</v>
      </c>
      <c r="EQ88" s="43" t="n">
        <f aca="false">Tasks[[#This Row],[_LeafWork]]+Tasks[[#This Row],[_Res2Work]]+Tasks[[#This Row],[_Res3Work]]+Tasks[[#This Row],[_Res4Work]]</f>
        <v>0</v>
      </c>
      <c r="ER8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8" s="43" t="n">
        <f aca="false">IF(NOT(Tasks[[#This Row],[_IsLeaf]]=1),0,MAX(_xlfn.MAXIFS(Tasks[_Row],Tasks[_Pred1UID],Tasks[[#This Row],[UID]]),_xlfn.MAXIFS(Tasks[_Row],Tasks[_Pred2UID],Tasks[[#This Row],[UID]]),_xlfn.MAXIFS(Tasks[_Row],Tasks[_Pred3UID],Tasks[[#This Row],[UID]]),_xlfn.MAXIFS(Tasks[_Row],Tasks[_Pred4UID],Tasks[[#This Row],[UID]])))</f>
        <v>0</v>
      </c>
      <c r="FA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8" s="91" t="str">
        <f aca="false">IF(NOT(Tasks[[#This Row],[_IsLeaf]]=1),"",IF(N(Tasks[[#This Row],[_Days]])&lt;=0,Tasks[[#This Row],[_LeafLateFinish]],WORKDAY.INTL(Tasks[[#This Row],[_LeafLateFinish]],-(Tasks[[#This Row],[_Days]]-1),WorkWeek,Holidays)))</f>
        <v/>
      </c>
      <c r="FD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8" s="90" t="b">
        <f aca="false">AND(Tasks[[#This Row],[_IsLeaf]]=1,Tasks[[#This Row],[_LeafProgress]]&lt;1,N(Tasks[[#This Row],[_LeafTotalSlack]])&lt;=CriticalSlackDays)</f>
        <v>0</v>
      </c>
      <c r="FF88" s="43" t="n">
        <f aca="false">IF(AND(Tasks[[#This Row],[_IsLeaf]]=1,Tasks[[#This Row],[_ConstraintCode]]=1,Tasks[[#This Row],[Mode]]&lt;&gt;"Manual",N(Tasks[[#This Row],[Actual Start]])=0),MAX(0,N(Tasks[[#This Row],[Free Slack]])),0)</f>
        <v>0</v>
      </c>
      <c r="FG88" s="91" t="str">
        <f aca="false">IF(NOT(Tasks[[#This Row],[_IsLeaf]]=1),"",IF(Tasks[[#This Row],[_AlapShift]]=0,Tasks[[#This Row],[_LeafCalcStart]],WORKDAY.INTL(Tasks[[#This Row],[_LeafCalcStart]],Tasks[[#This Row],[_AlapShift]],WorkWeek,Holidays)))</f>
        <v/>
      </c>
      <c r="FH88" s="91" t="str">
        <f aca="false">IF(NOT(Tasks[[#This Row],[_IsLeaf]]=1),"",IF(Tasks[[#This Row],[_AlapShift]]=0,Tasks[[#This Row],[_LeafCalcFinish]],WORKDAY.INTL(Tasks[[#This Row],[_LeafCalcFinish]],Tasks[[#This Row],[_AlapShift]],WorkWeek,Holidays)))</f>
        <v/>
      </c>
      <c r="FI88" s="91" t="str">
        <f aca="false">IF(NOT(Tasks[[#This Row],[_IsLeaf]]=1),"",IF(Tasks[[#This Row],[_AlapShift]]=0,Tasks[[#This Row],[_LeafFcstStart]],WORKDAY.INTL(Tasks[[#This Row],[_LeafFcstStart]],Tasks[[#This Row],[_AlapShift]],WorkWeek,Holidays)))</f>
        <v/>
      </c>
      <c r="FJ88" s="91" t="str">
        <f aca="false">IF(NOT(Tasks[[#This Row],[_IsLeaf]]=1),"",IF(Tasks[[#This Row],[_AlapShift]]=0,Tasks[[#This Row],[_LeafFcstFinish]],WORKDAY.INTL(Tasks[[#This Row],[_LeafFcstFinish]],Tasks[[#This Row],[_AlapShift]],WorkWeek,Holidays)))</f>
        <v/>
      </c>
      <c r="FK88" s="91" t="str">
        <f aca="false">IF(Tasks[[#This Row],[Task Name]]="","",IF(Tasks[[#This Row],[_IsSummary]],MIN(INDEX(Tasks[_ShownCalcStart],Tasks[[#This Row],[_Row]]+1):INDEX(Tasks[_ShownCalcStart],Tasks[[#This Row],[_Row]]+Tasks[[#This Row],[_Descendants]])),Tasks[[#This Row],[_ShownCalcStart]]))</f>
        <v/>
      </c>
      <c r="FL88" s="91" t="str">
        <f aca="false">IF(Tasks[[#This Row],[Task Name]]="","",IF(Tasks[[#This Row],[_IsSummary]],MAX(INDEX(Tasks[_ShownCalcFinish],Tasks[[#This Row],[_Row]]+1):INDEX(Tasks[_ShownCalcFinish],Tasks[[#This Row],[_Row]]+Tasks[[#This Row],[_Descendants]])),Tasks[[#This Row],[_ShownCalcFinish]]))</f>
        <v/>
      </c>
      <c r="FM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8" s="43" t="n">
        <f aca="false">IF(AND(Tasks[[#This Row],[_IsLeaf]]=1,Tasks[[#This Row],[_LeafTotalWork]]&gt;0),NETWORKDAYS.INTL(ProjectStart,Tasks[[#This Row],[_ShownFcstStart]],WorkWeek,Holidays),0)</f>
        <v>0</v>
      </c>
      <c r="FZ88" s="43" t="n">
        <f aca="false">IF(AND(Tasks[[#This Row],[_IsLeaf]]=1,Tasks[[#This Row],[_LeafTotalWork]]&gt;0),MAX(Tasks[[#This Row],[_StartWorkday]],NETWORKDAYS.INTL(ProjectStart,Tasks[[#This Row],[_ShownFcstFinish]],WorkWeek,Holidays)),0)</f>
        <v>0</v>
      </c>
      <c r="GA88" s="43" t="n">
        <f aca="false">IF(AND(Tasks[[#This Row],[_IsLeaf]]=1,Tasks[[#This Row],[_LeafTotalWork]]&gt;0),Tasks[[#This Row],[_LeafWork]]/(Tasks[[#This Row],[_FinishWorkday]]-Tasks[[#This Row],[_StartWorkday]]+1),0)</f>
        <v>0</v>
      </c>
      <c r="GB88" s="43" t="n">
        <f aca="false">Tasks[[#This Row],[_WorkPerWorkday]]*(Tasks[[#This Row],[_StartWorkday]]-1)</f>
        <v>-0</v>
      </c>
      <c r="GC88" s="43" t="n">
        <f aca="false">IF(Tasks[[#This Row],[_IsLeaf]]=1,MAX(N(Tasks[[#This Row],[_Days]]),0.1),0)</f>
        <v>0</v>
      </c>
      <c r="GD88" s="43" t="n">
        <f aca="false">Tasks[[#This Row],[_WeightDur]]*Tasks[[#This Row],[_LeafProgress]]</f>
        <v>0</v>
      </c>
      <c r="GE88" s="43" t="n">
        <f aca="false">Tasks[[#This Row],[_WeightDur]]*Tasks[[#This Row],[_PlannedPct]]</f>
        <v>0</v>
      </c>
      <c r="GF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8" s="43" t="str">
        <f aca="false">IF(AND(Tasks[[#This Row],[_IsLeaf]]=1,N(Tasks[[#This Row],[_Days]])=0,Tasks[[#This Row],[_LeafProgress]]&lt;1),Tasks[[#This Row],[_ShownFcstFinish]]+Tasks[[#This Row],[_Row]]/100000,"")</f>
        <v/>
      </c>
      <c r="GH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8" s="43" t="str">
        <f aca="false">IF(Tasks[[#This Row],[Task Name]]="","",LEFT(Tasks[[#This Row],[WBS]],FIND(".",Tasks[[#This Row],[WBS]]&amp;".")-1))</f>
        <v/>
      </c>
      <c r="GJ88" s="43" t="str">
        <f aca="false">IF(AND(Tasks[[#This Row],[Task Name]]&lt;&gt;"",Tasks[[#This Row],[_Level]]=1),Tasks[[#This Row],[_Row]],"")</f>
        <v/>
      </c>
      <c r="GK88" s="43" t="str">
        <f aca="false">IF(AND(Tasks[[#This Row],[_IsLeaf]]=1,N(Tasks[[#This Row],[_Days]])=0),Tasks[[#This Row],[Planned Finish]]+Tasks[[#This Row],[_Row]]/100000,"")</f>
        <v/>
      </c>
      <c r="GL88" s="43" t="str">
        <f aca="false">IF(AND(Tasks[[#This Row],[_IsLeaf]]=1,Tasks[[#This Row],[_LeafProgress]]&lt;1,OR(N(Tasks[[#This Row],[Finish Var]])&gt;0,Tasks[[#This Row],[Status]]="Late Start")),MAX(0,Tasks[[#This Row],[Finish Var]])+1-Tasks[[#This Row],[_Row]]/1000000,"")</f>
        <v/>
      </c>
      <c r="GM88" s="43" t="str">
        <f aca="false">IF(AND(Tasks[[#This Row],[_IsLeaf]]=1,N(Tasks[[#This Row],[Actual Start]])=0,Tasks[[#This Row],[_ShownFcstStart]]&gt;=StatusDate,Tasks[[#This Row],[_ShownFcstStart]]&lt;=LookaheadEnd),Tasks[[#This Row],[_ShownFcstStart]]+Tasks[[#This Row],[_Row]]/100000,"")</f>
        <v/>
      </c>
      <c r="GN88" s="43" t="str">
        <f aca="false">IF(AND(Tasks[[#This Row],[_IsLeaf]]=1,Tasks[[#This Row],[_LeafProgress]]&lt;1,Tasks[[#This Row],[_ShownFcstFinish]]&gt;=StatusDate,Tasks[[#This Row],[_ShownFcstFinish]]&lt;=LookaheadEnd),Tasks[[#This Row],[_ShownFcstFinish]]+Tasks[[#This Row],[_Row]]/100000,"")</f>
        <v/>
      </c>
      <c r="GO88" s="43" t="str">
        <f aca="false">IF(Tasks[[#This Row],[_LeafCritical]],Tasks[[#This Row],[_ShownFcstStart]]+Tasks[[#This Row],[_Row]]/100000,"")</f>
        <v/>
      </c>
      <c r="GP88" s="43" t="n">
        <f aca="false">Tasks[[#This Row],[_LeafWork]]*Tasks[[#This Row],[_LeafProgress]]</f>
        <v>0</v>
      </c>
      <c r="GQ88" s="91" t="str">
        <f aca="false">IF(AND(Tasks[[#This Row],[_IsLeaf]]=1,Tasks[[#This Row],[_LeafProgress]]&gt;=1),IF(N(Tasks[[#This Row],[Actual Finish]])&gt;0,Tasks[[#This Row],[Actual Finish]],Tasks[[#This Row],[_ShownFcstFinish]]),"")</f>
        <v/>
      </c>
      <c r="GR88" s="43" t="n">
        <f aca="false">IF(Tasks[[#This Row],[_IsLeaf]]=1,N(Tasks[[#This Row],[Story Points]]),0)</f>
        <v>0</v>
      </c>
      <c r="GS88" s="43" t="str">
        <f aca="false">""</f>
        <v/>
      </c>
      <c r="GT88" s="90" t="b">
        <f aca="false">IF(Tasks[[#This Row],[Task Name]]="",FALSE(),AND(Tasks[[#This Row],[_IsLeaf]]=1,N(Tasks[[#This Row],[_Days]])=0))</f>
        <v>0</v>
      </c>
      <c r="GU88" s="91" t="n">
        <f aca="false">IF(Tasks[[#This Row],[Task Name]]="",0,IF(AND(Tasks[[#This Row],[_IsLeaf]]=1,NOT(Tasks[[#This Row],[_IsMilestone]]),N(Tasks[[#This Row],[Progress]])&gt;0),Tasks[[#This Row],[Start]],0))</f>
        <v>0</v>
      </c>
      <c r="GV88" s="91" t="n">
        <f aca="false">IF(Tasks[[#This Row],[_DoneFrom]]=0,0,IF(Tasks[[#This Row],[Progress]]&gt;=1,Tasks[[#This Row],[Finish]],MAX(Tasks[[#This Row],[_DoneFrom]],Tasks[[#This Row],[Start]]+ROUND((Tasks[[#This Row],[Finish]]-Tasks[[#This Row],[Start]]+1)*Tasks[[#This Row],[Progress]],0)-1)))</f>
        <v>0</v>
      </c>
      <c r="GW88" s="91" t="n">
        <f aca="false">IF(Tasks[[#This Row],[Task Name]]="",0,IF(OR(NOT(Tasks[[#This Row],[_IsLeaf]]=1),Tasks[[#This Row],[_IsMilestone]],N(Tasks[[#This Row],[Progress]])&gt;=1),0,IF(Tasks[[#This Row],[_DoneTo]]&gt;0,Tasks[[#This Row],[_DoneTo]]+1,Tasks[[#This Row],[Start]])))</f>
        <v>0</v>
      </c>
      <c r="GX88" s="91" t="n">
        <f aca="false">IF(Tasks[[#This Row],[_RemFrom]]=0,0,Tasks[[#This Row],[Finish]])</f>
        <v>0</v>
      </c>
      <c r="GY88" s="90" t="b">
        <f aca="false">IF(Tasks[[#This Row],[Task Name]]="",FALSE(),OR(NOT(BaselineSet),N(Tasks[[#This Row],[Baseline Start]])&gt;0))</f>
        <v>0</v>
      </c>
      <c r="GZ8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8" s="92" t="str">
        <f aca="false">IF(Tasks[[#This Row],[_IsLeaf]]=1,Tasks[[#This Row],[_Row]],"")</f>
        <v/>
      </c>
      <c r="HD88" s="92" t="str">
        <f aca="false">IFERROR(INDEX(Tasks[UID],SMALL(Tasks[_PickKey],Tasks[[#This Row],[_Row]]))&amp;" "&amp;INDEX(Tasks[Task Name],SMALL(Tasks[_PickKey],Tasks[[#This Row],[_Row]])),"")</f>
        <v/>
      </c>
      <c r="HE88" s="43" t="str">
        <f aca="false">IF(Tasks[[#This Row],[Task Name]]="","",IF(Tasks[[#This Row],[_IsSummary]],NETWORKDAYS.INTL(Tasks[[#This Row],[Start]],Tasks[[#This Row],[Finish]],WorkWeek,Holidays),N(Tasks[[#This Row],[_Days]])))</f>
        <v/>
      </c>
      <c r="HF88" s="43" t="n">
        <f aca="false">IF(Tasks[[#This Row],[Expected]]="",0,((Tasks[[#This Row],[Pessimistic]]-Tasks[[#This Row],[Optimistic]])/6)^2)</f>
        <v>0</v>
      </c>
      <c r="HG88" s="43" t="n">
        <f aca="false">IF(Tasks[[#This Row],[Expected]]="",0,Tasks[[#This Row],[Expected]]-N(Tasks[[#This Row],[_Days]]))</f>
        <v>0</v>
      </c>
    </row>
    <row r="89" customFormat="false" ht="15" hidden="false" customHeight="false" outlineLevel="0" collapsed="false">
      <c r="A89" s="21" t="str">
        <f aca="false">IF(Tasks[[#This Row],[Task Name]]="","",COUNTA(Tasks[[#Headers],[Task Name]]:Tasks[[#This Row],[Task Name]])-1)</f>
        <v/>
      </c>
      <c r="B89" s="22" t="n">
        <v>97</v>
      </c>
      <c r="C89" s="22"/>
      <c r="D89" s="23"/>
      <c r="E89" s="22"/>
      <c r="F89" s="23"/>
      <c r="G89" s="22"/>
      <c r="H89" s="22"/>
      <c r="I89" s="23"/>
      <c r="J89" s="22"/>
      <c r="K89" s="22"/>
      <c r="L89" s="23"/>
      <c r="M89" s="22"/>
      <c r="N89" s="22"/>
      <c r="O89" s="23"/>
      <c r="P89" s="22"/>
      <c r="Q89" s="22"/>
      <c r="R89" s="23"/>
      <c r="S89" s="23"/>
      <c r="T89" s="84"/>
      <c r="U89" s="23"/>
      <c r="V89" s="84"/>
      <c r="W89" s="23"/>
      <c r="X89" s="84"/>
      <c r="Y89" s="23"/>
      <c r="Z89" s="84"/>
      <c r="AA89" s="23"/>
      <c r="AB89" s="23"/>
      <c r="AC89" s="7"/>
      <c r="AD89" s="7"/>
      <c r="AE89" s="63" t="str">
        <f aca="false">IF(Tasks[[#This Row],[Task Name]]="","",IF(Tasks[[#This Row],[_IsSummary]],MIN(INDEX(Tasks[_ShownFcstStart],Tasks[[#This Row],[_Row]]+1):INDEX(Tasks[_ShownFcstStart],Tasks[[#This Row],[_Row]]+Tasks[[#This Row],[_Descendants]])),Tasks[[#This Row],[_ShownFcstStart]]))</f>
        <v/>
      </c>
      <c r="AF89" s="63" t="str">
        <f aca="false">IF(Tasks[[#This Row],[Task Name]]="","",IF(Tasks[[#This Row],[_IsSummary]],MAX(INDEX(Tasks[_ShownFcstFinish],Tasks[[#This Row],[_Row]]+1):INDEX(Tasks[_ShownFcstFinish],Tasks[[#This Row],[_Row]]+Tasks[[#This Row],[_Descendants]])),Tasks[[#This Row],[_ShownFcstFinish]]))</f>
        <v/>
      </c>
      <c r="AG89" s="21" t="str">
        <f aca="false">""</f>
        <v/>
      </c>
      <c r="AH89" s="23"/>
      <c r="AI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9" s="7"/>
      <c r="AK89" s="22"/>
      <c r="AL89" s="23"/>
      <c r="AM89" s="7"/>
      <c r="AN89" s="47" t="str">
        <f aca="false">IF(Tasks[[#This Row],[Task Name]]="","",IF(Tasks[[#This Row],[Finish]]&gt;=Tasks[[#This Row],[Planned Finish]],NETWORKDAYS.INTL(Tasks[[#This Row],[Planned Finish]],Tasks[[#This Row],[Finish]],WorkWeek,Holidays)-1,1-NETWORKDAYS.INTL(Tasks[[#This Row],[Finish]],Tasks[[#This Row],[Planned Finish]],WorkWeek,Holidays)))</f>
        <v/>
      </c>
      <c r="AO89" s="21" t="str">
        <f aca="false">IF(Tasks[[#This Row],[Task Name]]="","",IF(Tasks[[#This Row],[Progress]]&gt;=1,"Complete",IF(OR(N(Tasks[[#This Row],[Actual Start]])&gt;0,Tasks[[#This Row],[Progress]]&gt;0),IF(Tasks[[#This Row],[Finish Var]]&gt;0,"Behind","In Progress"),IF(Tasks[[#This Row],[Planned Start]]&lt;StatusDate,"Late Start","Not Started"))))</f>
        <v/>
      </c>
      <c r="AP89" s="21" t="str">
        <f aca="false">IF(Tasks[[#This Row],[Task Name]]="","",IF(IF(Tasks[[#This Row],[_IsSummary]],COUNTIF(INDEX(Tasks[_LeafCritical],Tasks[[#This Row],[_Row]]+1):INDEX(Tasks[_LeafCritical],Tasks[[#This Row],[_Row]]+Tasks[[#This Row],[_Descendants]]),TRUE())&gt;0,Tasks[[#This Row],[_LeafCritical]]),"Yes",""))</f>
        <v/>
      </c>
      <c r="AQ89" s="63" t="str">
        <f aca="false">IF(Tasks[[#This Row],[Task Name]]="","",IF(N(Tasks[[#This Row],[Baseline Start]])&gt;0,Tasks[[#This Row],[Baseline Start]],Tasks[[#This Row],[_CalcStart]]))</f>
        <v/>
      </c>
      <c r="AR89" s="63" t="str">
        <f aca="false">IF(Tasks[[#This Row],[Task Name]]="","",IF(N(Tasks[[#This Row],[Baseline Finish]])&gt;0,Tasks[[#This Row],[Baseline Finish]],Tasks[[#This Row],[_CalcFinish]]))</f>
        <v/>
      </c>
      <c r="AS89" s="47" t="str">
        <f aca="false">IF(Tasks[[#This Row],[Task Name]]="","",IF(Tasks[[#This Row],[Start]]&gt;=Tasks[[#This Row],[Planned Start]],NETWORKDAYS.INTL(Tasks[[#This Row],[Planned Start]],Tasks[[#This Row],[Start]],WorkWeek,Holidays)-1,1-NETWORKDAYS.INTL(Tasks[[#This Row],[Start]],Tasks[[#This Row],[Planned Start]],WorkWeek,Holidays)))</f>
        <v/>
      </c>
      <c r="AT89" s="63" t="str">
        <f aca="false">IF(Tasks[[#This Row],[Task Name]]="","",IF(Tasks[[#This Row],[_IsSummary]],MIN(INDEX(Tasks[_LeafLateStart],Tasks[[#This Row],[_Row]]+1):INDEX(Tasks[_LeafLateStart],Tasks[[#This Row],[_Row]]+Tasks[[#This Row],[_Descendants]])),Tasks[[#This Row],[_LeafLateStart]]))</f>
        <v/>
      </c>
      <c r="AU89" s="63" t="str">
        <f aca="false">IF(Tasks[[#This Row],[Task Name]]="","",IF(Tasks[[#This Row],[_IsSummary]],MAX(INDEX(Tasks[_LeafLateFinish],Tasks[[#This Row],[_Row]]+1):INDEX(Tasks[_LeafLateFinish],Tasks[[#This Row],[_Row]]+Tasks[[#This Row],[_Descendants]])),Tasks[[#This Row],[_LeafLateFinish]]))</f>
        <v/>
      </c>
      <c r="AV89" s="47" t="str">
        <f aca="false">IF(Tasks[[#This Row],[Task Name]]="","",IF(Tasks[[#This Row],[_IsSummary]],MIN(INDEX(Tasks[_LeafTotalSlack],Tasks[[#This Row],[_Row]]+1):INDEX(Tasks[_LeafTotalSlack],Tasks[[#This Row],[_Row]]+Tasks[[#This Row],[_Descendants]])),Tasks[[#This Row],[_LeafTotalSlack]]))</f>
        <v/>
      </c>
      <c r="AW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5"/>
      <c r="BA8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t="str">
        <f aca="false">IF(Tasks[[#This Row],[Task Name]]="","",IF(Tasks[[#This Row],[_Level]]&lt;=OutlineShowLevel,"Yes","No"))</f>
        <v/>
      </c>
      <c r="BE89" s="86" t="str">
        <f aca="false">IF(Tasks[[#This Row],[Task Name]]="","",IF(Tasks[[#This Row],[_IsSummary]],SUM(INDEX(Tasks[_LeafTotalWork],Tasks[[#This Row],[_Row]]+1):INDEX(Tasks[_LeafTotalWork],Tasks[[#This Row],[_Row]]+Tasks[[#This Row],[_Descendants]])),Tasks[[#This Row],[_LeafTotalWork]]))</f>
        <v/>
      </c>
      <c r="BF89" s="23"/>
      <c r="BG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t="str">
        <f aca="false">""</f>
        <v/>
      </c>
      <c r="BI89" s="87"/>
      <c r="BJ89" s="22"/>
      <c r="BK89" s="47" t="str">
        <f aca="false">IF(OR(Tasks[[#This Row],[Task Name]]="",Tasks[[#This Row],[Baseline Duration]]=""),"",Tasks[[#This Row],[_SpanDays]]-N(Tasks[[#This Row],[Baseline Duration]]))</f>
        <v/>
      </c>
      <c r="BL89" s="86" t="str">
        <f aca="false">IF(OR(Tasks[[#This Row],[Task Name]]="",Tasks[[#This Row],[Baseline Work]]=""),"",Tasks[[#This Row],[Work]]-N(Tasks[[#This Row],[Baseline Work]]))</f>
        <v/>
      </c>
      <c r="BM89" s="63" t="str">
        <f aca="false">IF(Tasks[[#This Row],[Task Name]]="","",IF(OR(TakeBaseline="Yes",N(Tasks[[#This Row],[Baseline Start]])=0),Tasks[[#This Row],[Start]],Tasks[[#This Row],[Baseline Start]]))</f>
        <v/>
      </c>
      <c r="BN89" s="63" t="str">
        <f aca="false">IF(Tasks[[#This Row],[Task Name]]="","",IF(OR(TakeBaseline="Yes",N(Tasks[[#This Row],[Baseline Finish]])=0),Tasks[[#This Row],[Finish]],Tasks[[#This Row],[Baseline Finish]]))</f>
        <v/>
      </c>
      <c r="BO89" s="21" t="str">
        <f aca="false">IF(Tasks[[#This Row],[Task Name]]="","",IF(OR(TakeBaseline="Yes",N(Tasks[[#This Row],[Baseline Duration]])=0),Tasks[[#This Row],[_SpanDays]],Tasks[[#This Row],[Baseline Duration]]))</f>
        <v/>
      </c>
      <c r="BP89" s="86" t="str">
        <f aca="false">IF(Tasks[[#This Row],[Task Name]]="","",IF(OR(TakeBaseline="Yes",N(Tasks[[#This Row],[Baseline Work]])=0),Tasks[[#This Row],[Work]],Tasks[[#This Row],[Baseline Work]]))</f>
        <v/>
      </c>
      <c r="BQ89" s="7"/>
      <c r="BR89" s="7"/>
      <c r="BS89" s="22"/>
      <c r="BT89" s="88"/>
      <c r="BU89" s="23"/>
      <c r="BV89" s="23"/>
      <c r="BW89" s="23"/>
      <c r="BX89" s="89" t="str">
        <f aca="false">IF(AND(Tasks[[#This Row],[_IsLeaf]]=1,ISNUMBER(Tasks[[#This Row],[Optimistic]]),ISNUMBER(Tasks[[#This Row],[Pessimistic]])),ROUND((Tasks[[#This Row],[Optimistic]]+4*N(Tasks[[#This Row],[_Days]])+Tasks[[#This Row],[Pessimistic]])/6,1),"")</f>
        <v/>
      </c>
      <c r="BY89" s="87"/>
      <c r="BZ89" s="87"/>
      <c r="CA89" s="22"/>
      <c r="CB89" s="43" t="str">
        <f aca="false">IF(Tasks[[#This Row],[Task Name]]="","",MAX(1,N(Tasks[[#This Row],[Level]])))</f>
        <v/>
      </c>
      <c r="CC89" s="43" t="n">
        <f aca="false">ROW()-ROW(Tasks[[#Headers],[ID]])</f>
        <v>84</v>
      </c>
      <c r="CD89" s="43" t="n">
        <f aca="false">IF(OR(Tasks[[#This Row],[Task Name]]="",Tasks[[#This Row],[_Level]]&lt;=1),0,IFERROR(LOOKUP(2,1/(Tasks[[#Headers],[_Level]]:Tasks[[#This Row],[_Level]]=Tasks[[#This Row],[_Level]]-1),ROW(Tasks[[#Headers],[_Level]]:Tasks[[#This Row],[_Level]])),0))</f>
        <v>0</v>
      </c>
      <c r="CE89" s="43" t="n">
        <f aca="false">IFERROR(N(INDEX(Tasks[_Level],Tasks[[#This Row],[_Row]]+1)),0)</f>
        <v>0</v>
      </c>
      <c r="CF89" s="90" t="b">
        <f aca="false">AND(Tasks[[#This Row],[Task Name]]&lt;&gt;"",Tasks[[#This Row],[_NextLevel]]&gt;Tasks[[#This Row],[_Level]])</f>
        <v>0</v>
      </c>
      <c r="CG89" s="43" t="n">
        <f aca="false">IF(Tasks[[#This Row],[_IsSummary]],COUNTIF(Tasks[WBS],Tasks[[#This Row],[WBS]]&amp;".*"),0)</f>
        <v>0</v>
      </c>
      <c r="CH89" s="43" t="n">
        <f aca="false">IF(AND(Tasks[[#This Row],[Task Name]]&lt;&gt;"",NOT(Tasks[[#This Row],[_IsSummary]])),1,0)</f>
        <v>0</v>
      </c>
      <c r="CI89" s="43" t="n">
        <f aca="false">IF(N(Tasks[[#This Row],[_Pred1UID]])=0,0,IFERROR(MATCH(Tasks[[#This Row],[_Pred1UID]],Tasks[UID],0),-1))</f>
        <v>0</v>
      </c>
      <c r="CJ89" s="43" t="n">
        <f aca="false">IF(N(Tasks[[#This Row],[_Pred2UID]])=0,0,IFERROR(MATCH(Tasks[[#This Row],[_Pred2UID]],Tasks[UID],0),-1))</f>
        <v>0</v>
      </c>
      <c r="CK89" s="43" t="n">
        <f aca="false">IF(N(Tasks[[#This Row],[_Pred3UID]])=0,0,IFERROR(MATCH(Tasks[[#This Row],[_Pred3UID]],Tasks[UID],0),-1))</f>
        <v>0</v>
      </c>
      <c r="CL89" s="43" t="n">
        <f aca="false">IF(N(Tasks[[#This Row],[_Pred4UID]])=0,0,IFERROR(MATCH(Tasks[[#This Row],[_Pred4UID]],Tasks[UID],0),-1))</f>
        <v>0</v>
      </c>
      <c r="CM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9" s="91" t="n">
        <f aca="false">IF(OR(Tasks[[#This Row],[_ConstraintCode]]=2,Tasks[[#This Row],[_ConstraintCode]]=3,Tasks[[#This Row],[_ConstraintCode]]=4,Tasks[[#This Row],[_ConstraintCode]]=6),Tasks[[#This Row],[_ConstraintStart]],0)</f>
        <v>0</v>
      </c>
      <c r="CP89" s="91" t="n">
        <f aca="false">IF(OR(Tasks[[#This Row],[_ConstraintCode]]=2,Tasks[[#This Row],[_ConstraintCode]]=3,Tasks[[#This Row],[_ConstraintCode]]=5,Tasks[[#This Row],[_ConstraintCode]]=7),Tasks[[#This Row],[_ConstraintStart]],2958465)</f>
        <v>2958465</v>
      </c>
      <c r="CQ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9" s="91" t="str">
        <f aca="false">IF(NOT(Tasks[[#This Row],[_IsLeaf]]=1),"",IF(N(Tasks[[#This Row],[_Days]])&lt;=0,Tasks[[#This Row],[_LeafCalcStart]],WORKDAY.INTL(Tasks[[#This Row],[_LeafCalcStart]],Tasks[[#This Row],[_Days]]-1,WorkWeek,Holidays)))</f>
        <v/>
      </c>
      <c r="CS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9" s="43" t="str">
        <f aca="false">IF(Tasks[[#This Row],[_Predecessors]]="","",TRIM(MID(SUBSTITUTE(SUBSTITUTE(SUBSTITUTE(UPPER(Tasks[[#This Row],[_Predecessors]]),";",",")," ",""),",",REPT(" ",99)),1,99)))</f>
        <v/>
      </c>
      <c r="CV89" s="43" t="str">
        <f aca="false">IF(Tasks[[#This Row],[_Pred1Text]]="","",IFERROR(VALUE(LEFT(Tasks[[#This Row],[_Pred1Text]],MIN(FIND("F",Tasks[[#This Row],[_Pred1Text]]&amp;"F"),FIND("S",Tasks[[#This Row],[_Pred1Text]]&amp;"S"),FIND("+",Tasks[[#This Row],[_Pred1Text]]&amp;"+"),FIND("-",Tasks[[#This Row],[_Pred1Text]]&amp;"-"))-1)),""))</f>
        <v/>
      </c>
      <c r="CW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9" s="43" t="str">
        <f aca="false">IF(Tasks[[#This Row],[_Pred1Text]]="","",TRIM(MID(SUBSTITUTE(SUBSTITUTE(SUBSTITUTE(UPPER(Tasks[[#This Row],[_Predecessors]]),";",",")," ",""),",",REPT(" ",99)),100,99)))</f>
        <v/>
      </c>
      <c r="CZ89" s="43" t="str">
        <f aca="false">IF(Tasks[[#This Row],[_Pred2Text]]="","",IFERROR(VALUE(LEFT(Tasks[[#This Row],[_Pred2Text]],MIN(FIND("F",Tasks[[#This Row],[_Pred2Text]]&amp;"F"),FIND("S",Tasks[[#This Row],[_Pred2Text]]&amp;"S"),FIND("+",Tasks[[#This Row],[_Pred2Text]]&amp;"+"),FIND("-",Tasks[[#This Row],[_Pred2Text]]&amp;"-"))-1)),""))</f>
        <v/>
      </c>
      <c r="DA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9" s="43" t="str">
        <f aca="false">IF(Tasks[[#This Row],[_Pred2Text]]="","",TRIM(MID(SUBSTITUTE(SUBSTITUTE(SUBSTITUTE(UPPER(Tasks[[#This Row],[_Predecessors]]),";",",")," ",""),",",REPT(" ",99)),199,99)))</f>
        <v/>
      </c>
      <c r="DD89" s="43" t="str">
        <f aca="false">IF(Tasks[[#This Row],[_Pred3Text]]="","",IFERROR(VALUE(LEFT(Tasks[[#This Row],[_Pred3Text]],MIN(FIND("F",Tasks[[#This Row],[_Pred3Text]]&amp;"F"),FIND("S",Tasks[[#This Row],[_Pred3Text]]&amp;"S"),FIND("+",Tasks[[#This Row],[_Pred3Text]]&amp;"+"),FIND("-",Tasks[[#This Row],[_Pred3Text]]&amp;"-"))-1)),""))</f>
        <v/>
      </c>
      <c r="DE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9" s="43" t="str">
        <f aca="false">IF(Tasks[[#This Row],[_Pred3Text]]="","",TRIM(MID(SUBSTITUTE(SUBSTITUTE(SUBSTITUTE(UPPER(Tasks[[#This Row],[_Predecessors]]),";",",")," ",""),",",REPT(" ",99)),298,99)))</f>
        <v/>
      </c>
      <c r="DH89" s="43" t="str">
        <f aca="false">IF(Tasks[[#This Row],[_Pred4Text]]="","",IFERROR(VALUE(LEFT(Tasks[[#This Row],[_Pred4Text]],MIN(FIND("F",Tasks[[#This Row],[_Pred4Text]]&amp;"F"),FIND("S",Tasks[[#This Row],[_Pred4Text]]&amp;"S"),FIND("+",Tasks[[#This Row],[_Pred4Text]]&amp;"+"),FIND("-",Tasks[[#This Row],[_Pred4Text]]&amp;"-"))-1)),""))</f>
        <v/>
      </c>
      <c r="DI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9" s="43" t="str">
        <f aca="false">IF(OR(Tasks[[#This Row],[Task Name]]="",Tasks[[#This Row],[_Resources]]=""),"",TRIM(MID(SUBSTITUTE(Tasks[[#This Row],[_Resources]],",",REPT(" ",99)),1,99)))</f>
        <v/>
      </c>
      <c r="DL89" s="43" t="str">
        <f aca="false">IF(Tasks[[#This Row],[_Res1Text]]="","",TRIM(MID(SUBSTITUTE(Tasks[[#This Row],[_Resources]],",",REPT(" ",99)),100,99)))</f>
        <v/>
      </c>
      <c r="DM89" s="43" t="str">
        <f aca="false">IF(Tasks[[#This Row],[_Res2Text]]="","",TRIM(MID(SUBSTITUTE(Tasks[[#This Row],[_Resources]],",",REPT(" ",99)),199,99)))</f>
        <v/>
      </c>
      <c r="DN89" s="43" t="str">
        <f aca="false">IF(Tasks[[#This Row],[_Res3Text]]="","",TRIM(MID(SUBSTITUTE(Tasks[[#This Row],[_Resources]],",",REPT(" ",99)),298,99)))</f>
        <v/>
      </c>
      <c r="DO89" s="43" t="n">
        <f aca="false">IF(Tasks[[#This Row],[_Res1Text]]="",0,IFERROR(MATCH(TRIM(LEFT(Tasks[[#This Row],[_Res1Text]],FIND("[",Tasks[[#This Row],[_Res1Text]]&amp;"[")-1)),res_Name,0),IFERROR(MATCH(TRIM(LEFT(Tasks[[#This Row],[_Res1Text]],FIND("[",Tasks[[#This Row],[_Res1Text]]&amp;"[")-1)),res_Initials,0),0)))</f>
        <v>0</v>
      </c>
      <c r="DP89" s="43" t="n">
        <f aca="false">IF(Tasks[[#This Row],[_Res2Text]]="",0,IFERROR(MATCH(TRIM(LEFT(Tasks[[#This Row],[_Res2Text]],FIND("[",Tasks[[#This Row],[_Res2Text]]&amp;"[")-1)),res_Name,0),IFERROR(MATCH(TRIM(LEFT(Tasks[[#This Row],[_Res2Text]],FIND("[",Tasks[[#This Row],[_Res2Text]]&amp;"[")-1)),res_Initials,0),0)))</f>
        <v>0</v>
      </c>
      <c r="DQ89" s="43" t="n">
        <f aca="false">IF(Tasks[[#This Row],[_Res3Text]]="",0,IFERROR(MATCH(TRIM(LEFT(Tasks[[#This Row],[_Res3Text]],FIND("[",Tasks[[#This Row],[_Res3Text]]&amp;"[")-1)),res_Name,0),IFERROR(MATCH(TRIM(LEFT(Tasks[[#This Row],[_Res3Text]],FIND("[",Tasks[[#This Row],[_Res3Text]]&amp;"[")-1)),res_Initials,0),0)))</f>
        <v>0</v>
      </c>
      <c r="DR89" s="43" t="n">
        <f aca="false">IF(Tasks[[#This Row],[_Res4Text]]="",0,IFERROR(MATCH(TRIM(LEFT(Tasks[[#This Row],[_Res4Text]],FIND("[",Tasks[[#This Row],[_Res4Text]]&amp;"[")-1)),res_Name,0),IFERROR(MATCH(TRIM(LEFT(Tasks[[#This Row],[_Res4Text]],FIND("[",Tasks[[#This Row],[_Res4Text]]&amp;"[")-1)),res_Initials,0),0)))</f>
        <v>0</v>
      </c>
      <c r="DS89" s="43" t="str">
        <f aca="false">IF(Tasks[[#This Row],[_Res1Text]]="","",IF(Tasks[[#This Row],[_Res1Row]]&gt;0,INDEX(res_Name,Tasks[[#This Row],[_Res1Row]]),TRIM(LEFT(Tasks[[#This Row],[_Res1Text]],FIND("[",Tasks[[#This Row],[_Res1Text]]&amp;"[")-1))))</f>
        <v/>
      </c>
      <c r="DT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9" s="43" t="n">
        <f aca="false">IF(NOT(Tasks[[#This Row],[_IsLeaf]]=1),0,(Tasks[[#This Row],[_Resource1]]&lt;&gt;"")+(Tasks[[#This Row],[_Res2]]&lt;&gt;"")+(Tasks[[#This Row],[_Res3]]&lt;&gt;"")+(Tasks[[#This Row],[_Res4]]&lt;&gt;""))</f>
        <v>0</v>
      </c>
      <c r="DV89" s="43" t="str">
        <f aca="false">IF(Tasks[[#This Row],[_Res2Text]]="","",IF(Tasks[[#This Row],[_Res2Row]]&gt;0,INDEX(res_Name,Tasks[[#This Row],[_Res2Row]]),TRIM(LEFT(Tasks[[#This Row],[_Res2Text]],FIND("[",Tasks[[#This Row],[_Res2Text]]&amp;"[")-1))))</f>
        <v/>
      </c>
      <c r="DW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9" s="43" t="n">
        <f aca="false">IF(OR(NOT(Tasks[[#This Row],[_IsLeaf]]=1),Tasks[[#This Row],[_Res2Row]]=0),0,N(Tasks[[#This Row],[_Days]])*HoursPerDay*IF(Tasks[[#This Row],[_Res2Units]]="",DefaultUnits,Tasks[[#This Row],[_Res2Units]]))</f>
        <v>0</v>
      </c>
      <c r="DY89" s="43" t="n">
        <f aca="false">IF(AND(AND(Tasks[[#This Row],[_IsLeaf]]=1,Tasks[[#This Row],[_LeafTotalWork]]&gt;0),Tasks[[#This Row],[_Res2Work]]&gt;0),Tasks[[#This Row],[_Res2Work]]/(Tasks[[#This Row],[_FinishWorkday]]-Tasks[[#This Row],[_StartWorkday]]+1),0)</f>
        <v>0</v>
      </c>
      <c r="DZ89" s="43" t="n">
        <f aca="false">Tasks[[#This Row],[_Res2WorkPerWD]]*MAX(0,Tasks[[#This Row],[_StartWorkday]]-1)</f>
        <v>0</v>
      </c>
      <c r="EA89" s="43" t="n">
        <f aca="false">Tasks[[#This Row],[_Res2Work]]*Tasks[[#This Row],[_LeafProgress]]</f>
        <v>0</v>
      </c>
      <c r="EB89" s="43" t="str">
        <f aca="false">IF(Tasks[[#This Row],[_Res3Text]]="","",IF(Tasks[[#This Row],[_Res3Row]]&gt;0,INDEX(res_Name,Tasks[[#This Row],[_Res3Row]]),TRIM(LEFT(Tasks[[#This Row],[_Res3Text]],FIND("[",Tasks[[#This Row],[_Res3Text]]&amp;"[")-1))))</f>
        <v/>
      </c>
      <c r="EC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9" s="43" t="n">
        <f aca="false">IF(OR(NOT(Tasks[[#This Row],[_IsLeaf]]=1),Tasks[[#This Row],[_Res3Row]]=0),0,N(Tasks[[#This Row],[_Days]])*HoursPerDay*IF(Tasks[[#This Row],[_Res3Units]]="",DefaultUnits,Tasks[[#This Row],[_Res3Units]]))</f>
        <v>0</v>
      </c>
      <c r="EE89" s="43" t="n">
        <f aca="false">IF(AND(AND(Tasks[[#This Row],[_IsLeaf]]=1,Tasks[[#This Row],[_LeafTotalWork]]&gt;0),Tasks[[#This Row],[_Res3Work]]&gt;0),Tasks[[#This Row],[_Res3Work]]/(Tasks[[#This Row],[_FinishWorkday]]-Tasks[[#This Row],[_StartWorkday]]+1),0)</f>
        <v>0</v>
      </c>
      <c r="EF89" s="43" t="n">
        <f aca="false">Tasks[[#This Row],[_Res3WorkPerWD]]*MAX(0,Tasks[[#This Row],[_StartWorkday]]-1)</f>
        <v>0</v>
      </c>
      <c r="EG89" s="43" t="n">
        <f aca="false">Tasks[[#This Row],[_Res3Work]]*Tasks[[#This Row],[_LeafProgress]]</f>
        <v>0</v>
      </c>
      <c r="EH89" s="43" t="str">
        <f aca="false">IF(Tasks[[#This Row],[_Res4Text]]="","",IF(Tasks[[#This Row],[_Res4Row]]&gt;0,INDEX(res_Name,Tasks[[#This Row],[_Res4Row]]),TRIM(LEFT(Tasks[[#This Row],[_Res4Text]],FIND("[",Tasks[[#This Row],[_Res4Text]]&amp;"[")-1))))</f>
        <v/>
      </c>
      <c r="EI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9" s="43" t="n">
        <f aca="false">IF(OR(NOT(Tasks[[#This Row],[_IsLeaf]]=1),Tasks[[#This Row],[_Res4Row]]=0),0,N(Tasks[[#This Row],[_Days]])*HoursPerDay*IF(Tasks[[#This Row],[_Res4Units]]="",DefaultUnits,Tasks[[#This Row],[_Res4Units]]))</f>
        <v>0</v>
      </c>
      <c r="EK89" s="43" t="n">
        <f aca="false">IF(AND(AND(Tasks[[#This Row],[_IsLeaf]]=1,Tasks[[#This Row],[_LeafTotalWork]]&gt;0),Tasks[[#This Row],[_Res4Work]]&gt;0),Tasks[[#This Row],[_Res4Work]]/(Tasks[[#This Row],[_FinishWorkday]]-Tasks[[#This Row],[_StartWorkday]]+1),0)</f>
        <v>0</v>
      </c>
      <c r="EL89" s="43" t="n">
        <f aca="false">Tasks[[#This Row],[_Res4WorkPerWD]]*MAX(0,Tasks[[#This Row],[_StartWorkday]]-1)</f>
        <v>0</v>
      </c>
      <c r="EM89" s="43" t="n">
        <f aca="false">Tasks[[#This Row],[_Res4Work]]*Tasks[[#This Row],[_LeafProgress]]</f>
        <v>0</v>
      </c>
      <c r="EN89" s="43" t="n">
        <f aca="false">IF(ISNUMBER(Tasks[[#This Row],[% Complete]]),Tasks[[#This Row],[% Complete]],IF(Tasks[[#This Row],[Stage]]="",0,IFERROR(INDEX(stg_Pct,MATCH(Tasks[[#This Row],[Stage]],stg_Name,0)),0)))</f>
        <v>0</v>
      </c>
      <c r="EO89" s="43" t="n">
        <f aca="false">IF(NOT(Tasks[[#This Row],[_IsLeaf]]=1),0,IF(N(Tasks[[#This Row],[Actual Finish]])&gt;0,1,MIN(1,Tasks[[#This Row],[_Pct]])))</f>
        <v>0</v>
      </c>
      <c r="EP89" s="43" t="n">
        <f aca="false">IF(OR(NOT(Tasks[[#This Row],[_IsLeaf]]=1),Tasks[[#This Row],[_Res1Row]]=0),0,N(Tasks[[#This Row],[_Days]])*HoursPerDay*IF(Tasks[[#This Row],[_Units1]]="",DefaultUnits,Tasks[[#This Row],[_Units1]]))</f>
        <v>0</v>
      </c>
      <c r="EQ89" s="43" t="n">
        <f aca="false">Tasks[[#This Row],[_LeafWork]]+Tasks[[#This Row],[_Res2Work]]+Tasks[[#This Row],[_Res3Work]]+Tasks[[#This Row],[_Res4Work]]</f>
        <v>0</v>
      </c>
      <c r="ER8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9" s="43" t="n">
        <f aca="false">IF(NOT(Tasks[[#This Row],[_IsLeaf]]=1),0,MAX(_xlfn.MAXIFS(Tasks[_Row],Tasks[_Pred1UID],Tasks[[#This Row],[UID]]),_xlfn.MAXIFS(Tasks[_Row],Tasks[_Pred2UID],Tasks[[#This Row],[UID]]),_xlfn.MAXIFS(Tasks[_Row],Tasks[_Pred3UID],Tasks[[#This Row],[UID]]),_xlfn.MAXIFS(Tasks[_Row],Tasks[_Pred4UID],Tasks[[#This Row],[UID]])))</f>
        <v>0</v>
      </c>
      <c r="FA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9" s="91" t="str">
        <f aca="false">IF(NOT(Tasks[[#This Row],[_IsLeaf]]=1),"",IF(N(Tasks[[#This Row],[_Days]])&lt;=0,Tasks[[#This Row],[_LeafLateFinish]],WORKDAY.INTL(Tasks[[#This Row],[_LeafLateFinish]],-(Tasks[[#This Row],[_Days]]-1),WorkWeek,Holidays)))</f>
        <v/>
      </c>
      <c r="FD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9" s="90" t="b">
        <f aca="false">AND(Tasks[[#This Row],[_IsLeaf]]=1,Tasks[[#This Row],[_LeafProgress]]&lt;1,N(Tasks[[#This Row],[_LeafTotalSlack]])&lt;=CriticalSlackDays)</f>
        <v>0</v>
      </c>
      <c r="FF89" s="43" t="n">
        <f aca="false">IF(AND(Tasks[[#This Row],[_IsLeaf]]=1,Tasks[[#This Row],[_ConstraintCode]]=1,Tasks[[#This Row],[Mode]]&lt;&gt;"Manual",N(Tasks[[#This Row],[Actual Start]])=0),MAX(0,N(Tasks[[#This Row],[Free Slack]])),0)</f>
        <v>0</v>
      </c>
      <c r="FG89" s="91" t="str">
        <f aca="false">IF(NOT(Tasks[[#This Row],[_IsLeaf]]=1),"",IF(Tasks[[#This Row],[_AlapShift]]=0,Tasks[[#This Row],[_LeafCalcStart]],WORKDAY.INTL(Tasks[[#This Row],[_LeafCalcStart]],Tasks[[#This Row],[_AlapShift]],WorkWeek,Holidays)))</f>
        <v/>
      </c>
      <c r="FH89" s="91" t="str">
        <f aca="false">IF(NOT(Tasks[[#This Row],[_IsLeaf]]=1),"",IF(Tasks[[#This Row],[_AlapShift]]=0,Tasks[[#This Row],[_LeafCalcFinish]],WORKDAY.INTL(Tasks[[#This Row],[_LeafCalcFinish]],Tasks[[#This Row],[_AlapShift]],WorkWeek,Holidays)))</f>
        <v/>
      </c>
      <c r="FI89" s="91" t="str">
        <f aca="false">IF(NOT(Tasks[[#This Row],[_IsLeaf]]=1),"",IF(Tasks[[#This Row],[_AlapShift]]=0,Tasks[[#This Row],[_LeafFcstStart]],WORKDAY.INTL(Tasks[[#This Row],[_LeafFcstStart]],Tasks[[#This Row],[_AlapShift]],WorkWeek,Holidays)))</f>
        <v/>
      </c>
      <c r="FJ89" s="91" t="str">
        <f aca="false">IF(NOT(Tasks[[#This Row],[_IsLeaf]]=1),"",IF(Tasks[[#This Row],[_AlapShift]]=0,Tasks[[#This Row],[_LeafFcstFinish]],WORKDAY.INTL(Tasks[[#This Row],[_LeafFcstFinish]],Tasks[[#This Row],[_AlapShift]],WorkWeek,Holidays)))</f>
        <v/>
      </c>
      <c r="FK89" s="91" t="str">
        <f aca="false">IF(Tasks[[#This Row],[Task Name]]="","",IF(Tasks[[#This Row],[_IsSummary]],MIN(INDEX(Tasks[_ShownCalcStart],Tasks[[#This Row],[_Row]]+1):INDEX(Tasks[_ShownCalcStart],Tasks[[#This Row],[_Row]]+Tasks[[#This Row],[_Descendants]])),Tasks[[#This Row],[_ShownCalcStart]]))</f>
        <v/>
      </c>
      <c r="FL89" s="91" t="str">
        <f aca="false">IF(Tasks[[#This Row],[Task Name]]="","",IF(Tasks[[#This Row],[_IsSummary]],MAX(INDEX(Tasks[_ShownCalcFinish],Tasks[[#This Row],[_Row]]+1):INDEX(Tasks[_ShownCalcFinish],Tasks[[#This Row],[_Row]]+Tasks[[#This Row],[_Descendants]])),Tasks[[#This Row],[_ShownCalcFinish]]))</f>
        <v/>
      </c>
      <c r="FM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9" s="43" t="n">
        <f aca="false">IF(AND(Tasks[[#This Row],[_IsLeaf]]=1,Tasks[[#This Row],[_LeafTotalWork]]&gt;0),NETWORKDAYS.INTL(ProjectStart,Tasks[[#This Row],[_ShownFcstStart]],WorkWeek,Holidays),0)</f>
        <v>0</v>
      </c>
      <c r="FZ89" s="43" t="n">
        <f aca="false">IF(AND(Tasks[[#This Row],[_IsLeaf]]=1,Tasks[[#This Row],[_LeafTotalWork]]&gt;0),MAX(Tasks[[#This Row],[_StartWorkday]],NETWORKDAYS.INTL(ProjectStart,Tasks[[#This Row],[_ShownFcstFinish]],WorkWeek,Holidays)),0)</f>
        <v>0</v>
      </c>
      <c r="GA89" s="43" t="n">
        <f aca="false">IF(AND(Tasks[[#This Row],[_IsLeaf]]=1,Tasks[[#This Row],[_LeafTotalWork]]&gt;0),Tasks[[#This Row],[_LeafWork]]/(Tasks[[#This Row],[_FinishWorkday]]-Tasks[[#This Row],[_StartWorkday]]+1),0)</f>
        <v>0</v>
      </c>
      <c r="GB89" s="43" t="n">
        <f aca="false">Tasks[[#This Row],[_WorkPerWorkday]]*(Tasks[[#This Row],[_StartWorkday]]-1)</f>
        <v>-0</v>
      </c>
      <c r="GC89" s="43" t="n">
        <f aca="false">IF(Tasks[[#This Row],[_IsLeaf]]=1,MAX(N(Tasks[[#This Row],[_Days]]),0.1),0)</f>
        <v>0</v>
      </c>
      <c r="GD89" s="43" t="n">
        <f aca="false">Tasks[[#This Row],[_WeightDur]]*Tasks[[#This Row],[_LeafProgress]]</f>
        <v>0</v>
      </c>
      <c r="GE89" s="43" t="n">
        <f aca="false">Tasks[[#This Row],[_WeightDur]]*Tasks[[#This Row],[_PlannedPct]]</f>
        <v>0</v>
      </c>
      <c r="GF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9" s="43" t="str">
        <f aca="false">IF(AND(Tasks[[#This Row],[_IsLeaf]]=1,N(Tasks[[#This Row],[_Days]])=0,Tasks[[#This Row],[_LeafProgress]]&lt;1),Tasks[[#This Row],[_ShownFcstFinish]]+Tasks[[#This Row],[_Row]]/100000,"")</f>
        <v/>
      </c>
      <c r="GH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9" s="43" t="str">
        <f aca="false">IF(Tasks[[#This Row],[Task Name]]="","",LEFT(Tasks[[#This Row],[WBS]],FIND(".",Tasks[[#This Row],[WBS]]&amp;".")-1))</f>
        <v/>
      </c>
      <c r="GJ89" s="43" t="str">
        <f aca="false">IF(AND(Tasks[[#This Row],[Task Name]]&lt;&gt;"",Tasks[[#This Row],[_Level]]=1),Tasks[[#This Row],[_Row]],"")</f>
        <v/>
      </c>
      <c r="GK89" s="43" t="str">
        <f aca="false">IF(AND(Tasks[[#This Row],[_IsLeaf]]=1,N(Tasks[[#This Row],[_Days]])=0),Tasks[[#This Row],[Planned Finish]]+Tasks[[#This Row],[_Row]]/100000,"")</f>
        <v/>
      </c>
      <c r="GL89" s="43" t="str">
        <f aca="false">IF(AND(Tasks[[#This Row],[_IsLeaf]]=1,Tasks[[#This Row],[_LeafProgress]]&lt;1,OR(N(Tasks[[#This Row],[Finish Var]])&gt;0,Tasks[[#This Row],[Status]]="Late Start")),MAX(0,Tasks[[#This Row],[Finish Var]])+1-Tasks[[#This Row],[_Row]]/1000000,"")</f>
        <v/>
      </c>
      <c r="GM89" s="43" t="str">
        <f aca="false">IF(AND(Tasks[[#This Row],[_IsLeaf]]=1,N(Tasks[[#This Row],[Actual Start]])=0,Tasks[[#This Row],[_ShownFcstStart]]&gt;=StatusDate,Tasks[[#This Row],[_ShownFcstStart]]&lt;=LookaheadEnd),Tasks[[#This Row],[_ShownFcstStart]]+Tasks[[#This Row],[_Row]]/100000,"")</f>
        <v/>
      </c>
      <c r="GN89" s="43" t="str">
        <f aca="false">IF(AND(Tasks[[#This Row],[_IsLeaf]]=1,Tasks[[#This Row],[_LeafProgress]]&lt;1,Tasks[[#This Row],[_ShownFcstFinish]]&gt;=StatusDate,Tasks[[#This Row],[_ShownFcstFinish]]&lt;=LookaheadEnd),Tasks[[#This Row],[_ShownFcstFinish]]+Tasks[[#This Row],[_Row]]/100000,"")</f>
        <v/>
      </c>
      <c r="GO89" s="43" t="str">
        <f aca="false">IF(Tasks[[#This Row],[_LeafCritical]],Tasks[[#This Row],[_ShownFcstStart]]+Tasks[[#This Row],[_Row]]/100000,"")</f>
        <v/>
      </c>
      <c r="GP89" s="43" t="n">
        <f aca="false">Tasks[[#This Row],[_LeafWork]]*Tasks[[#This Row],[_LeafProgress]]</f>
        <v>0</v>
      </c>
      <c r="GQ89" s="91" t="str">
        <f aca="false">IF(AND(Tasks[[#This Row],[_IsLeaf]]=1,Tasks[[#This Row],[_LeafProgress]]&gt;=1),IF(N(Tasks[[#This Row],[Actual Finish]])&gt;0,Tasks[[#This Row],[Actual Finish]],Tasks[[#This Row],[_ShownFcstFinish]]),"")</f>
        <v/>
      </c>
      <c r="GR89" s="43" t="n">
        <f aca="false">IF(Tasks[[#This Row],[_IsLeaf]]=1,N(Tasks[[#This Row],[Story Points]]),0)</f>
        <v>0</v>
      </c>
      <c r="GS89" s="43" t="str">
        <f aca="false">""</f>
        <v/>
      </c>
      <c r="GT89" s="90" t="b">
        <f aca="false">IF(Tasks[[#This Row],[Task Name]]="",FALSE(),AND(Tasks[[#This Row],[_IsLeaf]]=1,N(Tasks[[#This Row],[_Days]])=0))</f>
        <v>0</v>
      </c>
      <c r="GU89" s="91" t="n">
        <f aca="false">IF(Tasks[[#This Row],[Task Name]]="",0,IF(AND(Tasks[[#This Row],[_IsLeaf]]=1,NOT(Tasks[[#This Row],[_IsMilestone]]),N(Tasks[[#This Row],[Progress]])&gt;0),Tasks[[#This Row],[Start]],0))</f>
        <v>0</v>
      </c>
      <c r="GV89" s="91" t="n">
        <f aca="false">IF(Tasks[[#This Row],[_DoneFrom]]=0,0,IF(Tasks[[#This Row],[Progress]]&gt;=1,Tasks[[#This Row],[Finish]],MAX(Tasks[[#This Row],[_DoneFrom]],Tasks[[#This Row],[Start]]+ROUND((Tasks[[#This Row],[Finish]]-Tasks[[#This Row],[Start]]+1)*Tasks[[#This Row],[Progress]],0)-1)))</f>
        <v>0</v>
      </c>
      <c r="GW89" s="91" t="n">
        <f aca="false">IF(Tasks[[#This Row],[Task Name]]="",0,IF(OR(NOT(Tasks[[#This Row],[_IsLeaf]]=1),Tasks[[#This Row],[_IsMilestone]],N(Tasks[[#This Row],[Progress]])&gt;=1),0,IF(Tasks[[#This Row],[_DoneTo]]&gt;0,Tasks[[#This Row],[_DoneTo]]+1,Tasks[[#This Row],[Start]])))</f>
        <v>0</v>
      </c>
      <c r="GX89" s="91" t="n">
        <f aca="false">IF(Tasks[[#This Row],[_RemFrom]]=0,0,Tasks[[#This Row],[Finish]])</f>
        <v>0</v>
      </c>
      <c r="GY89" s="90" t="b">
        <f aca="false">IF(Tasks[[#This Row],[Task Name]]="",FALSE(),OR(NOT(BaselineSet),N(Tasks[[#This Row],[Baseline Start]])&gt;0))</f>
        <v>0</v>
      </c>
      <c r="GZ8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9" s="92" t="str">
        <f aca="false">IF(Tasks[[#This Row],[_IsLeaf]]=1,Tasks[[#This Row],[_Row]],"")</f>
        <v/>
      </c>
      <c r="HD89" s="92" t="str">
        <f aca="false">IFERROR(INDEX(Tasks[UID],SMALL(Tasks[_PickKey],Tasks[[#This Row],[_Row]]))&amp;" "&amp;INDEX(Tasks[Task Name],SMALL(Tasks[_PickKey],Tasks[[#This Row],[_Row]])),"")</f>
        <v/>
      </c>
      <c r="HE89" s="43" t="str">
        <f aca="false">IF(Tasks[[#This Row],[Task Name]]="","",IF(Tasks[[#This Row],[_IsSummary]],NETWORKDAYS.INTL(Tasks[[#This Row],[Start]],Tasks[[#This Row],[Finish]],WorkWeek,Holidays),N(Tasks[[#This Row],[_Days]])))</f>
        <v/>
      </c>
      <c r="HF89" s="43" t="n">
        <f aca="false">IF(Tasks[[#This Row],[Expected]]="",0,((Tasks[[#This Row],[Pessimistic]]-Tasks[[#This Row],[Optimistic]])/6)^2)</f>
        <v>0</v>
      </c>
      <c r="HG89" s="43" t="n">
        <f aca="false">IF(Tasks[[#This Row],[Expected]]="",0,Tasks[[#This Row],[Expected]]-N(Tasks[[#This Row],[_Days]]))</f>
        <v>0</v>
      </c>
    </row>
    <row r="90" customFormat="false" ht="15" hidden="false" customHeight="false" outlineLevel="0" collapsed="false">
      <c r="A90" s="21" t="str">
        <f aca="false">IF(Tasks[[#This Row],[Task Name]]="","",COUNTA(Tasks[[#Headers],[Task Name]]:Tasks[[#This Row],[Task Name]])-1)</f>
        <v/>
      </c>
      <c r="B90" s="22" t="n">
        <v>98</v>
      </c>
      <c r="C90" s="22"/>
      <c r="D90" s="23"/>
      <c r="E90" s="22"/>
      <c r="F90" s="23"/>
      <c r="G90" s="22"/>
      <c r="H90" s="22"/>
      <c r="I90" s="23"/>
      <c r="J90" s="22"/>
      <c r="K90" s="22"/>
      <c r="L90" s="23"/>
      <c r="M90" s="22"/>
      <c r="N90" s="22"/>
      <c r="O90" s="23"/>
      <c r="P90" s="22"/>
      <c r="Q90" s="22"/>
      <c r="R90" s="23"/>
      <c r="S90" s="23"/>
      <c r="T90" s="84"/>
      <c r="U90" s="23"/>
      <c r="V90" s="84"/>
      <c r="W90" s="23"/>
      <c r="X90" s="84"/>
      <c r="Y90" s="23"/>
      <c r="Z90" s="84"/>
      <c r="AA90" s="23"/>
      <c r="AB90" s="23"/>
      <c r="AC90" s="7"/>
      <c r="AD90" s="7"/>
      <c r="AE90" s="63" t="str">
        <f aca="false">IF(Tasks[[#This Row],[Task Name]]="","",IF(Tasks[[#This Row],[_IsSummary]],MIN(INDEX(Tasks[_ShownFcstStart],Tasks[[#This Row],[_Row]]+1):INDEX(Tasks[_ShownFcstStart],Tasks[[#This Row],[_Row]]+Tasks[[#This Row],[_Descendants]])),Tasks[[#This Row],[_ShownFcstStart]]))</f>
        <v/>
      </c>
      <c r="AF90" s="63" t="str">
        <f aca="false">IF(Tasks[[#This Row],[Task Name]]="","",IF(Tasks[[#This Row],[_IsSummary]],MAX(INDEX(Tasks[_ShownFcstFinish],Tasks[[#This Row],[_Row]]+1):INDEX(Tasks[_ShownFcstFinish],Tasks[[#This Row],[_Row]]+Tasks[[#This Row],[_Descendants]])),Tasks[[#This Row],[_ShownFcstFinish]]))</f>
        <v/>
      </c>
      <c r="AG90" s="21" t="str">
        <f aca="false">""</f>
        <v/>
      </c>
      <c r="AH90" s="23"/>
      <c r="AI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0" s="7"/>
      <c r="AK90" s="22"/>
      <c r="AL90" s="23"/>
      <c r="AM90" s="7"/>
      <c r="AN90" s="47" t="str">
        <f aca="false">IF(Tasks[[#This Row],[Task Name]]="","",IF(Tasks[[#This Row],[Finish]]&gt;=Tasks[[#This Row],[Planned Finish]],NETWORKDAYS.INTL(Tasks[[#This Row],[Planned Finish]],Tasks[[#This Row],[Finish]],WorkWeek,Holidays)-1,1-NETWORKDAYS.INTL(Tasks[[#This Row],[Finish]],Tasks[[#This Row],[Planned Finish]],WorkWeek,Holidays)))</f>
        <v/>
      </c>
      <c r="AO90" s="21" t="str">
        <f aca="false">IF(Tasks[[#This Row],[Task Name]]="","",IF(Tasks[[#This Row],[Progress]]&gt;=1,"Complete",IF(OR(N(Tasks[[#This Row],[Actual Start]])&gt;0,Tasks[[#This Row],[Progress]]&gt;0),IF(Tasks[[#This Row],[Finish Var]]&gt;0,"Behind","In Progress"),IF(Tasks[[#This Row],[Planned Start]]&lt;StatusDate,"Late Start","Not Started"))))</f>
        <v/>
      </c>
      <c r="AP90" s="21" t="str">
        <f aca="false">IF(Tasks[[#This Row],[Task Name]]="","",IF(IF(Tasks[[#This Row],[_IsSummary]],COUNTIF(INDEX(Tasks[_LeafCritical],Tasks[[#This Row],[_Row]]+1):INDEX(Tasks[_LeafCritical],Tasks[[#This Row],[_Row]]+Tasks[[#This Row],[_Descendants]]),TRUE())&gt;0,Tasks[[#This Row],[_LeafCritical]]),"Yes",""))</f>
        <v/>
      </c>
      <c r="AQ90" s="63" t="str">
        <f aca="false">IF(Tasks[[#This Row],[Task Name]]="","",IF(N(Tasks[[#This Row],[Baseline Start]])&gt;0,Tasks[[#This Row],[Baseline Start]],Tasks[[#This Row],[_CalcStart]]))</f>
        <v/>
      </c>
      <c r="AR90" s="63" t="str">
        <f aca="false">IF(Tasks[[#This Row],[Task Name]]="","",IF(N(Tasks[[#This Row],[Baseline Finish]])&gt;0,Tasks[[#This Row],[Baseline Finish]],Tasks[[#This Row],[_CalcFinish]]))</f>
        <v/>
      </c>
      <c r="AS90" s="47" t="str">
        <f aca="false">IF(Tasks[[#This Row],[Task Name]]="","",IF(Tasks[[#This Row],[Start]]&gt;=Tasks[[#This Row],[Planned Start]],NETWORKDAYS.INTL(Tasks[[#This Row],[Planned Start]],Tasks[[#This Row],[Start]],WorkWeek,Holidays)-1,1-NETWORKDAYS.INTL(Tasks[[#This Row],[Start]],Tasks[[#This Row],[Planned Start]],WorkWeek,Holidays)))</f>
        <v/>
      </c>
      <c r="AT90" s="63" t="str">
        <f aca="false">IF(Tasks[[#This Row],[Task Name]]="","",IF(Tasks[[#This Row],[_IsSummary]],MIN(INDEX(Tasks[_LeafLateStart],Tasks[[#This Row],[_Row]]+1):INDEX(Tasks[_LeafLateStart],Tasks[[#This Row],[_Row]]+Tasks[[#This Row],[_Descendants]])),Tasks[[#This Row],[_LeafLateStart]]))</f>
        <v/>
      </c>
      <c r="AU90" s="63" t="str">
        <f aca="false">IF(Tasks[[#This Row],[Task Name]]="","",IF(Tasks[[#This Row],[_IsSummary]],MAX(INDEX(Tasks[_LeafLateFinish],Tasks[[#This Row],[_Row]]+1):INDEX(Tasks[_LeafLateFinish],Tasks[[#This Row],[_Row]]+Tasks[[#This Row],[_Descendants]])),Tasks[[#This Row],[_LeafLateFinish]]))</f>
        <v/>
      </c>
      <c r="AV90" s="47" t="str">
        <f aca="false">IF(Tasks[[#This Row],[Task Name]]="","",IF(Tasks[[#This Row],[_IsSummary]],MIN(INDEX(Tasks[_LeafTotalSlack],Tasks[[#This Row],[_Row]]+1):INDEX(Tasks[_LeafTotalSlack],Tasks[[#This Row],[_Row]]+Tasks[[#This Row],[_Descendants]])),Tasks[[#This Row],[_LeafTotalSlack]]))</f>
        <v/>
      </c>
      <c r="AW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5"/>
      <c r="BA9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t="str">
        <f aca="false">IF(Tasks[[#This Row],[Task Name]]="","",IF(Tasks[[#This Row],[_Level]]&lt;=OutlineShowLevel,"Yes","No"))</f>
        <v/>
      </c>
      <c r="BE90" s="86" t="str">
        <f aca="false">IF(Tasks[[#This Row],[Task Name]]="","",IF(Tasks[[#This Row],[_IsSummary]],SUM(INDEX(Tasks[_LeafTotalWork],Tasks[[#This Row],[_Row]]+1):INDEX(Tasks[_LeafTotalWork],Tasks[[#This Row],[_Row]]+Tasks[[#This Row],[_Descendants]])),Tasks[[#This Row],[_LeafTotalWork]]))</f>
        <v/>
      </c>
      <c r="BF90" s="23"/>
      <c r="BG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t="str">
        <f aca="false">""</f>
        <v/>
      </c>
      <c r="BI90" s="87"/>
      <c r="BJ90" s="22"/>
      <c r="BK90" s="47" t="str">
        <f aca="false">IF(OR(Tasks[[#This Row],[Task Name]]="",Tasks[[#This Row],[Baseline Duration]]=""),"",Tasks[[#This Row],[_SpanDays]]-N(Tasks[[#This Row],[Baseline Duration]]))</f>
        <v/>
      </c>
      <c r="BL90" s="86" t="str">
        <f aca="false">IF(OR(Tasks[[#This Row],[Task Name]]="",Tasks[[#This Row],[Baseline Work]]=""),"",Tasks[[#This Row],[Work]]-N(Tasks[[#This Row],[Baseline Work]]))</f>
        <v/>
      </c>
      <c r="BM90" s="63" t="str">
        <f aca="false">IF(Tasks[[#This Row],[Task Name]]="","",IF(OR(TakeBaseline="Yes",N(Tasks[[#This Row],[Baseline Start]])=0),Tasks[[#This Row],[Start]],Tasks[[#This Row],[Baseline Start]]))</f>
        <v/>
      </c>
      <c r="BN90" s="63" t="str">
        <f aca="false">IF(Tasks[[#This Row],[Task Name]]="","",IF(OR(TakeBaseline="Yes",N(Tasks[[#This Row],[Baseline Finish]])=0),Tasks[[#This Row],[Finish]],Tasks[[#This Row],[Baseline Finish]]))</f>
        <v/>
      </c>
      <c r="BO90" s="21" t="str">
        <f aca="false">IF(Tasks[[#This Row],[Task Name]]="","",IF(OR(TakeBaseline="Yes",N(Tasks[[#This Row],[Baseline Duration]])=0),Tasks[[#This Row],[_SpanDays]],Tasks[[#This Row],[Baseline Duration]]))</f>
        <v/>
      </c>
      <c r="BP90" s="86" t="str">
        <f aca="false">IF(Tasks[[#This Row],[Task Name]]="","",IF(OR(TakeBaseline="Yes",N(Tasks[[#This Row],[Baseline Work]])=0),Tasks[[#This Row],[Work]],Tasks[[#This Row],[Baseline Work]]))</f>
        <v/>
      </c>
      <c r="BQ90" s="7"/>
      <c r="BR90" s="7"/>
      <c r="BS90" s="22"/>
      <c r="BT90" s="88"/>
      <c r="BU90" s="23"/>
      <c r="BV90" s="23"/>
      <c r="BW90" s="23"/>
      <c r="BX90" s="89" t="str">
        <f aca="false">IF(AND(Tasks[[#This Row],[_IsLeaf]]=1,ISNUMBER(Tasks[[#This Row],[Optimistic]]),ISNUMBER(Tasks[[#This Row],[Pessimistic]])),ROUND((Tasks[[#This Row],[Optimistic]]+4*N(Tasks[[#This Row],[_Days]])+Tasks[[#This Row],[Pessimistic]])/6,1),"")</f>
        <v/>
      </c>
      <c r="BY90" s="87"/>
      <c r="BZ90" s="87"/>
      <c r="CA90" s="22"/>
      <c r="CB90" s="43" t="str">
        <f aca="false">IF(Tasks[[#This Row],[Task Name]]="","",MAX(1,N(Tasks[[#This Row],[Level]])))</f>
        <v/>
      </c>
      <c r="CC90" s="43" t="n">
        <f aca="false">ROW()-ROW(Tasks[[#Headers],[ID]])</f>
        <v>85</v>
      </c>
      <c r="CD90" s="43" t="n">
        <f aca="false">IF(OR(Tasks[[#This Row],[Task Name]]="",Tasks[[#This Row],[_Level]]&lt;=1),0,IFERROR(LOOKUP(2,1/(Tasks[[#Headers],[_Level]]:Tasks[[#This Row],[_Level]]=Tasks[[#This Row],[_Level]]-1),ROW(Tasks[[#Headers],[_Level]]:Tasks[[#This Row],[_Level]])),0))</f>
        <v>0</v>
      </c>
      <c r="CE90" s="43" t="n">
        <f aca="false">IFERROR(N(INDEX(Tasks[_Level],Tasks[[#This Row],[_Row]]+1)),0)</f>
        <v>0</v>
      </c>
      <c r="CF90" s="90" t="b">
        <f aca="false">AND(Tasks[[#This Row],[Task Name]]&lt;&gt;"",Tasks[[#This Row],[_NextLevel]]&gt;Tasks[[#This Row],[_Level]])</f>
        <v>0</v>
      </c>
      <c r="CG90" s="43" t="n">
        <f aca="false">IF(Tasks[[#This Row],[_IsSummary]],COUNTIF(Tasks[WBS],Tasks[[#This Row],[WBS]]&amp;".*"),0)</f>
        <v>0</v>
      </c>
      <c r="CH90" s="43" t="n">
        <f aca="false">IF(AND(Tasks[[#This Row],[Task Name]]&lt;&gt;"",NOT(Tasks[[#This Row],[_IsSummary]])),1,0)</f>
        <v>0</v>
      </c>
      <c r="CI90" s="43" t="n">
        <f aca="false">IF(N(Tasks[[#This Row],[_Pred1UID]])=0,0,IFERROR(MATCH(Tasks[[#This Row],[_Pred1UID]],Tasks[UID],0),-1))</f>
        <v>0</v>
      </c>
      <c r="CJ90" s="43" t="n">
        <f aca="false">IF(N(Tasks[[#This Row],[_Pred2UID]])=0,0,IFERROR(MATCH(Tasks[[#This Row],[_Pred2UID]],Tasks[UID],0),-1))</f>
        <v>0</v>
      </c>
      <c r="CK90" s="43" t="n">
        <f aca="false">IF(N(Tasks[[#This Row],[_Pred3UID]])=0,0,IFERROR(MATCH(Tasks[[#This Row],[_Pred3UID]],Tasks[UID],0),-1))</f>
        <v>0</v>
      </c>
      <c r="CL90" s="43" t="n">
        <f aca="false">IF(N(Tasks[[#This Row],[_Pred4UID]])=0,0,IFERROR(MATCH(Tasks[[#This Row],[_Pred4UID]],Tasks[UID],0),-1))</f>
        <v>0</v>
      </c>
      <c r="CM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0" s="91" t="n">
        <f aca="false">IF(OR(Tasks[[#This Row],[_ConstraintCode]]=2,Tasks[[#This Row],[_ConstraintCode]]=3,Tasks[[#This Row],[_ConstraintCode]]=4,Tasks[[#This Row],[_ConstraintCode]]=6),Tasks[[#This Row],[_ConstraintStart]],0)</f>
        <v>0</v>
      </c>
      <c r="CP90" s="91" t="n">
        <f aca="false">IF(OR(Tasks[[#This Row],[_ConstraintCode]]=2,Tasks[[#This Row],[_ConstraintCode]]=3,Tasks[[#This Row],[_ConstraintCode]]=5,Tasks[[#This Row],[_ConstraintCode]]=7),Tasks[[#This Row],[_ConstraintStart]],2958465)</f>
        <v>2958465</v>
      </c>
      <c r="CQ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0" s="91" t="str">
        <f aca="false">IF(NOT(Tasks[[#This Row],[_IsLeaf]]=1),"",IF(N(Tasks[[#This Row],[_Days]])&lt;=0,Tasks[[#This Row],[_LeafCalcStart]],WORKDAY.INTL(Tasks[[#This Row],[_LeafCalcStart]],Tasks[[#This Row],[_Days]]-1,WorkWeek,Holidays)))</f>
        <v/>
      </c>
      <c r="CS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0" s="43" t="str">
        <f aca="false">IF(Tasks[[#This Row],[_Predecessors]]="","",TRIM(MID(SUBSTITUTE(SUBSTITUTE(SUBSTITUTE(UPPER(Tasks[[#This Row],[_Predecessors]]),";",",")," ",""),",",REPT(" ",99)),1,99)))</f>
        <v/>
      </c>
      <c r="CV90" s="43" t="str">
        <f aca="false">IF(Tasks[[#This Row],[_Pred1Text]]="","",IFERROR(VALUE(LEFT(Tasks[[#This Row],[_Pred1Text]],MIN(FIND("F",Tasks[[#This Row],[_Pred1Text]]&amp;"F"),FIND("S",Tasks[[#This Row],[_Pred1Text]]&amp;"S"),FIND("+",Tasks[[#This Row],[_Pred1Text]]&amp;"+"),FIND("-",Tasks[[#This Row],[_Pred1Text]]&amp;"-"))-1)),""))</f>
        <v/>
      </c>
      <c r="CW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0" s="43" t="str">
        <f aca="false">IF(Tasks[[#This Row],[_Pred1Text]]="","",TRIM(MID(SUBSTITUTE(SUBSTITUTE(SUBSTITUTE(UPPER(Tasks[[#This Row],[_Predecessors]]),";",",")," ",""),",",REPT(" ",99)),100,99)))</f>
        <v/>
      </c>
      <c r="CZ90" s="43" t="str">
        <f aca="false">IF(Tasks[[#This Row],[_Pred2Text]]="","",IFERROR(VALUE(LEFT(Tasks[[#This Row],[_Pred2Text]],MIN(FIND("F",Tasks[[#This Row],[_Pred2Text]]&amp;"F"),FIND("S",Tasks[[#This Row],[_Pred2Text]]&amp;"S"),FIND("+",Tasks[[#This Row],[_Pred2Text]]&amp;"+"),FIND("-",Tasks[[#This Row],[_Pred2Text]]&amp;"-"))-1)),""))</f>
        <v/>
      </c>
      <c r="DA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0" s="43" t="str">
        <f aca="false">IF(Tasks[[#This Row],[_Pred2Text]]="","",TRIM(MID(SUBSTITUTE(SUBSTITUTE(SUBSTITUTE(UPPER(Tasks[[#This Row],[_Predecessors]]),";",",")," ",""),",",REPT(" ",99)),199,99)))</f>
        <v/>
      </c>
      <c r="DD90" s="43" t="str">
        <f aca="false">IF(Tasks[[#This Row],[_Pred3Text]]="","",IFERROR(VALUE(LEFT(Tasks[[#This Row],[_Pred3Text]],MIN(FIND("F",Tasks[[#This Row],[_Pred3Text]]&amp;"F"),FIND("S",Tasks[[#This Row],[_Pred3Text]]&amp;"S"),FIND("+",Tasks[[#This Row],[_Pred3Text]]&amp;"+"),FIND("-",Tasks[[#This Row],[_Pred3Text]]&amp;"-"))-1)),""))</f>
        <v/>
      </c>
      <c r="DE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0" s="43" t="str">
        <f aca="false">IF(Tasks[[#This Row],[_Pred3Text]]="","",TRIM(MID(SUBSTITUTE(SUBSTITUTE(SUBSTITUTE(UPPER(Tasks[[#This Row],[_Predecessors]]),";",",")," ",""),",",REPT(" ",99)),298,99)))</f>
        <v/>
      </c>
      <c r="DH90" s="43" t="str">
        <f aca="false">IF(Tasks[[#This Row],[_Pred4Text]]="","",IFERROR(VALUE(LEFT(Tasks[[#This Row],[_Pred4Text]],MIN(FIND("F",Tasks[[#This Row],[_Pred4Text]]&amp;"F"),FIND("S",Tasks[[#This Row],[_Pred4Text]]&amp;"S"),FIND("+",Tasks[[#This Row],[_Pred4Text]]&amp;"+"),FIND("-",Tasks[[#This Row],[_Pred4Text]]&amp;"-"))-1)),""))</f>
        <v/>
      </c>
      <c r="DI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0" s="43" t="str">
        <f aca="false">IF(OR(Tasks[[#This Row],[Task Name]]="",Tasks[[#This Row],[_Resources]]=""),"",TRIM(MID(SUBSTITUTE(Tasks[[#This Row],[_Resources]],",",REPT(" ",99)),1,99)))</f>
        <v/>
      </c>
      <c r="DL90" s="43" t="str">
        <f aca="false">IF(Tasks[[#This Row],[_Res1Text]]="","",TRIM(MID(SUBSTITUTE(Tasks[[#This Row],[_Resources]],",",REPT(" ",99)),100,99)))</f>
        <v/>
      </c>
      <c r="DM90" s="43" t="str">
        <f aca="false">IF(Tasks[[#This Row],[_Res2Text]]="","",TRIM(MID(SUBSTITUTE(Tasks[[#This Row],[_Resources]],",",REPT(" ",99)),199,99)))</f>
        <v/>
      </c>
      <c r="DN90" s="43" t="str">
        <f aca="false">IF(Tasks[[#This Row],[_Res3Text]]="","",TRIM(MID(SUBSTITUTE(Tasks[[#This Row],[_Resources]],",",REPT(" ",99)),298,99)))</f>
        <v/>
      </c>
      <c r="DO90" s="43" t="n">
        <f aca="false">IF(Tasks[[#This Row],[_Res1Text]]="",0,IFERROR(MATCH(TRIM(LEFT(Tasks[[#This Row],[_Res1Text]],FIND("[",Tasks[[#This Row],[_Res1Text]]&amp;"[")-1)),res_Name,0),IFERROR(MATCH(TRIM(LEFT(Tasks[[#This Row],[_Res1Text]],FIND("[",Tasks[[#This Row],[_Res1Text]]&amp;"[")-1)),res_Initials,0),0)))</f>
        <v>0</v>
      </c>
      <c r="DP90" s="43" t="n">
        <f aca="false">IF(Tasks[[#This Row],[_Res2Text]]="",0,IFERROR(MATCH(TRIM(LEFT(Tasks[[#This Row],[_Res2Text]],FIND("[",Tasks[[#This Row],[_Res2Text]]&amp;"[")-1)),res_Name,0),IFERROR(MATCH(TRIM(LEFT(Tasks[[#This Row],[_Res2Text]],FIND("[",Tasks[[#This Row],[_Res2Text]]&amp;"[")-1)),res_Initials,0),0)))</f>
        <v>0</v>
      </c>
      <c r="DQ90" s="43" t="n">
        <f aca="false">IF(Tasks[[#This Row],[_Res3Text]]="",0,IFERROR(MATCH(TRIM(LEFT(Tasks[[#This Row],[_Res3Text]],FIND("[",Tasks[[#This Row],[_Res3Text]]&amp;"[")-1)),res_Name,0),IFERROR(MATCH(TRIM(LEFT(Tasks[[#This Row],[_Res3Text]],FIND("[",Tasks[[#This Row],[_Res3Text]]&amp;"[")-1)),res_Initials,0),0)))</f>
        <v>0</v>
      </c>
      <c r="DR90" s="43" t="n">
        <f aca="false">IF(Tasks[[#This Row],[_Res4Text]]="",0,IFERROR(MATCH(TRIM(LEFT(Tasks[[#This Row],[_Res4Text]],FIND("[",Tasks[[#This Row],[_Res4Text]]&amp;"[")-1)),res_Name,0),IFERROR(MATCH(TRIM(LEFT(Tasks[[#This Row],[_Res4Text]],FIND("[",Tasks[[#This Row],[_Res4Text]]&amp;"[")-1)),res_Initials,0),0)))</f>
        <v>0</v>
      </c>
      <c r="DS90" s="43" t="str">
        <f aca="false">IF(Tasks[[#This Row],[_Res1Text]]="","",IF(Tasks[[#This Row],[_Res1Row]]&gt;0,INDEX(res_Name,Tasks[[#This Row],[_Res1Row]]),TRIM(LEFT(Tasks[[#This Row],[_Res1Text]],FIND("[",Tasks[[#This Row],[_Res1Text]]&amp;"[")-1))))</f>
        <v/>
      </c>
      <c r="DT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0" s="43" t="n">
        <f aca="false">IF(NOT(Tasks[[#This Row],[_IsLeaf]]=1),0,(Tasks[[#This Row],[_Resource1]]&lt;&gt;"")+(Tasks[[#This Row],[_Res2]]&lt;&gt;"")+(Tasks[[#This Row],[_Res3]]&lt;&gt;"")+(Tasks[[#This Row],[_Res4]]&lt;&gt;""))</f>
        <v>0</v>
      </c>
      <c r="DV90" s="43" t="str">
        <f aca="false">IF(Tasks[[#This Row],[_Res2Text]]="","",IF(Tasks[[#This Row],[_Res2Row]]&gt;0,INDEX(res_Name,Tasks[[#This Row],[_Res2Row]]),TRIM(LEFT(Tasks[[#This Row],[_Res2Text]],FIND("[",Tasks[[#This Row],[_Res2Text]]&amp;"[")-1))))</f>
        <v/>
      </c>
      <c r="DW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0" s="43" t="n">
        <f aca="false">IF(OR(NOT(Tasks[[#This Row],[_IsLeaf]]=1),Tasks[[#This Row],[_Res2Row]]=0),0,N(Tasks[[#This Row],[_Days]])*HoursPerDay*IF(Tasks[[#This Row],[_Res2Units]]="",DefaultUnits,Tasks[[#This Row],[_Res2Units]]))</f>
        <v>0</v>
      </c>
      <c r="DY90" s="43" t="n">
        <f aca="false">IF(AND(AND(Tasks[[#This Row],[_IsLeaf]]=1,Tasks[[#This Row],[_LeafTotalWork]]&gt;0),Tasks[[#This Row],[_Res2Work]]&gt;0),Tasks[[#This Row],[_Res2Work]]/(Tasks[[#This Row],[_FinishWorkday]]-Tasks[[#This Row],[_StartWorkday]]+1),0)</f>
        <v>0</v>
      </c>
      <c r="DZ90" s="43" t="n">
        <f aca="false">Tasks[[#This Row],[_Res2WorkPerWD]]*MAX(0,Tasks[[#This Row],[_StartWorkday]]-1)</f>
        <v>0</v>
      </c>
      <c r="EA90" s="43" t="n">
        <f aca="false">Tasks[[#This Row],[_Res2Work]]*Tasks[[#This Row],[_LeafProgress]]</f>
        <v>0</v>
      </c>
      <c r="EB90" s="43" t="str">
        <f aca="false">IF(Tasks[[#This Row],[_Res3Text]]="","",IF(Tasks[[#This Row],[_Res3Row]]&gt;0,INDEX(res_Name,Tasks[[#This Row],[_Res3Row]]),TRIM(LEFT(Tasks[[#This Row],[_Res3Text]],FIND("[",Tasks[[#This Row],[_Res3Text]]&amp;"[")-1))))</f>
        <v/>
      </c>
      <c r="EC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0" s="43" t="n">
        <f aca="false">IF(OR(NOT(Tasks[[#This Row],[_IsLeaf]]=1),Tasks[[#This Row],[_Res3Row]]=0),0,N(Tasks[[#This Row],[_Days]])*HoursPerDay*IF(Tasks[[#This Row],[_Res3Units]]="",DefaultUnits,Tasks[[#This Row],[_Res3Units]]))</f>
        <v>0</v>
      </c>
      <c r="EE90" s="43" t="n">
        <f aca="false">IF(AND(AND(Tasks[[#This Row],[_IsLeaf]]=1,Tasks[[#This Row],[_LeafTotalWork]]&gt;0),Tasks[[#This Row],[_Res3Work]]&gt;0),Tasks[[#This Row],[_Res3Work]]/(Tasks[[#This Row],[_FinishWorkday]]-Tasks[[#This Row],[_StartWorkday]]+1),0)</f>
        <v>0</v>
      </c>
      <c r="EF90" s="43" t="n">
        <f aca="false">Tasks[[#This Row],[_Res3WorkPerWD]]*MAX(0,Tasks[[#This Row],[_StartWorkday]]-1)</f>
        <v>0</v>
      </c>
      <c r="EG90" s="43" t="n">
        <f aca="false">Tasks[[#This Row],[_Res3Work]]*Tasks[[#This Row],[_LeafProgress]]</f>
        <v>0</v>
      </c>
      <c r="EH90" s="43" t="str">
        <f aca="false">IF(Tasks[[#This Row],[_Res4Text]]="","",IF(Tasks[[#This Row],[_Res4Row]]&gt;0,INDEX(res_Name,Tasks[[#This Row],[_Res4Row]]),TRIM(LEFT(Tasks[[#This Row],[_Res4Text]],FIND("[",Tasks[[#This Row],[_Res4Text]]&amp;"[")-1))))</f>
        <v/>
      </c>
      <c r="EI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0" s="43" t="n">
        <f aca="false">IF(OR(NOT(Tasks[[#This Row],[_IsLeaf]]=1),Tasks[[#This Row],[_Res4Row]]=0),0,N(Tasks[[#This Row],[_Days]])*HoursPerDay*IF(Tasks[[#This Row],[_Res4Units]]="",DefaultUnits,Tasks[[#This Row],[_Res4Units]]))</f>
        <v>0</v>
      </c>
      <c r="EK90" s="43" t="n">
        <f aca="false">IF(AND(AND(Tasks[[#This Row],[_IsLeaf]]=1,Tasks[[#This Row],[_LeafTotalWork]]&gt;0),Tasks[[#This Row],[_Res4Work]]&gt;0),Tasks[[#This Row],[_Res4Work]]/(Tasks[[#This Row],[_FinishWorkday]]-Tasks[[#This Row],[_StartWorkday]]+1),0)</f>
        <v>0</v>
      </c>
      <c r="EL90" s="43" t="n">
        <f aca="false">Tasks[[#This Row],[_Res4WorkPerWD]]*MAX(0,Tasks[[#This Row],[_StartWorkday]]-1)</f>
        <v>0</v>
      </c>
      <c r="EM90" s="43" t="n">
        <f aca="false">Tasks[[#This Row],[_Res4Work]]*Tasks[[#This Row],[_LeafProgress]]</f>
        <v>0</v>
      </c>
      <c r="EN90" s="43" t="n">
        <f aca="false">IF(ISNUMBER(Tasks[[#This Row],[% Complete]]),Tasks[[#This Row],[% Complete]],IF(Tasks[[#This Row],[Stage]]="",0,IFERROR(INDEX(stg_Pct,MATCH(Tasks[[#This Row],[Stage]],stg_Name,0)),0)))</f>
        <v>0</v>
      </c>
      <c r="EO90" s="43" t="n">
        <f aca="false">IF(NOT(Tasks[[#This Row],[_IsLeaf]]=1),0,IF(N(Tasks[[#This Row],[Actual Finish]])&gt;0,1,MIN(1,Tasks[[#This Row],[_Pct]])))</f>
        <v>0</v>
      </c>
      <c r="EP90" s="43" t="n">
        <f aca="false">IF(OR(NOT(Tasks[[#This Row],[_IsLeaf]]=1),Tasks[[#This Row],[_Res1Row]]=0),0,N(Tasks[[#This Row],[_Days]])*HoursPerDay*IF(Tasks[[#This Row],[_Units1]]="",DefaultUnits,Tasks[[#This Row],[_Units1]]))</f>
        <v>0</v>
      </c>
      <c r="EQ90" s="43" t="n">
        <f aca="false">Tasks[[#This Row],[_LeafWork]]+Tasks[[#This Row],[_Res2Work]]+Tasks[[#This Row],[_Res3Work]]+Tasks[[#This Row],[_Res4Work]]</f>
        <v>0</v>
      </c>
      <c r="ER9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0" s="43" t="n">
        <f aca="false">IF(NOT(Tasks[[#This Row],[_IsLeaf]]=1),0,MAX(_xlfn.MAXIFS(Tasks[_Row],Tasks[_Pred1UID],Tasks[[#This Row],[UID]]),_xlfn.MAXIFS(Tasks[_Row],Tasks[_Pred2UID],Tasks[[#This Row],[UID]]),_xlfn.MAXIFS(Tasks[_Row],Tasks[_Pred3UID],Tasks[[#This Row],[UID]]),_xlfn.MAXIFS(Tasks[_Row],Tasks[_Pred4UID],Tasks[[#This Row],[UID]])))</f>
        <v>0</v>
      </c>
      <c r="FA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0" s="91" t="str">
        <f aca="false">IF(NOT(Tasks[[#This Row],[_IsLeaf]]=1),"",IF(N(Tasks[[#This Row],[_Days]])&lt;=0,Tasks[[#This Row],[_LeafLateFinish]],WORKDAY.INTL(Tasks[[#This Row],[_LeafLateFinish]],-(Tasks[[#This Row],[_Days]]-1),WorkWeek,Holidays)))</f>
        <v/>
      </c>
      <c r="FD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0" s="90" t="b">
        <f aca="false">AND(Tasks[[#This Row],[_IsLeaf]]=1,Tasks[[#This Row],[_LeafProgress]]&lt;1,N(Tasks[[#This Row],[_LeafTotalSlack]])&lt;=CriticalSlackDays)</f>
        <v>0</v>
      </c>
      <c r="FF90" s="43" t="n">
        <f aca="false">IF(AND(Tasks[[#This Row],[_IsLeaf]]=1,Tasks[[#This Row],[_ConstraintCode]]=1,Tasks[[#This Row],[Mode]]&lt;&gt;"Manual",N(Tasks[[#This Row],[Actual Start]])=0),MAX(0,N(Tasks[[#This Row],[Free Slack]])),0)</f>
        <v>0</v>
      </c>
      <c r="FG90" s="91" t="str">
        <f aca="false">IF(NOT(Tasks[[#This Row],[_IsLeaf]]=1),"",IF(Tasks[[#This Row],[_AlapShift]]=0,Tasks[[#This Row],[_LeafCalcStart]],WORKDAY.INTL(Tasks[[#This Row],[_LeafCalcStart]],Tasks[[#This Row],[_AlapShift]],WorkWeek,Holidays)))</f>
        <v/>
      </c>
      <c r="FH90" s="91" t="str">
        <f aca="false">IF(NOT(Tasks[[#This Row],[_IsLeaf]]=1),"",IF(Tasks[[#This Row],[_AlapShift]]=0,Tasks[[#This Row],[_LeafCalcFinish]],WORKDAY.INTL(Tasks[[#This Row],[_LeafCalcFinish]],Tasks[[#This Row],[_AlapShift]],WorkWeek,Holidays)))</f>
        <v/>
      </c>
      <c r="FI90" s="91" t="str">
        <f aca="false">IF(NOT(Tasks[[#This Row],[_IsLeaf]]=1),"",IF(Tasks[[#This Row],[_AlapShift]]=0,Tasks[[#This Row],[_LeafFcstStart]],WORKDAY.INTL(Tasks[[#This Row],[_LeafFcstStart]],Tasks[[#This Row],[_AlapShift]],WorkWeek,Holidays)))</f>
        <v/>
      </c>
      <c r="FJ90" s="91" t="str">
        <f aca="false">IF(NOT(Tasks[[#This Row],[_IsLeaf]]=1),"",IF(Tasks[[#This Row],[_AlapShift]]=0,Tasks[[#This Row],[_LeafFcstFinish]],WORKDAY.INTL(Tasks[[#This Row],[_LeafFcstFinish]],Tasks[[#This Row],[_AlapShift]],WorkWeek,Holidays)))</f>
        <v/>
      </c>
      <c r="FK90" s="91" t="str">
        <f aca="false">IF(Tasks[[#This Row],[Task Name]]="","",IF(Tasks[[#This Row],[_IsSummary]],MIN(INDEX(Tasks[_ShownCalcStart],Tasks[[#This Row],[_Row]]+1):INDEX(Tasks[_ShownCalcStart],Tasks[[#This Row],[_Row]]+Tasks[[#This Row],[_Descendants]])),Tasks[[#This Row],[_ShownCalcStart]]))</f>
        <v/>
      </c>
      <c r="FL90" s="91" t="str">
        <f aca="false">IF(Tasks[[#This Row],[Task Name]]="","",IF(Tasks[[#This Row],[_IsSummary]],MAX(INDEX(Tasks[_ShownCalcFinish],Tasks[[#This Row],[_Row]]+1):INDEX(Tasks[_ShownCalcFinish],Tasks[[#This Row],[_Row]]+Tasks[[#This Row],[_Descendants]])),Tasks[[#This Row],[_ShownCalcFinish]]))</f>
        <v/>
      </c>
      <c r="FM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0" s="43" t="n">
        <f aca="false">IF(AND(Tasks[[#This Row],[_IsLeaf]]=1,Tasks[[#This Row],[_LeafTotalWork]]&gt;0),NETWORKDAYS.INTL(ProjectStart,Tasks[[#This Row],[_ShownFcstStart]],WorkWeek,Holidays),0)</f>
        <v>0</v>
      </c>
      <c r="FZ90" s="43" t="n">
        <f aca="false">IF(AND(Tasks[[#This Row],[_IsLeaf]]=1,Tasks[[#This Row],[_LeafTotalWork]]&gt;0),MAX(Tasks[[#This Row],[_StartWorkday]],NETWORKDAYS.INTL(ProjectStart,Tasks[[#This Row],[_ShownFcstFinish]],WorkWeek,Holidays)),0)</f>
        <v>0</v>
      </c>
      <c r="GA90" s="43" t="n">
        <f aca="false">IF(AND(Tasks[[#This Row],[_IsLeaf]]=1,Tasks[[#This Row],[_LeafTotalWork]]&gt;0),Tasks[[#This Row],[_LeafWork]]/(Tasks[[#This Row],[_FinishWorkday]]-Tasks[[#This Row],[_StartWorkday]]+1),0)</f>
        <v>0</v>
      </c>
      <c r="GB90" s="43" t="n">
        <f aca="false">Tasks[[#This Row],[_WorkPerWorkday]]*(Tasks[[#This Row],[_StartWorkday]]-1)</f>
        <v>-0</v>
      </c>
      <c r="GC90" s="43" t="n">
        <f aca="false">IF(Tasks[[#This Row],[_IsLeaf]]=1,MAX(N(Tasks[[#This Row],[_Days]]),0.1),0)</f>
        <v>0</v>
      </c>
      <c r="GD90" s="43" t="n">
        <f aca="false">Tasks[[#This Row],[_WeightDur]]*Tasks[[#This Row],[_LeafProgress]]</f>
        <v>0</v>
      </c>
      <c r="GE90" s="43" t="n">
        <f aca="false">Tasks[[#This Row],[_WeightDur]]*Tasks[[#This Row],[_PlannedPct]]</f>
        <v>0</v>
      </c>
      <c r="GF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0" s="43" t="str">
        <f aca="false">IF(AND(Tasks[[#This Row],[_IsLeaf]]=1,N(Tasks[[#This Row],[_Days]])=0,Tasks[[#This Row],[_LeafProgress]]&lt;1),Tasks[[#This Row],[_ShownFcstFinish]]+Tasks[[#This Row],[_Row]]/100000,"")</f>
        <v/>
      </c>
      <c r="GH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0" s="43" t="str">
        <f aca="false">IF(Tasks[[#This Row],[Task Name]]="","",LEFT(Tasks[[#This Row],[WBS]],FIND(".",Tasks[[#This Row],[WBS]]&amp;".")-1))</f>
        <v/>
      </c>
      <c r="GJ90" s="43" t="str">
        <f aca="false">IF(AND(Tasks[[#This Row],[Task Name]]&lt;&gt;"",Tasks[[#This Row],[_Level]]=1),Tasks[[#This Row],[_Row]],"")</f>
        <v/>
      </c>
      <c r="GK90" s="43" t="str">
        <f aca="false">IF(AND(Tasks[[#This Row],[_IsLeaf]]=1,N(Tasks[[#This Row],[_Days]])=0),Tasks[[#This Row],[Planned Finish]]+Tasks[[#This Row],[_Row]]/100000,"")</f>
        <v/>
      </c>
      <c r="GL90" s="43" t="str">
        <f aca="false">IF(AND(Tasks[[#This Row],[_IsLeaf]]=1,Tasks[[#This Row],[_LeafProgress]]&lt;1,OR(N(Tasks[[#This Row],[Finish Var]])&gt;0,Tasks[[#This Row],[Status]]="Late Start")),MAX(0,Tasks[[#This Row],[Finish Var]])+1-Tasks[[#This Row],[_Row]]/1000000,"")</f>
        <v/>
      </c>
      <c r="GM90" s="43" t="str">
        <f aca="false">IF(AND(Tasks[[#This Row],[_IsLeaf]]=1,N(Tasks[[#This Row],[Actual Start]])=0,Tasks[[#This Row],[_ShownFcstStart]]&gt;=StatusDate,Tasks[[#This Row],[_ShownFcstStart]]&lt;=LookaheadEnd),Tasks[[#This Row],[_ShownFcstStart]]+Tasks[[#This Row],[_Row]]/100000,"")</f>
        <v/>
      </c>
      <c r="GN90" s="43" t="str">
        <f aca="false">IF(AND(Tasks[[#This Row],[_IsLeaf]]=1,Tasks[[#This Row],[_LeafProgress]]&lt;1,Tasks[[#This Row],[_ShownFcstFinish]]&gt;=StatusDate,Tasks[[#This Row],[_ShownFcstFinish]]&lt;=LookaheadEnd),Tasks[[#This Row],[_ShownFcstFinish]]+Tasks[[#This Row],[_Row]]/100000,"")</f>
        <v/>
      </c>
      <c r="GO90" s="43" t="str">
        <f aca="false">IF(Tasks[[#This Row],[_LeafCritical]],Tasks[[#This Row],[_ShownFcstStart]]+Tasks[[#This Row],[_Row]]/100000,"")</f>
        <v/>
      </c>
      <c r="GP90" s="43" t="n">
        <f aca="false">Tasks[[#This Row],[_LeafWork]]*Tasks[[#This Row],[_LeafProgress]]</f>
        <v>0</v>
      </c>
      <c r="GQ90" s="91" t="str">
        <f aca="false">IF(AND(Tasks[[#This Row],[_IsLeaf]]=1,Tasks[[#This Row],[_LeafProgress]]&gt;=1),IF(N(Tasks[[#This Row],[Actual Finish]])&gt;0,Tasks[[#This Row],[Actual Finish]],Tasks[[#This Row],[_ShownFcstFinish]]),"")</f>
        <v/>
      </c>
      <c r="GR90" s="43" t="n">
        <f aca="false">IF(Tasks[[#This Row],[_IsLeaf]]=1,N(Tasks[[#This Row],[Story Points]]),0)</f>
        <v>0</v>
      </c>
      <c r="GS90" s="43" t="str">
        <f aca="false">""</f>
        <v/>
      </c>
      <c r="GT90" s="90" t="b">
        <f aca="false">IF(Tasks[[#This Row],[Task Name]]="",FALSE(),AND(Tasks[[#This Row],[_IsLeaf]]=1,N(Tasks[[#This Row],[_Days]])=0))</f>
        <v>0</v>
      </c>
      <c r="GU90" s="91" t="n">
        <f aca="false">IF(Tasks[[#This Row],[Task Name]]="",0,IF(AND(Tasks[[#This Row],[_IsLeaf]]=1,NOT(Tasks[[#This Row],[_IsMilestone]]),N(Tasks[[#This Row],[Progress]])&gt;0),Tasks[[#This Row],[Start]],0))</f>
        <v>0</v>
      </c>
      <c r="GV90" s="91" t="n">
        <f aca="false">IF(Tasks[[#This Row],[_DoneFrom]]=0,0,IF(Tasks[[#This Row],[Progress]]&gt;=1,Tasks[[#This Row],[Finish]],MAX(Tasks[[#This Row],[_DoneFrom]],Tasks[[#This Row],[Start]]+ROUND((Tasks[[#This Row],[Finish]]-Tasks[[#This Row],[Start]]+1)*Tasks[[#This Row],[Progress]],0)-1)))</f>
        <v>0</v>
      </c>
      <c r="GW90" s="91" t="n">
        <f aca="false">IF(Tasks[[#This Row],[Task Name]]="",0,IF(OR(NOT(Tasks[[#This Row],[_IsLeaf]]=1),Tasks[[#This Row],[_IsMilestone]],N(Tasks[[#This Row],[Progress]])&gt;=1),0,IF(Tasks[[#This Row],[_DoneTo]]&gt;0,Tasks[[#This Row],[_DoneTo]]+1,Tasks[[#This Row],[Start]])))</f>
        <v>0</v>
      </c>
      <c r="GX90" s="91" t="n">
        <f aca="false">IF(Tasks[[#This Row],[_RemFrom]]=0,0,Tasks[[#This Row],[Finish]])</f>
        <v>0</v>
      </c>
      <c r="GY90" s="90" t="b">
        <f aca="false">IF(Tasks[[#This Row],[Task Name]]="",FALSE(),OR(NOT(BaselineSet),N(Tasks[[#This Row],[Baseline Start]])&gt;0))</f>
        <v>0</v>
      </c>
      <c r="GZ9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0" s="92" t="str">
        <f aca="false">IF(Tasks[[#This Row],[_IsLeaf]]=1,Tasks[[#This Row],[_Row]],"")</f>
        <v/>
      </c>
      <c r="HD90" s="92" t="str">
        <f aca="false">IFERROR(INDEX(Tasks[UID],SMALL(Tasks[_PickKey],Tasks[[#This Row],[_Row]]))&amp;" "&amp;INDEX(Tasks[Task Name],SMALL(Tasks[_PickKey],Tasks[[#This Row],[_Row]])),"")</f>
        <v/>
      </c>
      <c r="HE90" s="43" t="str">
        <f aca="false">IF(Tasks[[#This Row],[Task Name]]="","",IF(Tasks[[#This Row],[_IsSummary]],NETWORKDAYS.INTL(Tasks[[#This Row],[Start]],Tasks[[#This Row],[Finish]],WorkWeek,Holidays),N(Tasks[[#This Row],[_Days]])))</f>
        <v/>
      </c>
      <c r="HF90" s="43" t="n">
        <f aca="false">IF(Tasks[[#This Row],[Expected]]="",0,((Tasks[[#This Row],[Pessimistic]]-Tasks[[#This Row],[Optimistic]])/6)^2)</f>
        <v>0</v>
      </c>
      <c r="HG90" s="43" t="n">
        <f aca="false">IF(Tasks[[#This Row],[Expected]]="",0,Tasks[[#This Row],[Expected]]-N(Tasks[[#This Row],[_Days]]))</f>
        <v>0</v>
      </c>
    </row>
    <row r="91" customFormat="false" ht="15" hidden="false" customHeight="false" outlineLevel="0" collapsed="false">
      <c r="A91" s="21" t="str">
        <f aca="false">IF(Tasks[[#This Row],[Task Name]]="","",COUNTA(Tasks[[#Headers],[Task Name]]:Tasks[[#This Row],[Task Name]])-1)</f>
        <v/>
      </c>
      <c r="B91" s="22" t="n">
        <v>99</v>
      </c>
      <c r="C91" s="22"/>
      <c r="D91" s="23"/>
      <c r="E91" s="22"/>
      <c r="F91" s="23"/>
      <c r="G91" s="22"/>
      <c r="H91" s="22"/>
      <c r="I91" s="23"/>
      <c r="J91" s="22"/>
      <c r="K91" s="22"/>
      <c r="L91" s="23"/>
      <c r="M91" s="22"/>
      <c r="N91" s="22"/>
      <c r="O91" s="23"/>
      <c r="P91" s="22"/>
      <c r="Q91" s="22"/>
      <c r="R91" s="23"/>
      <c r="S91" s="23"/>
      <c r="T91" s="84"/>
      <c r="U91" s="23"/>
      <c r="V91" s="84"/>
      <c r="W91" s="23"/>
      <c r="X91" s="84"/>
      <c r="Y91" s="23"/>
      <c r="Z91" s="84"/>
      <c r="AA91" s="23"/>
      <c r="AB91" s="23"/>
      <c r="AC91" s="7"/>
      <c r="AD91" s="7"/>
      <c r="AE91" s="63" t="str">
        <f aca="false">IF(Tasks[[#This Row],[Task Name]]="","",IF(Tasks[[#This Row],[_IsSummary]],MIN(INDEX(Tasks[_ShownFcstStart],Tasks[[#This Row],[_Row]]+1):INDEX(Tasks[_ShownFcstStart],Tasks[[#This Row],[_Row]]+Tasks[[#This Row],[_Descendants]])),Tasks[[#This Row],[_ShownFcstStart]]))</f>
        <v/>
      </c>
      <c r="AF91" s="63" t="str">
        <f aca="false">IF(Tasks[[#This Row],[Task Name]]="","",IF(Tasks[[#This Row],[_IsSummary]],MAX(INDEX(Tasks[_ShownFcstFinish],Tasks[[#This Row],[_Row]]+1):INDEX(Tasks[_ShownFcstFinish],Tasks[[#This Row],[_Row]]+Tasks[[#This Row],[_Descendants]])),Tasks[[#This Row],[_ShownFcstFinish]]))</f>
        <v/>
      </c>
      <c r="AG91" s="21" t="str">
        <f aca="false">""</f>
        <v/>
      </c>
      <c r="AH91" s="23"/>
      <c r="AI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1" s="7"/>
      <c r="AK91" s="22"/>
      <c r="AL91" s="23"/>
      <c r="AM91" s="7"/>
      <c r="AN91" s="47" t="str">
        <f aca="false">IF(Tasks[[#This Row],[Task Name]]="","",IF(Tasks[[#This Row],[Finish]]&gt;=Tasks[[#This Row],[Planned Finish]],NETWORKDAYS.INTL(Tasks[[#This Row],[Planned Finish]],Tasks[[#This Row],[Finish]],WorkWeek,Holidays)-1,1-NETWORKDAYS.INTL(Tasks[[#This Row],[Finish]],Tasks[[#This Row],[Planned Finish]],WorkWeek,Holidays)))</f>
        <v/>
      </c>
      <c r="AO91" s="21" t="str">
        <f aca="false">IF(Tasks[[#This Row],[Task Name]]="","",IF(Tasks[[#This Row],[Progress]]&gt;=1,"Complete",IF(OR(N(Tasks[[#This Row],[Actual Start]])&gt;0,Tasks[[#This Row],[Progress]]&gt;0),IF(Tasks[[#This Row],[Finish Var]]&gt;0,"Behind","In Progress"),IF(Tasks[[#This Row],[Planned Start]]&lt;StatusDate,"Late Start","Not Started"))))</f>
        <v/>
      </c>
      <c r="AP91" s="21" t="str">
        <f aca="false">IF(Tasks[[#This Row],[Task Name]]="","",IF(IF(Tasks[[#This Row],[_IsSummary]],COUNTIF(INDEX(Tasks[_LeafCritical],Tasks[[#This Row],[_Row]]+1):INDEX(Tasks[_LeafCritical],Tasks[[#This Row],[_Row]]+Tasks[[#This Row],[_Descendants]]),TRUE())&gt;0,Tasks[[#This Row],[_LeafCritical]]),"Yes",""))</f>
        <v/>
      </c>
      <c r="AQ91" s="63" t="str">
        <f aca="false">IF(Tasks[[#This Row],[Task Name]]="","",IF(N(Tasks[[#This Row],[Baseline Start]])&gt;0,Tasks[[#This Row],[Baseline Start]],Tasks[[#This Row],[_CalcStart]]))</f>
        <v/>
      </c>
      <c r="AR91" s="63" t="str">
        <f aca="false">IF(Tasks[[#This Row],[Task Name]]="","",IF(N(Tasks[[#This Row],[Baseline Finish]])&gt;0,Tasks[[#This Row],[Baseline Finish]],Tasks[[#This Row],[_CalcFinish]]))</f>
        <v/>
      </c>
      <c r="AS91" s="47" t="str">
        <f aca="false">IF(Tasks[[#This Row],[Task Name]]="","",IF(Tasks[[#This Row],[Start]]&gt;=Tasks[[#This Row],[Planned Start]],NETWORKDAYS.INTL(Tasks[[#This Row],[Planned Start]],Tasks[[#This Row],[Start]],WorkWeek,Holidays)-1,1-NETWORKDAYS.INTL(Tasks[[#This Row],[Start]],Tasks[[#This Row],[Planned Start]],WorkWeek,Holidays)))</f>
        <v/>
      </c>
      <c r="AT91" s="63" t="str">
        <f aca="false">IF(Tasks[[#This Row],[Task Name]]="","",IF(Tasks[[#This Row],[_IsSummary]],MIN(INDEX(Tasks[_LeafLateStart],Tasks[[#This Row],[_Row]]+1):INDEX(Tasks[_LeafLateStart],Tasks[[#This Row],[_Row]]+Tasks[[#This Row],[_Descendants]])),Tasks[[#This Row],[_LeafLateStart]]))</f>
        <v/>
      </c>
      <c r="AU91" s="63" t="str">
        <f aca="false">IF(Tasks[[#This Row],[Task Name]]="","",IF(Tasks[[#This Row],[_IsSummary]],MAX(INDEX(Tasks[_LeafLateFinish],Tasks[[#This Row],[_Row]]+1):INDEX(Tasks[_LeafLateFinish],Tasks[[#This Row],[_Row]]+Tasks[[#This Row],[_Descendants]])),Tasks[[#This Row],[_LeafLateFinish]]))</f>
        <v/>
      </c>
      <c r="AV91" s="47" t="str">
        <f aca="false">IF(Tasks[[#This Row],[Task Name]]="","",IF(Tasks[[#This Row],[_IsSummary]],MIN(INDEX(Tasks[_LeafTotalSlack],Tasks[[#This Row],[_Row]]+1):INDEX(Tasks[_LeafTotalSlack],Tasks[[#This Row],[_Row]]+Tasks[[#This Row],[_Descendants]])),Tasks[[#This Row],[_LeafTotalSlack]]))</f>
        <v/>
      </c>
      <c r="AW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5"/>
      <c r="BA9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t="str">
        <f aca="false">IF(Tasks[[#This Row],[Task Name]]="","",IF(Tasks[[#This Row],[_Level]]&lt;=OutlineShowLevel,"Yes","No"))</f>
        <v/>
      </c>
      <c r="BE91" s="86" t="str">
        <f aca="false">IF(Tasks[[#This Row],[Task Name]]="","",IF(Tasks[[#This Row],[_IsSummary]],SUM(INDEX(Tasks[_LeafTotalWork],Tasks[[#This Row],[_Row]]+1):INDEX(Tasks[_LeafTotalWork],Tasks[[#This Row],[_Row]]+Tasks[[#This Row],[_Descendants]])),Tasks[[#This Row],[_LeafTotalWork]]))</f>
        <v/>
      </c>
      <c r="BF91" s="23"/>
      <c r="BG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t="str">
        <f aca="false">""</f>
        <v/>
      </c>
      <c r="BI91" s="87"/>
      <c r="BJ91" s="22"/>
      <c r="BK91" s="47" t="str">
        <f aca="false">IF(OR(Tasks[[#This Row],[Task Name]]="",Tasks[[#This Row],[Baseline Duration]]=""),"",Tasks[[#This Row],[_SpanDays]]-N(Tasks[[#This Row],[Baseline Duration]]))</f>
        <v/>
      </c>
      <c r="BL91" s="86" t="str">
        <f aca="false">IF(OR(Tasks[[#This Row],[Task Name]]="",Tasks[[#This Row],[Baseline Work]]=""),"",Tasks[[#This Row],[Work]]-N(Tasks[[#This Row],[Baseline Work]]))</f>
        <v/>
      </c>
      <c r="BM91" s="63" t="str">
        <f aca="false">IF(Tasks[[#This Row],[Task Name]]="","",IF(OR(TakeBaseline="Yes",N(Tasks[[#This Row],[Baseline Start]])=0),Tasks[[#This Row],[Start]],Tasks[[#This Row],[Baseline Start]]))</f>
        <v/>
      </c>
      <c r="BN91" s="63" t="str">
        <f aca="false">IF(Tasks[[#This Row],[Task Name]]="","",IF(OR(TakeBaseline="Yes",N(Tasks[[#This Row],[Baseline Finish]])=0),Tasks[[#This Row],[Finish]],Tasks[[#This Row],[Baseline Finish]]))</f>
        <v/>
      </c>
      <c r="BO91" s="21" t="str">
        <f aca="false">IF(Tasks[[#This Row],[Task Name]]="","",IF(OR(TakeBaseline="Yes",N(Tasks[[#This Row],[Baseline Duration]])=0),Tasks[[#This Row],[_SpanDays]],Tasks[[#This Row],[Baseline Duration]]))</f>
        <v/>
      </c>
      <c r="BP91" s="86" t="str">
        <f aca="false">IF(Tasks[[#This Row],[Task Name]]="","",IF(OR(TakeBaseline="Yes",N(Tasks[[#This Row],[Baseline Work]])=0),Tasks[[#This Row],[Work]],Tasks[[#This Row],[Baseline Work]]))</f>
        <v/>
      </c>
      <c r="BQ91" s="7"/>
      <c r="BR91" s="7"/>
      <c r="BS91" s="22"/>
      <c r="BT91" s="88"/>
      <c r="BU91" s="23"/>
      <c r="BV91" s="23"/>
      <c r="BW91" s="23"/>
      <c r="BX91" s="89" t="str">
        <f aca="false">IF(AND(Tasks[[#This Row],[_IsLeaf]]=1,ISNUMBER(Tasks[[#This Row],[Optimistic]]),ISNUMBER(Tasks[[#This Row],[Pessimistic]])),ROUND((Tasks[[#This Row],[Optimistic]]+4*N(Tasks[[#This Row],[_Days]])+Tasks[[#This Row],[Pessimistic]])/6,1),"")</f>
        <v/>
      </c>
      <c r="BY91" s="87"/>
      <c r="BZ91" s="87"/>
      <c r="CA91" s="22"/>
      <c r="CB91" s="43" t="str">
        <f aca="false">IF(Tasks[[#This Row],[Task Name]]="","",MAX(1,N(Tasks[[#This Row],[Level]])))</f>
        <v/>
      </c>
      <c r="CC91" s="43" t="n">
        <f aca="false">ROW()-ROW(Tasks[[#Headers],[ID]])</f>
        <v>86</v>
      </c>
      <c r="CD91" s="43" t="n">
        <f aca="false">IF(OR(Tasks[[#This Row],[Task Name]]="",Tasks[[#This Row],[_Level]]&lt;=1),0,IFERROR(LOOKUP(2,1/(Tasks[[#Headers],[_Level]]:Tasks[[#This Row],[_Level]]=Tasks[[#This Row],[_Level]]-1),ROW(Tasks[[#Headers],[_Level]]:Tasks[[#This Row],[_Level]])),0))</f>
        <v>0</v>
      </c>
      <c r="CE91" s="43" t="n">
        <f aca="false">IFERROR(N(INDEX(Tasks[_Level],Tasks[[#This Row],[_Row]]+1)),0)</f>
        <v>0</v>
      </c>
      <c r="CF91" s="90" t="b">
        <f aca="false">AND(Tasks[[#This Row],[Task Name]]&lt;&gt;"",Tasks[[#This Row],[_NextLevel]]&gt;Tasks[[#This Row],[_Level]])</f>
        <v>0</v>
      </c>
      <c r="CG91" s="43" t="n">
        <f aca="false">IF(Tasks[[#This Row],[_IsSummary]],COUNTIF(Tasks[WBS],Tasks[[#This Row],[WBS]]&amp;".*"),0)</f>
        <v>0</v>
      </c>
      <c r="CH91" s="43" t="n">
        <f aca="false">IF(AND(Tasks[[#This Row],[Task Name]]&lt;&gt;"",NOT(Tasks[[#This Row],[_IsSummary]])),1,0)</f>
        <v>0</v>
      </c>
      <c r="CI91" s="43" t="n">
        <f aca="false">IF(N(Tasks[[#This Row],[_Pred1UID]])=0,0,IFERROR(MATCH(Tasks[[#This Row],[_Pred1UID]],Tasks[UID],0),-1))</f>
        <v>0</v>
      </c>
      <c r="CJ91" s="43" t="n">
        <f aca="false">IF(N(Tasks[[#This Row],[_Pred2UID]])=0,0,IFERROR(MATCH(Tasks[[#This Row],[_Pred2UID]],Tasks[UID],0),-1))</f>
        <v>0</v>
      </c>
      <c r="CK91" s="43" t="n">
        <f aca="false">IF(N(Tasks[[#This Row],[_Pred3UID]])=0,0,IFERROR(MATCH(Tasks[[#This Row],[_Pred3UID]],Tasks[UID],0),-1))</f>
        <v>0</v>
      </c>
      <c r="CL91" s="43" t="n">
        <f aca="false">IF(N(Tasks[[#This Row],[_Pred4UID]])=0,0,IFERROR(MATCH(Tasks[[#This Row],[_Pred4UID]],Tasks[UID],0),-1))</f>
        <v>0</v>
      </c>
      <c r="CM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1" s="91" t="n">
        <f aca="false">IF(OR(Tasks[[#This Row],[_ConstraintCode]]=2,Tasks[[#This Row],[_ConstraintCode]]=3,Tasks[[#This Row],[_ConstraintCode]]=4,Tasks[[#This Row],[_ConstraintCode]]=6),Tasks[[#This Row],[_ConstraintStart]],0)</f>
        <v>0</v>
      </c>
      <c r="CP91" s="91" t="n">
        <f aca="false">IF(OR(Tasks[[#This Row],[_ConstraintCode]]=2,Tasks[[#This Row],[_ConstraintCode]]=3,Tasks[[#This Row],[_ConstraintCode]]=5,Tasks[[#This Row],[_ConstraintCode]]=7),Tasks[[#This Row],[_ConstraintStart]],2958465)</f>
        <v>2958465</v>
      </c>
      <c r="CQ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1" s="91" t="str">
        <f aca="false">IF(NOT(Tasks[[#This Row],[_IsLeaf]]=1),"",IF(N(Tasks[[#This Row],[_Days]])&lt;=0,Tasks[[#This Row],[_LeafCalcStart]],WORKDAY.INTL(Tasks[[#This Row],[_LeafCalcStart]],Tasks[[#This Row],[_Days]]-1,WorkWeek,Holidays)))</f>
        <v/>
      </c>
      <c r="CS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1" s="43" t="str">
        <f aca="false">IF(Tasks[[#This Row],[_Predecessors]]="","",TRIM(MID(SUBSTITUTE(SUBSTITUTE(SUBSTITUTE(UPPER(Tasks[[#This Row],[_Predecessors]]),";",",")," ",""),",",REPT(" ",99)),1,99)))</f>
        <v/>
      </c>
      <c r="CV91" s="43" t="str">
        <f aca="false">IF(Tasks[[#This Row],[_Pred1Text]]="","",IFERROR(VALUE(LEFT(Tasks[[#This Row],[_Pred1Text]],MIN(FIND("F",Tasks[[#This Row],[_Pred1Text]]&amp;"F"),FIND("S",Tasks[[#This Row],[_Pred1Text]]&amp;"S"),FIND("+",Tasks[[#This Row],[_Pred1Text]]&amp;"+"),FIND("-",Tasks[[#This Row],[_Pred1Text]]&amp;"-"))-1)),""))</f>
        <v/>
      </c>
      <c r="CW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1" s="43" t="str">
        <f aca="false">IF(Tasks[[#This Row],[_Pred1Text]]="","",TRIM(MID(SUBSTITUTE(SUBSTITUTE(SUBSTITUTE(UPPER(Tasks[[#This Row],[_Predecessors]]),";",",")," ",""),",",REPT(" ",99)),100,99)))</f>
        <v/>
      </c>
      <c r="CZ91" s="43" t="str">
        <f aca="false">IF(Tasks[[#This Row],[_Pred2Text]]="","",IFERROR(VALUE(LEFT(Tasks[[#This Row],[_Pred2Text]],MIN(FIND("F",Tasks[[#This Row],[_Pred2Text]]&amp;"F"),FIND("S",Tasks[[#This Row],[_Pred2Text]]&amp;"S"),FIND("+",Tasks[[#This Row],[_Pred2Text]]&amp;"+"),FIND("-",Tasks[[#This Row],[_Pred2Text]]&amp;"-"))-1)),""))</f>
        <v/>
      </c>
      <c r="DA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1" s="43" t="str">
        <f aca="false">IF(Tasks[[#This Row],[_Pred2Text]]="","",TRIM(MID(SUBSTITUTE(SUBSTITUTE(SUBSTITUTE(UPPER(Tasks[[#This Row],[_Predecessors]]),";",",")," ",""),",",REPT(" ",99)),199,99)))</f>
        <v/>
      </c>
      <c r="DD91" s="43" t="str">
        <f aca="false">IF(Tasks[[#This Row],[_Pred3Text]]="","",IFERROR(VALUE(LEFT(Tasks[[#This Row],[_Pred3Text]],MIN(FIND("F",Tasks[[#This Row],[_Pred3Text]]&amp;"F"),FIND("S",Tasks[[#This Row],[_Pred3Text]]&amp;"S"),FIND("+",Tasks[[#This Row],[_Pred3Text]]&amp;"+"),FIND("-",Tasks[[#This Row],[_Pred3Text]]&amp;"-"))-1)),""))</f>
        <v/>
      </c>
      <c r="DE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1" s="43" t="str">
        <f aca="false">IF(Tasks[[#This Row],[_Pred3Text]]="","",TRIM(MID(SUBSTITUTE(SUBSTITUTE(SUBSTITUTE(UPPER(Tasks[[#This Row],[_Predecessors]]),";",",")," ",""),",",REPT(" ",99)),298,99)))</f>
        <v/>
      </c>
      <c r="DH91" s="43" t="str">
        <f aca="false">IF(Tasks[[#This Row],[_Pred4Text]]="","",IFERROR(VALUE(LEFT(Tasks[[#This Row],[_Pred4Text]],MIN(FIND("F",Tasks[[#This Row],[_Pred4Text]]&amp;"F"),FIND("S",Tasks[[#This Row],[_Pred4Text]]&amp;"S"),FIND("+",Tasks[[#This Row],[_Pred4Text]]&amp;"+"),FIND("-",Tasks[[#This Row],[_Pred4Text]]&amp;"-"))-1)),""))</f>
        <v/>
      </c>
      <c r="DI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1" s="43" t="str">
        <f aca="false">IF(OR(Tasks[[#This Row],[Task Name]]="",Tasks[[#This Row],[_Resources]]=""),"",TRIM(MID(SUBSTITUTE(Tasks[[#This Row],[_Resources]],",",REPT(" ",99)),1,99)))</f>
        <v/>
      </c>
      <c r="DL91" s="43" t="str">
        <f aca="false">IF(Tasks[[#This Row],[_Res1Text]]="","",TRIM(MID(SUBSTITUTE(Tasks[[#This Row],[_Resources]],",",REPT(" ",99)),100,99)))</f>
        <v/>
      </c>
      <c r="DM91" s="43" t="str">
        <f aca="false">IF(Tasks[[#This Row],[_Res2Text]]="","",TRIM(MID(SUBSTITUTE(Tasks[[#This Row],[_Resources]],",",REPT(" ",99)),199,99)))</f>
        <v/>
      </c>
      <c r="DN91" s="43" t="str">
        <f aca="false">IF(Tasks[[#This Row],[_Res3Text]]="","",TRIM(MID(SUBSTITUTE(Tasks[[#This Row],[_Resources]],",",REPT(" ",99)),298,99)))</f>
        <v/>
      </c>
      <c r="DO91" s="43" t="n">
        <f aca="false">IF(Tasks[[#This Row],[_Res1Text]]="",0,IFERROR(MATCH(TRIM(LEFT(Tasks[[#This Row],[_Res1Text]],FIND("[",Tasks[[#This Row],[_Res1Text]]&amp;"[")-1)),res_Name,0),IFERROR(MATCH(TRIM(LEFT(Tasks[[#This Row],[_Res1Text]],FIND("[",Tasks[[#This Row],[_Res1Text]]&amp;"[")-1)),res_Initials,0),0)))</f>
        <v>0</v>
      </c>
      <c r="DP91" s="43" t="n">
        <f aca="false">IF(Tasks[[#This Row],[_Res2Text]]="",0,IFERROR(MATCH(TRIM(LEFT(Tasks[[#This Row],[_Res2Text]],FIND("[",Tasks[[#This Row],[_Res2Text]]&amp;"[")-1)),res_Name,0),IFERROR(MATCH(TRIM(LEFT(Tasks[[#This Row],[_Res2Text]],FIND("[",Tasks[[#This Row],[_Res2Text]]&amp;"[")-1)),res_Initials,0),0)))</f>
        <v>0</v>
      </c>
      <c r="DQ91" s="43" t="n">
        <f aca="false">IF(Tasks[[#This Row],[_Res3Text]]="",0,IFERROR(MATCH(TRIM(LEFT(Tasks[[#This Row],[_Res3Text]],FIND("[",Tasks[[#This Row],[_Res3Text]]&amp;"[")-1)),res_Name,0),IFERROR(MATCH(TRIM(LEFT(Tasks[[#This Row],[_Res3Text]],FIND("[",Tasks[[#This Row],[_Res3Text]]&amp;"[")-1)),res_Initials,0),0)))</f>
        <v>0</v>
      </c>
      <c r="DR91" s="43" t="n">
        <f aca="false">IF(Tasks[[#This Row],[_Res4Text]]="",0,IFERROR(MATCH(TRIM(LEFT(Tasks[[#This Row],[_Res4Text]],FIND("[",Tasks[[#This Row],[_Res4Text]]&amp;"[")-1)),res_Name,0),IFERROR(MATCH(TRIM(LEFT(Tasks[[#This Row],[_Res4Text]],FIND("[",Tasks[[#This Row],[_Res4Text]]&amp;"[")-1)),res_Initials,0),0)))</f>
        <v>0</v>
      </c>
      <c r="DS91" s="43" t="str">
        <f aca="false">IF(Tasks[[#This Row],[_Res1Text]]="","",IF(Tasks[[#This Row],[_Res1Row]]&gt;0,INDEX(res_Name,Tasks[[#This Row],[_Res1Row]]),TRIM(LEFT(Tasks[[#This Row],[_Res1Text]],FIND("[",Tasks[[#This Row],[_Res1Text]]&amp;"[")-1))))</f>
        <v/>
      </c>
      <c r="DT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1" s="43" t="n">
        <f aca="false">IF(NOT(Tasks[[#This Row],[_IsLeaf]]=1),0,(Tasks[[#This Row],[_Resource1]]&lt;&gt;"")+(Tasks[[#This Row],[_Res2]]&lt;&gt;"")+(Tasks[[#This Row],[_Res3]]&lt;&gt;"")+(Tasks[[#This Row],[_Res4]]&lt;&gt;""))</f>
        <v>0</v>
      </c>
      <c r="DV91" s="43" t="str">
        <f aca="false">IF(Tasks[[#This Row],[_Res2Text]]="","",IF(Tasks[[#This Row],[_Res2Row]]&gt;0,INDEX(res_Name,Tasks[[#This Row],[_Res2Row]]),TRIM(LEFT(Tasks[[#This Row],[_Res2Text]],FIND("[",Tasks[[#This Row],[_Res2Text]]&amp;"[")-1))))</f>
        <v/>
      </c>
      <c r="DW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1" s="43" t="n">
        <f aca="false">IF(OR(NOT(Tasks[[#This Row],[_IsLeaf]]=1),Tasks[[#This Row],[_Res2Row]]=0),0,N(Tasks[[#This Row],[_Days]])*HoursPerDay*IF(Tasks[[#This Row],[_Res2Units]]="",DefaultUnits,Tasks[[#This Row],[_Res2Units]]))</f>
        <v>0</v>
      </c>
      <c r="DY91" s="43" t="n">
        <f aca="false">IF(AND(AND(Tasks[[#This Row],[_IsLeaf]]=1,Tasks[[#This Row],[_LeafTotalWork]]&gt;0),Tasks[[#This Row],[_Res2Work]]&gt;0),Tasks[[#This Row],[_Res2Work]]/(Tasks[[#This Row],[_FinishWorkday]]-Tasks[[#This Row],[_StartWorkday]]+1),0)</f>
        <v>0</v>
      </c>
      <c r="DZ91" s="43" t="n">
        <f aca="false">Tasks[[#This Row],[_Res2WorkPerWD]]*MAX(0,Tasks[[#This Row],[_StartWorkday]]-1)</f>
        <v>0</v>
      </c>
      <c r="EA91" s="43" t="n">
        <f aca="false">Tasks[[#This Row],[_Res2Work]]*Tasks[[#This Row],[_LeafProgress]]</f>
        <v>0</v>
      </c>
      <c r="EB91" s="43" t="str">
        <f aca="false">IF(Tasks[[#This Row],[_Res3Text]]="","",IF(Tasks[[#This Row],[_Res3Row]]&gt;0,INDEX(res_Name,Tasks[[#This Row],[_Res3Row]]),TRIM(LEFT(Tasks[[#This Row],[_Res3Text]],FIND("[",Tasks[[#This Row],[_Res3Text]]&amp;"[")-1))))</f>
        <v/>
      </c>
      <c r="EC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1" s="43" t="n">
        <f aca="false">IF(OR(NOT(Tasks[[#This Row],[_IsLeaf]]=1),Tasks[[#This Row],[_Res3Row]]=0),0,N(Tasks[[#This Row],[_Days]])*HoursPerDay*IF(Tasks[[#This Row],[_Res3Units]]="",DefaultUnits,Tasks[[#This Row],[_Res3Units]]))</f>
        <v>0</v>
      </c>
      <c r="EE91" s="43" t="n">
        <f aca="false">IF(AND(AND(Tasks[[#This Row],[_IsLeaf]]=1,Tasks[[#This Row],[_LeafTotalWork]]&gt;0),Tasks[[#This Row],[_Res3Work]]&gt;0),Tasks[[#This Row],[_Res3Work]]/(Tasks[[#This Row],[_FinishWorkday]]-Tasks[[#This Row],[_StartWorkday]]+1),0)</f>
        <v>0</v>
      </c>
      <c r="EF91" s="43" t="n">
        <f aca="false">Tasks[[#This Row],[_Res3WorkPerWD]]*MAX(0,Tasks[[#This Row],[_StartWorkday]]-1)</f>
        <v>0</v>
      </c>
      <c r="EG91" s="43" t="n">
        <f aca="false">Tasks[[#This Row],[_Res3Work]]*Tasks[[#This Row],[_LeafProgress]]</f>
        <v>0</v>
      </c>
      <c r="EH91" s="43" t="str">
        <f aca="false">IF(Tasks[[#This Row],[_Res4Text]]="","",IF(Tasks[[#This Row],[_Res4Row]]&gt;0,INDEX(res_Name,Tasks[[#This Row],[_Res4Row]]),TRIM(LEFT(Tasks[[#This Row],[_Res4Text]],FIND("[",Tasks[[#This Row],[_Res4Text]]&amp;"[")-1))))</f>
        <v/>
      </c>
      <c r="EI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1" s="43" t="n">
        <f aca="false">IF(OR(NOT(Tasks[[#This Row],[_IsLeaf]]=1),Tasks[[#This Row],[_Res4Row]]=0),0,N(Tasks[[#This Row],[_Days]])*HoursPerDay*IF(Tasks[[#This Row],[_Res4Units]]="",DefaultUnits,Tasks[[#This Row],[_Res4Units]]))</f>
        <v>0</v>
      </c>
      <c r="EK91" s="43" t="n">
        <f aca="false">IF(AND(AND(Tasks[[#This Row],[_IsLeaf]]=1,Tasks[[#This Row],[_LeafTotalWork]]&gt;0),Tasks[[#This Row],[_Res4Work]]&gt;0),Tasks[[#This Row],[_Res4Work]]/(Tasks[[#This Row],[_FinishWorkday]]-Tasks[[#This Row],[_StartWorkday]]+1),0)</f>
        <v>0</v>
      </c>
      <c r="EL91" s="43" t="n">
        <f aca="false">Tasks[[#This Row],[_Res4WorkPerWD]]*MAX(0,Tasks[[#This Row],[_StartWorkday]]-1)</f>
        <v>0</v>
      </c>
      <c r="EM91" s="43" t="n">
        <f aca="false">Tasks[[#This Row],[_Res4Work]]*Tasks[[#This Row],[_LeafProgress]]</f>
        <v>0</v>
      </c>
      <c r="EN91" s="43" t="n">
        <f aca="false">IF(ISNUMBER(Tasks[[#This Row],[% Complete]]),Tasks[[#This Row],[% Complete]],IF(Tasks[[#This Row],[Stage]]="",0,IFERROR(INDEX(stg_Pct,MATCH(Tasks[[#This Row],[Stage]],stg_Name,0)),0)))</f>
        <v>0</v>
      </c>
      <c r="EO91" s="43" t="n">
        <f aca="false">IF(NOT(Tasks[[#This Row],[_IsLeaf]]=1),0,IF(N(Tasks[[#This Row],[Actual Finish]])&gt;0,1,MIN(1,Tasks[[#This Row],[_Pct]])))</f>
        <v>0</v>
      </c>
      <c r="EP91" s="43" t="n">
        <f aca="false">IF(OR(NOT(Tasks[[#This Row],[_IsLeaf]]=1),Tasks[[#This Row],[_Res1Row]]=0),0,N(Tasks[[#This Row],[_Days]])*HoursPerDay*IF(Tasks[[#This Row],[_Units1]]="",DefaultUnits,Tasks[[#This Row],[_Units1]]))</f>
        <v>0</v>
      </c>
      <c r="EQ91" s="43" t="n">
        <f aca="false">Tasks[[#This Row],[_LeafWork]]+Tasks[[#This Row],[_Res2Work]]+Tasks[[#This Row],[_Res3Work]]+Tasks[[#This Row],[_Res4Work]]</f>
        <v>0</v>
      </c>
      <c r="ER9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1" s="43" t="n">
        <f aca="false">IF(NOT(Tasks[[#This Row],[_IsLeaf]]=1),0,MAX(_xlfn.MAXIFS(Tasks[_Row],Tasks[_Pred1UID],Tasks[[#This Row],[UID]]),_xlfn.MAXIFS(Tasks[_Row],Tasks[_Pred2UID],Tasks[[#This Row],[UID]]),_xlfn.MAXIFS(Tasks[_Row],Tasks[_Pred3UID],Tasks[[#This Row],[UID]]),_xlfn.MAXIFS(Tasks[_Row],Tasks[_Pred4UID],Tasks[[#This Row],[UID]])))</f>
        <v>0</v>
      </c>
      <c r="FA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1" s="91" t="str">
        <f aca="false">IF(NOT(Tasks[[#This Row],[_IsLeaf]]=1),"",IF(N(Tasks[[#This Row],[_Days]])&lt;=0,Tasks[[#This Row],[_LeafLateFinish]],WORKDAY.INTL(Tasks[[#This Row],[_LeafLateFinish]],-(Tasks[[#This Row],[_Days]]-1),WorkWeek,Holidays)))</f>
        <v/>
      </c>
      <c r="FD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1" s="90" t="b">
        <f aca="false">AND(Tasks[[#This Row],[_IsLeaf]]=1,Tasks[[#This Row],[_LeafProgress]]&lt;1,N(Tasks[[#This Row],[_LeafTotalSlack]])&lt;=CriticalSlackDays)</f>
        <v>0</v>
      </c>
      <c r="FF91" s="43" t="n">
        <f aca="false">IF(AND(Tasks[[#This Row],[_IsLeaf]]=1,Tasks[[#This Row],[_ConstraintCode]]=1,Tasks[[#This Row],[Mode]]&lt;&gt;"Manual",N(Tasks[[#This Row],[Actual Start]])=0),MAX(0,N(Tasks[[#This Row],[Free Slack]])),0)</f>
        <v>0</v>
      </c>
      <c r="FG91" s="91" t="str">
        <f aca="false">IF(NOT(Tasks[[#This Row],[_IsLeaf]]=1),"",IF(Tasks[[#This Row],[_AlapShift]]=0,Tasks[[#This Row],[_LeafCalcStart]],WORKDAY.INTL(Tasks[[#This Row],[_LeafCalcStart]],Tasks[[#This Row],[_AlapShift]],WorkWeek,Holidays)))</f>
        <v/>
      </c>
      <c r="FH91" s="91" t="str">
        <f aca="false">IF(NOT(Tasks[[#This Row],[_IsLeaf]]=1),"",IF(Tasks[[#This Row],[_AlapShift]]=0,Tasks[[#This Row],[_LeafCalcFinish]],WORKDAY.INTL(Tasks[[#This Row],[_LeafCalcFinish]],Tasks[[#This Row],[_AlapShift]],WorkWeek,Holidays)))</f>
        <v/>
      </c>
      <c r="FI91" s="91" t="str">
        <f aca="false">IF(NOT(Tasks[[#This Row],[_IsLeaf]]=1),"",IF(Tasks[[#This Row],[_AlapShift]]=0,Tasks[[#This Row],[_LeafFcstStart]],WORKDAY.INTL(Tasks[[#This Row],[_LeafFcstStart]],Tasks[[#This Row],[_AlapShift]],WorkWeek,Holidays)))</f>
        <v/>
      </c>
      <c r="FJ91" s="91" t="str">
        <f aca="false">IF(NOT(Tasks[[#This Row],[_IsLeaf]]=1),"",IF(Tasks[[#This Row],[_AlapShift]]=0,Tasks[[#This Row],[_LeafFcstFinish]],WORKDAY.INTL(Tasks[[#This Row],[_LeafFcstFinish]],Tasks[[#This Row],[_AlapShift]],WorkWeek,Holidays)))</f>
        <v/>
      </c>
      <c r="FK91" s="91" t="str">
        <f aca="false">IF(Tasks[[#This Row],[Task Name]]="","",IF(Tasks[[#This Row],[_IsSummary]],MIN(INDEX(Tasks[_ShownCalcStart],Tasks[[#This Row],[_Row]]+1):INDEX(Tasks[_ShownCalcStart],Tasks[[#This Row],[_Row]]+Tasks[[#This Row],[_Descendants]])),Tasks[[#This Row],[_ShownCalcStart]]))</f>
        <v/>
      </c>
      <c r="FL91" s="91" t="str">
        <f aca="false">IF(Tasks[[#This Row],[Task Name]]="","",IF(Tasks[[#This Row],[_IsSummary]],MAX(INDEX(Tasks[_ShownCalcFinish],Tasks[[#This Row],[_Row]]+1):INDEX(Tasks[_ShownCalcFinish],Tasks[[#This Row],[_Row]]+Tasks[[#This Row],[_Descendants]])),Tasks[[#This Row],[_ShownCalcFinish]]))</f>
        <v/>
      </c>
      <c r="FM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1" s="43" t="n">
        <f aca="false">IF(AND(Tasks[[#This Row],[_IsLeaf]]=1,Tasks[[#This Row],[_LeafTotalWork]]&gt;0),NETWORKDAYS.INTL(ProjectStart,Tasks[[#This Row],[_ShownFcstStart]],WorkWeek,Holidays),0)</f>
        <v>0</v>
      </c>
      <c r="FZ91" s="43" t="n">
        <f aca="false">IF(AND(Tasks[[#This Row],[_IsLeaf]]=1,Tasks[[#This Row],[_LeafTotalWork]]&gt;0),MAX(Tasks[[#This Row],[_StartWorkday]],NETWORKDAYS.INTL(ProjectStart,Tasks[[#This Row],[_ShownFcstFinish]],WorkWeek,Holidays)),0)</f>
        <v>0</v>
      </c>
      <c r="GA91" s="43" t="n">
        <f aca="false">IF(AND(Tasks[[#This Row],[_IsLeaf]]=1,Tasks[[#This Row],[_LeafTotalWork]]&gt;0),Tasks[[#This Row],[_LeafWork]]/(Tasks[[#This Row],[_FinishWorkday]]-Tasks[[#This Row],[_StartWorkday]]+1),0)</f>
        <v>0</v>
      </c>
      <c r="GB91" s="43" t="n">
        <f aca="false">Tasks[[#This Row],[_WorkPerWorkday]]*(Tasks[[#This Row],[_StartWorkday]]-1)</f>
        <v>-0</v>
      </c>
      <c r="GC91" s="43" t="n">
        <f aca="false">IF(Tasks[[#This Row],[_IsLeaf]]=1,MAX(N(Tasks[[#This Row],[_Days]]),0.1),0)</f>
        <v>0</v>
      </c>
      <c r="GD91" s="43" t="n">
        <f aca="false">Tasks[[#This Row],[_WeightDur]]*Tasks[[#This Row],[_LeafProgress]]</f>
        <v>0</v>
      </c>
      <c r="GE91" s="43" t="n">
        <f aca="false">Tasks[[#This Row],[_WeightDur]]*Tasks[[#This Row],[_PlannedPct]]</f>
        <v>0</v>
      </c>
      <c r="GF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1" s="43" t="str">
        <f aca="false">IF(AND(Tasks[[#This Row],[_IsLeaf]]=1,N(Tasks[[#This Row],[_Days]])=0,Tasks[[#This Row],[_LeafProgress]]&lt;1),Tasks[[#This Row],[_ShownFcstFinish]]+Tasks[[#This Row],[_Row]]/100000,"")</f>
        <v/>
      </c>
      <c r="GH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1" s="43" t="str">
        <f aca="false">IF(Tasks[[#This Row],[Task Name]]="","",LEFT(Tasks[[#This Row],[WBS]],FIND(".",Tasks[[#This Row],[WBS]]&amp;".")-1))</f>
        <v/>
      </c>
      <c r="GJ91" s="43" t="str">
        <f aca="false">IF(AND(Tasks[[#This Row],[Task Name]]&lt;&gt;"",Tasks[[#This Row],[_Level]]=1),Tasks[[#This Row],[_Row]],"")</f>
        <v/>
      </c>
      <c r="GK91" s="43" t="str">
        <f aca="false">IF(AND(Tasks[[#This Row],[_IsLeaf]]=1,N(Tasks[[#This Row],[_Days]])=0),Tasks[[#This Row],[Planned Finish]]+Tasks[[#This Row],[_Row]]/100000,"")</f>
        <v/>
      </c>
      <c r="GL91" s="43" t="str">
        <f aca="false">IF(AND(Tasks[[#This Row],[_IsLeaf]]=1,Tasks[[#This Row],[_LeafProgress]]&lt;1,OR(N(Tasks[[#This Row],[Finish Var]])&gt;0,Tasks[[#This Row],[Status]]="Late Start")),MAX(0,Tasks[[#This Row],[Finish Var]])+1-Tasks[[#This Row],[_Row]]/1000000,"")</f>
        <v/>
      </c>
      <c r="GM91" s="43" t="str">
        <f aca="false">IF(AND(Tasks[[#This Row],[_IsLeaf]]=1,N(Tasks[[#This Row],[Actual Start]])=0,Tasks[[#This Row],[_ShownFcstStart]]&gt;=StatusDate,Tasks[[#This Row],[_ShownFcstStart]]&lt;=LookaheadEnd),Tasks[[#This Row],[_ShownFcstStart]]+Tasks[[#This Row],[_Row]]/100000,"")</f>
        <v/>
      </c>
      <c r="GN91" s="43" t="str">
        <f aca="false">IF(AND(Tasks[[#This Row],[_IsLeaf]]=1,Tasks[[#This Row],[_LeafProgress]]&lt;1,Tasks[[#This Row],[_ShownFcstFinish]]&gt;=StatusDate,Tasks[[#This Row],[_ShownFcstFinish]]&lt;=LookaheadEnd),Tasks[[#This Row],[_ShownFcstFinish]]+Tasks[[#This Row],[_Row]]/100000,"")</f>
        <v/>
      </c>
      <c r="GO91" s="43" t="str">
        <f aca="false">IF(Tasks[[#This Row],[_LeafCritical]],Tasks[[#This Row],[_ShownFcstStart]]+Tasks[[#This Row],[_Row]]/100000,"")</f>
        <v/>
      </c>
      <c r="GP91" s="43" t="n">
        <f aca="false">Tasks[[#This Row],[_LeafWork]]*Tasks[[#This Row],[_LeafProgress]]</f>
        <v>0</v>
      </c>
      <c r="GQ91" s="91" t="str">
        <f aca="false">IF(AND(Tasks[[#This Row],[_IsLeaf]]=1,Tasks[[#This Row],[_LeafProgress]]&gt;=1),IF(N(Tasks[[#This Row],[Actual Finish]])&gt;0,Tasks[[#This Row],[Actual Finish]],Tasks[[#This Row],[_ShownFcstFinish]]),"")</f>
        <v/>
      </c>
      <c r="GR91" s="43" t="n">
        <f aca="false">IF(Tasks[[#This Row],[_IsLeaf]]=1,N(Tasks[[#This Row],[Story Points]]),0)</f>
        <v>0</v>
      </c>
      <c r="GS91" s="43" t="str">
        <f aca="false">""</f>
        <v/>
      </c>
      <c r="GT91" s="90" t="b">
        <f aca="false">IF(Tasks[[#This Row],[Task Name]]="",FALSE(),AND(Tasks[[#This Row],[_IsLeaf]]=1,N(Tasks[[#This Row],[_Days]])=0))</f>
        <v>0</v>
      </c>
      <c r="GU91" s="91" t="n">
        <f aca="false">IF(Tasks[[#This Row],[Task Name]]="",0,IF(AND(Tasks[[#This Row],[_IsLeaf]]=1,NOT(Tasks[[#This Row],[_IsMilestone]]),N(Tasks[[#This Row],[Progress]])&gt;0),Tasks[[#This Row],[Start]],0))</f>
        <v>0</v>
      </c>
      <c r="GV91" s="91" t="n">
        <f aca="false">IF(Tasks[[#This Row],[_DoneFrom]]=0,0,IF(Tasks[[#This Row],[Progress]]&gt;=1,Tasks[[#This Row],[Finish]],MAX(Tasks[[#This Row],[_DoneFrom]],Tasks[[#This Row],[Start]]+ROUND((Tasks[[#This Row],[Finish]]-Tasks[[#This Row],[Start]]+1)*Tasks[[#This Row],[Progress]],0)-1)))</f>
        <v>0</v>
      </c>
      <c r="GW91" s="91" t="n">
        <f aca="false">IF(Tasks[[#This Row],[Task Name]]="",0,IF(OR(NOT(Tasks[[#This Row],[_IsLeaf]]=1),Tasks[[#This Row],[_IsMilestone]],N(Tasks[[#This Row],[Progress]])&gt;=1),0,IF(Tasks[[#This Row],[_DoneTo]]&gt;0,Tasks[[#This Row],[_DoneTo]]+1,Tasks[[#This Row],[Start]])))</f>
        <v>0</v>
      </c>
      <c r="GX91" s="91" t="n">
        <f aca="false">IF(Tasks[[#This Row],[_RemFrom]]=0,0,Tasks[[#This Row],[Finish]])</f>
        <v>0</v>
      </c>
      <c r="GY91" s="90" t="b">
        <f aca="false">IF(Tasks[[#This Row],[Task Name]]="",FALSE(),OR(NOT(BaselineSet),N(Tasks[[#This Row],[Baseline Start]])&gt;0))</f>
        <v>0</v>
      </c>
      <c r="GZ9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1" s="92" t="str">
        <f aca="false">IF(Tasks[[#This Row],[_IsLeaf]]=1,Tasks[[#This Row],[_Row]],"")</f>
        <v/>
      </c>
      <c r="HD91" s="92" t="str">
        <f aca="false">IFERROR(INDEX(Tasks[UID],SMALL(Tasks[_PickKey],Tasks[[#This Row],[_Row]]))&amp;" "&amp;INDEX(Tasks[Task Name],SMALL(Tasks[_PickKey],Tasks[[#This Row],[_Row]])),"")</f>
        <v/>
      </c>
      <c r="HE91" s="43" t="str">
        <f aca="false">IF(Tasks[[#This Row],[Task Name]]="","",IF(Tasks[[#This Row],[_IsSummary]],NETWORKDAYS.INTL(Tasks[[#This Row],[Start]],Tasks[[#This Row],[Finish]],WorkWeek,Holidays),N(Tasks[[#This Row],[_Days]])))</f>
        <v/>
      </c>
      <c r="HF91" s="43" t="n">
        <f aca="false">IF(Tasks[[#This Row],[Expected]]="",0,((Tasks[[#This Row],[Pessimistic]]-Tasks[[#This Row],[Optimistic]])/6)^2)</f>
        <v>0</v>
      </c>
      <c r="HG91" s="43" t="n">
        <f aca="false">IF(Tasks[[#This Row],[Expected]]="",0,Tasks[[#This Row],[Expected]]-N(Tasks[[#This Row],[_Days]]))</f>
        <v>0</v>
      </c>
    </row>
    <row r="92" customFormat="false" ht="15" hidden="false" customHeight="false" outlineLevel="0" collapsed="false">
      <c r="A92" s="21" t="str">
        <f aca="false">IF(Tasks[[#This Row],[Task Name]]="","",COUNTA(Tasks[[#Headers],[Task Name]]:Tasks[[#This Row],[Task Name]])-1)</f>
        <v/>
      </c>
      <c r="B92" s="22" t="n">
        <v>100</v>
      </c>
      <c r="C92" s="22"/>
      <c r="D92" s="23"/>
      <c r="E92" s="22"/>
      <c r="F92" s="23"/>
      <c r="G92" s="22"/>
      <c r="H92" s="22"/>
      <c r="I92" s="23"/>
      <c r="J92" s="22"/>
      <c r="K92" s="22"/>
      <c r="L92" s="23"/>
      <c r="M92" s="22"/>
      <c r="N92" s="22"/>
      <c r="O92" s="23"/>
      <c r="P92" s="22"/>
      <c r="Q92" s="22"/>
      <c r="R92" s="23"/>
      <c r="S92" s="23"/>
      <c r="T92" s="84"/>
      <c r="U92" s="23"/>
      <c r="V92" s="84"/>
      <c r="W92" s="23"/>
      <c r="X92" s="84"/>
      <c r="Y92" s="23"/>
      <c r="Z92" s="84"/>
      <c r="AA92" s="23"/>
      <c r="AB92" s="23"/>
      <c r="AC92" s="7"/>
      <c r="AD92" s="7"/>
      <c r="AE92" s="63" t="str">
        <f aca="false">IF(Tasks[[#This Row],[Task Name]]="","",IF(Tasks[[#This Row],[_IsSummary]],MIN(INDEX(Tasks[_ShownFcstStart],Tasks[[#This Row],[_Row]]+1):INDEX(Tasks[_ShownFcstStart],Tasks[[#This Row],[_Row]]+Tasks[[#This Row],[_Descendants]])),Tasks[[#This Row],[_ShownFcstStart]]))</f>
        <v/>
      </c>
      <c r="AF92" s="63" t="str">
        <f aca="false">IF(Tasks[[#This Row],[Task Name]]="","",IF(Tasks[[#This Row],[_IsSummary]],MAX(INDEX(Tasks[_ShownFcstFinish],Tasks[[#This Row],[_Row]]+1):INDEX(Tasks[_ShownFcstFinish],Tasks[[#This Row],[_Row]]+Tasks[[#This Row],[_Descendants]])),Tasks[[#This Row],[_ShownFcstFinish]]))</f>
        <v/>
      </c>
      <c r="AG92" s="21" t="str">
        <f aca="false">""</f>
        <v/>
      </c>
      <c r="AH92" s="23"/>
      <c r="AI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2" s="7"/>
      <c r="AK92" s="22"/>
      <c r="AL92" s="23"/>
      <c r="AM92" s="7"/>
      <c r="AN92" s="47" t="str">
        <f aca="false">IF(Tasks[[#This Row],[Task Name]]="","",IF(Tasks[[#This Row],[Finish]]&gt;=Tasks[[#This Row],[Planned Finish]],NETWORKDAYS.INTL(Tasks[[#This Row],[Planned Finish]],Tasks[[#This Row],[Finish]],WorkWeek,Holidays)-1,1-NETWORKDAYS.INTL(Tasks[[#This Row],[Finish]],Tasks[[#This Row],[Planned Finish]],WorkWeek,Holidays)))</f>
        <v/>
      </c>
      <c r="AO92" s="21" t="str">
        <f aca="false">IF(Tasks[[#This Row],[Task Name]]="","",IF(Tasks[[#This Row],[Progress]]&gt;=1,"Complete",IF(OR(N(Tasks[[#This Row],[Actual Start]])&gt;0,Tasks[[#This Row],[Progress]]&gt;0),IF(Tasks[[#This Row],[Finish Var]]&gt;0,"Behind","In Progress"),IF(Tasks[[#This Row],[Planned Start]]&lt;StatusDate,"Late Start","Not Started"))))</f>
        <v/>
      </c>
      <c r="AP92" s="21" t="str">
        <f aca="false">IF(Tasks[[#This Row],[Task Name]]="","",IF(IF(Tasks[[#This Row],[_IsSummary]],COUNTIF(INDEX(Tasks[_LeafCritical],Tasks[[#This Row],[_Row]]+1):INDEX(Tasks[_LeafCritical],Tasks[[#This Row],[_Row]]+Tasks[[#This Row],[_Descendants]]),TRUE())&gt;0,Tasks[[#This Row],[_LeafCritical]]),"Yes",""))</f>
        <v/>
      </c>
      <c r="AQ92" s="63" t="str">
        <f aca="false">IF(Tasks[[#This Row],[Task Name]]="","",IF(N(Tasks[[#This Row],[Baseline Start]])&gt;0,Tasks[[#This Row],[Baseline Start]],Tasks[[#This Row],[_CalcStart]]))</f>
        <v/>
      </c>
      <c r="AR92" s="63" t="str">
        <f aca="false">IF(Tasks[[#This Row],[Task Name]]="","",IF(N(Tasks[[#This Row],[Baseline Finish]])&gt;0,Tasks[[#This Row],[Baseline Finish]],Tasks[[#This Row],[_CalcFinish]]))</f>
        <v/>
      </c>
      <c r="AS92" s="47" t="str">
        <f aca="false">IF(Tasks[[#This Row],[Task Name]]="","",IF(Tasks[[#This Row],[Start]]&gt;=Tasks[[#This Row],[Planned Start]],NETWORKDAYS.INTL(Tasks[[#This Row],[Planned Start]],Tasks[[#This Row],[Start]],WorkWeek,Holidays)-1,1-NETWORKDAYS.INTL(Tasks[[#This Row],[Start]],Tasks[[#This Row],[Planned Start]],WorkWeek,Holidays)))</f>
        <v/>
      </c>
      <c r="AT92" s="63" t="str">
        <f aca="false">IF(Tasks[[#This Row],[Task Name]]="","",IF(Tasks[[#This Row],[_IsSummary]],MIN(INDEX(Tasks[_LeafLateStart],Tasks[[#This Row],[_Row]]+1):INDEX(Tasks[_LeafLateStart],Tasks[[#This Row],[_Row]]+Tasks[[#This Row],[_Descendants]])),Tasks[[#This Row],[_LeafLateStart]]))</f>
        <v/>
      </c>
      <c r="AU92" s="63" t="str">
        <f aca="false">IF(Tasks[[#This Row],[Task Name]]="","",IF(Tasks[[#This Row],[_IsSummary]],MAX(INDEX(Tasks[_LeafLateFinish],Tasks[[#This Row],[_Row]]+1):INDEX(Tasks[_LeafLateFinish],Tasks[[#This Row],[_Row]]+Tasks[[#This Row],[_Descendants]])),Tasks[[#This Row],[_LeafLateFinish]]))</f>
        <v/>
      </c>
      <c r="AV92" s="47" t="str">
        <f aca="false">IF(Tasks[[#This Row],[Task Name]]="","",IF(Tasks[[#This Row],[_IsSummary]],MIN(INDEX(Tasks[_LeafTotalSlack],Tasks[[#This Row],[_Row]]+1):INDEX(Tasks[_LeafTotalSlack],Tasks[[#This Row],[_Row]]+Tasks[[#This Row],[_Descendants]])),Tasks[[#This Row],[_LeafTotalSlack]]))</f>
        <v/>
      </c>
      <c r="AW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5"/>
      <c r="BA9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t="str">
        <f aca="false">IF(Tasks[[#This Row],[Task Name]]="","",IF(Tasks[[#This Row],[_Level]]&lt;=OutlineShowLevel,"Yes","No"))</f>
        <v/>
      </c>
      <c r="BE92" s="86" t="str">
        <f aca="false">IF(Tasks[[#This Row],[Task Name]]="","",IF(Tasks[[#This Row],[_IsSummary]],SUM(INDEX(Tasks[_LeafTotalWork],Tasks[[#This Row],[_Row]]+1):INDEX(Tasks[_LeafTotalWork],Tasks[[#This Row],[_Row]]+Tasks[[#This Row],[_Descendants]])),Tasks[[#This Row],[_LeafTotalWork]]))</f>
        <v/>
      </c>
      <c r="BF92" s="23"/>
      <c r="BG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t="str">
        <f aca="false">""</f>
        <v/>
      </c>
      <c r="BI92" s="87"/>
      <c r="BJ92" s="22"/>
      <c r="BK92" s="47" t="str">
        <f aca="false">IF(OR(Tasks[[#This Row],[Task Name]]="",Tasks[[#This Row],[Baseline Duration]]=""),"",Tasks[[#This Row],[_SpanDays]]-N(Tasks[[#This Row],[Baseline Duration]]))</f>
        <v/>
      </c>
      <c r="BL92" s="86" t="str">
        <f aca="false">IF(OR(Tasks[[#This Row],[Task Name]]="",Tasks[[#This Row],[Baseline Work]]=""),"",Tasks[[#This Row],[Work]]-N(Tasks[[#This Row],[Baseline Work]]))</f>
        <v/>
      </c>
      <c r="BM92" s="63" t="str">
        <f aca="false">IF(Tasks[[#This Row],[Task Name]]="","",IF(OR(TakeBaseline="Yes",N(Tasks[[#This Row],[Baseline Start]])=0),Tasks[[#This Row],[Start]],Tasks[[#This Row],[Baseline Start]]))</f>
        <v/>
      </c>
      <c r="BN92" s="63" t="str">
        <f aca="false">IF(Tasks[[#This Row],[Task Name]]="","",IF(OR(TakeBaseline="Yes",N(Tasks[[#This Row],[Baseline Finish]])=0),Tasks[[#This Row],[Finish]],Tasks[[#This Row],[Baseline Finish]]))</f>
        <v/>
      </c>
      <c r="BO92" s="21" t="str">
        <f aca="false">IF(Tasks[[#This Row],[Task Name]]="","",IF(OR(TakeBaseline="Yes",N(Tasks[[#This Row],[Baseline Duration]])=0),Tasks[[#This Row],[_SpanDays]],Tasks[[#This Row],[Baseline Duration]]))</f>
        <v/>
      </c>
      <c r="BP92" s="86" t="str">
        <f aca="false">IF(Tasks[[#This Row],[Task Name]]="","",IF(OR(TakeBaseline="Yes",N(Tasks[[#This Row],[Baseline Work]])=0),Tasks[[#This Row],[Work]],Tasks[[#This Row],[Baseline Work]]))</f>
        <v/>
      </c>
      <c r="BQ92" s="7"/>
      <c r="BR92" s="7"/>
      <c r="BS92" s="22"/>
      <c r="BT92" s="88"/>
      <c r="BU92" s="23"/>
      <c r="BV92" s="23"/>
      <c r="BW92" s="23"/>
      <c r="BX92" s="89" t="str">
        <f aca="false">IF(AND(Tasks[[#This Row],[_IsLeaf]]=1,ISNUMBER(Tasks[[#This Row],[Optimistic]]),ISNUMBER(Tasks[[#This Row],[Pessimistic]])),ROUND((Tasks[[#This Row],[Optimistic]]+4*N(Tasks[[#This Row],[_Days]])+Tasks[[#This Row],[Pessimistic]])/6,1),"")</f>
        <v/>
      </c>
      <c r="BY92" s="87"/>
      <c r="BZ92" s="87"/>
      <c r="CA92" s="22"/>
      <c r="CB92" s="43" t="str">
        <f aca="false">IF(Tasks[[#This Row],[Task Name]]="","",MAX(1,N(Tasks[[#This Row],[Level]])))</f>
        <v/>
      </c>
      <c r="CC92" s="43" t="n">
        <f aca="false">ROW()-ROW(Tasks[[#Headers],[ID]])</f>
        <v>87</v>
      </c>
      <c r="CD92" s="43" t="n">
        <f aca="false">IF(OR(Tasks[[#This Row],[Task Name]]="",Tasks[[#This Row],[_Level]]&lt;=1),0,IFERROR(LOOKUP(2,1/(Tasks[[#Headers],[_Level]]:Tasks[[#This Row],[_Level]]=Tasks[[#This Row],[_Level]]-1),ROW(Tasks[[#Headers],[_Level]]:Tasks[[#This Row],[_Level]])),0))</f>
        <v>0</v>
      </c>
      <c r="CE92" s="43" t="n">
        <f aca="false">IFERROR(N(INDEX(Tasks[_Level],Tasks[[#This Row],[_Row]]+1)),0)</f>
        <v>0</v>
      </c>
      <c r="CF92" s="90" t="b">
        <f aca="false">AND(Tasks[[#This Row],[Task Name]]&lt;&gt;"",Tasks[[#This Row],[_NextLevel]]&gt;Tasks[[#This Row],[_Level]])</f>
        <v>0</v>
      </c>
      <c r="CG92" s="43" t="n">
        <f aca="false">IF(Tasks[[#This Row],[_IsSummary]],COUNTIF(Tasks[WBS],Tasks[[#This Row],[WBS]]&amp;".*"),0)</f>
        <v>0</v>
      </c>
      <c r="CH92" s="43" t="n">
        <f aca="false">IF(AND(Tasks[[#This Row],[Task Name]]&lt;&gt;"",NOT(Tasks[[#This Row],[_IsSummary]])),1,0)</f>
        <v>0</v>
      </c>
      <c r="CI92" s="43" t="n">
        <f aca="false">IF(N(Tasks[[#This Row],[_Pred1UID]])=0,0,IFERROR(MATCH(Tasks[[#This Row],[_Pred1UID]],Tasks[UID],0),-1))</f>
        <v>0</v>
      </c>
      <c r="CJ92" s="43" t="n">
        <f aca="false">IF(N(Tasks[[#This Row],[_Pred2UID]])=0,0,IFERROR(MATCH(Tasks[[#This Row],[_Pred2UID]],Tasks[UID],0),-1))</f>
        <v>0</v>
      </c>
      <c r="CK92" s="43" t="n">
        <f aca="false">IF(N(Tasks[[#This Row],[_Pred3UID]])=0,0,IFERROR(MATCH(Tasks[[#This Row],[_Pred3UID]],Tasks[UID],0),-1))</f>
        <v>0</v>
      </c>
      <c r="CL92" s="43" t="n">
        <f aca="false">IF(N(Tasks[[#This Row],[_Pred4UID]])=0,0,IFERROR(MATCH(Tasks[[#This Row],[_Pred4UID]],Tasks[UID],0),-1))</f>
        <v>0</v>
      </c>
      <c r="CM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2" s="91" t="n">
        <f aca="false">IF(OR(Tasks[[#This Row],[_ConstraintCode]]=2,Tasks[[#This Row],[_ConstraintCode]]=3,Tasks[[#This Row],[_ConstraintCode]]=4,Tasks[[#This Row],[_ConstraintCode]]=6),Tasks[[#This Row],[_ConstraintStart]],0)</f>
        <v>0</v>
      </c>
      <c r="CP92" s="91" t="n">
        <f aca="false">IF(OR(Tasks[[#This Row],[_ConstraintCode]]=2,Tasks[[#This Row],[_ConstraintCode]]=3,Tasks[[#This Row],[_ConstraintCode]]=5,Tasks[[#This Row],[_ConstraintCode]]=7),Tasks[[#This Row],[_ConstraintStart]],2958465)</f>
        <v>2958465</v>
      </c>
      <c r="CQ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2" s="91" t="str">
        <f aca="false">IF(NOT(Tasks[[#This Row],[_IsLeaf]]=1),"",IF(N(Tasks[[#This Row],[_Days]])&lt;=0,Tasks[[#This Row],[_LeafCalcStart]],WORKDAY.INTL(Tasks[[#This Row],[_LeafCalcStart]],Tasks[[#This Row],[_Days]]-1,WorkWeek,Holidays)))</f>
        <v/>
      </c>
      <c r="CS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2" s="43" t="str">
        <f aca="false">IF(Tasks[[#This Row],[_Predecessors]]="","",TRIM(MID(SUBSTITUTE(SUBSTITUTE(SUBSTITUTE(UPPER(Tasks[[#This Row],[_Predecessors]]),";",",")," ",""),",",REPT(" ",99)),1,99)))</f>
        <v/>
      </c>
      <c r="CV92" s="43" t="str">
        <f aca="false">IF(Tasks[[#This Row],[_Pred1Text]]="","",IFERROR(VALUE(LEFT(Tasks[[#This Row],[_Pred1Text]],MIN(FIND("F",Tasks[[#This Row],[_Pred1Text]]&amp;"F"),FIND("S",Tasks[[#This Row],[_Pred1Text]]&amp;"S"),FIND("+",Tasks[[#This Row],[_Pred1Text]]&amp;"+"),FIND("-",Tasks[[#This Row],[_Pred1Text]]&amp;"-"))-1)),""))</f>
        <v/>
      </c>
      <c r="CW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2" s="43" t="str">
        <f aca="false">IF(Tasks[[#This Row],[_Pred1Text]]="","",TRIM(MID(SUBSTITUTE(SUBSTITUTE(SUBSTITUTE(UPPER(Tasks[[#This Row],[_Predecessors]]),";",",")," ",""),",",REPT(" ",99)),100,99)))</f>
        <v/>
      </c>
      <c r="CZ92" s="43" t="str">
        <f aca="false">IF(Tasks[[#This Row],[_Pred2Text]]="","",IFERROR(VALUE(LEFT(Tasks[[#This Row],[_Pred2Text]],MIN(FIND("F",Tasks[[#This Row],[_Pred2Text]]&amp;"F"),FIND("S",Tasks[[#This Row],[_Pred2Text]]&amp;"S"),FIND("+",Tasks[[#This Row],[_Pred2Text]]&amp;"+"),FIND("-",Tasks[[#This Row],[_Pred2Text]]&amp;"-"))-1)),""))</f>
        <v/>
      </c>
      <c r="DA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2" s="43" t="str">
        <f aca="false">IF(Tasks[[#This Row],[_Pred2Text]]="","",TRIM(MID(SUBSTITUTE(SUBSTITUTE(SUBSTITUTE(UPPER(Tasks[[#This Row],[_Predecessors]]),";",",")," ",""),",",REPT(" ",99)),199,99)))</f>
        <v/>
      </c>
      <c r="DD92" s="43" t="str">
        <f aca="false">IF(Tasks[[#This Row],[_Pred3Text]]="","",IFERROR(VALUE(LEFT(Tasks[[#This Row],[_Pred3Text]],MIN(FIND("F",Tasks[[#This Row],[_Pred3Text]]&amp;"F"),FIND("S",Tasks[[#This Row],[_Pred3Text]]&amp;"S"),FIND("+",Tasks[[#This Row],[_Pred3Text]]&amp;"+"),FIND("-",Tasks[[#This Row],[_Pred3Text]]&amp;"-"))-1)),""))</f>
        <v/>
      </c>
      <c r="DE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2" s="43" t="str">
        <f aca="false">IF(Tasks[[#This Row],[_Pred3Text]]="","",TRIM(MID(SUBSTITUTE(SUBSTITUTE(SUBSTITUTE(UPPER(Tasks[[#This Row],[_Predecessors]]),";",",")," ",""),",",REPT(" ",99)),298,99)))</f>
        <v/>
      </c>
      <c r="DH92" s="43" t="str">
        <f aca="false">IF(Tasks[[#This Row],[_Pred4Text]]="","",IFERROR(VALUE(LEFT(Tasks[[#This Row],[_Pred4Text]],MIN(FIND("F",Tasks[[#This Row],[_Pred4Text]]&amp;"F"),FIND("S",Tasks[[#This Row],[_Pred4Text]]&amp;"S"),FIND("+",Tasks[[#This Row],[_Pred4Text]]&amp;"+"),FIND("-",Tasks[[#This Row],[_Pred4Text]]&amp;"-"))-1)),""))</f>
        <v/>
      </c>
      <c r="DI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2" s="43" t="str">
        <f aca="false">IF(OR(Tasks[[#This Row],[Task Name]]="",Tasks[[#This Row],[_Resources]]=""),"",TRIM(MID(SUBSTITUTE(Tasks[[#This Row],[_Resources]],",",REPT(" ",99)),1,99)))</f>
        <v/>
      </c>
      <c r="DL92" s="43" t="str">
        <f aca="false">IF(Tasks[[#This Row],[_Res1Text]]="","",TRIM(MID(SUBSTITUTE(Tasks[[#This Row],[_Resources]],",",REPT(" ",99)),100,99)))</f>
        <v/>
      </c>
      <c r="DM92" s="43" t="str">
        <f aca="false">IF(Tasks[[#This Row],[_Res2Text]]="","",TRIM(MID(SUBSTITUTE(Tasks[[#This Row],[_Resources]],",",REPT(" ",99)),199,99)))</f>
        <v/>
      </c>
      <c r="DN92" s="43" t="str">
        <f aca="false">IF(Tasks[[#This Row],[_Res3Text]]="","",TRIM(MID(SUBSTITUTE(Tasks[[#This Row],[_Resources]],",",REPT(" ",99)),298,99)))</f>
        <v/>
      </c>
      <c r="DO92" s="43" t="n">
        <f aca="false">IF(Tasks[[#This Row],[_Res1Text]]="",0,IFERROR(MATCH(TRIM(LEFT(Tasks[[#This Row],[_Res1Text]],FIND("[",Tasks[[#This Row],[_Res1Text]]&amp;"[")-1)),res_Name,0),IFERROR(MATCH(TRIM(LEFT(Tasks[[#This Row],[_Res1Text]],FIND("[",Tasks[[#This Row],[_Res1Text]]&amp;"[")-1)),res_Initials,0),0)))</f>
        <v>0</v>
      </c>
      <c r="DP92" s="43" t="n">
        <f aca="false">IF(Tasks[[#This Row],[_Res2Text]]="",0,IFERROR(MATCH(TRIM(LEFT(Tasks[[#This Row],[_Res2Text]],FIND("[",Tasks[[#This Row],[_Res2Text]]&amp;"[")-1)),res_Name,0),IFERROR(MATCH(TRIM(LEFT(Tasks[[#This Row],[_Res2Text]],FIND("[",Tasks[[#This Row],[_Res2Text]]&amp;"[")-1)),res_Initials,0),0)))</f>
        <v>0</v>
      </c>
      <c r="DQ92" s="43" t="n">
        <f aca="false">IF(Tasks[[#This Row],[_Res3Text]]="",0,IFERROR(MATCH(TRIM(LEFT(Tasks[[#This Row],[_Res3Text]],FIND("[",Tasks[[#This Row],[_Res3Text]]&amp;"[")-1)),res_Name,0),IFERROR(MATCH(TRIM(LEFT(Tasks[[#This Row],[_Res3Text]],FIND("[",Tasks[[#This Row],[_Res3Text]]&amp;"[")-1)),res_Initials,0),0)))</f>
        <v>0</v>
      </c>
      <c r="DR92" s="43" t="n">
        <f aca="false">IF(Tasks[[#This Row],[_Res4Text]]="",0,IFERROR(MATCH(TRIM(LEFT(Tasks[[#This Row],[_Res4Text]],FIND("[",Tasks[[#This Row],[_Res4Text]]&amp;"[")-1)),res_Name,0),IFERROR(MATCH(TRIM(LEFT(Tasks[[#This Row],[_Res4Text]],FIND("[",Tasks[[#This Row],[_Res4Text]]&amp;"[")-1)),res_Initials,0),0)))</f>
        <v>0</v>
      </c>
      <c r="DS92" s="43" t="str">
        <f aca="false">IF(Tasks[[#This Row],[_Res1Text]]="","",IF(Tasks[[#This Row],[_Res1Row]]&gt;0,INDEX(res_Name,Tasks[[#This Row],[_Res1Row]]),TRIM(LEFT(Tasks[[#This Row],[_Res1Text]],FIND("[",Tasks[[#This Row],[_Res1Text]]&amp;"[")-1))))</f>
        <v/>
      </c>
      <c r="DT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2" s="43" t="n">
        <f aca="false">IF(NOT(Tasks[[#This Row],[_IsLeaf]]=1),0,(Tasks[[#This Row],[_Resource1]]&lt;&gt;"")+(Tasks[[#This Row],[_Res2]]&lt;&gt;"")+(Tasks[[#This Row],[_Res3]]&lt;&gt;"")+(Tasks[[#This Row],[_Res4]]&lt;&gt;""))</f>
        <v>0</v>
      </c>
      <c r="DV92" s="43" t="str">
        <f aca="false">IF(Tasks[[#This Row],[_Res2Text]]="","",IF(Tasks[[#This Row],[_Res2Row]]&gt;0,INDEX(res_Name,Tasks[[#This Row],[_Res2Row]]),TRIM(LEFT(Tasks[[#This Row],[_Res2Text]],FIND("[",Tasks[[#This Row],[_Res2Text]]&amp;"[")-1))))</f>
        <v/>
      </c>
      <c r="DW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2" s="43" t="n">
        <f aca="false">IF(OR(NOT(Tasks[[#This Row],[_IsLeaf]]=1),Tasks[[#This Row],[_Res2Row]]=0),0,N(Tasks[[#This Row],[_Days]])*HoursPerDay*IF(Tasks[[#This Row],[_Res2Units]]="",DefaultUnits,Tasks[[#This Row],[_Res2Units]]))</f>
        <v>0</v>
      </c>
      <c r="DY92" s="43" t="n">
        <f aca="false">IF(AND(AND(Tasks[[#This Row],[_IsLeaf]]=1,Tasks[[#This Row],[_LeafTotalWork]]&gt;0),Tasks[[#This Row],[_Res2Work]]&gt;0),Tasks[[#This Row],[_Res2Work]]/(Tasks[[#This Row],[_FinishWorkday]]-Tasks[[#This Row],[_StartWorkday]]+1),0)</f>
        <v>0</v>
      </c>
      <c r="DZ92" s="43" t="n">
        <f aca="false">Tasks[[#This Row],[_Res2WorkPerWD]]*MAX(0,Tasks[[#This Row],[_StartWorkday]]-1)</f>
        <v>0</v>
      </c>
      <c r="EA92" s="43" t="n">
        <f aca="false">Tasks[[#This Row],[_Res2Work]]*Tasks[[#This Row],[_LeafProgress]]</f>
        <v>0</v>
      </c>
      <c r="EB92" s="43" t="str">
        <f aca="false">IF(Tasks[[#This Row],[_Res3Text]]="","",IF(Tasks[[#This Row],[_Res3Row]]&gt;0,INDEX(res_Name,Tasks[[#This Row],[_Res3Row]]),TRIM(LEFT(Tasks[[#This Row],[_Res3Text]],FIND("[",Tasks[[#This Row],[_Res3Text]]&amp;"[")-1))))</f>
        <v/>
      </c>
      <c r="EC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2" s="43" t="n">
        <f aca="false">IF(OR(NOT(Tasks[[#This Row],[_IsLeaf]]=1),Tasks[[#This Row],[_Res3Row]]=0),0,N(Tasks[[#This Row],[_Days]])*HoursPerDay*IF(Tasks[[#This Row],[_Res3Units]]="",DefaultUnits,Tasks[[#This Row],[_Res3Units]]))</f>
        <v>0</v>
      </c>
      <c r="EE92" s="43" t="n">
        <f aca="false">IF(AND(AND(Tasks[[#This Row],[_IsLeaf]]=1,Tasks[[#This Row],[_LeafTotalWork]]&gt;0),Tasks[[#This Row],[_Res3Work]]&gt;0),Tasks[[#This Row],[_Res3Work]]/(Tasks[[#This Row],[_FinishWorkday]]-Tasks[[#This Row],[_StartWorkday]]+1),0)</f>
        <v>0</v>
      </c>
      <c r="EF92" s="43" t="n">
        <f aca="false">Tasks[[#This Row],[_Res3WorkPerWD]]*MAX(0,Tasks[[#This Row],[_StartWorkday]]-1)</f>
        <v>0</v>
      </c>
      <c r="EG92" s="43" t="n">
        <f aca="false">Tasks[[#This Row],[_Res3Work]]*Tasks[[#This Row],[_LeafProgress]]</f>
        <v>0</v>
      </c>
      <c r="EH92" s="43" t="str">
        <f aca="false">IF(Tasks[[#This Row],[_Res4Text]]="","",IF(Tasks[[#This Row],[_Res4Row]]&gt;0,INDEX(res_Name,Tasks[[#This Row],[_Res4Row]]),TRIM(LEFT(Tasks[[#This Row],[_Res4Text]],FIND("[",Tasks[[#This Row],[_Res4Text]]&amp;"[")-1))))</f>
        <v/>
      </c>
      <c r="EI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2" s="43" t="n">
        <f aca="false">IF(OR(NOT(Tasks[[#This Row],[_IsLeaf]]=1),Tasks[[#This Row],[_Res4Row]]=0),0,N(Tasks[[#This Row],[_Days]])*HoursPerDay*IF(Tasks[[#This Row],[_Res4Units]]="",DefaultUnits,Tasks[[#This Row],[_Res4Units]]))</f>
        <v>0</v>
      </c>
      <c r="EK92" s="43" t="n">
        <f aca="false">IF(AND(AND(Tasks[[#This Row],[_IsLeaf]]=1,Tasks[[#This Row],[_LeafTotalWork]]&gt;0),Tasks[[#This Row],[_Res4Work]]&gt;0),Tasks[[#This Row],[_Res4Work]]/(Tasks[[#This Row],[_FinishWorkday]]-Tasks[[#This Row],[_StartWorkday]]+1),0)</f>
        <v>0</v>
      </c>
      <c r="EL92" s="43" t="n">
        <f aca="false">Tasks[[#This Row],[_Res4WorkPerWD]]*MAX(0,Tasks[[#This Row],[_StartWorkday]]-1)</f>
        <v>0</v>
      </c>
      <c r="EM92" s="43" t="n">
        <f aca="false">Tasks[[#This Row],[_Res4Work]]*Tasks[[#This Row],[_LeafProgress]]</f>
        <v>0</v>
      </c>
      <c r="EN92" s="43" t="n">
        <f aca="false">IF(ISNUMBER(Tasks[[#This Row],[% Complete]]),Tasks[[#This Row],[% Complete]],IF(Tasks[[#This Row],[Stage]]="",0,IFERROR(INDEX(stg_Pct,MATCH(Tasks[[#This Row],[Stage]],stg_Name,0)),0)))</f>
        <v>0</v>
      </c>
      <c r="EO92" s="43" t="n">
        <f aca="false">IF(NOT(Tasks[[#This Row],[_IsLeaf]]=1),0,IF(N(Tasks[[#This Row],[Actual Finish]])&gt;0,1,MIN(1,Tasks[[#This Row],[_Pct]])))</f>
        <v>0</v>
      </c>
      <c r="EP92" s="43" t="n">
        <f aca="false">IF(OR(NOT(Tasks[[#This Row],[_IsLeaf]]=1),Tasks[[#This Row],[_Res1Row]]=0),0,N(Tasks[[#This Row],[_Days]])*HoursPerDay*IF(Tasks[[#This Row],[_Units1]]="",DefaultUnits,Tasks[[#This Row],[_Units1]]))</f>
        <v>0</v>
      </c>
      <c r="EQ92" s="43" t="n">
        <f aca="false">Tasks[[#This Row],[_LeafWork]]+Tasks[[#This Row],[_Res2Work]]+Tasks[[#This Row],[_Res3Work]]+Tasks[[#This Row],[_Res4Work]]</f>
        <v>0</v>
      </c>
      <c r="ER9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2" s="43" t="n">
        <f aca="false">IF(NOT(Tasks[[#This Row],[_IsLeaf]]=1),0,MAX(_xlfn.MAXIFS(Tasks[_Row],Tasks[_Pred1UID],Tasks[[#This Row],[UID]]),_xlfn.MAXIFS(Tasks[_Row],Tasks[_Pred2UID],Tasks[[#This Row],[UID]]),_xlfn.MAXIFS(Tasks[_Row],Tasks[_Pred3UID],Tasks[[#This Row],[UID]]),_xlfn.MAXIFS(Tasks[_Row],Tasks[_Pred4UID],Tasks[[#This Row],[UID]])))</f>
        <v>0</v>
      </c>
      <c r="FA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2" s="91" t="str">
        <f aca="false">IF(NOT(Tasks[[#This Row],[_IsLeaf]]=1),"",IF(N(Tasks[[#This Row],[_Days]])&lt;=0,Tasks[[#This Row],[_LeafLateFinish]],WORKDAY.INTL(Tasks[[#This Row],[_LeafLateFinish]],-(Tasks[[#This Row],[_Days]]-1),WorkWeek,Holidays)))</f>
        <v/>
      </c>
      <c r="FD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2" s="90" t="b">
        <f aca="false">AND(Tasks[[#This Row],[_IsLeaf]]=1,Tasks[[#This Row],[_LeafProgress]]&lt;1,N(Tasks[[#This Row],[_LeafTotalSlack]])&lt;=CriticalSlackDays)</f>
        <v>0</v>
      </c>
      <c r="FF92" s="43" t="n">
        <f aca="false">IF(AND(Tasks[[#This Row],[_IsLeaf]]=1,Tasks[[#This Row],[_ConstraintCode]]=1,Tasks[[#This Row],[Mode]]&lt;&gt;"Manual",N(Tasks[[#This Row],[Actual Start]])=0),MAX(0,N(Tasks[[#This Row],[Free Slack]])),0)</f>
        <v>0</v>
      </c>
      <c r="FG92" s="91" t="str">
        <f aca="false">IF(NOT(Tasks[[#This Row],[_IsLeaf]]=1),"",IF(Tasks[[#This Row],[_AlapShift]]=0,Tasks[[#This Row],[_LeafCalcStart]],WORKDAY.INTL(Tasks[[#This Row],[_LeafCalcStart]],Tasks[[#This Row],[_AlapShift]],WorkWeek,Holidays)))</f>
        <v/>
      </c>
      <c r="FH92" s="91" t="str">
        <f aca="false">IF(NOT(Tasks[[#This Row],[_IsLeaf]]=1),"",IF(Tasks[[#This Row],[_AlapShift]]=0,Tasks[[#This Row],[_LeafCalcFinish]],WORKDAY.INTL(Tasks[[#This Row],[_LeafCalcFinish]],Tasks[[#This Row],[_AlapShift]],WorkWeek,Holidays)))</f>
        <v/>
      </c>
      <c r="FI92" s="91" t="str">
        <f aca="false">IF(NOT(Tasks[[#This Row],[_IsLeaf]]=1),"",IF(Tasks[[#This Row],[_AlapShift]]=0,Tasks[[#This Row],[_LeafFcstStart]],WORKDAY.INTL(Tasks[[#This Row],[_LeafFcstStart]],Tasks[[#This Row],[_AlapShift]],WorkWeek,Holidays)))</f>
        <v/>
      </c>
      <c r="FJ92" s="91" t="str">
        <f aca="false">IF(NOT(Tasks[[#This Row],[_IsLeaf]]=1),"",IF(Tasks[[#This Row],[_AlapShift]]=0,Tasks[[#This Row],[_LeafFcstFinish]],WORKDAY.INTL(Tasks[[#This Row],[_LeafFcstFinish]],Tasks[[#This Row],[_AlapShift]],WorkWeek,Holidays)))</f>
        <v/>
      </c>
      <c r="FK92" s="91" t="str">
        <f aca="false">IF(Tasks[[#This Row],[Task Name]]="","",IF(Tasks[[#This Row],[_IsSummary]],MIN(INDEX(Tasks[_ShownCalcStart],Tasks[[#This Row],[_Row]]+1):INDEX(Tasks[_ShownCalcStart],Tasks[[#This Row],[_Row]]+Tasks[[#This Row],[_Descendants]])),Tasks[[#This Row],[_ShownCalcStart]]))</f>
        <v/>
      </c>
      <c r="FL92" s="91" t="str">
        <f aca="false">IF(Tasks[[#This Row],[Task Name]]="","",IF(Tasks[[#This Row],[_IsSummary]],MAX(INDEX(Tasks[_ShownCalcFinish],Tasks[[#This Row],[_Row]]+1):INDEX(Tasks[_ShownCalcFinish],Tasks[[#This Row],[_Row]]+Tasks[[#This Row],[_Descendants]])),Tasks[[#This Row],[_ShownCalcFinish]]))</f>
        <v/>
      </c>
      <c r="FM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2" s="43" t="n">
        <f aca="false">IF(AND(Tasks[[#This Row],[_IsLeaf]]=1,Tasks[[#This Row],[_LeafTotalWork]]&gt;0),NETWORKDAYS.INTL(ProjectStart,Tasks[[#This Row],[_ShownFcstStart]],WorkWeek,Holidays),0)</f>
        <v>0</v>
      </c>
      <c r="FZ92" s="43" t="n">
        <f aca="false">IF(AND(Tasks[[#This Row],[_IsLeaf]]=1,Tasks[[#This Row],[_LeafTotalWork]]&gt;0),MAX(Tasks[[#This Row],[_StartWorkday]],NETWORKDAYS.INTL(ProjectStart,Tasks[[#This Row],[_ShownFcstFinish]],WorkWeek,Holidays)),0)</f>
        <v>0</v>
      </c>
      <c r="GA92" s="43" t="n">
        <f aca="false">IF(AND(Tasks[[#This Row],[_IsLeaf]]=1,Tasks[[#This Row],[_LeafTotalWork]]&gt;0),Tasks[[#This Row],[_LeafWork]]/(Tasks[[#This Row],[_FinishWorkday]]-Tasks[[#This Row],[_StartWorkday]]+1),0)</f>
        <v>0</v>
      </c>
      <c r="GB92" s="43" t="n">
        <f aca="false">Tasks[[#This Row],[_WorkPerWorkday]]*(Tasks[[#This Row],[_StartWorkday]]-1)</f>
        <v>-0</v>
      </c>
      <c r="GC92" s="43" t="n">
        <f aca="false">IF(Tasks[[#This Row],[_IsLeaf]]=1,MAX(N(Tasks[[#This Row],[_Days]]),0.1),0)</f>
        <v>0</v>
      </c>
      <c r="GD92" s="43" t="n">
        <f aca="false">Tasks[[#This Row],[_WeightDur]]*Tasks[[#This Row],[_LeafProgress]]</f>
        <v>0</v>
      </c>
      <c r="GE92" s="43" t="n">
        <f aca="false">Tasks[[#This Row],[_WeightDur]]*Tasks[[#This Row],[_PlannedPct]]</f>
        <v>0</v>
      </c>
      <c r="GF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2" s="43" t="str">
        <f aca="false">IF(AND(Tasks[[#This Row],[_IsLeaf]]=1,N(Tasks[[#This Row],[_Days]])=0,Tasks[[#This Row],[_LeafProgress]]&lt;1),Tasks[[#This Row],[_ShownFcstFinish]]+Tasks[[#This Row],[_Row]]/100000,"")</f>
        <v/>
      </c>
      <c r="GH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2" s="43" t="str">
        <f aca="false">IF(Tasks[[#This Row],[Task Name]]="","",LEFT(Tasks[[#This Row],[WBS]],FIND(".",Tasks[[#This Row],[WBS]]&amp;".")-1))</f>
        <v/>
      </c>
      <c r="GJ92" s="43" t="str">
        <f aca="false">IF(AND(Tasks[[#This Row],[Task Name]]&lt;&gt;"",Tasks[[#This Row],[_Level]]=1),Tasks[[#This Row],[_Row]],"")</f>
        <v/>
      </c>
      <c r="GK92" s="43" t="str">
        <f aca="false">IF(AND(Tasks[[#This Row],[_IsLeaf]]=1,N(Tasks[[#This Row],[_Days]])=0),Tasks[[#This Row],[Planned Finish]]+Tasks[[#This Row],[_Row]]/100000,"")</f>
        <v/>
      </c>
      <c r="GL92" s="43" t="str">
        <f aca="false">IF(AND(Tasks[[#This Row],[_IsLeaf]]=1,Tasks[[#This Row],[_LeafProgress]]&lt;1,OR(N(Tasks[[#This Row],[Finish Var]])&gt;0,Tasks[[#This Row],[Status]]="Late Start")),MAX(0,Tasks[[#This Row],[Finish Var]])+1-Tasks[[#This Row],[_Row]]/1000000,"")</f>
        <v/>
      </c>
      <c r="GM92" s="43" t="str">
        <f aca="false">IF(AND(Tasks[[#This Row],[_IsLeaf]]=1,N(Tasks[[#This Row],[Actual Start]])=0,Tasks[[#This Row],[_ShownFcstStart]]&gt;=StatusDate,Tasks[[#This Row],[_ShownFcstStart]]&lt;=LookaheadEnd),Tasks[[#This Row],[_ShownFcstStart]]+Tasks[[#This Row],[_Row]]/100000,"")</f>
        <v/>
      </c>
      <c r="GN92" s="43" t="str">
        <f aca="false">IF(AND(Tasks[[#This Row],[_IsLeaf]]=1,Tasks[[#This Row],[_LeafProgress]]&lt;1,Tasks[[#This Row],[_ShownFcstFinish]]&gt;=StatusDate,Tasks[[#This Row],[_ShownFcstFinish]]&lt;=LookaheadEnd),Tasks[[#This Row],[_ShownFcstFinish]]+Tasks[[#This Row],[_Row]]/100000,"")</f>
        <v/>
      </c>
      <c r="GO92" s="43" t="str">
        <f aca="false">IF(Tasks[[#This Row],[_LeafCritical]],Tasks[[#This Row],[_ShownFcstStart]]+Tasks[[#This Row],[_Row]]/100000,"")</f>
        <v/>
      </c>
      <c r="GP92" s="43" t="n">
        <f aca="false">Tasks[[#This Row],[_LeafWork]]*Tasks[[#This Row],[_LeafProgress]]</f>
        <v>0</v>
      </c>
      <c r="GQ92" s="91" t="str">
        <f aca="false">IF(AND(Tasks[[#This Row],[_IsLeaf]]=1,Tasks[[#This Row],[_LeafProgress]]&gt;=1),IF(N(Tasks[[#This Row],[Actual Finish]])&gt;0,Tasks[[#This Row],[Actual Finish]],Tasks[[#This Row],[_ShownFcstFinish]]),"")</f>
        <v/>
      </c>
      <c r="GR92" s="43" t="n">
        <f aca="false">IF(Tasks[[#This Row],[_IsLeaf]]=1,N(Tasks[[#This Row],[Story Points]]),0)</f>
        <v>0</v>
      </c>
      <c r="GS92" s="43" t="str">
        <f aca="false">""</f>
        <v/>
      </c>
      <c r="GT92" s="90" t="b">
        <f aca="false">IF(Tasks[[#This Row],[Task Name]]="",FALSE(),AND(Tasks[[#This Row],[_IsLeaf]]=1,N(Tasks[[#This Row],[_Days]])=0))</f>
        <v>0</v>
      </c>
      <c r="GU92" s="91" t="n">
        <f aca="false">IF(Tasks[[#This Row],[Task Name]]="",0,IF(AND(Tasks[[#This Row],[_IsLeaf]]=1,NOT(Tasks[[#This Row],[_IsMilestone]]),N(Tasks[[#This Row],[Progress]])&gt;0),Tasks[[#This Row],[Start]],0))</f>
        <v>0</v>
      </c>
      <c r="GV92" s="91" t="n">
        <f aca="false">IF(Tasks[[#This Row],[_DoneFrom]]=0,0,IF(Tasks[[#This Row],[Progress]]&gt;=1,Tasks[[#This Row],[Finish]],MAX(Tasks[[#This Row],[_DoneFrom]],Tasks[[#This Row],[Start]]+ROUND((Tasks[[#This Row],[Finish]]-Tasks[[#This Row],[Start]]+1)*Tasks[[#This Row],[Progress]],0)-1)))</f>
        <v>0</v>
      </c>
      <c r="GW92" s="91" t="n">
        <f aca="false">IF(Tasks[[#This Row],[Task Name]]="",0,IF(OR(NOT(Tasks[[#This Row],[_IsLeaf]]=1),Tasks[[#This Row],[_IsMilestone]],N(Tasks[[#This Row],[Progress]])&gt;=1),0,IF(Tasks[[#This Row],[_DoneTo]]&gt;0,Tasks[[#This Row],[_DoneTo]]+1,Tasks[[#This Row],[Start]])))</f>
        <v>0</v>
      </c>
      <c r="GX92" s="91" t="n">
        <f aca="false">IF(Tasks[[#This Row],[_RemFrom]]=0,0,Tasks[[#This Row],[Finish]])</f>
        <v>0</v>
      </c>
      <c r="GY92" s="90" t="b">
        <f aca="false">IF(Tasks[[#This Row],[Task Name]]="",FALSE(),OR(NOT(BaselineSet),N(Tasks[[#This Row],[Baseline Start]])&gt;0))</f>
        <v>0</v>
      </c>
      <c r="GZ9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2" s="92" t="str">
        <f aca="false">IF(Tasks[[#This Row],[_IsLeaf]]=1,Tasks[[#This Row],[_Row]],"")</f>
        <v/>
      </c>
      <c r="HD92" s="92" t="str">
        <f aca="false">IFERROR(INDEX(Tasks[UID],SMALL(Tasks[_PickKey],Tasks[[#This Row],[_Row]]))&amp;" "&amp;INDEX(Tasks[Task Name],SMALL(Tasks[_PickKey],Tasks[[#This Row],[_Row]])),"")</f>
        <v/>
      </c>
      <c r="HE92" s="43" t="str">
        <f aca="false">IF(Tasks[[#This Row],[Task Name]]="","",IF(Tasks[[#This Row],[_IsSummary]],NETWORKDAYS.INTL(Tasks[[#This Row],[Start]],Tasks[[#This Row],[Finish]],WorkWeek,Holidays),N(Tasks[[#This Row],[_Days]])))</f>
        <v/>
      </c>
      <c r="HF92" s="43" t="n">
        <f aca="false">IF(Tasks[[#This Row],[Expected]]="",0,((Tasks[[#This Row],[Pessimistic]]-Tasks[[#This Row],[Optimistic]])/6)^2)</f>
        <v>0</v>
      </c>
      <c r="HG92" s="43" t="n">
        <f aca="false">IF(Tasks[[#This Row],[Expected]]="",0,Tasks[[#This Row],[Expected]]-N(Tasks[[#This Row],[_Days]]))</f>
        <v>0</v>
      </c>
    </row>
    <row r="93" customFormat="false" ht="15" hidden="false" customHeight="false" outlineLevel="0" collapsed="false">
      <c r="A93" s="21" t="str">
        <f aca="false">IF(Tasks[[#This Row],[Task Name]]="","",COUNTA(Tasks[[#Headers],[Task Name]]:Tasks[[#This Row],[Task Name]])-1)</f>
        <v/>
      </c>
      <c r="B93" s="22" t="n">
        <v>101</v>
      </c>
      <c r="C93" s="22"/>
      <c r="D93" s="23"/>
      <c r="E93" s="22"/>
      <c r="F93" s="23"/>
      <c r="G93" s="22"/>
      <c r="H93" s="22"/>
      <c r="I93" s="23"/>
      <c r="J93" s="22"/>
      <c r="K93" s="22"/>
      <c r="L93" s="23"/>
      <c r="M93" s="22"/>
      <c r="N93" s="22"/>
      <c r="O93" s="23"/>
      <c r="P93" s="22"/>
      <c r="Q93" s="22"/>
      <c r="R93" s="23"/>
      <c r="S93" s="23"/>
      <c r="T93" s="84"/>
      <c r="U93" s="23"/>
      <c r="V93" s="84"/>
      <c r="W93" s="23"/>
      <c r="X93" s="84"/>
      <c r="Y93" s="23"/>
      <c r="Z93" s="84"/>
      <c r="AA93" s="23"/>
      <c r="AB93" s="23"/>
      <c r="AC93" s="7"/>
      <c r="AD93" s="7"/>
      <c r="AE93" s="63" t="str">
        <f aca="false">IF(Tasks[[#This Row],[Task Name]]="","",IF(Tasks[[#This Row],[_IsSummary]],MIN(INDEX(Tasks[_ShownFcstStart],Tasks[[#This Row],[_Row]]+1):INDEX(Tasks[_ShownFcstStart],Tasks[[#This Row],[_Row]]+Tasks[[#This Row],[_Descendants]])),Tasks[[#This Row],[_ShownFcstStart]]))</f>
        <v/>
      </c>
      <c r="AF93" s="63" t="str">
        <f aca="false">IF(Tasks[[#This Row],[Task Name]]="","",IF(Tasks[[#This Row],[_IsSummary]],MAX(INDEX(Tasks[_ShownFcstFinish],Tasks[[#This Row],[_Row]]+1):INDEX(Tasks[_ShownFcstFinish],Tasks[[#This Row],[_Row]]+Tasks[[#This Row],[_Descendants]])),Tasks[[#This Row],[_ShownFcstFinish]]))</f>
        <v/>
      </c>
      <c r="AG93" s="21" t="str">
        <f aca="false">""</f>
        <v/>
      </c>
      <c r="AH93" s="23"/>
      <c r="AI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3" s="7"/>
      <c r="AK93" s="22"/>
      <c r="AL93" s="23"/>
      <c r="AM93" s="7"/>
      <c r="AN93" s="47" t="str">
        <f aca="false">IF(Tasks[[#This Row],[Task Name]]="","",IF(Tasks[[#This Row],[Finish]]&gt;=Tasks[[#This Row],[Planned Finish]],NETWORKDAYS.INTL(Tasks[[#This Row],[Planned Finish]],Tasks[[#This Row],[Finish]],WorkWeek,Holidays)-1,1-NETWORKDAYS.INTL(Tasks[[#This Row],[Finish]],Tasks[[#This Row],[Planned Finish]],WorkWeek,Holidays)))</f>
        <v/>
      </c>
      <c r="AO93" s="21" t="str">
        <f aca="false">IF(Tasks[[#This Row],[Task Name]]="","",IF(Tasks[[#This Row],[Progress]]&gt;=1,"Complete",IF(OR(N(Tasks[[#This Row],[Actual Start]])&gt;0,Tasks[[#This Row],[Progress]]&gt;0),IF(Tasks[[#This Row],[Finish Var]]&gt;0,"Behind","In Progress"),IF(Tasks[[#This Row],[Planned Start]]&lt;StatusDate,"Late Start","Not Started"))))</f>
        <v/>
      </c>
      <c r="AP93" s="21" t="str">
        <f aca="false">IF(Tasks[[#This Row],[Task Name]]="","",IF(IF(Tasks[[#This Row],[_IsSummary]],COUNTIF(INDEX(Tasks[_LeafCritical],Tasks[[#This Row],[_Row]]+1):INDEX(Tasks[_LeafCritical],Tasks[[#This Row],[_Row]]+Tasks[[#This Row],[_Descendants]]),TRUE())&gt;0,Tasks[[#This Row],[_LeafCritical]]),"Yes",""))</f>
        <v/>
      </c>
      <c r="AQ93" s="63" t="str">
        <f aca="false">IF(Tasks[[#This Row],[Task Name]]="","",IF(N(Tasks[[#This Row],[Baseline Start]])&gt;0,Tasks[[#This Row],[Baseline Start]],Tasks[[#This Row],[_CalcStart]]))</f>
        <v/>
      </c>
      <c r="AR93" s="63" t="str">
        <f aca="false">IF(Tasks[[#This Row],[Task Name]]="","",IF(N(Tasks[[#This Row],[Baseline Finish]])&gt;0,Tasks[[#This Row],[Baseline Finish]],Tasks[[#This Row],[_CalcFinish]]))</f>
        <v/>
      </c>
      <c r="AS93" s="47" t="str">
        <f aca="false">IF(Tasks[[#This Row],[Task Name]]="","",IF(Tasks[[#This Row],[Start]]&gt;=Tasks[[#This Row],[Planned Start]],NETWORKDAYS.INTL(Tasks[[#This Row],[Planned Start]],Tasks[[#This Row],[Start]],WorkWeek,Holidays)-1,1-NETWORKDAYS.INTL(Tasks[[#This Row],[Start]],Tasks[[#This Row],[Planned Start]],WorkWeek,Holidays)))</f>
        <v/>
      </c>
      <c r="AT93" s="63" t="str">
        <f aca="false">IF(Tasks[[#This Row],[Task Name]]="","",IF(Tasks[[#This Row],[_IsSummary]],MIN(INDEX(Tasks[_LeafLateStart],Tasks[[#This Row],[_Row]]+1):INDEX(Tasks[_LeafLateStart],Tasks[[#This Row],[_Row]]+Tasks[[#This Row],[_Descendants]])),Tasks[[#This Row],[_LeafLateStart]]))</f>
        <v/>
      </c>
      <c r="AU93" s="63" t="str">
        <f aca="false">IF(Tasks[[#This Row],[Task Name]]="","",IF(Tasks[[#This Row],[_IsSummary]],MAX(INDEX(Tasks[_LeafLateFinish],Tasks[[#This Row],[_Row]]+1):INDEX(Tasks[_LeafLateFinish],Tasks[[#This Row],[_Row]]+Tasks[[#This Row],[_Descendants]])),Tasks[[#This Row],[_LeafLateFinish]]))</f>
        <v/>
      </c>
      <c r="AV93" s="47" t="str">
        <f aca="false">IF(Tasks[[#This Row],[Task Name]]="","",IF(Tasks[[#This Row],[_IsSummary]],MIN(INDEX(Tasks[_LeafTotalSlack],Tasks[[#This Row],[_Row]]+1):INDEX(Tasks[_LeafTotalSlack],Tasks[[#This Row],[_Row]]+Tasks[[#This Row],[_Descendants]])),Tasks[[#This Row],[_LeafTotalSlack]]))</f>
        <v/>
      </c>
      <c r="AW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5"/>
      <c r="BA9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t="str">
        <f aca="false">IF(Tasks[[#This Row],[Task Name]]="","",IF(Tasks[[#This Row],[_Level]]&lt;=OutlineShowLevel,"Yes","No"))</f>
        <v/>
      </c>
      <c r="BE93" s="86" t="str">
        <f aca="false">IF(Tasks[[#This Row],[Task Name]]="","",IF(Tasks[[#This Row],[_IsSummary]],SUM(INDEX(Tasks[_LeafTotalWork],Tasks[[#This Row],[_Row]]+1):INDEX(Tasks[_LeafTotalWork],Tasks[[#This Row],[_Row]]+Tasks[[#This Row],[_Descendants]])),Tasks[[#This Row],[_LeafTotalWork]]))</f>
        <v/>
      </c>
      <c r="BF93" s="23"/>
      <c r="BG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t="str">
        <f aca="false">""</f>
        <v/>
      </c>
      <c r="BI93" s="87"/>
      <c r="BJ93" s="22"/>
      <c r="BK93" s="47" t="str">
        <f aca="false">IF(OR(Tasks[[#This Row],[Task Name]]="",Tasks[[#This Row],[Baseline Duration]]=""),"",Tasks[[#This Row],[_SpanDays]]-N(Tasks[[#This Row],[Baseline Duration]]))</f>
        <v/>
      </c>
      <c r="BL93" s="86" t="str">
        <f aca="false">IF(OR(Tasks[[#This Row],[Task Name]]="",Tasks[[#This Row],[Baseline Work]]=""),"",Tasks[[#This Row],[Work]]-N(Tasks[[#This Row],[Baseline Work]]))</f>
        <v/>
      </c>
      <c r="BM93" s="63" t="str">
        <f aca="false">IF(Tasks[[#This Row],[Task Name]]="","",IF(OR(TakeBaseline="Yes",N(Tasks[[#This Row],[Baseline Start]])=0),Tasks[[#This Row],[Start]],Tasks[[#This Row],[Baseline Start]]))</f>
        <v/>
      </c>
      <c r="BN93" s="63" t="str">
        <f aca="false">IF(Tasks[[#This Row],[Task Name]]="","",IF(OR(TakeBaseline="Yes",N(Tasks[[#This Row],[Baseline Finish]])=0),Tasks[[#This Row],[Finish]],Tasks[[#This Row],[Baseline Finish]]))</f>
        <v/>
      </c>
      <c r="BO93" s="21" t="str">
        <f aca="false">IF(Tasks[[#This Row],[Task Name]]="","",IF(OR(TakeBaseline="Yes",N(Tasks[[#This Row],[Baseline Duration]])=0),Tasks[[#This Row],[_SpanDays]],Tasks[[#This Row],[Baseline Duration]]))</f>
        <v/>
      </c>
      <c r="BP93" s="86" t="str">
        <f aca="false">IF(Tasks[[#This Row],[Task Name]]="","",IF(OR(TakeBaseline="Yes",N(Tasks[[#This Row],[Baseline Work]])=0),Tasks[[#This Row],[Work]],Tasks[[#This Row],[Baseline Work]]))</f>
        <v/>
      </c>
      <c r="BQ93" s="7"/>
      <c r="BR93" s="7"/>
      <c r="BS93" s="22"/>
      <c r="BT93" s="88"/>
      <c r="BU93" s="23"/>
      <c r="BV93" s="23"/>
      <c r="BW93" s="23"/>
      <c r="BX93" s="89" t="str">
        <f aca="false">IF(AND(Tasks[[#This Row],[_IsLeaf]]=1,ISNUMBER(Tasks[[#This Row],[Optimistic]]),ISNUMBER(Tasks[[#This Row],[Pessimistic]])),ROUND((Tasks[[#This Row],[Optimistic]]+4*N(Tasks[[#This Row],[_Days]])+Tasks[[#This Row],[Pessimistic]])/6,1),"")</f>
        <v/>
      </c>
      <c r="BY93" s="87"/>
      <c r="BZ93" s="87"/>
      <c r="CA93" s="22"/>
      <c r="CB93" s="43" t="str">
        <f aca="false">IF(Tasks[[#This Row],[Task Name]]="","",MAX(1,N(Tasks[[#This Row],[Level]])))</f>
        <v/>
      </c>
      <c r="CC93" s="43" t="n">
        <f aca="false">ROW()-ROW(Tasks[[#Headers],[ID]])</f>
        <v>88</v>
      </c>
      <c r="CD93" s="43" t="n">
        <f aca="false">IF(OR(Tasks[[#This Row],[Task Name]]="",Tasks[[#This Row],[_Level]]&lt;=1),0,IFERROR(LOOKUP(2,1/(Tasks[[#Headers],[_Level]]:Tasks[[#This Row],[_Level]]=Tasks[[#This Row],[_Level]]-1),ROW(Tasks[[#Headers],[_Level]]:Tasks[[#This Row],[_Level]])),0))</f>
        <v>0</v>
      </c>
      <c r="CE93" s="43" t="n">
        <f aca="false">IFERROR(N(INDEX(Tasks[_Level],Tasks[[#This Row],[_Row]]+1)),0)</f>
        <v>0</v>
      </c>
      <c r="CF93" s="90" t="b">
        <f aca="false">AND(Tasks[[#This Row],[Task Name]]&lt;&gt;"",Tasks[[#This Row],[_NextLevel]]&gt;Tasks[[#This Row],[_Level]])</f>
        <v>0</v>
      </c>
      <c r="CG93" s="43" t="n">
        <f aca="false">IF(Tasks[[#This Row],[_IsSummary]],COUNTIF(Tasks[WBS],Tasks[[#This Row],[WBS]]&amp;".*"),0)</f>
        <v>0</v>
      </c>
      <c r="CH93" s="43" t="n">
        <f aca="false">IF(AND(Tasks[[#This Row],[Task Name]]&lt;&gt;"",NOT(Tasks[[#This Row],[_IsSummary]])),1,0)</f>
        <v>0</v>
      </c>
      <c r="CI93" s="43" t="n">
        <f aca="false">IF(N(Tasks[[#This Row],[_Pred1UID]])=0,0,IFERROR(MATCH(Tasks[[#This Row],[_Pred1UID]],Tasks[UID],0),-1))</f>
        <v>0</v>
      </c>
      <c r="CJ93" s="43" t="n">
        <f aca="false">IF(N(Tasks[[#This Row],[_Pred2UID]])=0,0,IFERROR(MATCH(Tasks[[#This Row],[_Pred2UID]],Tasks[UID],0),-1))</f>
        <v>0</v>
      </c>
      <c r="CK93" s="43" t="n">
        <f aca="false">IF(N(Tasks[[#This Row],[_Pred3UID]])=0,0,IFERROR(MATCH(Tasks[[#This Row],[_Pred3UID]],Tasks[UID],0),-1))</f>
        <v>0</v>
      </c>
      <c r="CL93" s="43" t="n">
        <f aca="false">IF(N(Tasks[[#This Row],[_Pred4UID]])=0,0,IFERROR(MATCH(Tasks[[#This Row],[_Pred4UID]],Tasks[UID],0),-1))</f>
        <v>0</v>
      </c>
      <c r="CM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3" s="91" t="n">
        <f aca="false">IF(OR(Tasks[[#This Row],[_ConstraintCode]]=2,Tasks[[#This Row],[_ConstraintCode]]=3,Tasks[[#This Row],[_ConstraintCode]]=4,Tasks[[#This Row],[_ConstraintCode]]=6),Tasks[[#This Row],[_ConstraintStart]],0)</f>
        <v>0</v>
      </c>
      <c r="CP93" s="91" t="n">
        <f aca="false">IF(OR(Tasks[[#This Row],[_ConstraintCode]]=2,Tasks[[#This Row],[_ConstraintCode]]=3,Tasks[[#This Row],[_ConstraintCode]]=5,Tasks[[#This Row],[_ConstraintCode]]=7),Tasks[[#This Row],[_ConstraintStart]],2958465)</f>
        <v>2958465</v>
      </c>
      <c r="CQ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3" s="91" t="str">
        <f aca="false">IF(NOT(Tasks[[#This Row],[_IsLeaf]]=1),"",IF(N(Tasks[[#This Row],[_Days]])&lt;=0,Tasks[[#This Row],[_LeafCalcStart]],WORKDAY.INTL(Tasks[[#This Row],[_LeafCalcStart]],Tasks[[#This Row],[_Days]]-1,WorkWeek,Holidays)))</f>
        <v/>
      </c>
      <c r="CS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3" s="43" t="str">
        <f aca="false">IF(Tasks[[#This Row],[_Predecessors]]="","",TRIM(MID(SUBSTITUTE(SUBSTITUTE(SUBSTITUTE(UPPER(Tasks[[#This Row],[_Predecessors]]),";",",")," ",""),",",REPT(" ",99)),1,99)))</f>
        <v/>
      </c>
      <c r="CV93" s="43" t="str">
        <f aca="false">IF(Tasks[[#This Row],[_Pred1Text]]="","",IFERROR(VALUE(LEFT(Tasks[[#This Row],[_Pred1Text]],MIN(FIND("F",Tasks[[#This Row],[_Pred1Text]]&amp;"F"),FIND("S",Tasks[[#This Row],[_Pred1Text]]&amp;"S"),FIND("+",Tasks[[#This Row],[_Pred1Text]]&amp;"+"),FIND("-",Tasks[[#This Row],[_Pred1Text]]&amp;"-"))-1)),""))</f>
        <v/>
      </c>
      <c r="CW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3" s="43" t="str">
        <f aca="false">IF(Tasks[[#This Row],[_Pred1Text]]="","",TRIM(MID(SUBSTITUTE(SUBSTITUTE(SUBSTITUTE(UPPER(Tasks[[#This Row],[_Predecessors]]),";",",")," ",""),",",REPT(" ",99)),100,99)))</f>
        <v/>
      </c>
      <c r="CZ93" s="43" t="str">
        <f aca="false">IF(Tasks[[#This Row],[_Pred2Text]]="","",IFERROR(VALUE(LEFT(Tasks[[#This Row],[_Pred2Text]],MIN(FIND("F",Tasks[[#This Row],[_Pred2Text]]&amp;"F"),FIND("S",Tasks[[#This Row],[_Pred2Text]]&amp;"S"),FIND("+",Tasks[[#This Row],[_Pred2Text]]&amp;"+"),FIND("-",Tasks[[#This Row],[_Pred2Text]]&amp;"-"))-1)),""))</f>
        <v/>
      </c>
      <c r="DA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3" s="43" t="str">
        <f aca="false">IF(Tasks[[#This Row],[_Pred2Text]]="","",TRIM(MID(SUBSTITUTE(SUBSTITUTE(SUBSTITUTE(UPPER(Tasks[[#This Row],[_Predecessors]]),";",",")," ",""),",",REPT(" ",99)),199,99)))</f>
        <v/>
      </c>
      <c r="DD93" s="43" t="str">
        <f aca="false">IF(Tasks[[#This Row],[_Pred3Text]]="","",IFERROR(VALUE(LEFT(Tasks[[#This Row],[_Pred3Text]],MIN(FIND("F",Tasks[[#This Row],[_Pred3Text]]&amp;"F"),FIND("S",Tasks[[#This Row],[_Pred3Text]]&amp;"S"),FIND("+",Tasks[[#This Row],[_Pred3Text]]&amp;"+"),FIND("-",Tasks[[#This Row],[_Pred3Text]]&amp;"-"))-1)),""))</f>
        <v/>
      </c>
      <c r="DE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3" s="43" t="str">
        <f aca="false">IF(Tasks[[#This Row],[_Pred3Text]]="","",TRIM(MID(SUBSTITUTE(SUBSTITUTE(SUBSTITUTE(UPPER(Tasks[[#This Row],[_Predecessors]]),";",",")," ",""),",",REPT(" ",99)),298,99)))</f>
        <v/>
      </c>
      <c r="DH93" s="43" t="str">
        <f aca="false">IF(Tasks[[#This Row],[_Pred4Text]]="","",IFERROR(VALUE(LEFT(Tasks[[#This Row],[_Pred4Text]],MIN(FIND("F",Tasks[[#This Row],[_Pred4Text]]&amp;"F"),FIND("S",Tasks[[#This Row],[_Pred4Text]]&amp;"S"),FIND("+",Tasks[[#This Row],[_Pred4Text]]&amp;"+"),FIND("-",Tasks[[#This Row],[_Pred4Text]]&amp;"-"))-1)),""))</f>
        <v/>
      </c>
      <c r="DI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3" s="43" t="str">
        <f aca="false">IF(OR(Tasks[[#This Row],[Task Name]]="",Tasks[[#This Row],[_Resources]]=""),"",TRIM(MID(SUBSTITUTE(Tasks[[#This Row],[_Resources]],",",REPT(" ",99)),1,99)))</f>
        <v/>
      </c>
      <c r="DL93" s="43" t="str">
        <f aca="false">IF(Tasks[[#This Row],[_Res1Text]]="","",TRIM(MID(SUBSTITUTE(Tasks[[#This Row],[_Resources]],",",REPT(" ",99)),100,99)))</f>
        <v/>
      </c>
      <c r="DM93" s="43" t="str">
        <f aca="false">IF(Tasks[[#This Row],[_Res2Text]]="","",TRIM(MID(SUBSTITUTE(Tasks[[#This Row],[_Resources]],",",REPT(" ",99)),199,99)))</f>
        <v/>
      </c>
      <c r="DN93" s="43" t="str">
        <f aca="false">IF(Tasks[[#This Row],[_Res3Text]]="","",TRIM(MID(SUBSTITUTE(Tasks[[#This Row],[_Resources]],",",REPT(" ",99)),298,99)))</f>
        <v/>
      </c>
      <c r="DO93" s="43" t="n">
        <f aca="false">IF(Tasks[[#This Row],[_Res1Text]]="",0,IFERROR(MATCH(TRIM(LEFT(Tasks[[#This Row],[_Res1Text]],FIND("[",Tasks[[#This Row],[_Res1Text]]&amp;"[")-1)),res_Name,0),IFERROR(MATCH(TRIM(LEFT(Tasks[[#This Row],[_Res1Text]],FIND("[",Tasks[[#This Row],[_Res1Text]]&amp;"[")-1)),res_Initials,0),0)))</f>
        <v>0</v>
      </c>
      <c r="DP93" s="43" t="n">
        <f aca="false">IF(Tasks[[#This Row],[_Res2Text]]="",0,IFERROR(MATCH(TRIM(LEFT(Tasks[[#This Row],[_Res2Text]],FIND("[",Tasks[[#This Row],[_Res2Text]]&amp;"[")-1)),res_Name,0),IFERROR(MATCH(TRIM(LEFT(Tasks[[#This Row],[_Res2Text]],FIND("[",Tasks[[#This Row],[_Res2Text]]&amp;"[")-1)),res_Initials,0),0)))</f>
        <v>0</v>
      </c>
      <c r="DQ93" s="43" t="n">
        <f aca="false">IF(Tasks[[#This Row],[_Res3Text]]="",0,IFERROR(MATCH(TRIM(LEFT(Tasks[[#This Row],[_Res3Text]],FIND("[",Tasks[[#This Row],[_Res3Text]]&amp;"[")-1)),res_Name,0),IFERROR(MATCH(TRIM(LEFT(Tasks[[#This Row],[_Res3Text]],FIND("[",Tasks[[#This Row],[_Res3Text]]&amp;"[")-1)),res_Initials,0),0)))</f>
        <v>0</v>
      </c>
      <c r="DR93" s="43" t="n">
        <f aca="false">IF(Tasks[[#This Row],[_Res4Text]]="",0,IFERROR(MATCH(TRIM(LEFT(Tasks[[#This Row],[_Res4Text]],FIND("[",Tasks[[#This Row],[_Res4Text]]&amp;"[")-1)),res_Name,0),IFERROR(MATCH(TRIM(LEFT(Tasks[[#This Row],[_Res4Text]],FIND("[",Tasks[[#This Row],[_Res4Text]]&amp;"[")-1)),res_Initials,0),0)))</f>
        <v>0</v>
      </c>
      <c r="DS93" s="43" t="str">
        <f aca="false">IF(Tasks[[#This Row],[_Res1Text]]="","",IF(Tasks[[#This Row],[_Res1Row]]&gt;0,INDEX(res_Name,Tasks[[#This Row],[_Res1Row]]),TRIM(LEFT(Tasks[[#This Row],[_Res1Text]],FIND("[",Tasks[[#This Row],[_Res1Text]]&amp;"[")-1))))</f>
        <v/>
      </c>
      <c r="DT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3" s="43" t="n">
        <f aca="false">IF(NOT(Tasks[[#This Row],[_IsLeaf]]=1),0,(Tasks[[#This Row],[_Resource1]]&lt;&gt;"")+(Tasks[[#This Row],[_Res2]]&lt;&gt;"")+(Tasks[[#This Row],[_Res3]]&lt;&gt;"")+(Tasks[[#This Row],[_Res4]]&lt;&gt;""))</f>
        <v>0</v>
      </c>
      <c r="DV93" s="43" t="str">
        <f aca="false">IF(Tasks[[#This Row],[_Res2Text]]="","",IF(Tasks[[#This Row],[_Res2Row]]&gt;0,INDEX(res_Name,Tasks[[#This Row],[_Res2Row]]),TRIM(LEFT(Tasks[[#This Row],[_Res2Text]],FIND("[",Tasks[[#This Row],[_Res2Text]]&amp;"[")-1))))</f>
        <v/>
      </c>
      <c r="DW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3" s="43" t="n">
        <f aca="false">IF(OR(NOT(Tasks[[#This Row],[_IsLeaf]]=1),Tasks[[#This Row],[_Res2Row]]=0),0,N(Tasks[[#This Row],[_Days]])*HoursPerDay*IF(Tasks[[#This Row],[_Res2Units]]="",DefaultUnits,Tasks[[#This Row],[_Res2Units]]))</f>
        <v>0</v>
      </c>
      <c r="DY93" s="43" t="n">
        <f aca="false">IF(AND(AND(Tasks[[#This Row],[_IsLeaf]]=1,Tasks[[#This Row],[_LeafTotalWork]]&gt;0),Tasks[[#This Row],[_Res2Work]]&gt;0),Tasks[[#This Row],[_Res2Work]]/(Tasks[[#This Row],[_FinishWorkday]]-Tasks[[#This Row],[_StartWorkday]]+1),0)</f>
        <v>0</v>
      </c>
      <c r="DZ93" s="43" t="n">
        <f aca="false">Tasks[[#This Row],[_Res2WorkPerWD]]*MAX(0,Tasks[[#This Row],[_StartWorkday]]-1)</f>
        <v>0</v>
      </c>
      <c r="EA93" s="43" t="n">
        <f aca="false">Tasks[[#This Row],[_Res2Work]]*Tasks[[#This Row],[_LeafProgress]]</f>
        <v>0</v>
      </c>
      <c r="EB93" s="43" t="str">
        <f aca="false">IF(Tasks[[#This Row],[_Res3Text]]="","",IF(Tasks[[#This Row],[_Res3Row]]&gt;0,INDEX(res_Name,Tasks[[#This Row],[_Res3Row]]),TRIM(LEFT(Tasks[[#This Row],[_Res3Text]],FIND("[",Tasks[[#This Row],[_Res3Text]]&amp;"[")-1))))</f>
        <v/>
      </c>
      <c r="EC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3" s="43" t="n">
        <f aca="false">IF(OR(NOT(Tasks[[#This Row],[_IsLeaf]]=1),Tasks[[#This Row],[_Res3Row]]=0),0,N(Tasks[[#This Row],[_Days]])*HoursPerDay*IF(Tasks[[#This Row],[_Res3Units]]="",DefaultUnits,Tasks[[#This Row],[_Res3Units]]))</f>
        <v>0</v>
      </c>
      <c r="EE93" s="43" t="n">
        <f aca="false">IF(AND(AND(Tasks[[#This Row],[_IsLeaf]]=1,Tasks[[#This Row],[_LeafTotalWork]]&gt;0),Tasks[[#This Row],[_Res3Work]]&gt;0),Tasks[[#This Row],[_Res3Work]]/(Tasks[[#This Row],[_FinishWorkday]]-Tasks[[#This Row],[_StartWorkday]]+1),0)</f>
        <v>0</v>
      </c>
      <c r="EF93" s="43" t="n">
        <f aca="false">Tasks[[#This Row],[_Res3WorkPerWD]]*MAX(0,Tasks[[#This Row],[_StartWorkday]]-1)</f>
        <v>0</v>
      </c>
      <c r="EG93" s="43" t="n">
        <f aca="false">Tasks[[#This Row],[_Res3Work]]*Tasks[[#This Row],[_LeafProgress]]</f>
        <v>0</v>
      </c>
      <c r="EH93" s="43" t="str">
        <f aca="false">IF(Tasks[[#This Row],[_Res4Text]]="","",IF(Tasks[[#This Row],[_Res4Row]]&gt;0,INDEX(res_Name,Tasks[[#This Row],[_Res4Row]]),TRIM(LEFT(Tasks[[#This Row],[_Res4Text]],FIND("[",Tasks[[#This Row],[_Res4Text]]&amp;"[")-1))))</f>
        <v/>
      </c>
      <c r="EI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3" s="43" t="n">
        <f aca="false">IF(OR(NOT(Tasks[[#This Row],[_IsLeaf]]=1),Tasks[[#This Row],[_Res4Row]]=0),0,N(Tasks[[#This Row],[_Days]])*HoursPerDay*IF(Tasks[[#This Row],[_Res4Units]]="",DefaultUnits,Tasks[[#This Row],[_Res4Units]]))</f>
        <v>0</v>
      </c>
      <c r="EK93" s="43" t="n">
        <f aca="false">IF(AND(AND(Tasks[[#This Row],[_IsLeaf]]=1,Tasks[[#This Row],[_LeafTotalWork]]&gt;0),Tasks[[#This Row],[_Res4Work]]&gt;0),Tasks[[#This Row],[_Res4Work]]/(Tasks[[#This Row],[_FinishWorkday]]-Tasks[[#This Row],[_StartWorkday]]+1),0)</f>
        <v>0</v>
      </c>
      <c r="EL93" s="43" t="n">
        <f aca="false">Tasks[[#This Row],[_Res4WorkPerWD]]*MAX(0,Tasks[[#This Row],[_StartWorkday]]-1)</f>
        <v>0</v>
      </c>
      <c r="EM93" s="43" t="n">
        <f aca="false">Tasks[[#This Row],[_Res4Work]]*Tasks[[#This Row],[_LeafProgress]]</f>
        <v>0</v>
      </c>
      <c r="EN93" s="43" t="n">
        <f aca="false">IF(ISNUMBER(Tasks[[#This Row],[% Complete]]),Tasks[[#This Row],[% Complete]],IF(Tasks[[#This Row],[Stage]]="",0,IFERROR(INDEX(stg_Pct,MATCH(Tasks[[#This Row],[Stage]],stg_Name,0)),0)))</f>
        <v>0</v>
      </c>
      <c r="EO93" s="43" t="n">
        <f aca="false">IF(NOT(Tasks[[#This Row],[_IsLeaf]]=1),0,IF(N(Tasks[[#This Row],[Actual Finish]])&gt;0,1,MIN(1,Tasks[[#This Row],[_Pct]])))</f>
        <v>0</v>
      </c>
      <c r="EP93" s="43" t="n">
        <f aca="false">IF(OR(NOT(Tasks[[#This Row],[_IsLeaf]]=1),Tasks[[#This Row],[_Res1Row]]=0),0,N(Tasks[[#This Row],[_Days]])*HoursPerDay*IF(Tasks[[#This Row],[_Units1]]="",DefaultUnits,Tasks[[#This Row],[_Units1]]))</f>
        <v>0</v>
      </c>
      <c r="EQ93" s="43" t="n">
        <f aca="false">Tasks[[#This Row],[_LeafWork]]+Tasks[[#This Row],[_Res2Work]]+Tasks[[#This Row],[_Res3Work]]+Tasks[[#This Row],[_Res4Work]]</f>
        <v>0</v>
      </c>
      <c r="ER9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3" s="43" t="n">
        <f aca="false">IF(NOT(Tasks[[#This Row],[_IsLeaf]]=1),0,MAX(_xlfn.MAXIFS(Tasks[_Row],Tasks[_Pred1UID],Tasks[[#This Row],[UID]]),_xlfn.MAXIFS(Tasks[_Row],Tasks[_Pred2UID],Tasks[[#This Row],[UID]]),_xlfn.MAXIFS(Tasks[_Row],Tasks[_Pred3UID],Tasks[[#This Row],[UID]]),_xlfn.MAXIFS(Tasks[_Row],Tasks[_Pred4UID],Tasks[[#This Row],[UID]])))</f>
        <v>0</v>
      </c>
      <c r="FA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3" s="91" t="str">
        <f aca="false">IF(NOT(Tasks[[#This Row],[_IsLeaf]]=1),"",IF(N(Tasks[[#This Row],[_Days]])&lt;=0,Tasks[[#This Row],[_LeafLateFinish]],WORKDAY.INTL(Tasks[[#This Row],[_LeafLateFinish]],-(Tasks[[#This Row],[_Days]]-1),WorkWeek,Holidays)))</f>
        <v/>
      </c>
      <c r="FD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3" s="90" t="b">
        <f aca="false">AND(Tasks[[#This Row],[_IsLeaf]]=1,Tasks[[#This Row],[_LeafProgress]]&lt;1,N(Tasks[[#This Row],[_LeafTotalSlack]])&lt;=CriticalSlackDays)</f>
        <v>0</v>
      </c>
      <c r="FF93" s="43" t="n">
        <f aca="false">IF(AND(Tasks[[#This Row],[_IsLeaf]]=1,Tasks[[#This Row],[_ConstraintCode]]=1,Tasks[[#This Row],[Mode]]&lt;&gt;"Manual",N(Tasks[[#This Row],[Actual Start]])=0),MAX(0,N(Tasks[[#This Row],[Free Slack]])),0)</f>
        <v>0</v>
      </c>
      <c r="FG93" s="91" t="str">
        <f aca="false">IF(NOT(Tasks[[#This Row],[_IsLeaf]]=1),"",IF(Tasks[[#This Row],[_AlapShift]]=0,Tasks[[#This Row],[_LeafCalcStart]],WORKDAY.INTL(Tasks[[#This Row],[_LeafCalcStart]],Tasks[[#This Row],[_AlapShift]],WorkWeek,Holidays)))</f>
        <v/>
      </c>
      <c r="FH93" s="91" t="str">
        <f aca="false">IF(NOT(Tasks[[#This Row],[_IsLeaf]]=1),"",IF(Tasks[[#This Row],[_AlapShift]]=0,Tasks[[#This Row],[_LeafCalcFinish]],WORKDAY.INTL(Tasks[[#This Row],[_LeafCalcFinish]],Tasks[[#This Row],[_AlapShift]],WorkWeek,Holidays)))</f>
        <v/>
      </c>
      <c r="FI93" s="91" t="str">
        <f aca="false">IF(NOT(Tasks[[#This Row],[_IsLeaf]]=1),"",IF(Tasks[[#This Row],[_AlapShift]]=0,Tasks[[#This Row],[_LeafFcstStart]],WORKDAY.INTL(Tasks[[#This Row],[_LeafFcstStart]],Tasks[[#This Row],[_AlapShift]],WorkWeek,Holidays)))</f>
        <v/>
      </c>
      <c r="FJ93" s="91" t="str">
        <f aca="false">IF(NOT(Tasks[[#This Row],[_IsLeaf]]=1),"",IF(Tasks[[#This Row],[_AlapShift]]=0,Tasks[[#This Row],[_LeafFcstFinish]],WORKDAY.INTL(Tasks[[#This Row],[_LeafFcstFinish]],Tasks[[#This Row],[_AlapShift]],WorkWeek,Holidays)))</f>
        <v/>
      </c>
      <c r="FK93" s="91" t="str">
        <f aca="false">IF(Tasks[[#This Row],[Task Name]]="","",IF(Tasks[[#This Row],[_IsSummary]],MIN(INDEX(Tasks[_ShownCalcStart],Tasks[[#This Row],[_Row]]+1):INDEX(Tasks[_ShownCalcStart],Tasks[[#This Row],[_Row]]+Tasks[[#This Row],[_Descendants]])),Tasks[[#This Row],[_ShownCalcStart]]))</f>
        <v/>
      </c>
      <c r="FL93" s="91" t="str">
        <f aca="false">IF(Tasks[[#This Row],[Task Name]]="","",IF(Tasks[[#This Row],[_IsSummary]],MAX(INDEX(Tasks[_ShownCalcFinish],Tasks[[#This Row],[_Row]]+1):INDEX(Tasks[_ShownCalcFinish],Tasks[[#This Row],[_Row]]+Tasks[[#This Row],[_Descendants]])),Tasks[[#This Row],[_ShownCalcFinish]]))</f>
        <v/>
      </c>
      <c r="FM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3" s="43" t="n">
        <f aca="false">IF(AND(Tasks[[#This Row],[_IsLeaf]]=1,Tasks[[#This Row],[_LeafTotalWork]]&gt;0),NETWORKDAYS.INTL(ProjectStart,Tasks[[#This Row],[_ShownFcstStart]],WorkWeek,Holidays),0)</f>
        <v>0</v>
      </c>
      <c r="FZ93" s="43" t="n">
        <f aca="false">IF(AND(Tasks[[#This Row],[_IsLeaf]]=1,Tasks[[#This Row],[_LeafTotalWork]]&gt;0),MAX(Tasks[[#This Row],[_StartWorkday]],NETWORKDAYS.INTL(ProjectStart,Tasks[[#This Row],[_ShownFcstFinish]],WorkWeek,Holidays)),0)</f>
        <v>0</v>
      </c>
      <c r="GA93" s="43" t="n">
        <f aca="false">IF(AND(Tasks[[#This Row],[_IsLeaf]]=1,Tasks[[#This Row],[_LeafTotalWork]]&gt;0),Tasks[[#This Row],[_LeafWork]]/(Tasks[[#This Row],[_FinishWorkday]]-Tasks[[#This Row],[_StartWorkday]]+1),0)</f>
        <v>0</v>
      </c>
      <c r="GB93" s="43" t="n">
        <f aca="false">Tasks[[#This Row],[_WorkPerWorkday]]*(Tasks[[#This Row],[_StartWorkday]]-1)</f>
        <v>-0</v>
      </c>
      <c r="GC93" s="43" t="n">
        <f aca="false">IF(Tasks[[#This Row],[_IsLeaf]]=1,MAX(N(Tasks[[#This Row],[_Days]]),0.1),0)</f>
        <v>0</v>
      </c>
      <c r="GD93" s="43" t="n">
        <f aca="false">Tasks[[#This Row],[_WeightDur]]*Tasks[[#This Row],[_LeafProgress]]</f>
        <v>0</v>
      </c>
      <c r="GE93" s="43" t="n">
        <f aca="false">Tasks[[#This Row],[_WeightDur]]*Tasks[[#This Row],[_PlannedPct]]</f>
        <v>0</v>
      </c>
      <c r="GF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3" s="43" t="str">
        <f aca="false">IF(AND(Tasks[[#This Row],[_IsLeaf]]=1,N(Tasks[[#This Row],[_Days]])=0,Tasks[[#This Row],[_LeafProgress]]&lt;1),Tasks[[#This Row],[_ShownFcstFinish]]+Tasks[[#This Row],[_Row]]/100000,"")</f>
        <v/>
      </c>
      <c r="GH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3" s="43" t="str">
        <f aca="false">IF(Tasks[[#This Row],[Task Name]]="","",LEFT(Tasks[[#This Row],[WBS]],FIND(".",Tasks[[#This Row],[WBS]]&amp;".")-1))</f>
        <v/>
      </c>
      <c r="GJ93" s="43" t="str">
        <f aca="false">IF(AND(Tasks[[#This Row],[Task Name]]&lt;&gt;"",Tasks[[#This Row],[_Level]]=1),Tasks[[#This Row],[_Row]],"")</f>
        <v/>
      </c>
      <c r="GK93" s="43" t="str">
        <f aca="false">IF(AND(Tasks[[#This Row],[_IsLeaf]]=1,N(Tasks[[#This Row],[_Days]])=0),Tasks[[#This Row],[Planned Finish]]+Tasks[[#This Row],[_Row]]/100000,"")</f>
        <v/>
      </c>
      <c r="GL93" s="43" t="str">
        <f aca="false">IF(AND(Tasks[[#This Row],[_IsLeaf]]=1,Tasks[[#This Row],[_LeafProgress]]&lt;1,OR(N(Tasks[[#This Row],[Finish Var]])&gt;0,Tasks[[#This Row],[Status]]="Late Start")),MAX(0,Tasks[[#This Row],[Finish Var]])+1-Tasks[[#This Row],[_Row]]/1000000,"")</f>
        <v/>
      </c>
      <c r="GM93" s="43" t="str">
        <f aca="false">IF(AND(Tasks[[#This Row],[_IsLeaf]]=1,N(Tasks[[#This Row],[Actual Start]])=0,Tasks[[#This Row],[_ShownFcstStart]]&gt;=StatusDate,Tasks[[#This Row],[_ShownFcstStart]]&lt;=LookaheadEnd),Tasks[[#This Row],[_ShownFcstStart]]+Tasks[[#This Row],[_Row]]/100000,"")</f>
        <v/>
      </c>
      <c r="GN93" s="43" t="str">
        <f aca="false">IF(AND(Tasks[[#This Row],[_IsLeaf]]=1,Tasks[[#This Row],[_LeafProgress]]&lt;1,Tasks[[#This Row],[_ShownFcstFinish]]&gt;=StatusDate,Tasks[[#This Row],[_ShownFcstFinish]]&lt;=LookaheadEnd),Tasks[[#This Row],[_ShownFcstFinish]]+Tasks[[#This Row],[_Row]]/100000,"")</f>
        <v/>
      </c>
      <c r="GO93" s="43" t="str">
        <f aca="false">IF(Tasks[[#This Row],[_LeafCritical]],Tasks[[#This Row],[_ShownFcstStart]]+Tasks[[#This Row],[_Row]]/100000,"")</f>
        <v/>
      </c>
      <c r="GP93" s="43" t="n">
        <f aca="false">Tasks[[#This Row],[_LeafWork]]*Tasks[[#This Row],[_LeafProgress]]</f>
        <v>0</v>
      </c>
      <c r="GQ93" s="91" t="str">
        <f aca="false">IF(AND(Tasks[[#This Row],[_IsLeaf]]=1,Tasks[[#This Row],[_LeafProgress]]&gt;=1),IF(N(Tasks[[#This Row],[Actual Finish]])&gt;0,Tasks[[#This Row],[Actual Finish]],Tasks[[#This Row],[_ShownFcstFinish]]),"")</f>
        <v/>
      </c>
      <c r="GR93" s="43" t="n">
        <f aca="false">IF(Tasks[[#This Row],[_IsLeaf]]=1,N(Tasks[[#This Row],[Story Points]]),0)</f>
        <v>0</v>
      </c>
      <c r="GS93" s="43" t="str">
        <f aca="false">""</f>
        <v/>
      </c>
      <c r="GT93" s="90" t="b">
        <f aca="false">IF(Tasks[[#This Row],[Task Name]]="",FALSE(),AND(Tasks[[#This Row],[_IsLeaf]]=1,N(Tasks[[#This Row],[_Days]])=0))</f>
        <v>0</v>
      </c>
      <c r="GU93" s="91" t="n">
        <f aca="false">IF(Tasks[[#This Row],[Task Name]]="",0,IF(AND(Tasks[[#This Row],[_IsLeaf]]=1,NOT(Tasks[[#This Row],[_IsMilestone]]),N(Tasks[[#This Row],[Progress]])&gt;0),Tasks[[#This Row],[Start]],0))</f>
        <v>0</v>
      </c>
      <c r="GV93" s="91" t="n">
        <f aca="false">IF(Tasks[[#This Row],[_DoneFrom]]=0,0,IF(Tasks[[#This Row],[Progress]]&gt;=1,Tasks[[#This Row],[Finish]],MAX(Tasks[[#This Row],[_DoneFrom]],Tasks[[#This Row],[Start]]+ROUND((Tasks[[#This Row],[Finish]]-Tasks[[#This Row],[Start]]+1)*Tasks[[#This Row],[Progress]],0)-1)))</f>
        <v>0</v>
      </c>
      <c r="GW93" s="91" t="n">
        <f aca="false">IF(Tasks[[#This Row],[Task Name]]="",0,IF(OR(NOT(Tasks[[#This Row],[_IsLeaf]]=1),Tasks[[#This Row],[_IsMilestone]],N(Tasks[[#This Row],[Progress]])&gt;=1),0,IF(Tasks[[#This Row],[_DoneTo]]&gt;0,Tasks[[#This Row],[_DoneTo]]+1,Tasks[[#This Row],[Start]])))</f>
        <v>0</v>
      </c>
      <c r="GX93" s="91" t="n">
        <f aca="false">IF(Tasks[[#This Row],[_RemFrom]]=0,0,Tasks[[#This Row],[Finish]])</f>
        <v>0</v>
      </c>
      <c r="GY93" s="90" t="b">
        <f aca="false">IF(Tasks[[#This Row],[Task Name]]="",FALSE(),OR(NOT(BaselineSet),N(Tasks[[#This Row],[Baseline Start]])&gt;0))</f>
        <v>0</v>
      </c>
      <c r="GZ9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3" s="92" t="str">
        <f aca="false">IF(Tasks[[#This Row],[_IsLeaf]]=1,Tasks[[#This Row],[_Row]],"")</f>
        <v/>
      </c>
      <c r="HD93" s="92" t="str">
        <f aca="false">IFERROR(INDEX(Tasks[UID],SMALL(Tasks[_PickKey],Tasks[[#This Row],[_Row]]))&amp;" "&amp;INDEX(Tasks[Task Name],SMALL(Tasks[_PickKey],Tasks[[#This Row],[_Row]])),"")</f>
        <v/>
      </c>
      <c r="HE93" s="43" t="str">
        <f aca="false">IF(Tasks[[#This Row],[Task Name]]="","",IF(Tasks[[#This Row],[_IsSummary]],NETWORKDAYS.INTL(Tasks[[#This Row],[Start]],Tasks[[#This Row],[Finish]],WorkWeek,Holidays),N(Tasks[[#This Row],[_Days]])))</f>
        <v/>
      </c>
      <c r="HF93" s="43" t="n">
        <f aca="false">IF(Tasks[[#This Row],[Expected]]="",0,((Tasks[[#This Row],[Pessimistic]]-Tasks[[#This Row],[Optimistic]])/6)^2)</f>
        <v>0</v>
      </c>
      <c r="HG93" s="43" t="n">
        <f aca="false">IF(Tasks[[#This Row],[Expected]]="",0,Tasks[[#This Row],[Expected]]-N(Tasks[[#This Row],[_Days]]))</f>
        <v>0</v>
      </c>
    </row>
    <row r="94" customFormat="false" ht="15" hidden="false" customHeight="false" outlineLevel="0" collapsed="false">
      <c r="A94" s="21" t="str">
        <f aca="false">IF(Tasks[[#This Row],[Task Name]]="","",COUNTA(Tasks[[#Headers],[Task Name]]:Tasks[[#This Row],[Task Name]])-1)</f>
        <v/>
      </c>
      <c r="B94" s="22" t="n">
        <v>102</v>
      </c>
      <c r="C94" s="22"/>
      <c r="D94" s="23"/>
      <c r="E94" s="22"/>
      <c r="F94" s="23"/>
      <c r="G94" s="22"/>
      <c r="H94" s="22"/>
      <c r="I94" s="23"/>
      <c r="J94" s="22"/>
      <c r="K94" s="22"/>
      <c r="L94" s="23"/>
      <c r="M94" s="22"/>
      <c r="N94" s="22"/>
      <c r="O94" s="23"/>
      <c r="P94" s="22"/>
      <c r="Q94" s="22"/>
      <c r="R94" s="23"/>
      <c r="S94" s="23"/>
      <c r="T94" s="84"/>
      <c r="U94" s="23"/>
      <c r="V94" s="84"/>
      <c r="W94" s="23"/>
      <c r="X94" s="84"/>
      <c r="Y94" s="23"/>
      <c r="Z94" s="84"/>
      <c r="AA94" s="23"/>
      <c r="AB94" s="23"/>
      <c r="AC94" s="7"/>
      <c r="AD94" s="7"/>
      <c r="AE94" s="63" t="str">
        <f aca="false">IF(Tasks[[#This Row],[Task Name]]="","",IF(Tasks[[#This Row],[_IsSummary]],MIN(INDEX(Tasks[_ShownFcstStart],Tasks[[#This Row],[_Row]]+1):INDEX(Tasks[_ShownFcstStart],Tasks[[#This Row],[_Row]]+Tasks[[#This Row],[_Descendants]])),Tasks[[#This Row],[_ShownFcstStart]]))</f>
        <v/>
      </c>
      <c r="AF94" s="63" t="str">
        <f aca="false">IF(Tasks[[#This Row],[Task Name]]="","",IF(Tasks[[#This Row],[_IsSummary]],MAX(INDEX(Tasks[_ShownFcstFinish],Tasks[[#This Row],[_Row]]+1):INDEX(Tasks[_ShownFcstFinish],Tasks[[#This Row],[_Row]]+Tasks[[#This Row],[_Descendants]])),Tasks[[#This Row],[_ShownFcstFinish]]))</f>
        <v/>
      </c>
      <c r="AG94" s="21" t="str">
        <f aca="false">""</f>
        <v/>
      </c>
      <c r="AH94" s="23"/>
      <c r="AI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4" s="7"/>
      <c r="AK94" s="22"/>
      <c r="AL94" s="23"/>
      <c r="AM94" s="7"/>
      <c r="AN94" s="47" t="str">
        <f aca="false">IF(Tasks[[#This Row],[Task Name]]="","",IF(Tasks[[#This Row],[Finish]]&gt;=Tasks[[#This Row],[Planned Finish]],NETWORKDAYS.INTL(Tasks[[#This Row],[Planned Finish]],Tasks[[#This Row],[Finish]],WorkWeek,Holidays)-1,1-NETWORKDAYS.INTL(Tasks[[#This Row],[Finish]],Tasks[[#This Row],[Planned Finish]],WorkWeek,Holidays)))</f>
        <v/>
      </c>
      <c r="AO94" s="21" t="str">
        <f aca="false">IF(Tasks[[#This Row],[Task Name]]="","",IF(Tasks[[#This Row],[Progress]]&gt;=1,"Complete",IF(OR(N(Tasks[[#This Row],[Actual Start]])&gt;0,Tasks[[#This Row],[Progress]]&gt;0),IF(Tasks[[#This Row],[Finish Var]]&gt;0,"Behind","In Progress"),IF(Tasks[[#This Row],[Planned Start]]&lt;StatusDate,"Late Start","Not Started"))))</f>
        <v/>
      </c>
      <c r="AP94" s="21" t="str">
        <f aca="false">IF(Tasks[[#This Row],[Task Name]]="","",IF(IF(Tasks[[#This Row],[_IsSummary]],COUNTIF(INDEX(Tasks[_LeafCritical],Tasks[[#This Row],[_Row]]+1):INDEX(Tasks[_LeafCritical],Tasks[[#This Row],[_Row]]+Tasks[[#This Row],[_Descendants]]),TRUE())&gt;0,Tasks[[#This Row],[_LeafCritical]]),"Yes",""))</f>
        <v/>
      </c>
      <c r="AQ94" s="63" t="str">
        <f aca="false">IF(Tasks[[#This Row],[Task Name]]="","",IF(N(Tasks[[#This Row],[Baseline Start]])&gt;0,Tasks[[#This Row],[Baseline Start]],Tasks[[#This Row],[_CalcStart]]))</f>
        <v/>
      </c>
      <c r="AR94" s="63" t="str">
        <f aca="false">IF(Tasks[[#This Row],[Task Name]]="","",IF(N(Tasks[[#This Row],[Baseline Finish]])&gt;0,Tasks[[#This Row],[Baseline Finish]],Tasks[[#This Row],[_CalcFinish]]))</f>
        <v/>
      </c>
      <c r="AS94" s="47" t="str">
        <f aca="false">IF(Tasks[[#This Row],[Task Name]]="","",IF(Tasks[[#This Row],[Start]]&gt;=Tasks[[#This Row],[Planned Start]],NETWORKDAYS.INTL(Tasks[[#This Row],[Planned Start]],Tasks[[#This Row],[Start]],WorkWeek,Holidays)-1,1-NETWORKDAYS.INTL(Tasks[[#This Row],[Start]],Tasks[[#This Row],[Planned Start]],WorkWeek,Holidays)))</f>
        <v/>
      </c>
      <c r="AT94" s="63" t="str">
        <f aca="false">IF(Tasks[[#This Row],[Task Name]]="","",IF(Tasks[[#This Row],[_IsSummary]],MIN(INDEX(Tasks[_LeafLateStart],Tasks[[#This Row],[_Row]]+1):INDEX(Tasks[_LeafLateStart],Tasks[[#This Row],[_Row]]+Tasks[[#This Row],[_Descendants]])),Tasks[[#This Row],[_LeafLateStart]]))</f>
        <v/>
      </c>
      <c r="AU94" s="63" t="str">
        <f aca="false">IF(Tasks[[#This Row],[Task Name]]="","",IF(Tasks[[#This Row],[_IsSummary]],MAX(INDEX(Tasks[_LeafLateFinish],Tasks[[#This Row],[_Row]]+1):INDEX(Tasks[_LeafLateFinish],Tasks[[#This Row],[_Row]]+Tasks[[#This Row],[_Descendants]])),Tasks[[#This Row],[_LeafLateFinish]]))</f>
        <v/>
      </c>
      <c r="AV94" s="47" t="str">
        <f aca="false">IF(Tasks[[#This Row],[Task Name]]="","",IF(Tasks[[#This Row],[_IsSummary]],MIN(INDEX(Tasks[_LeafTotalSlack],Tasks[[#This Row],[_Row]]+1):INDEX(Tasks[_LeafTotalSlack],Tasks[[#This Row],[_Row]]+Tasks[[#This Row],[_Descendants]])),Tasks[[#This Row],[_LeafTotalSlack]]))</f>
        <v/>
      </c>
      <c r="AW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5"/>
      <c r="BA9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t="str">
        <f aca="false">IF(Tasks[[#This Row],[Task Name]]="","",IF(Tasks[[#This Row],[_Level]]&lt;=OutlineShowLevel,"Yes","No"))</f>
        <v/>
      </c>
      <c r="BE94" s="86" t="str">
        <f aca="false">IF(Tasks[[#This Row],[Task Name]]="","",IF(Tasks[[#This Row],[_IsSummary]],SUM(INDEX(Tasks[_LeafTotalWork],Tasks[[#This Row],[_Row]]+1):INDEX(Tasks[_LeafTotalWork],Tasks[[#This Row],[_Row]]+Tasks[[#This Row],[_Descendants]])),Tasks[[#This Row],[_LeafTotalWork]]))</f>
        <v/>
      </c>
      <c r="BF94" s="23"/>
      <c r="BG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t="str">
        <f aca="false">""</f>
        <v/>
      </c>
      <c r="BI94" s="87"/>
      <c r="BJ94" s="22"/>
      <c r="BK94" s="47" t="str">
        <f aca="false">IF(OR(Tasks[[#This Row],[Task Name]]="",Tasks[[#This Row],[Baseline Duration]]=""),"",Tasks[[#This Row],[_SpanDays]]-N(Tasks[[#This Row],[Baseline Duration]]))</f>
        <v/>
      </c>
      <c r="BL94" s="86" t="str">
        <f aca="false">IF(OR(Tasks[[#This Row],[Task Name]]="",Tasks[[#This Row],[Baseline Work]]=""),"",Tasks[[#This Row],[Work]]-N(Tasks[[#This Row],[Baseline Work]]))</f>
        <v/>
      </c>
      <c r="BM94" s="63" t="str">
        <f aca="false">IF(Tasks[[#This Row],[Task Name]]="","",IF(OR(TakeBaseline="Yes",N(Tasks[[#This Row],[Baseline Start]])=0),Tasks[[#This Row],[Start]],Tasks[[#This Row],[Baseline Start]]))</f>
        <v/>
      </c>
      <c r="BN94" s="63" t="str">
        <f aca="false">IF(Tasks[[#This Row],[Task Name]]="","",IF(OR(TakeBaseline="Yes",N(Tasks[[#This Row],[Baseline Finish]])=0),Tasks[[#This Row],[Finish]],Tasks[[#This Row],[Baseline Finish]]))</f>
        <v/>
      </c>
      <c r="BO94" s="21" t="str">
        <f aca="false">IF(Tasks[[#This Row],[Task Name]]="","",IF(OR(TakeBaseline="Yes",N(Tasks[[#This Row],[Baseline Duration]])=0),Tasks[[#This Row],[_SpanDays]],Tasks[[#This Row],[Baseline Duration]]))</f>
        <v/>
      </c>
      <c r="BP94" s="86" t="str">
        <f aca="false">IF(Tasks[[#This Row],[Task Name]]="","",IF(OR(TakeBaseline="Yes",N(Tasks[[#This Row],[Baseline Work]])=0),Tasks[[#This Row],[Work]],Tasks[[#This Row],[Baseline Work]]))</f>
        <v/>
      </c>
      <c r="BQ94" s="7"/>
      <c r="BR94" s="7"/>
      <c r="BS94" s="22"/>
      <c r="BT94" s="88"/>
      <c r="BU94" s="23"/>
      <c r="BV94" s="23"/>
      <c r="BW94" s="23"/>
      <c r="BX94" s="89" t="str">
        <f aca="false">IF(AND(Tasks[[#This Row],[_IsLeaf]]=1,ISNUMBER(Tasks[[#This Row],[Optimistic]]),ISNUMBER(Tasks[[#This Row],[Pessimistic]])),ROUND((Tasks[[#This Row],[Optimistic]]+4*N(Tasks[[#This Row],[_Days]])+Tasks[[#This Row],[Pessimistic]])/6,1),"")</f>
        <v/>
      </c>
      <c r="BY94" s="87"/>
      <c r="BZ94" s="87"/>
      <c r="CA94" s="22"/>
      <c r="CB94" s="43" t="str">
        <f aca="false">IF(Tasks[[#This Row],[Task Name]]="","",MAX(1,N(Tasks[[#This Row],[Level]])))</f>
        <v/>
      </c>
      <c r="CC94" s="43" t="n">
        <f aca="false">ROW()-ROW(Tasks[[#Headers],[ID]])</f>
        <v>89</v>
      </c>
      <c r="CD94" s="43" t="n">
        <f aca="false">IF(OR(Tasks[[#This Row],[Task Name]]="",Tasks[[#This Row],[_Level]]&lt;=1),0,IFERROR(LOOKUP(2,1/(Tasks[[#Headers],[_Level]]:Tasks[[#This Row],[_Level]]=Tasks[[#This Row],[_Level]]-1),ROW(Tasks[[#Headers],[_Level]]:Tasks[[#This Row],[_Level]])),0))</f>
        <v>0</v>
      </c>
      <c r="CE94" s="43" t="n">
        <f aca="false">IFERROR(N(INDEX(Tasks[_Level],Tasks[[#This Row],[_Row]]+1)),0)</f>
        <v>0</v>
      </c>
      <c r="CF94" s="90" t="b">
        <f aca="false">AND(Tasks[[#This Row],[Task Name]]&lt;&gt;"",Tasks[[#This Row],[_NextLevel]]&gt;Tasks[[#This Row],[_Level]])</f>
        <v>0</v>
      </c>
      <c r="CG94" s="43" t="n">
        <f aca="false">IF(Tasks[[#This Row],[_IsSummary]],COUNTIF(Tasks[WBS],Tasks[[#This Row],[WBS]]&amp;".*"),0)</f>
        <v>0</v>
      </c>
      <c r="CH94" s="43" t="n">
        <f aca="false">IF(AND(Tasks[[#This Row],[Task Name]]&lt;&gt;"",NOT(Tasks[[#This Row],[_IsSummary]])),1,0)</f>
        <v>0</v>
      </c>
      <c r="CI94" s="43" t="n">
        <f aca="false">IF(N(Tasks[[#This Row],[_Pred1UID]])=0,0,IFERROR(MATCH(Tasks[[#This Row],[_Pred1UID]],Tasks[UID],0),-1))</f>
        <v>0</v>
      </c>
      <c r="CJ94" s="43" t="n">
        <f aca="false">IF(N(Tasks[[#This Row],[_Pred2UID]])=0,0,IFERROR(MATCH(Tasks[[#This Row],[_Pred2UID]],Tasks[UID],0),-1))</f>
        <v>0</v>
      </c>
      <c r="CK94" s="43" t="n">
        <f aca="false">IF(N(Tasks[[#This Row],[_Pred3UID]])=0,0,IFERROR(MATCH(Tasks[[#This Row],[_Pred3UID]],Tasks[UID],0),-1))</f>
        <v>0</v>
      </c>
      <c r="CL94" s="43" t="n">
        <f aca="false">IF(N(Tasks[[#This Row],[_Pred4UID]])=0,0,IFERROR(MATCH(Tasks[[#This Row],[_Pred4UID]],Tasks[UID],0),-1))</f>
        <v>0</v>
      </c>
      <c r="CM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4" s="91" t="n">
        <f aca="false">IF(OR(Tasks[[#This Row],[_ConstraintCode]]=2,Tasks[[#This Row],[_ConstraintCode]]=3,Tasks[[#This Row],[_ConstraintCode]]=4,Tasks[[#This Row],[_ConstraintCode]]=6),Tasks[[#This Row],[_ConstraintStart]],0)</f>
        <v>0</v>
      </c>
      <c r="CP94" s="91" t="n">
        <f aca="false">IF(OR(Tasks[[#This Row],[_ConstraintCode]]=2,Tasks[[#This Row],[_ConstraintCode]]=3,Tasks[[#This Row],[_ConstraintCode]]=5,Tasks[[#This Row],[_ConstraintCode]]=7),Tasks[[#This Row],[_ConstraintStart]],2958465)</f>
        <v>2958465</v>
      </c>
      <c r="CQ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4" s="91" t="str">
        <f aca="false">IF(NOT(Tasks[[#This Row],[_IsLeaf]]=1),"",IF(N(Tasks[[#This Row],[_Days]])&lt;=0,Tasks[[#This Row],[_LeafCalcStart]],WORKDAY.INTL(Tasks[[#This Row],[_LeafCalcStart]],Tasks[[#This Row],[_Days]]-1,WorkWeek,Holidays)))</f>
        <v/>
      </c>
      <c r="CS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4" s="43" t="str">
        <f aca="false">IF(Tasks[[#This Row],[_Predecessors]]="","",TRIM(MID(SUBSTITUTE(SUBSTITUTE(SUBSTITUTE(UPPER(Tasks[[#This Row],[_Predecessors]]),";",",")," ",""),",",REPT(" ",99)),1,99)))</f>
        <v/>
      </c>
      <c r="CV94" s="43" t="str">
        <f aca="false">IF(Tasks[[#This Row],[_Pred1Text]]="","",IFERROR(VALUE(LEFT(Tasks[[#This Row],[_Pred1Text]],MIN(FIND("F",Tasks[[#This Row],[_Pred1Text]]&amp;"F"),FIND("S",Tasks[[#This Row],[_Pred1Text]]&amp;"S"),FIND("+",Tasks[[#This Row],[_Pred1Text]]&amp;"+"),FIND("-",Tasks[[#This Row],[_Pred1Text]]&amp;"-"))-1)),""))</f>
        <v/>
      </c>
      <c r="CW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4" s="43" t="str">
        <f aca="false">IF(Tasks[[#This Row],[_Pred1Text]]="","",TRIM(MID(SUBSTITUTE(SUBSTITUTE(SUBSTITUTE(UPPER(Tasks[[#This Row],[_Predecessors]]),";",",")," ",""),",",REPT(" ",99)),100,99)))</f>
        <v/>
      </c>
      <c r="CZ94" s="43" t="str">
        <f aca="false">IF(Tasks[[#This Row],[_Pred2Text]]="","",IFERROR(VALUE(LEFT(Tasks[[#This Row],[_Pred2Text]],MIN(FIND("F",Tasks[[#This Row],[_Pred2Text]]&amp;"F"),FIND("S",Tasks[[#This Row],[_Pred2Text]]&amp;"S"),FIND("+",Tasks[[#This Row],[_Pred2Text]]&amp;"+"),FIND("-",Tasks[[#This Row],[_Pred2Text]]&amp;"-"))-1)),""))</f>
        <v/>
      </c>
      <c r="DA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4" s="43" t="str">
        <f aca="false">IF(Tasks[[#This Row],[_Pred2Text]]="","",TRIM(MID(SUBSTITUTE(SUBSTITUTE(SUBSTITUTE(UPPER(Tasks[[#This Row],[_Predecessors]]),";",",")," ",""),",",REPT(" ",99)),199,99)))</f>
        <v/>
      </c>
      <c r="DD94" s="43" t="str">
        <f aca="false">IF(Tasks[[#This Row],[_Pred3Text]]="","",IFERROR(VALUE(LEFT(Tasks[[#This Row],[_Pred3Text]],MIN(FIND("F",Tasks[[#This Row],[_Pred3Text]]&amp;"F"),FIND("S",Tasks[[#This Row],[_Pred3Text]]&amp;"S"),FIND("+",Tasks[[#This Row],[_Pred3Text]]&amp;"+"),FIND("-",Tasks[[#This Row],[_Pred3Text]]&amp;"-"))-1)),""))</f>
        <v/>
      </c>
      <c r="DE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4" s="43" t="str">
        <f aca="false">IF(Tasks[[#This Row],[_Pred3Text]]="","",TRIM(MID(SUBSTITUTE(SUBSTITUTE(SUBSTITUTE(UPPER(Tasks[[#This Row],[_Predecessors]]),";",",")," ",""),",",REPT(" ",99)),298,99)))</f>
        <v/>
      </c>
      <c r="DH94" s="43" t="str">
        <f aca="false">IF(Tasks[[#This Row],[_Pred4Text]]="","",IFERROR(VALUE(LEFT(Tasks[[#This Row],[_Pred4Text]],MIN(FIND("F",Tasks[[#This Row],[_Pred4Text]]&amp;"F"),FIND("S",Tasks[[#This Row],[_Pred4Text]]&amp;"S"),FIND("+",Tasks[[#This Row],[_Pred4Text]]&amp;"+"),FIND("-",Tasks[[#This Row],[_Pred4Text]]&amp;"-"))-1)),""))</f>
        <v/>
      </c>
      <c r="DI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4" s="43" t="str">
        <f aca="false">IF(OR(Tasks[[#This Row],[Task Name]]="",Tasks[[#This Row],[_Resources]]=""),"",TRIM(MID(SUBSTITUTE(Tasks[[#This Row],[_Resources]],",",REPT(" ",99)),1,99)))</f>
        <v/>
      </c>
      <c r="DL94" s="43" t="str">
        <f aca="false">IF(Tasks[[#This Row],[_Res1Text]]="","",TRIM(MID(SUBSTITUTE(Tasks[[#This Row],[_Resources]],",",REPT(" ",99)),100,99)))</f>
        <v/>
      </c>
      <c r="DM94" s="43" t="str">
        <f aca="false">IF(Tasks[[#This Row],[_Res2Text]]="","",TRIM(MID(SUBSTITUTE(Tasks[[#This Row],[_Resources]],",",REPT(" ",99)),199,99)))</f>
        <v/>
      </c>
      <c r="DN94" s="43" t="str">
        <f aca="false">IF(Tasks[[#This Row],[_Res3Text]]="","",TRIM(MID(SUBSTITUTE(Tasks[[#This Row],[_Resources]],",",REPT(" ",99)),298,99)))</f>
        <v/>
      </c>
      <c r="DO94" s="43" t="n">
        <f aca="false">IF(Tasks[[#This Row],[_Res1Text]]="",0,IFERROR(MATCH(TRIM(LEFT(Tasks[[#This Row],[_Res1Text]],FIND("[",Tasks[[#This Row],[_Res1Text]]&amp;"[")-1)),res_Name,0),IFERROR(MATCH(TRIM(LEFT(Tasks[[#This Row],[_Res1Text]],FIND("[",Tasks[[#This Row],[_Res1Text]]&amp;"[")-1)),res_Initials,0),0)))</f>
        <v>0</v>
      </c>
      <c r="DP94" s="43" t="n">
        <f aca="false">IF(Tasks[[#This Row],[_Res2Text]]="",0,IFERROR(MATCH(TRIM(LEFT(Tasks[[#This Row],[_Res2Text]],FIND("[",Tasks[[#This Row],[_Res2Text]]&amp;"[")-1)),res_Name,0),IFERROR(MATCH(TRIM(LEFT(Tasks[[#This Row],[_Res2Text]],FIND("[",Tasks[[#This Row],[_Res2Text]]&amp;"[")-1)),res_Initials,0),0)))</f>
        <v>0</v>
      </c>
      <c r="DQ94" s="43" t="n">
        <f aca="false">IF(Tasks[[#This Row],[_Res3Text]]="",0,IFERROR(MATCH(TRIM(LEFT(Tasks[[#This Row],[_Res3Text]],FIND("[",Tasks[[#This Row],[_Res3Text]]&amp;"[")-1)),res_Name,0),IFERROR(MATCH(TRIM(LEFT(Tasks[[#This Row],[_Res3Text]],FIND("[",Tasks[[#This Row],[_Res3Text]]&amp;"[")-1)),res_Initials,0),0)))</f>
        <v>0</v>
      </c>
      <c r="DR94" s="43" t="n">
        <f aca="false">IF(Tasks[[#This Row],[_Res4Text]]="",0,IFERROR(MATCH(TRIM(LEFT(Tasks[[#This Row],[_Res4Text]],FIND("[",Tasks[[#This Row],[_Res4Text]]&amp;"[")-1)),res_Name,0),IFERROR(MATCH(TRIM(LEFT(Tasks[[#This Row],[_Res4Text]],FIND("[",Tasks[[#This Row],[_Res4Text]]&amp;"[")-1)),res_Initials,0),0)))</f>
        <v>0</v>
      </c>
      <c r="DS94" s="43" t="str">
        <f aca="false">IF(Tasks[[#This Row],[_Res1Text]]="","",IF(Tasks[[#This Row],[_Res1Row]]&gt;0,INDEX(res_Name,Tasks[[#This Row],[_Res1Row]]),TRIM(LEFT(Tasks[[#This Row],[_Res1Text]],FIND("[",Tasks[[#This Row],[_Res1Text]]&amp;"[")-1))))</f>
        <v/>
      </c>
      <c r="DT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4" s="43" t="n">
        <f aca="false">IF(NOT(Tasks[[#This Row],[_IsLeaf]]=1),0,(Tasks[[#This Row],[_Resource1]]&lt;&gt;"")+(Tasks[[#This Row],[_Res2]]&lt;&gt;"")+(Tasks[[#This Row],[_Res3]]&lt;&gt;"")+(Tasks[[#This Row],[_Res4]]&lt;&gt;""))</f>
        <v>0</v>
      </c>
      <c r="DV94" s="43" t="str">
        <f aca="false">IF(Tasks[[#This Row],[_Res2Text]]="","",IF(Tasks[[#This Row],[_Res2Row]]&gt;0,INDEX(res_Name,Tasks[[#This Row],[_Res2Row]]),TRIM(LEFT(Tasks[[#This Row],[_Res2Text]],FIND("[",Tasks[[#This Row],[_Res2Text]]&amp;"[")-1))))</f>
        <v/>
      </c>
      <c r="DW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4" s="43" t="n">
        <f aca="false">IF(OR(NOT(Tasks[[#This Row],[_IsLeaf]]=1),Tasks[[#This Row],[_Res2Row]]=0),0,N(Tasks[[#This Row],[_Days]])*HoursPerDay*IF(Tasks[[#This Row],[_Res2Units]]="",DefaultUnits,Tasks[[#This Row],[_Res2Units]]))</f>
        <v>0</v>
      </c>
      <c r="DY94" s="43" t="n">
        <f aca="false">IF(AND(AND(Tasks[[#This Row],[_IsLeaf]]=1,Tasks[[#This Row],[_LeafTotalWork]]&gt;0),Tasks[[#This Row],[_Res2Work]]&gt;0),Tasks[[#This Row],[_Res2Work]]/(Tasks[[#This Row],[_FinishWorkday]]-Tasks[[#This Row],[_StartWorkday]]+1),0)</f>
        <v>0</v>
      </c>
      <c r="DZ94" s="43" t="n">
        <f aca="false">Tasks[[#This Row],[_Res2WorkPerWD]]*MAX(0,Tasks[[#This Row],[_StartWorkday]]-1)</f>
        <v>0</v>
      </c>
      <c r="EA94" s="43" t="n">
        <f aca="false">Tasks[[#This Row],[_Res2Work]]*Tasks[[#This Row],[_LeafProgress]]</f>
        <v>0</v>
      </c>
      <c r="EB94" s="43" t="str">
        <f aca="false">IF(Tasks[[#This Row],[_Res3Text]]="","",IF(Tasks[[#This Row],[_Res3Row]]&gt;0,INDEX(res_Name,Tasks[[#This Row],[_Res3Row]]),TRIM(LEFT(Tasks[[#This Row],[_Res3Text]],FIND("[",Tasks[[#This Row],[_Res3Text]]&amp;"[")-1))))</f>
        <v/>
      </c>
      <c r="EC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4" s="43" t="n">
        <f aca="false">IF(OR(NOT(Tasks[[#This Row],[_IsLeaf]]=1),Tasks[[#This Row],[_Res3Row]]=0),0,N(Tasks[[#This Row],[_Days]])*HoursPerDay*IF(Tasks[[#This Row],[_Res3Units]]="",DefaultUnits,Tasks[[#This Row],[_Res3Units]]))</f>
        <v>0</v>
      </c>
      <c r="EE94" s="43" t="n">
        <f aca="false">IF(AND(AND(Tasks[[#This Row],[_IsLeaf]]=1,Tasks[[#This Row],[_LeafTotalWork]]&gt;0),Tasks[[#This Row],[_Res3Work]]&gt;0),Tasks[[#This Row],[_Res3Work]]/(Tasks[[#This Row],[_FinishWorkday]]-Tasks[[#This Row],[_StartWorkday]]+1),0)</f>
        <v>0</v>
      </c>
      <c r="EF94" s="43" t="n">
        <f aca="false">Tasks[[#This Row],[_Res3WorkPerWD]]*MAX(0,Tasks[[#This Row],[_StartWorkday]]-1)</f>
        <v>0</v>
      </c>
      <c r="EG94" s="43" t="n">
        <f aca="false">Tasks[[#This Row],[_Res3Work]]*Tasks[[#This Row],[_LeafProgress]]</f>
        <v>0</v>
      </c>
      <c r="EH94" s="43" t="str">
        <f aca="false">IF(Tasks[[#This Row],[_Res4Text]]="","",IF(Tasks[[#This Row],[_Res4Row]]&gt;0,INDEX(res_Name,Tasks[[#This Row],[_Res4Row]]),TRIM(LEFT(Tasks[[#This Row],[_Res4Text]],FIND("[",Tasks[[#This Row],[_Res4Text]]&amp;"[")-1))))</f>
        <v/>
      </c>
      <c r="EI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4" s="43" t="n">
        <f aca="false">IF(OR(NOT(Tasks[[#This Row],[_IsLeaf]]=1),Tasks[[#This Row],[_Res4Row]]=0),0,N(Tasks[[#This Row],[_Days]])*HoursPerDay*IF(Tasks[[#This Row],[_Res4Units]]="",DefaultUnits,Tasks[[#This Row],[_Res4Units]]))</f>
        <v>0</v>
      </c>
      <c r="EK94" s="43" t="n">
        <f aca="false">IF(AND(AND(Tasks[[#This Row],[_IsLeaf]]=1,Tasks[[#This Row],[_LeafTotalWork]]&gt;0),Tasks[[#This Row],[_Res4Work]]&gt;0),Tasks[[#This Row],[_Res4Work]]/(Tasks[[#This Row],[_FinishWorkday]]-Tasks[[#This Row],[_StartWorkday]]+1),0)</f>
        <v>0</v>
      </c>
      <c r="EL94" s="43" t="n">
        <f aca="false">Tasks[[#This Row],[_Res4WorkPerWD]]*MAX(0,Tasks[[#This Row],[_StartWorkday]]-1)</f>
        <v>0</v>
      </c>
      <c r="EM94" s="43" t="n">
        <f aca="false">Tasks[[#This Row],[_Res4Work]]*Tasks[[#This Row],[_LeafProgress]]</f>
        <v>0</v>
      </c>
      <c r="EN94" s="43" t="n">
        <f aca="false">IF(ISNUMBER(Tasks[[#This Row],[% Complete]]),Tasks[[#This Row],[% Complete]],IF(Tasks[[#This Row],[Stage]]="",0,IFERROR(INDEX(stg_Pct,MATCH(Tasks[[#This Row],[Stage]],stg_Name,0)),0)))</f>
        <v>0</v>
      </c>
      <c r="EO94" s="43" t="n">
        <f aca="false">IF(NOT(Tasks[[#This Row],[_IsLeaf]]=1),0,IF(N(Tasks[[#This Row],[Actual Finish]])&gt;0,1,MIN(1,Tasks[[#This Row],[_Pct]])))</f>
        <v>0</v>
      </c>
      <c r="EP94" s="43" t="n">
        <f aca="false">IF(OR(NOT(Tasks[[#This Row],[_IsLeaf]]=1),Tasks[[#This Row],[_Res1Row]]=0),0,N(Tasks[[#This Row],[_Days]])*HoursPerDay*IF(Tasks[[#This Row],[_Units1]]="",DefaultUnits,Tasks[[#This Row],[_Units1]]))</f>
        <v>0</v>
      </c>
      <c r="EQ94" s="43" t="n">
        <f aca="false">Tasks[[#This Row],[_LeafWork]]+Tasks[[#This Row],[_Res2Work]]+Tasks[[#This Row],[_Res3Work]]+Tasks[[#This Row],[_Res4Work]]</f>
        <v>0</v>
      </c>
      <c r="ER9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4" s="43" t="n">
        <f aca="false">IF(NOT(Tasks[[#This Row],[_IsLeaf]]=1),0,MAX(_xlfn.MAXIFS(Tasks[_Row],Tasks[_Pred1UID],Tasks[[#This Row],[UID]]),_xlfn.MAXIFS(Tasks[_Row],Tasks[_Pred2UID],Tasks[[#This Row],[UID]]),_xlfn.MAXIFS(Tasks[_Row],Tasks[_Pred3UID],Tasks[[#This Row],[UID]]),_xlfn.MAXIFS(Tasks[_Row],Tasks[_Pred4UID],Tasks[[#This Row],[UID]])))</f>
        <v>0</v>
      </c>
      <c r="FA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4" s="91" t="str">
        <f aca="false">IF(NOT(Tasks[[#This Row],[_IsLeaf]]=1),"",IF(N(Tasks[[#This Row],[_Days]])&lt;=0,Tasks[[#This Row],[_LeafLateFinish]],WORKDAY.INTL(Tasks[[#This Row],[_LeafLateFinish]],-(Tasks[[#This Row],[_Days]]-1),WorkWeek,Holidays)))</f>
        <v/>
      </c>
      <c r="FD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4" s="90" t="b">
        <f aca="false">AND(Tasks[[#This Row],[_IsLeaf]]=1,Tasks[[#This Row],[_LeafProgress]]&lt;1,N(Tasks[[#This Row],[_LeafTotalSlack]])&lt;=CriticalSlackDays)</f>
        <v>0</v>
      </c>
      <c r="FF94" s="43" t="n">
        <f aca="false">IF(AND(Tasks[[#This Row],[_IsLeaf]]=1,Tasks[[#This Row],[_ConstraintCode]]=1,Tasks[[#This Row],[Mode]]&lt;&gt;"Manual",N(Tasks[[#This Row],[Actual Start]])=0),MAX(0,N(Tasks[[#This Row],[Free Slack]])),0)</f>
        <v>0</v>
      </c>
      <c r="FG94" s="91" t="str">
        <f aca="false">IF(NOT(Tasks[[#This Row],[_IsLeaf]]=1),"",IF(Tasks[[#This Row],[_AlapShift]]=0,Tasks[[#This Row],[_LeafCalcStart]],WORKDAY.INTL(Tasks[[#This Row],[_LeafCalcStart]],Tasks[[#This Row],[_AlapShift]],WorkWeek,Holidays)))</f>
        <v/>
      </c>
      <c r="FH94" s="91" t="str">
        <f aca="false">IF(NOT(Tasks[[#This Row],[_IsLeaf]]=1),"",IF(Tasks[[#This Row],[_AlapShift]]=0,Tasks[[#This Row],[_LeafCalcFinish]],WORKDAY.INTL(Tasks[[#This Row],[_LeafCalcFinish]],Tasks[[#This Row],[_AlapShift]],WorkWeek,Holidays)))</f>
        <v/>
      </c>
      <c r="FI94" s="91" t="str">
        <f aca="false">IF(NOT(Tasks[[#This Row],[_IsLeaf]]=1),"",IF(Tasks[[#This Row],[_AlapShift]]=0,Tasks[[#This Row],[_LeafFcstStart]],WORKDAY.INTL(Tasks[[#This Row],[_LeafFcstStart]],Tasks[[#This Row],[_AlapShift]],WorkWeek,Holidays)))</f>
        <v/>
      </c>
      <c r="FJ94" s="91" t="str">
        <f aca="false">IF(NOT(Tasks[[#This Row],[_IsLeaf]]=1),"",IF(Tasks[[#This Row],[_AlapShift]]=0,Tasks[[#This Row],[_LeafFcstFinish]],WORKDAY.INTL(Tasks[[#This Row],[_LeafFcstFinish]],Tasks[[#This Row],[_AlapShift]],WorkWeek,Holidays)))</f>
        <v/>
      </c>
      <c r="FK94" s="91" t="str">
        <f aca="false">IF(Tasks[[#This Row],[Task Name]]="","",IF(Tasks[[#This Row],[_IsSummary]],MIN(INDEX(Tasks[_ShownCalcStart],Tasks[[#This Row],[_Row]]+1):INDEX(Tasks[_ShownCalcStart],Tasks[[#This Row],[_Row]]+Tasks[[#This Row],[_Descendants]])),Tasks[[#This Row],[_ShownCalcStart]]))</f>
        <v/>
      </c>
      <c r="FL94" s="91" t="str">
        <f aca="false">IF(Tasks[[#This Row],[Task Name]]="","",IF(Tasks[[#This Row],[_IsSummary]],MAX(INDEX(Tasks[_ShownCalcFinish],Tasks[[#This Row],[_Row]]+1):INDEX(Tasks[_ShownCalcFinish],Tasks[[#This Row],[_Row]]+Tasks[[#This Row],[_Descendants]])),Tasks[[#This Row],[_ShownCalcFinish]]))</f>
        <v/>
      </c>
      <c r="FM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4" s="43" t="n">
        <f aca="false">IF(AND(Tasks[[#This Row],[_IsLeaf]]=1,Tasks[[#This Row],[_LeafTotalWork]]&gt;0),NETWORKDAYS.INTL(ProjectStart,Tasks[[#This Row],[_ShownFcstStart]],WorkWeek,Holidays),0)</f>
        <v>0</v>
      </c>
      <c r="FZ94" s="43" t="n">
        <f aca="false">IF(AND(Tasks[[#This Row],[_IsLeaf]]=1,Tasks[[#This Row],[_LeafTotalWork]]&gt;0),MAX(Tasks[[#This Row],[_StartWorkday]],NETWORKDAYS.INTL(ProjectStart,Tasks[[#This Row],[_ShownFcstFinish]],WorkWeek,Holidays)),0)</f>
        <v>0</v>
      </c>
      <c r="GA94" s="43" t="n">
        <f aca="false">IF(AND(Tasks[[#This Row],[_IsLeaf]]=1,Tasks[[#This Row],[_LeafTotalWork]]&gt;0),Tasks[[#This Row],[_LeafWork]]/(Tasks[[#This Row],[_FinishWorkday]]-Tasks[[#This Row],[_StartWorkday]]+1),0)</f>
        <v>0</v>
      </c>
      <c r="GB94" s="43" t="n">
        <f aca="false">Tasks[[#This Row],[_WorkPerWorkday]]*(Tasks[[#This Row],[_StartWorkday]]-1)</f>
        <v>-0</v>
      </c>
      <c r="GC94" s="43" t="n">
        <f aca="false">IF(Tasks[[#This Row],[_IsLeaf]]=1,MAX(N(Tasks[[#This Row],[_Days]]),0.1),0)</f>
        <v>0</v>
      </c>
      <c r="GD94" s="43" t="n">
        <f aca="false">Tasks[[#This Row],[_WeightDur]]*Tasks[[#This Row],[_LeafProgress]]</f>
        <v>0</v>
      </c>
      <c r="GE94" s="43" t="n">
        <f aca="false">Tasks[[#This Row],[_WeightDur]]*Tasks[[#This Row],[_PlannedPct]]</f>
        <v>0</v>
      </c>
      <c r="GF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4" s="43" t="str">
        <f aca="false">IF(AND(Tasks[[#This Row],[_IsLeaf]]=1,N(Tasks[[#This Row],[_Days]])=0,Tasks[[#This Row],[_LeafProgress]]&lt;1),Tasks[[#This Row],[_ShownFcstFinish]]+Tasks[[#This Row],[_Row]]/100000,"")</f>
        <v/>
      </c>
      <c r="GH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4" s="43" t="str">
        <f aca="false">IF(Tasks[[#This Row],[Task Name]]="","",LEFT(Tasks[[#This Row],[WBS]],FIND(".",Tasks[[#This Row],[WBS]]&amp;".")-1))</f>
        <v/>
      </c>
      <c r="GJ94" s="43" t="str">
        <f aca="false">IF(AND(Tasks[[#This Row],[Task Name]]&lt;&gt;"",Tasks[[#This Row],[_Level]]=1),Tasks[[#This Row],[_Row]],"")</f>
        <v/>
      </c>
      <c r="GK94" s="43" t="str">
        <f aca="false">IF(AND(Tasks[[#This Row],[_IsLeaf]]=1,N(Tasks[[#This Row],[_Days]])=0),Tasks[[#This Row],[Planned Finish]]+Tasks[[#This Row],[_Row]]/100000,"")</f>
        <v/>
      </c>
      <c r="GL94" s="43" t="str">
        <f aca="false">IF(AND(Tasks[[#This Row],[_IsLeaf]]=1,Tasks[[#This Row],[_LeafProgress]]&lt;1,OR(N(Tasks[[#This Row],[Finish Var]])&gt;0,Tasks[[#This Row],[Status]]="Late Start")),MAX(0,Tasks[[#This Row],[Finish Var]])+1-Tasks[[#This Row],[_Row]]/1000000,"")</f>
        <v/>
      </c>
      <c r="GM94" s="43" t="str">
        <f aca="false">IF(AND(Tasks[[#This Row],[_IsLeaf]]=1,N(Tasks[[#This Row],[Actual Start]])=0,Tasks[[#This Row],[_ShownFcstStart]]&gt;=StatusDate,Tasks[[#This Row],[_ShownFcstStart]]&lt;=LookaheadEnd),Tasks[[#This Row],[_ShownFcstStart]]+Tasks[[#This Row],[_Row]]/100000,"")</f>
        <v/>
      </c>
      <c r="GN94" s="43" t="str">
        <f aca="false">IF(AND(Tasks[[#This Row],[_IsLeaf]]=1,Tasks[[#This Row],[_LeafProgress]]&lt;1,Tasks[[#This Row],[_ShownFcstFinish]]&gt;=StatusDate,Tasks[[#This Row],[_ShownFcstFinish]]&lt;=LookaheadEnd),Tasks[[#This Row],[_ShownFcstFinish]]+Tasks[[#This Row],[_Row]]/100000,"")</f>
        <v/>
      </c>
      <c r="GO94" s="43" t="str">
        <f aca="false">IF(Tasks[[#This Row],[_LeafCritical]],Tasks[[#This Row],[_ShownFcstStart]]+Tasks[[#This Row],[_Row]]/100000,"")</f>
        <v/>
      </c>
      <c r="GP94" s="43" t="n">
        <f aca="false">Tasks[[#This Row],[_LeafWork]]*Tasks[[#This Row],[_LeafProgress]]</f>
        <v>0</v>
      </c>
      <c r="GQ94" s="91" t="str">
        <f aca="false">IF(AND(Tasks[[#This Row],[_IsLeaf]]=1,Tasks[[#This Row],[_LeafProgress]]&gt;=1),IF(N(Tasks[[#This Row],[Actual Finish]])&gt;0,Tasks[[#This Row],[Actual Finish]],Tasks[[#This Row],[_ShownFcstFinish]]),"")</f>
        <v/>
      </c>
      <c r="GR94" s="43" t="n">
        <f aca="false">IF(Tasks[[#This Row],[_IsLeaf]]=1,N(Tasks[[#This Row],[Story Points]]),0)</f>
        <v>0</v>
      </c>
      <c r="GS94" s="43" t="str">
        <f aca="false">""</f>
        <v/>
      </c>
      <c r="GT94" s="90" t="b">
        <f aca="false">IF(Tasks[[#This Row],[Task Name]]="",FALSE(),AND(Tasks[[#This Row],[_IsLeaf]]=1,N(Tasks[[#This Row],[_Days]])=0))</f>
        <v>0</v>
      </c>
      <c r="GU94" s="91" t="n">
        <f aca="false">IF(Tasks[[#This Row],[Task Name]]="",0,IF(AND(Tasks[[#This Row],[_IsLeaf]]=1,NOT(Tasks[[#This Row],[_IsMilestone]]),N(Tasks[[#This Row],[Progress]])&gt;0),Tasks[[#This Row],[Start]],0))</f>
        <v>0</v>
      </c>
      <c r="GV94" s="91" t="n">
        <f aca="false">IF(Tasks[[#This Row],[_DoneFrom]]=0,0,IF(Tasks[[#This Row],[Progress]]&gt;=1,Tasks[[#This Row],[Finish]],MAX(Tasks[[#This Row],[_DoneFrom]],Tasks[[#This Row],[Start]]+ROUND((Tasks[[#This Row],[Finish]]-Tasks[[#This Row],[Start]]+1)*Tasks[[#This Row],[Progress]],0)-1)))</f>
        <v>0</v>
      </c>
      <c r="GW94" s="91" t="n">
        <f aca="false">IF(Tasks[[#This Row],[Task Name]]="",0,IF(OR(NOT(Tasks[[#This Row],[_IsLeaf]]=1),Tasks[[#This Row],[_IsMilestone]],N(Tasks[[#This Row],[Progress]])&gt;=1),0,IF(Tasks[[#This Row],[_DoneTo]]&gt;0,Tasks[[#This Row],[_DoneTo]]+1,Tasks[[#This Row],[Start]])))</f>
        <v>0</v>
      </c>
      <c r="GX94" s="91" t="n">
        <f aca="false">IF(Tasks[[#This Row],[_RemFrom]]=0,0,Tasks[[#This Row],[Finish]])</f>
        <v>0</v>
      </c>
      <c r="GY94" s="90" t="b">
        <f aca="false">IF(Tasks[[#This Row],[Task Name]]="",FALSE(),OR(NOT(BaselineSet),N(Tasks[[#This Row],[Baseline Start]])&gt;0))</f>
        <v>0</v>
      </c>
      <c r="GZ9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4" s="92" t="str">
        <f aca="false">IF(Tasks[[#This Row],[_IsLeaf]]=1,Tasks[[#This Row],[_Row]],"")</f>
        <v/>
      </c>
      <c r="HD94" s="92" t="str">
        <f aca="false">IFERROR(INDEX(Tasks[UID],SMALL(Tasks[_PickKey],Tasks[[#This Row],[_Row]]))&amp;" "&amp;INDEX(Tasks[Task Name],SMALL(Tasks[_PickKey],Tasks[[#This Row],[_Row]])),"")</f>
        <v/>
      </c>
      <c r="HE94" s="43" t="str">
        <f aca="false">IF(Tasks[[#This Row],[Task Name]]="","",IF(Tasks[[#This Row],[_IsSummary]],NETWORKDAYS.INTL(Tasks[[#This Row],[Start]],Tasks[[#This Row],[Finish]],WorkWeek,Holidays),N(Tasks[[#This Row],[_Days]])))</f>
        <v/>
      </c>
      <c r="HF94" s="43" t="n">
        <f aca="false">IF(Tasks[[#This Row],[Expected]]="",0,((Tasks[[#This Row],[Pessimistic]]-Tasks[[#This Row],[Optimistic]])/6)^2)</f>
        <v>0</v>
      </c>
      <c r="HG94" s="43" t="n">
        <f aca="false">IF(Tasks[[#This Row],[Expected]]="",0,Tasks[[#This Row],[Expected]]-N(Tasks[[#This Row],[_Days]]))</f>
        <v>0</v>
      </c>
    </row>
    <row r="95" customFormat="false" ht="15" hidden="false" customHeight="false" outlineLevel="0" collapsed="false">
      <c r="A95" s="21" t="str">
        <f aca="false">IF(Tasks[[#This Row],[Task Name]]="","",COUNTA(Tasks[[#Headers],[Task Name]]:Tasks[[#This Row],[Task Name]])-1)</f>
        <v/>
      </c>
      <c r="B95" s="22" t="n">
        <v>103</v>
      </c>
      <c r="C95" s="22"/>
      <c r="D95" s="23"/>
      <c r="E95" s="22"/>
      <c r="F95" s="23"/>
      <c r="G95" s="22"/>
      <c r="H95" s="22"/>
      <c r="I95" s="23"/>
      <c r="J95" s="22"/>
      <c r="K95" s="22"/>
      <c r="L95" s="23"/>
      <c r="M95" s="22"/>
      <c r="N95" s="22"/>
      <c r="O95" s="23"/>
      <c r="P95" s="22"/>
      <c r="Q95" s="22"/>
      <c r="R95" s="23"/>
      <c r="S95" s="23"/>
      <c r="T95" s="84"/>
      <c r="U95" s="23"/>
      <c r="V95" s="84"/>
      <c r="W95" s="23"/>
      <c r="X95" s="84"/>
      <c r="Y95" s="23"/>
      <c r="Z95" s="84"/>
      <c r="AA95" s="23"/>
      <c r="AB95" s="23"/>
      <c r="AC95" s="7"/>
      <c r="AD95" s="7"/>
      <c r="AE95" s="63" t="str">
        <f aca="false">IF(Tasks[[#This Row],[Task Name]]="","",IF(Tasks[[#This Row],[_IsSummary]],MIN(INDEX(Tasks[_ShownFcstStart],Tasks[[#This Row],[_Row]]+1):INDEX(Tasks[_ShownFcstStart],Tasks[[#This Row],[_Row]]+Tasks[[#This Row],[_Descendants]])),Tasks[[#This Row],[_ShownFcstStart]]))</f>
        <v/>
      </c>
      <c r="AF95" s="63" t="str">
        <f aca="false">IF(Tasks[[#This Row],[Task Name]]="","",IF(Tasks[[#This Row],[_IsSummary]],MAX(INDEX(Tasks[_ShownFcstFinish],Tasks[[#This Row],[_Row]]+1):INDEX(Tasks[_ShownFcstFinish],Tasks[[#This Row],[_Row]]+Tasks[[#This Row],[_Descendants]])),Tasks[[#This Row],[_ShownFcstFinish]]))</f>
        <v/>
      </c>
      <c r="AG95" s="21" t="str">
        <f aca="false">""</f>
        <v/>
      </c>
      <c r="AH95" s="23"/>
      <c r="AI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5" s="7"/>
      <c r="AK95" s="22"/>
      <c r="AL95" s="23"/>
      <c r="AM95" s="7"/>
      <c r="AN95" s="47" t="str">
        <f aca="false">IF(Tasks[[#This Row],[Task Name]]="","",IF(Tasks[[#This Row],[Finish]]&gt;=Tasks[[#This Row],[Planned Finish]],NETWORKDAYS.INTL(Tasks[[#This Row],[Planned Finish]],Tasks[[#This Row],[Finish]],WorkWeek,Holidays)-1,1-NETWORKDAYS.INTL(Tasks[[#This Row],[Finish]],Tasks[[#This Row],[Planned Finish]],WorkWeek,Holidays)))</f>
        <v/>
      </c>
      <c r="AO95" s="21" t="str">
        <f aca="false">IF(Tasks[[#This Row],[Task Name]]="","",IF(Tasks[[#This Row],[Progress]]&gt;=1,"Complete",IF(OR(N(Tasks[[#This Row],[Actual Start]])&gt;0,Tasks[[#This Row],[Progress]]&gt;0),IF(Tasks[[#This Row],[Finish Var]]&gt;0,"Behind","In Progress"),IF(Tasks[[#This Row],[Planned Start]]&lt;StatusDate,"Late Start","Not Started"))))</f>
        <v/>
      </c>
      <c r="AP95" s="21" t="str">
        <f aca="false">IF(Tasks[[#This Row],[Task Name]]="","",IF(IF(Tasks[[#This Row],[_IsSummary]],COUNTIF(INDEX(Tasks[_LeafCritical],Tasks[[#This Row],[_Row]]+1):INDEX(Tasks[_LeafCritical],Tasks[[#This Row],[_Row]]+Tasks[[#This Row],[_Descendants]]),TRUE())&gt;0,Tasks[[#This Row],[_LeafCritical]]),"Yes",""))</f>
        <v/>
      </c>
      <c r="AQ95" s="63" t="str">
        <f aca="false">IF(Tasks[[#This Row],[Task Name]]="","",IF(N(Tasks[[#This Row],[Baseline Start]])&gt;0,Tasks[[#This Row],[Baseline Start]],Tasks[[#This Row],[_CalcStart]]))</f>
        <v/>
      </c>
      <c r="AR95" s="63" t="str">
        <f aca="false">IF(Tasks[[#This Row],[Task Name]]="","",IF(N(Tasks[[#This Row],[Baseline Finish]])&gt;0,Tasks[[#This Row],[Baseline Finish]],Tasks[[#This Row],[_CalcFinish]]))</f>
        <v/>
      </c>
      <c r="AS95" s="47" t="str">
        <f aca="false">IF(Tasks[[#This Row],[Task Name]]="","",IF(Tasks[[#This Row],[Start]]&gt;=Tasks[[#This Row],[Planned Start]],NETWORKDAYS.INTL(Tasks[[#This Row],[Planned Start]],Tasks[[#This Row],[Start]],WorkWeek,Holidays)-1,1-NETWORKDAYS.INTL(Tasks[[#This Row],[Start]],Tasks[[#This Row],[Planned Start]],WorkWeek,Holidays)))</f>
        <v/>
      </c>
      <c r="AT95" s="63" t="str">
        <f aca="false">IF(Tasks[[#This Row],[Task Name]]="","",IF(Tasks[[#This Row],[_IsSummary]],MIN(INDEX(Tasks[_LeafLateStart],Tasks[[#This Row],[_Row]]+1):INDEX(Tasks[_LeafLateStart],Tasks[[#This Row],[_Row]]+Tasks[[#This Row],[_Descendants]])),Tasks[[#This Row],[_LeafLateStart]]))</f>
        <v/>
      </c>
      <c r="AU95" s="63" t="str">
        <f aca="false">IF(Tasks[[#This Row],[Task Name]]="","",IF(Tasks[[#This Row],[_IsSummary]],MAX(INDEX(Tasks[_LeafLateFinish],Tasks[[#This Row],[_Row]]+1):INDEX(Tasks[_LeafLateFinish],Tasks[[#This Row],[_Row]]+Tasks[[#This Row],[_Descendants]])),Tasks[[#This Row],[_LeafLateFinish]]))</f>
        <v/>
      </c>
      <c r="AV95" s="47" t="str">
        <f aca="false">IF(Tasks[[#This Row],[Task Name]]="","",IF(Tasks[[#This Row],[_IsSummary]],MIN(INDEX(Tasks[_LeafTotalSlack],Tasks[[#This Row],[_Row]]+1):INDEX(Tasks[_LeafTotalSlack],Tasks[[#This Row],[_Row]]+Tasks[[#This Row],[_Descendants]])),Tasks[[#This Row],[_LeafTotalSlack]]))</f>
        <v/>
      </c>
      <c r="AW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5"/>
      <c r="BA9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t="str">
        <f aca="false">IF(Tasks[[#This Row],[Task Name]]="","",IF(Tasks[[#This Row],[_Level]]&lt;=OutlineShowLevel,"Yes","No"))</f>
        <v/>
      </c>
      <c r="BE95" s="86" t="str">
        <f aca="false">IF(Tasks[[#This Row],[Task Name]]="","",IF(Tasks[[#This Row],[_IsSummary]],SUM(INDEX(Tasks[_LeafTotalWork],Tasks[[#This Row],[_Row]]+1):INDEX(Tasks[_LeafTotalWork],Tasks[[#This Row],[_Row]]+Tasks[[#This Row],[_Descendants]])),Tasks[[#This Row],[_LeafTotalWork]]))</f>
        <v/>
      </c>
      <c r="BF95" s="23"/>
      <c r="BG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t="str">
        <f aca="false">""</f>
        <v/>
      </c>
      <c r="BI95" s="87"/>
      <c r="BJ95" s="22"/>
      <c r="BK95" s="47" t="str">
        <f aca="false">IF(OR(Tasks[[#This Row],[Task Name]]="",Tasks[[#This Row],[Baseline Duration]]=""),"",Tasks[[#This Row],[_SpanDays]]-N(Tasks[[#This Row],[Baseline Duration]]))</f>
        <v/>
      </c>
      <c r="BL95" s="86" t="str">
        <f aca="false">IF(OR(Tasks[[#This Row],[Task Name]]="",Tasks[[#This Row],[Baseline Work]]=""),"",Tasks[[#This Row],[Work]]-N(Tasks[[#This Row],[Baseline Work]]))</f>
        <v/>
      </c>
      <c r="BM95" s="63" t="str">
        <f aca="false">IF(Tasks[[#This Row],[Task Name]]="","",IF(OR(TakeBaseline="Yes",N(Tasks[[#This Row],[Baseline Start]])=0),Tasks[[#This Row],[Start]],Tasks[[#This Row],[Baseline Start]]))</f>
        <v/>
      </c>
      <c r="BN95" s="63" t="str">
        <f aca="false">IF(Tasks[[#This Row],[Task Name]]="","",IF(OR(TakeBaseline="Yes",N(Tasks[[#This Row],[Baseline Finish]])=0),Tasks[[#This Row],[Finish]],Tasks[[#This Row],[Baseline Finish]]))</f>
        <v/>
      </c>
      <c r="BO95" s="21" t="str">
        <f aca="false">IF(Tasks[[#This Row],[Task Name]]="","",IF(OR(TakeBaseline="Yes",N(Tasks[[#This Row],[Baseline Duration]])=0),Tasks[[#This Row],[_SpanDays]],Tasks[[#This Row],[Baseline Duration]]))</f>
        <v/>
      </c>
      <c r="BP95" s="86" t="str">
        <f aca="false">IF(Tasks[[#This Row],[Task Name]]="","",IF(OR(TakeBaseline="Yes",N(Tasks[[#This Row],[Baseline Work]])=0),Tasks[[#This Row],[Work]],Tasks[[#This Row],[Baseline Work]]))</f>
        <v/>
      </c>
      <c r="BQ95" s="7"/>
      <c r="BR95" s="7"/>
      <c r="BS95" s="22"/>
      <c r="BT95" s="88"/>
      <c r="BU95" s="23"/>
      <c r="BV95" s="23"/>
      <c r="BW95" s="23"/>
      <c r="BX95" s="89" t="str">
        <f aca="false">IF(AND(Tasks[[#This Row],[_IsLeaf]]=1,ISNUMBER(Tasks[[#This Row],[Optimistic]]),ISNUMBER(Tasks[[#This Row],[Pessimistic]])),ROUND((Tasks[[#This Row],[Optimistic]]+4*N(Tasks[[#This Row],[_Days]])+Tasks[[#This Row],[Pessimistic]])/6,1),"")</f>
        <v/>
      </c>
      <c r="BY95" s="87"/>
      <c r="BZ95" s="87"/>
      <c r="CA95" s="22"/>
      <c r="CB95" s="43" t="str">
        <f aca="false">IF(Tasks[[#This Row],[Task Name]]="","",MAX(1,N(Tasks[[#This Row],[Level]])))</f>
        <v/>
      </c>
      <c r="CC95" s="43" t="n">
        <f aca="false">ROW()-ROW(Tasks[[#Headers],[ID]])</f>
        <v>90</v>
      </c>
      <c r="CD95" s="43" t="n">
        <f aca="false">IF(OR(Tasks[[#This Row],[Task Name]]="",Tasks[[#This Row],[_Level]]&lt;=1),0,IFERROR(LOOKUP(2,1/(Tasks[[#Headers],[_Level]]:Tasks[[#This Row],[_Level]]=Tasks[[#This Row],[_Level]]-1),ROW(Tasks[[#Headers],[_Level]]:Tasks[[#This Row],[_Level]])),0))</f>
        <v>0</v>
      </c>
      <c r="CE95" s="43" t="n">
        <f aca="false">IFERROR(N(INDEX(Tasks[_Level],Tasks[[#This Row],[_Row]]+1)),0)</f>
        <v>0</v>
      </c>
      <c r="CF95" s="90" t="b">
        <f aca="false">AND(Tasks[[#This Row],[Task Name]]&lt;&gt;"",Tasks[[#This Row],[_NextLevel]]&gt;Tasks[[#This Row],[_Level]])</f>
        <v>0</v>
      </c>
      <c r="CG95" s="43" t="n">
        <f aca="false">IF(Tasks[[#This Row],[_IsSummary]],COUNTIF(Tasks[WBS],Tasks[[#This Row],[WBS]]&amp;".*"),0)</f>
        <v>0</v>
      </c>
      <c r="CH95" s="43" t="n">
        <f aca="false">IF(AND(Tasks[[#This Row],[Task Name]]&lt;&gt;"",NOT(Tasks[[#This Row],[_IsSummary]])),1,0)</f>
        <v>0</v>
      </c>
      <c r="CI95" s="43" t="n">
        <f aca="false">IF(N(Tasks[[#This Row],[_Pred1UID]])=0,0,IFERROR(MATCH(Tasks[[#This Row],[_Pred1UID]],Tasks[UID],0),-1))</f>
        <v>0</v>
      </c>
      <c r="CJ95" s="43" t="n">
        <f aca="false">IF(N(Tasks[[#This Row],[_Pred2UID]])=0,0,IFERROR(MATCH(Tasks[[#This Row],[_Pred2UID]],Tasks[UID],0),-1))</f>
        <v>0</v>
      </c>
      <c r="CK95" s="43" t="n">
        <f aca="false">IF(N(Tasks[[#This Row],[_Pred3UID]])=0,0,IFERROR(MATCH(Tasks[[#This Row],[_Pred3UID]],Tasks[UID],0),-1))</f>
        <v>0</v>
      </c>
      <c r="CL95" s="43" t="n">
        <f aca="false">IF(N(Tasks[[#This Row],[_Pred4UID]])=0,0,IFERROR(MATCH(Tasks[[#This Row],[_Pred4UID]],Tasks[UID],0),-1))</f>
        <v>0</v>
      </c>
      <c r="CM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5" s="91" t="n">
        <f aca="false">IF(OR(Tasks[[#This Row],[_ConstraintCode]]=2,Tasks[[#This Row],[_ConstraintCode]]=3,Tasks[[#This Row],[_ConstraintCode]]=4,Tasks[[#This Row],[_ConstraintCode]]=6),Tasks[[#This Row],[_ConstraintStart]],0)</f>
        <v>0</v>
      </c>
      <c r="CP95" s="91" t="n">
        <f aca="false">IF(OR(Tasks[[#This Row],[_ConstraintCode]]=2,Tasks[[#This Row],[_ConstraintCode]]=3,Tasks[[#This Row],[_ConstraintCode]]=5,Tasks[[#This Row],[_ConstraintCode]]=7),Tasks[[#This Row],[_ConstraintStart]],2958465)</f>
        <v>2958465</v>
      </c>
      <c r="CQ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5" s="91" t="str">
        <f aca="false">IF(NOT(Tasks[[#This Row],[_IsLeaf]]=1),"",IF(N(Tasks[[#This Row],[_Days]])&lt;=0,Tasks[[#This Row],[_LeafCalcStart]],WORKDAY.INTL(Tasks[[#This Row],[_LeafCalcStart]],Tasks[[#This Row],[_Days]]-1,WorkWeek,Holidays)))</f>
        <v/>
      </c>
      <c r="CS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5" s="43" t="str">
        <f aca="false">IF(Tasks[[#This Row],[_Predecessors]]="","",TRIM(MID(SUBSTITUTE(SUBSTITUTE(SUBSTITUTE(UPPER(Tasks[[#This Row],[_Predecessors]]),";",",")," ",""),",",REPT(" ",99)),1,99)))</f>
        <v/>
      </c>
      <c r="CV95" s="43" t="str">
        <f aca="false">IF(Tasks[[#This Row],[_Pred1Text]]="","",IFERROR(VALUE(LEFT(Tasks[[#This Row],[_Pred1Text]],MIN(FIND("F",Tasks[[#This Row],[_Pred1Text]]&amp;"F"),FIND("S",Tasks[[#This Row],[_Pred1Text]]&amp;"S"),FIND("+",Tasks[[#This Row],[_Pred1Text]]&amp;"+"),FIND("-",Tasks[[#This Row],[_Pred1Text]]&amp;"-"))-1)),""))</f>
        <v/>
      </c>
      <c r="CW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5" s="43" t="str">
        <f aca="false">IF(Tasks[[#This Row],[_Pred1Text]]="","",TRIM(MID(SUBSTITUTE(SUBSTITUTE(SUBSTITUTE(UPPER(Tasks[[#This Row],[_Predecessors]]),";",",")," ",""),",",REPT(" ",99)),100,99)))</f>
        <v/>
      </c>
      <c r="CZ95" s="43" t="str">
        <f aca="false">IF(Tasks[[#This Row],[_Pred2Text]]="","",IFERROR(VALUE(LEFT(Tasks[[#This Row],[_Pred2Text]],MIN(FIND("F",Tasks[[#This Row],[_Pred2Text]]&amp;"F"),FIND("S",Tasks[[#This Row],[_Pred2Text]]&amp;"S"),FIND("+",Tasks[[#This Row],[_Pred2Text]]&amp;"+"),FIND("-",Tasks[[#This Row],[_Pred2Text]]&amp;"-"))-1)),""))</f>
        <v/>
      </c>
      <c r="DA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5" s="43" t="str">
        <f aca="false">IF(Tasks[[#This Row],[_Pred2Text]]="","",TRIM(MID(SUBSTITUTE(SUBSTITUTE(SUBSTITUTE(UPPER(Tasks[[#This Row],[_Predecessors]]),";",",")," ",""),",",REPT(" ",99)),199,99)))</f>
        <v/>
      </c>
      <c r="DD95" s="43" t="str">
        <f aca="false">IF(Tasks[[#This Row],[_Pred3Text]]="","",IFERROR(VALUE(LEFT(Tasks[[#This Row],[_Pred3Text]],MIN(FIND("F",Tasks[[#This Row],[_Pred3Text]]&amp;"F"),FIND("S",Tasks[[#This Row],[_Pred3Text]]&amp;"S"),FIND("+",Tasks[[#This Row],[_Pred3Text]]&amp;"+"),FIND("-",Tasks[[#This Row],[_Pred3Text]]&amp;"-"))-1)),""))</f>
        <v/>
      </c>
      <c r="DE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5" s="43" t="str">
        <f aca="false">IF(Tasks[[#This Row],[_Pred3Text]]="","",TRIM(MID(SUBSTITUTE(SUBSTITUTE(SUBSTITUTE(UPPER(Tasks[[#This Row],[_Predecessors]]),";",",")," ",""),",",REPT(" ",99)),298,99)))</f>
        <v/>
      </c>
      <c r="DH95" s="43" t="str">
        <f aca="false">IF(Tasks[[#This Row],[_Pred4Text]]="","",IFERROR(VALUE(LEFT(Tasks[[#This Row],[_Pred4Text]],MIN(FIND("F",Tasks[[#This Row],[_Pred4Text]]&amp;"F"),FIND("S",Tasks[[#This Row],[_Pred4Text]]&amp;"S"),FIND("+",Tasks[[#This Row],[_Pred4Text]]&amp;"+"),FIND("-",Tasks[[#This Row],[_Pred4Text]]&amp;"-"))-1)),""))</f>
        <v/>
      </c>
      <c r="DI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5" s="43" t="str">
        <f aca="false">IF(OR(Tasks[[#This Row],[Task Name]]="",Tasks[[#This Row],[_Resources]]=""),"",TRIM(MID(SUBSTITUTE(Tasks[[#This Row],[_Resources]],",",REPT(" ",99)),1,99)))</f>
        <v/>
      </c>
      <c r="DL95" s="43" t="str">
        <f aca="false">IF(Tasks[[#This Row],[_Res1Text]]="","",TRIM(MID(SUBSTITUTE(Tasks[[#This Row],[_Resources]],",",REPT(" ",99)),100,99)))</f>
        <v/>
      </c>
      <c r="DM95" s="43" t="str">
        <f aca="false">IF(Tasks[[#This Row],[_Res2Text]]="","",TRIM(MID(SUBSTITUTE(Tasks[[#This Row],[_Resources]],",",REPT(" ",99)),199,99)))</f>
        <v/>
      </c>
      <c r="DN95" s="43" t="str">
        <f aca="false">IF(Tasks[[#This Row],[_Res3Text]]="","",TRIM(MID(SUBSTITUTE(Tasks[[#This Row],[_Resources]],",",REPT(" ",99)),298,99)))</f>
        <v/>
      </c>
      <c r="DO95" s="43" t="n">
        <f aca="false">IF(Tasks[[#This Row],[_Res1Text]]="",0,IFERROR(MATCH(TRIM(LEFT(Tasks[[#This Row],[_Res1Text]],FIND("[",Tasks[[#This Row],[_Res1Text]]&amp;"[")-1)),res_Name,0),IFERROR(MATCH(TRIM(LEFT(Tasks[[#This Row],[_Res1Text]],FIND("[",Tasks[[#This Row],[_Res1Text]]&amp;"[")-1)),res_Initials,0),0)))</f>
        <v>0</v>
      </c>
      <c r="DP95" s="43" t="n">
        <f aca="false">IF(Tasks[[#This Row],[_Res2Text]]="",0,IFERROR(MATCH(TRIM(LEFT(Tasks[[#This Row],[_Res2Text]],FIND("[",Tasks[[#This Row],[_Res2Text]]&amp;"[")-1)),res_Name,0),IFERROR(MATCH(TRIM(LEFT(Tasks[[#This Row],[_Res2Text]],FIND("[",Tasks[[#This Row],[_Res2Text]]&amp;"[")-1)),res_Initials,0),0)))</f>
        <v>0</v>
      </c>
      <c r="DQ95" s="43" t="n">
        <f aca="false">IF(Tasks[[#This Row],[_Res3Text]]="",0,IFERROR(MATCH(TRIM(LEFT(Tasks[[#This Row],[_Res3Text]],FIND("[",Tasks[[#This Row],[_Res3Text]]&amp;"[")-1)),res_Name,0),IFERROR(MATCH(TRIM(LEFT(Tasks[[#This Row],[_Res3Text]],FIND("[",Tasks[[#This Row],[_Res3Text]]&amp;"[")-1)),res_Initials,0),0)))</f>
        <v>0</v>
      </c>
      <c r="DR95" s="43" t="n">
        <f aca="false">IF(Tasks[[#This Row],[_Res4Text]]="",0,IFERROR(MATCH(TRIM(LEFT(Tasks[[#This Row],[_Res4Text]],FIND("[",Tasks[[#This Row],[_Res4Text]]&amp;"[")-1)),res_Name,0),IFERROR(MATCH(TRIM(LEFT(Tasks[[#This Row],[_Res4Text]],FIND("[",Tasks[[#This Row],[_Res4Text]]&amp;"[")-1)),res_Initials,0),0)))</f>
        <v>0</v>
      </c>
      <c r="DS95" s="43" t="str">
        <f aca="false">IF(Tasks[[#This Row],[_Res1Text]]="","",IF(Tasks[[#This Row],[_Res1Row]]&gt;0,INDEX(res_Name,Tasks[[#This Row],[_Res1Row]]),TRIM(LEFT(Tasks[[#This Row],[_Res1Text]],FIND("[",Tasks[[#This Row],[_Res1Text]]&amp;"[")-1))))</f>
        <v/>
      </c>
      <c r="DT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5" s="43" t="n">
        <f aca="false">IF(NOT(Tasks[[#This Row],[_IsLeaf]]=1),0,(Tasks[[#This Row],[_Resource1]]&lt;&gt;"")+(Tasks[[#This Row],[_Res2]]&lt;&gt;"")+(Tasks[[#This Row],[_Res3]]&lt;&gt;"")+(Tasks[[#This Row],[_Res4]]&lt;&gt;""))</f>
        <v>0</v>
      </c>
      <c r="DV95" s="43" t="str">
        <f aca="false">IF(Tasks[[#This Row],[_Res2Text]]="","",IF(Tasks[[#This Row],[_Res2Row]]&gt;0,INDEX(res_Name,Tasks[[#This Row],[_Res2Row]]),TRIM(LEFT(Tasks[[#This Row],[_Res2Text]],FIND("[",Tasks[[#This Row],[_Res2Text]]&amp;"[")-1))))</f>
        <v/>
      </c>
      <c r="DW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5" s="43" t="n">
        <f aca="false">IF(OR(NOT(Tasks[[#This Row],[_IsLeaf]]=1),Tasks[[#This Row],[_Res2Row]]=0),0,N(Tasks[[#This Row],[_Days]])*HoursPerDay*IF(Tasks[[#This Row],[_Res2Units]]="",DefaultUnits,Tasks[[#This Row],[_Res2Units]]))</f>
        <v>0</v>
      </c>
      <c r="DY95" s="43" t="n">
        <f aca="false">IF(AND(AND(Tasks[[#This Row],[_IsLeaf]]=1,Tasks[[#This Row],[_LeafTotalWork]]&gt;0),Tasks[[#This Row],[_Res2Work]]&gt;0),Tasks[[#This Row],[_Res2Work]]/(Tasks[[#This Row],[_FinishWorkday]]-Tasks[[#This Row],[_StartWorkday]]+1),0)</f>
        <v>0</v>
      </c>
      <c r="DZ95" s="43" t="n">
        <f aca="false">Tasks[[#This Row],[_Res2WorkPerWD]]*MAX(0,Tasks[[#This Row],[_StartWorkday]]-1)</f>
        <v>0</v>
      </c>
      <c r="EA95" s="43" t="n">
        <f aca="false">Tasks[[#This Row],[_Res2Work]]*Tasks[[#This Row],[_LeafProgress]]</f>
        <v>0</v>
      </c>
      <c r="EB95" s="43" t="str">
        <f aca="false">IF(Tasks[[#This Row],[_Res3Text]]="","",IF(Tasks[[#This Row],[_Res3Row]]&gt;0,INDEX(res_Name,Tasks[[#This Row],[_Res3Row]]),TRIM(LEFT(Tasks[[#This Row],[_Res3Text]],FIND("[",Tasks[[#This Row],[_Res3Text]]&amp;"[")-1))))</f>
        <v/>
      </c>
      <c r="EC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5" s="43" t="n">
        <f aca="false">IF(OR(NOT(Tasks[[#This Row],[_IsLeaf]]=1),Tasks[[#This Row],[_Res3Row]]=0),0,N(Tasks[[#This Row],[_Days]])*HoursPerDay*IF(Tasks[[#This Row],[_Res3Units]]="",DefaultUnits,Tasks[[#This Row],[_Res3Units]]))</f>
        <v>0</v>
      </c>
      <c r="EE95" s="43" t="n">
        <f aca="false">IF(AND(AND(Tasks[[#This Row],[_IsLeaf]]=1,Tasks[[#This Row],[_LeafTotalWork]]&gt;0),Tasks[[#This Row],[_Res3Work]]&gt;0),Tasks[[#This Row],[_Res3Work]]/(Tasks[[#This Row],[_FinishWorkday]]-Tasks[[#This Row],[_StartWorkday]]+1),0)</f>
        <v>0</v>
      </c>
      <c r="EF95" s="43" t="n">
        <f aca="false">Tasks[[#This Row],[_Res3WorkPerWD]]*MAX(0,Tasks[[#This Row],[_StartWorkday]]-1)</f>
        <v>0</v>
      </c>
      <c r="EG95" s="43" t="n">
        <f aca="false">Tasks[[#This Row],[_Res3Work]]*Tasks[[#This Row],[_LeafProgress]]</f>
        <v>0</v>
      </c>
      <c r="EH95" s="43" t="str">
        <f aca="false">IF(Tasks[[#This Row],[_Res4Text]]="","",IF(Tasks[[#This Row],[_Res4Row]]&gt;0,INDEX(res_Name,Tasks[[#This Row],[_Res4Row]]),TRIM(LEFT(Tasks[[#This Row],[_Res4Text]],FIND("[",Tasks[[#This Row],[_Res4Text]]&amp;"[")-1))))</f>
        <v/>
      </c>
      <c r="EI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5" s="43" t="n">
        <f aca="false">IF(OR(NOT(Tasks[[#This Row],[_IsLeaf]]=1),Tasks[[#This Row],[_Res4Row]]=0),0,N(Tasks[[#This Row],[_Days]])*HoursPerDay*IF(Tasks[[#This Row],[_Res4Units]]="",DefaultUnits,Tasks[[#This Row],[_Res4Units]]))</f>
        <v>0</v>
      </c>
      <c r="EK95" s="43" t="n">
        <f aca="false">IF(AND(AND(Tasks[[#This Row],[_IsLeaf]]=1,Tasks[[#This Row],[_LeafTotalWork]]&gt;0),Tasks[[#This Row],[_Res4Work]]&gt;0),Tasks[[#This Row],[_Res4Work]]/(Tasks[[#This Row],[_FinishWorkday]]-Tasks[[#This Row],[_StartWorkday]]+1),0)</f>
        <v>0</v>
      </c>
      <c r="EL95" s="43" t="n">
        <f aca="false">Tasks[[#This Row],[_Res4WorkPerWD]]*MAX(0,Tasks[[#This Row],[_StartWorkday]]-1)</f>
        <v>0</v>
      </c>
      <c r="EM95" s="43" t="n">
        <f aca="false">Tasks[[#This Row],[_Res4Work]]*Tasks[[#This Row],[_LeafProgress]]</f>
        <v>0</v>
      </c>
      <c r="EN95" s="43" t="n">
        <f aca="false">IF(ISNUMBER(Tasks[[#This Row],[% Complete]]),Tasks[[#This Row],[% Complete]],IF(Tasks[[#This Row],[Stage]]="",0,IFERROR(INDEX(stg_Pct,MATCH(Tasks[[#This Row],[Stage]],stg_Name,0)),0)))</f>
        <v>0</v>
      </c>
      <c r="EO95" s="43" t="n">
        <f aca="false">IF(NOT(Tasks[[#This Row],[_IsLeaf]]=1),0,IF(N(Tasks[[#This Row],[Actual Finish]])&gt;0,1,MIN(1,Tasks[[#This Row],[_Pct]])))</f>
        <v>0</v>
      </c>
      <c r="EP95" s="43" t="n">
        <f aca="false">IF(OR(NOT(Tasks[[#This Row],[_IsLeaf]]=1),Tasks[[#This Row],[_Res1Row]]=0),0,N(Tasks[[#This Row],[_Days]])*HoursPerDay*IF(Tasks[[#This Row],[_Units1]]="",DefaultUnits,Tasks[[#This Row],[_Units1]]))</f>
        <v>0</v>
      </c>
      <c r="EQ95" s="43" t="n">
        <f aca="false">Tasks[[#This Row],[_LeafWork]]+Tasks[[#This Row],[_Res2Work]]+Tasks[[#This Row],[_Res3Work]]+Tasks[[#This Row],[_Res4Work]]</f>
        <v>0</v>
      </c>
      <c r="ER9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5" s="43" t="n">
        <f aca="false">IF(NOT(Tasks[[#This Row],[_IsLeaf]]=1),0,MAX(_xlfn.MAXIFS(Tasks[_Row],Tasks[_Pred1UID],Tasks[[#This Row],[UID]]),_xlfn.MAXIFS(Tasks[_Row],Tasks[_Pred2UID],Tasks[[#This Row],[UID]]),_xlfn.MAXIFS(Tasks[_Row],Tasks[_Pred3UID],Tasks[[#This Row],[UID]]),_xlfn.MAXIFS(Tasks[_Row],Tasks[_Pred4UID],Tasks[[#This Row],[UID]])))</f>
        <v>0</v>
      </c>
      <c r="FA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5" s="91" t="str">
        <f aca="false">IF(NOT(Tasks[[#This Row],[_IsLeaf]]=1),"",IF(N(Tasks[[#This Row],[_Days]])&lt;=0,Tasks[[#This Row],[_LeafLateFinish]],WORKDAY.INTL(Tasks[[#This Row],[_LeafLateFinish]],-(Tasks[[#This Row],[_Days]]-1),WorkWeek,Holidays)))</f>
        <v/>
      </c>
      <c r="FD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5" s="90" t="b">
        <f aca="false">AND(Tasks[[#This Row],[_IsLeaf]]=1,Tasks[[#This Row],[_LeafProgress]]&lt;1,N(Tasks[[#This Row],[_LeafTotalSlack]])&lt;=CriticalSlackDays)</f>
        <v>0</v>
      </c>
      <c r="FF95" s="43" t="n">
        <f aca="false">IF(AND(Tasks[[#This Row],[_IsLeaf]]=1,Tasks[[#This Row],[_ConstraintCode]]=1,Tasks[[#This Row],[Mode]]&lt;&gt;"Manual",N(Tasks[[#This Row],[Actual Start]])=0),MAX(0,N(Tasks[[#This Row],[Free Slack]])),0)</f>
        <v>0</v>
      </c>
      <c r="FG95" s="91" t="str">
        <f aca="false">IF(NOT(Tasks[[#This Row],[_IsLeaf]]=1),"",IF(Tasks[[#This Row],[_AlapShift]]=0,Tasks[[#This Row],[_LeafCalcStart]],WORKDAY.INTL(Tasks[[#This Row],[_LeafCalcStart]],Tasks[[#This Row],[_AlapShift]],WorkWeek,Holidays)))</f>
        <v/>
      </c>
      <c r="FH95" s="91" t="str">
        <f aca="false">IF(NOT(Tasks[[#This Row],[_IsLeaf]]=1),"",IF(Tasks[[#This Row],[_AlapShift]]=0,Tasks[[#This Row],[_LeafCalcFinish]],WORKDAY.INTL(Tasks[[#This Row],[_LeafCalcFinish]],Tasks[[#This Row],[_AlapShift]],WorkWeek,Holidays)))</f>
        <v/>
      </c>
      <c r="FI95" s="91" t="str">
        <f aca="false">IF(NOT(Tasks[[#This Row],[_IsLeaf]]=1),"",IF(Tasks[[#This Row],[_AlapShift]]=0,Tasks[[#This Row],[_LeafFcstStart]],WORKDAY.INTL(Tasks[[#This Row],[_LeafFcstStart]],Tasks[[#This Row],[_AlapShift]],WorkWeek,Holidays)))</f>
        <v/>
      </c>
      <c r="FJ95" s="91" t="str">
        <f aca="false">IF(NOT(Tasks[[#This Row],[_IsLeaf]]=1),"",IF(Tasks[[#This Row],[_AlapShift]]=0,Tasks[[#This Row],[_LeafFcstFinish]],WORKDAY.INTL(Tasks[[#This Row],[_LeafFcstFinish]],Tasks[[#This Row],[_AlapShift]],WorkWeek,Holidays)))</f>
        <v/>
      </c>
      <c r="FK95" s="91" t="str">
        <f aca="false">IF(Tasks[[#This Row],[Task Name]]="","",IF(Tasks[[#This Row],[_IsSummary]],MIN(INDEX(Tasks[_ShownCalcStart],Tasks[[#This Row],[_Row]]+1):INDEX(Tasks[_ShownCalcStart],Tasks[[#This Row],[_Row]]+Tasks[[#This Row],[_Descendants]])),Tasks[[#This Row],[_ShownCalcStart]]))</f>
        <v/>
      </c>
      <c r="FL95" s="91" t="str">
        <f aca="false">IF(Tasks[[#This Row],[Task Name]]="","",IF(Tasks[[#This Row],[_IsSummary]],MAX(INDEX(Tasks[_ShownCalcFinish],Tasks[[#This Row],[_Row]]+1):INDEX(Tasks[_ShownCalcFinish],Tasks[[#This Row],[_Row]]+Tasks[[#This Row],[_Descendants]])),Tasks[[#This Row],[_ShownCalcFinish]]))</f>
        <v/>
      </c>
      <c r="FM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5" s="43" t="n">
        <f aca="false">IF(AND(Tasks[[#This Row],[_IsLeaf]]=1,Tasks[[#This Row],[_LeafTotalWork]]&gt;0),NETWORKDAYS.INTL(ProjectStart,Tasks[[#This Row],[_ShownFcstStart]],WorkWeek,Holidays),0)</f>
        <v>0</v>
      </c>
      <c r="FZ95" s="43" t="n">
        <f aca="false">IF(AND(Tasks[[#This Row],[_IsLeaf]]=1,Tasks[[#This Row],[_LeafTotalWork]]&gt;0),MAX(Tasks[[#This Row],[_StartWorkday]],NETWORKDAYS.INTL(ProjectStart,Tasks[[#This Row],[_ShownFcstFinish]],WorkWeek,Holidays)),0)</f>
        <v>0</v>
      </c>
      <c r="GA95" s="43" t="n">
        <f aca="false">IF(AND(Tasks[[#This Row],[_IsLeaf]]=1,Tasks[[#This Row],[_LeafTotalWork]]&gt;0),Tasks[[#This Row],[_LeafWork]]/(Tasks[[#This Row],[_FinishWorkday]]-Tasks[[#This Row],[_StartWorkday]]+1),0)</f>
        <v>0</v>
      </c>
      <c r="GB95" s="43" t="n">
        <f aca="false">Tasks[[#This Row],[_WorkPerWorkday]]*(Tasks[[#This Row],[_StartWorkday]]-1)</f>
        <v>-0</v>
      </c>
      <c r="GC95" s="43" t="n">
        <f aca="false">IF(Tasks[[#This Row],[_IsLeaf]]=1,MAX(N(Tasks[[#This Row],[_Days]]),0.1),0)</f>
        <v>0</v>
      </c>
      <c r="GD95" s="43" t="n">
        <f aca="false">Tasks[[#This Row],[_WeightDur]]*Tasks[[#This Row],[_LeafProgress]]</f>
        <v>0</v>
      </c>
      <c r="GE95" s="43" t="n">
        <f aca="false">Tasks[[#This Row],[_WeightDur]]*Tasks[[#This Row],[_PlannedPct]]</f>
        <v>0</v>
      </c>
      <c r="GF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5" s="43" t="str">
        <f aca="false">IF(AND(Tasks[[#This Row],[_IsLeaf]]=1,N(Tasks[[#This Row],[_Days]])=0,Tasks[[#This Row],[_LeafProgress]]&lt;1),Tasks[[#This Row],[_ShownFcstFinish]]+Tasks[[#This Row],[_Row]]/100000,"")</f>
        <v/>
      </c>
      <c r="GH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5" s="43" t="str">
        <f aca="false">IF(Tasks[[#This Row],[Task Name]]="","",LEFT(Tasks[[#This Row],[WBS]],FIND(".",Tasks[[#This Row],[WBS]]&amp;".")-1))</f>
        <v/>
      </c>
      <c r="GJ95" s="43" t="str">
        <f aca="false">IF(AND(Tasks[[#This Row],[Task Name]]&lt;&gt;"",Tasks[[#This Row],[_Level]]=1),Tasks[[#This Row],[_Row]],"")</f>
        <v/>
      </c>
      <c r="GK95" s="43" t="str">
        <f aca="false">IF(AND(Tasks[[#This Row],[_IsLeaf]]=1,N(Tasks[[#This Row],[_Days]])=0),Tasks[[#This Row],[Planned Finish]]+Tasks[[#This Row],[_Row]]/100000,"")</f>
        <v/>
      </c>
      <c r="GL95" s="43" t="str">
        <f aca="false">IF(AND(Tasks[[#This Row],[_IsLeaf]]=1,Tasks[[#This Row],[_LeafProgress]]&lt;1,OR(N(Tasks[[#This Row],[Finish Var]])&gt;0,Tasks[[#This Row],[Status]]="Late Start")),MAX(0,Tasks[[#This Row],[Finish Var]])+1-Tasks[[#This Row],[_Row]]/1000000,"")</f>
        <v/>
      </c>
      <c r="GM95" s="43" t="str">
        <f aca="false">IF(AND(Tasks[[#This Row],[_IsLeaf]]=1,N(Tasks[[#This Row],[Actual Start]])=0,Tasks[[#This Row],[_ShownFcstStart]]&gt;=StatusDate,Tasks[[#This Row],[_ShownFcstStart]]&lt;=LookaheadEnd),Tasks[[#This Row],[_ShownFcstStart]]+Tasks[[#This Row],[_Row]]/100000,"")</f>
        <v/>
      </c>
      <c r="GN95" s="43" t="str">
        <f aca="false">IF(AND(Tasks[[#This Row],[_IsLeaf]]=1,Tasks[[#This Row],[_LeafProgress]]&lt;1,Tasks[[#This Row],[_ShownFcstFinish]]&gt;=StatusDate,Tasks[[#This Row],[_ShownFcstFinish]]&lt;=LookaheadEnd),Tasks[[#This Row],[_ShownFcstFinish]]+Tasks[[#This Row],[_Row]]/100000,"")</f>
        <v/>
      </c>
      <c r="GO95" s="43" t="str">
        <f aca="false">IF(Tasks[[#This Row],[_LeafCritical]],Tasks[[#This Row],[_ShownFcstStart]]+Tasks[[#This Row],[_Row]]/100000,"")</f>
        <v/>
      </c>
      <c r="GP95" s="43" t="n">
        <f aca="false">Tasks[[#This Row],[_LeafWork]]*Tasks[[#This Row],[_LeafProgress]]</f>
        <v>0</v>
      </c>
      <c r="GQ95" s="91" t="str">
        <f aca="false">IF(AND(Tasks[[#This Row],[_IsLeaf]]=1,Tasks[[#This Row],[_LeafProgress]]&gt;=1),IF(N(Tasks[[#This Row],[Actual Finish]])&gt;0,Tasks[[#This Row],[Actual Finish]],Tasks[[#This Row],[_ShownFcstFinish]]),"")</f>
        <v/>
      </c>
      <c r="GR95" s="43" t="n">
        <f aca="false">IF(Tasks[[#This Row],[_IsLeaf]]=1,N(Tasks[[#This Row],[Story Points]]),0)</f>
        <v>0</v>
      </c>
      <c r="GS95" s="43" t="str">
        <f aca="false">""</f>
        <v/>
      </c>
      <c r="GT95" s="90" t="b">
        <f aca="false">IF(Tasks[[#This Row],[Task Name]]="",FALSE(),AND(Tasks[[#This Row],[_IsLeaf]]=1,N(Tasks[[#This Row],[_Days]])=0))</f>
        <v>0</v>
      </c>
      <c r="GU95" s="91" t="n">
        <f aca="false">IF(Tasks[[#This Row],[Task Name]]="",0,IF(AND(Tasks[[#This Row],[_IsLeaf]]=1,NOT(Tasks[[#This Row],[_IsMilestone]]),N(Tasks[[#This Row],[Progress]])&gt;0),Tasks[[#This Row],[Start]],0))</f>
        <v>0</v>
      </c>
      <c r="GV95" s="91" t="n">
        <f aca="false">IF(Tasks[[#This Row],[_DoneFrom]]=0,0,IF(Tasks[[#This Row],[Progress]]&gt;=1,Tasks[[#This Row],[Finish]],MAX(Tasks[[#This Row],[_DoneFrom]],Tasks[[#This Row],[Start]]+ROUND((Tasks[[#This Row],[Finish]]-Tasks[[#This Row],[Start]]+1)*Tasks[[#This Row],[Progress]],0)-1)))</f>
        <v>0</v>
      </c>
      <c r="GW95" s="91" t="n">
        <f aca="false">IF(Tasks[[#This Row],[Task Name]]="",0,IF(OR(NOT(Tasks[[#This Row],[_IsLeaf]]=1),Tasks[[#This Row],[_IsMilestone]],N(Tasks[[#This Row],[Progress]])&gt;=1),0,IF(Tasks[[#This Row],[_DoneTo]]&gt;0,Tasks[[#This Row],[_DoneTo]]+1,Tasks[[#This Row],[Start]])))</f>
        <v>0</v>
      </c>
      <c r="GX95" s="91" t="n">
        <f aca="false">IF(Tasks[[#This Row],[_RemFrom]]=0,0,Tasks[[#This Row],[Finish]])</f>
        <v>0</v>
      </c>
      <c r="GY95" s="90" t="b">
        <f aca="false">IF(Tasks[[#This Row],[Task Name]]="",FALSE(),OR(NOT(BaselineSet),N(Tasks[[#This Row],[Baseline Start]])&gt;0))</f>
        <v>0</v>
      </c>
      <c r="GZ9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5" s="92" t="str">
        <f aca="false">IF(Tasks[[#This Row],[_IsLeaf]]=1,Tasks[[#This Row],[_Row]],"")</f>
        <v/>
      </c>
      <c r="HD95" s="92" t="str">
        <f aca="false">IFERROR(INDEX(Tasks[UID],SMALL(Tasks[_PickKey],Tasks[[#This Row],[_Row]]))&amp;" "&amp;INDEX(Tasks[Task Name],SMALL(Tasks[_PickKey],Tasks[[#This Row],[_Row]])),"")</f>
        <v/>
      </c>
      <c r="HE95" s="43" t="str">
        <f aca="false">IF(Tasks[[#This Row],[Task Name]]="","",IF(Tasks[[#This Row],[_IsSummary]],NETWORKDAYS.INTL(Tasks[[#This Row],[Start]],Tasks[[#This Row],[Finish]],WorkWeek,Holidays),N(Tasks[[#This Row],[_Days]])))</f>
        <v/>
      </c>
      <c r="HF95" s="43" t="n">
        <f aca="false">IF(Tasks[[#This Row],[Expected]]="",0,((Tasks[[#This Row],[Pessimistic]]-Tasks[[#This Row],[Optimistic]])/6)^2)</f>
        <v>0</v>
      </c>
      <c r="HG95" s="43" t="n">
        <f aca="false">IF(Tasks[[#This Row],[Expected]]="",0,Tasks[[#This Row],[Expected]]-N(Tasks[[#This Row],[_Days]]))</f>
        <v>0</v>
      </c>
    </row>
    <row r="96" customFormat="false" ht="15" hidden="false" customHeight="false" outlineLevel="0" collapsed="false">
      <c r="A96" s="21" t="str">
        <f aca="false">IF(Tasks[[#This Row],[Task Name]]="","",COUNTA(Tasks[[#Headers],[Task Name]]:Tasks[[#This Row],[Task Name]])-1)</f>
        <v/>
      </c>
      <c r="B96" s="22" t="n">
        <v>104</v>
      </c>
      <c r="C96" s="22"/>
      <c r="D96" s="23"/>
      <c r="E96" s="22"/>
      <c r="F96" s="23"/>
      <c r="G96" s="22"/>
      <c r="H96" s="22"/>
      <c r="I96" s="23"/>
      <c r="J96" s="22"/>
      <c r="K96" s="22"/>
      <c r="L96" s="23"/>
      <c r="M96" s="22"/>
      <c r="N96" s="22"/>
      <c r="O96" s="23"/>
      <c r="P96" s="22"/>
      <c r="Q96" s="22"/>
      <c r="R96" s="23"/>
      <c r="S96" s="23"/>
      <c r="T96" s="84"/>
      <c r="U96" s="23"/>
      <c r="V96" s="84"/>
      <c r="W96" s="23"/>
      <c r="X96" s="84"/>
      <c r="Y96" s="23"/>
      <c r="Z96" s="84"/>
      <c r="AA96" s="23"/>
      <c r="AB96" s="23"/>
      <c r="AC96" s="7"/>
      <c r="AD96" s="7"/>
      <c r="AE96" s="63" t="str">
        <f aca="false">IF(Tasks[[#This Row],[Task Name]]="","",IF(Tasks[[#This Row],[_IsSummary]],MIN(INDEX(Tasks[_ShownFcstStart],Tasks[[#This Row],[_Row]]+1):INDEX(Tasks[_ShownFcstStart],Tasks[[#This Row],[_Row]]+Tasks[[#This Row],[_Descendants]])),Tasks[[#This Row],[_ShownFcstStart]]))</f>
        <v/>
      </c>
      <c r="AF96" s="63" t="str">
        <f aca="false">IF(Tasks[[#This Row],[Task Name]]="","",IF(Tasks[[#This Row],[_IsSummary]],MAX(INDEX(Tasks[_ShownFcstFinish],Tasks[[#This Row],[_Row]]+1):INDEX(Tasks[_ShownFcstFinish],Tasks[[#This Row],[_Row]]+Tasks[[#This Row],[_Descendants]])),Tasks[[#This Row],[_ShownFcstFinish]]))</f>
        <v/>
      </c>
      <c r="AG96" s="21" t="str">
        <f aca="false">""</f>
        <v/>
      </c>
      <c r="AH96" s="23"/>
      <c r="AI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6" s="7"/>
      <c r="AK96" s="22"/>
      <c r="AL96" s="23"/>
      <c r="AM96" s="7"/>
      <c r="AN96" s="47" t="str">
        <f aca="false">IF(Tasks[[#This Row],[Task Name]]="","",IF(Tasks[[#This Row],[Finish]]&gt;=Tasks[[#This Row],[Planned Finish]],NETWORKDAYS.INTL(Tasks[[#This Row],[Planned Finish]],Tasks[[#This Row],[Finish]],WorkWeek,Holidays)-1,1-NETWORKDAYS.INTL(Tasks[[#This Row],[Finish]],Tasks[[#This Row],[Planned Finish]],WorkWeek,Holidays)))</f>
        <v/>
      </c>
      <c r="AO96" s="21" t="str">
        <f aca="false">IF(Tasks[[#This Row],[Task Name]]="","",IF(Tasks[[#This Row],[Progress]]&gt;=1,"Complete",IF(OR(N(Tasks[[#This Row],[Actual Start]])&gt;0,Tasks[[#This Row],[Progress]]&gt;0),IF(Tasks[[#This Row],[Finish Var]]&gt;0,"Behind","In Progress"),IF(Tasks[[#This Row],[Planned Start]]&lt;StatusDate,"Late Start","Not Started"))))</f>
        <v/>
      </c>
      <c r="AP96" s="21" t="str">
        <f aca="false">IF(Tasks[[#This Row],[Task Name]]="","",IF(IF(Tasks[[#This Row],[_IsSummary]],COUNTIF(INDEX(Tasks[_LeafCritical],Tasks[[#This Row],[_Row]]+1):INDEX(Tasks[_LeafCritical],Tasks[[#This Row],[_Row]]+Tasks[[#This Row],[_Descendants]]),TRUE())&gt;0,Tasks[[#This Row],[_LeafCritical]]),"Yes",""))</f>
        <v/>
      </c>
      <c r="AQ96" s="63" t="str">
        <f aca="false">IF(Tasks[[#This Row],[Task Name]]="","",IF(N(Tasks[[#This Row],[Baseline Start]])&gt;0,Tasks[[#This Row],[Baseline Start]],Tasks[[#This Row],[_CalcStart]]))</f>
        <v/>
      </c>
      <c r="AR96" s="63" t="str">
        <f aca="false">IF(Tasks[[#This Row],[Task Name]]="","",IF(N(Tasks[[#This Row],[Baseline Finish]])&gt;0,Tasks[[#This Row],[Baseline Finish]],Tasks[[#This Row],[_CalcFinish]]))</f>
        <v/>
      </c>
      <c r="AS96" s="47" t="str">
        <f aca="false">IF(Tasks[[#This Row],[Task Name]]="","",IF(Tasks[[#This Row],[Start]]&gt;=Tasks[[#This Row],[Planned Start]],NETWORKDAYS.INTL(Tasks[[#This Row],[Planned Start]],Tasks[[#This Row],[Start]],WorkWeek,Holidays)-1,1-NETWORKDAYS.INTL(Tasks[[#This Row],[Start]],Tasks[[#This Row],[Planned Start]],WorkWeek,Holidays)))</f>
        <v/>
      </c>
      <c r="AT96" s="63" t="str">
        <f aca="false">IF(Tasks[[#This Row],[Task Name]]="","",IF(Tasks[[#This Row],[_IsSummary]],MIN(INDEX(Tasks[_LeafLateStart],Tasks[[#This Row],[_Row]]+1):INDEX(Tasks[_LeafLateStart],Tasks[[#This Row],[_Row]]+Tasks[[#This Row],[_Descendants]])),Tasks[[#This Row],[_LeafLateStart]]))</f>
        <v/>
      </c>
      <c r="AU96" s="63" t="str">
        <f aca="false">IF(Tasks[[#This Row],[Task Name]]="","",IF(Tasks[[#This Row],[_IsSummary]],MAX(INDEX(Tasks[_LeafLateFinish],Tasks[[#This Row],[_Row]]+1):INDEX(Tasks[_LeafLateFinish],Tasks[[#This Row],[_Row]]+Tasks[[#This Row],[_Descendants]])),Tasks[[#This Row],[_LeafLateFinish]]))</f>
        <v/>
      </c>
      <c r="AV96" s="47" t="str">
        <f aca="false">IF(Tasks[[#This Row],[Task Name]]="","",IF(Tasks[[#This Row],[_IsSummary]],MIN(INDEX(Tasks[_LeafTotalSlack],Tasks[[#This Row],[_Row]]+1):INDEX(Tasks[_LeafTotalSlack],Tasks[[#This Row],[_Row]]+Tasks[[#This Row],[_Descendants]])),Tasks[[#This Row],[_LeafTotalSlack]]))</f>
        <v/>
      </c>
      <c r="AW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5"/>
      <c r="BA9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t="str">
        <f aca="false">IF(Tasks[[#This Row],[Task Name]]="","",IF(Tasks[[#This Row],[_Level]]&lt;=OutlineShowLevel,"Yes","No"))</f>
        <v/>
      </c>
      <c r="BE96" s="86" t="str">
        <f aca="false">IF(Tasks[[#This Row],[Task Name]]="","",IF(Tasks[[#This Row],[_IsSummary]],SUM(INDEX(Tasks[_LeafTotalWork],Tasks[[#This Row],[_Row]]+1):INDEX(Tasks[_LeafTotalWork],Tasks[[#This Row],[_Row]]+Tasks[[#This Row],[_Descendants]])),Tasks[[#This Row],[_LeafTotalWork]]))</f>
        <v/>
      </c>
      <c r="BF96" s="23"/>
      <c r="BG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t="str">
        <f aca="false">""</f>
        <v/>
      </c>
      <c r="BI96" s="87"/>
      <c r="BJ96" s="22"/>
      <c r="BK96" s="47" t="str">
        <f aca="false">IF(OR(Tasks[[#This Row],[Task Name]]="",Tasks[[#This Row],[Baseline Duration]]=""),"",Tasks[[#This Row],[_SpanDays]]-N(Tasks[[#This Row],[Baseline Duration]]))</f>
        <v/>
      </c>
      <c r="BL96" s="86" t="str">
        <f aca="false">IF(OR(Tasks[[#This Row],[Task Name]]="",Tasks[[#This Row],[Baseline Work]]=""),"",Tasks[[#This Row],[Work]]-N(Tasks[[#This Row],[Baseline Work]]))</f>
        <v/>
      </c>
      <c r="BM96" s="63" t="str">
        <f aca="false">IF(Tasks[[#This Row],[Task Name]]="","",IF(OR(TakeBaseline="Yes",N(Tasks[[#This Row],[Baseline Start]])=0),Tasks[[#This Row],[Start]],Tasks[[#This Row],[Baseline Start]]))</f>
        <v/>
      </c>
      <c r="BN96" s="63" t="str">
        <f aca="false">IF(Tasks[[#This Row],[Task Name]]="","",IF(OR(TakeBaseline="Yes",N(Tasks[[#This Row],[Baseline Finish]])=0),Tasks[[#This Row],[Finish]],Tasks[[#This Row],[Baseline Finish]]))</f>
        <v/>
      </c>
      <c r="BO96" s="21" t="str">
        <f aca="false">IF(Tasks[[#This Row],[Task Name]]="","",IF(OR(TakeBaseline="Yes",N(Tasks[[#This Row],[Baseline Duration]])=0),Tasks[[#This Row],[_SpanDays]],Tasks[[#This Row],[Baseline Duration]]))</f>
        <v/>
      </c>
      <c r="BP96" s="86" t="str">
        <f aca="false">IF(Tasks[[#This Row],[Task Name]]="","",IF(OR(TakeBaseline="Yes",N(Tasks[[#This Row],[Baseline Work]])=0),Tasks[[#This Row],[Work]],Tasks[[#This Row],[Baseline Work]]))</f>
        <v/>
      </c>
      <c r="BQ96" s="7"/>
      <c r="BR96" s="7"/>
      <c r="BS96" s="22"/>
      <c r="BT96" s="88"/>
      <c r="BU96" s="23"/>
      <c r="BV96" s="23"/>
      <c r="BW96" s="23"/>
      <c r="BX96" s="89" t="str">
        <f aca="false">IF(AND(Tasks[[#This Row],[_IsLeaf]]=1,ISNUMBER(Tasks[[#This Row],[Optimistic]]),ISNUMBER(Tasks[[#This Row],[Pessimistic]])),ROUND((Tasks[[#This Row],[Optimistic]]+4*N(Tasks[[#This Row],[_Days]])+Tasks[[#This Row],[Pessimistic]])/6,1),"")</f>
        <v/>
      </c>
      <c r="BY96" s="87"/>
      <c r="BZ96" s="87"/>
      <c r="CA96" s="22"/>
      <c r="CB96" s="43" t="str">
        <f aca="false">IF(Tasks[[#This Row],[Task Name]]="","",MAX(1,N(Tasks[[#This Row],[Level]])))</f>
        <v/>
      </c>
      <c r="CC96" s="43" t="n">
        <f aca="false">ROW()-ROW(Tasks[[#Headers],[ID]])</f>
        <v>91</v>
      </c>
      <c r="CD96" s="43" t="n">
        <f aca="false">IF(OR(Tasks[[#This Row],[Task Name]]="",Tasks[[#This Row],[_Level]]&lt;=1),0,IFERROR(LOOKUP(2,1/(Tasks[[#Headers],[_Level]]:Tasks[[#This Row],[_Level]]=Tasks[[#This Row],[_Level]]-1),ROW(Tasks[[#Headers],[_Level]]:Tasks[[#This Row],[_Level]])),0))</f>
        <v>0</v>
      </c>
      <c r="CE96" s="43" t="n">
        <f aca="false">IFERROR(N(INDEX(Tasks[_Level],Tasks[[#This Row],[_Row]]+1)),0)</f>
        <v>0</v>
      </c>
      <c r="CF96" s="90" t="b">
        <f aca="false">AND(Tasks[[#This Row],[Task Name]]&lt;&gt;"",Tasks[[#This Row],[_NextLevel]]&gt;Tasks[[#This Row],[_Level]])</f>
        <v>0</v>
      </c>
      <c r="CG96" s="43" t="n">
        <f aca="false">IF(Tasks[[#This Row],[_IsSummary]],COUNTIF(Tasks[WBS],Tasks[[#This Row],[WBS]]&amp;".*"),0)</f>
        <v>0</v>
      </c>
      <c r="CH96" s="43" t="n">
        <f aca="false">IF(AND(Tasks[[#This Row],[Task Name]]&lt;&gt;"",NOT(Tasks[[#This Row],[_IsSummary]])),1,0)</f>
        <v>0</v>
      </c>
      <c r="CI96" s="43" t="n">
        <f aca="false">IF(N(Tasks[[#This Row],[_Pred1UID]])=0,0,IFERROR(MATCH(Tasks[[#This Row],[_Pred1UID]],Tasks[UID],0),-1))</f>
        <v>0</v>
      </c>
      <c r="CJ96" s="43" t="n">
        <f aca="false">IF(N(Tasks[[#This Row],[_Pred2UID]])=0,0,IFERROR(MATCH(Tasks[[#This Row],[_Pred2UID]],Tasks[UID],0),-1))</f>
        <v>0</v>
      </c>
      <c r="CK96" s="43" t="n">
        <f aca="false">IF(N(Tasks[[#This Row],[_Pred3UID]])=0,0,IFERROR(MATCH(Tasks[[#This Row],[_Pred3UID]],Tasks[UID],0),-1))</f>
        <v>0</v>
      </c>
      <c r="CL96" s="43" t="n">
        <f aca="false">IF(N(Tasks[[#This Row],[_Pred4UID]])=0,0,IFERROR(MATCH(Tasks[[#This Row],[_Pred4UID]],Tasks[UID],0),-1))</f>
        <v>0</v>
      </c>
      <c r="CM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6" s="91" t="n">
        <f aca="false">IF(OR(Tasks[[#This Row],[_ConstraintCode]]=2,Tasks[[#This Row],[_ConstraintCode]]=3,Tasks[[#This Row],[_ConstraintCode]]=4,Tasks[[#This Row],[_ConstraintCode]]=6),Tasks[[#This Row],[_ConstraintStart]],0)</f>
        <v>0</v>
      </c>
      <c r="CP96" s="91" t="n">
        <f aca="false">IF(OR(Tasks[[#This Row],[_ConstraintCode]]=2,Tasks[[#This Row],[_ConstraintCode]]=3,Tasks[[#This Row],[_ConstraintCode]]=5,Tasks[[#This Row],[_ConstraintCode]]=7),Tasks[[#This Row],[_ConstraintStart]],2958465)</f>
        <v>2958465</v>
      </c>
      <c r="CQ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6" s="91" t="str">
        <f aca="false">IF(NOT(Tasks[[#This Row],[_IsLeaf]]=1),"",IF(N(Tasks[[#This Row],[_Days]])&lt;=0,Tasks[[#This Row],[_LeafCalcStart]],WORKDAY.INTL(Tasks[[#This Row],[_LeafCalcStart]],Tasks[[#This Row],[_Days]]-1,WorkWeek,Holidays)))</f>
        <v/>
      </c>
      <c r="CS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6" s="43" t="str">
        <f aca="false">IF(Tasks[[#This Row],[_Predecessors]]="","",TRIM(MID(SUBSTITUTE(SUBSTITUTE(SUBSTITUTE(UPPER(Tasks[[#This Row],[_Predecessors]]),";",",")," ",""),",",REPT(" ",99)),1,99)))</f>
        <v/>
      </c>
      <c r="CV96" s="43" t="str">
        <f aca="false">IF(Tasks[[#This Row],[_Pred1Text]]="","",IFERROR(VALUE(LEFT(Tasks[[#This Row],[_Pred1Text]],MIN(FIND("F",Tasks[[#This Row],[_Pred1Text]]&amp;"F"),FIND("S",Tasks[[#This Row],[_Pred1Text]]&amp;"S"),FIND("+",Tasks[[#This Row],[_Pred1Text]]&amp;"+"),FIND("-",Tasks[[#This Row],[_Pred1Text]]&amp;"-"))-1)),""))</f>
        <v/>
      </c>
      <c r="CW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6" s="43" t="str">
        <f aca="false">IF(Tasks[[#This Row],[_Pred1Text]]="","",TRIM(MID(SUBSTITUTE(SUBSTITUTE(SUBSTITUTE(UPPER(Tasks[[#This Row],[_Predecessors]]),";",",")," ",""),",",REPT(" ",99)),100,99)))</f>
        <v/>
      </c>
      <c r="CZ96" s="43" t="str">
        <f aca="false">IF(Tasks[[#This Row],[_Pred2Text]]="","",IFERROR(VALUE(LEFT(Tasks[[#This Row],[_Pred2Text]],MIN(FIND("F",Tasks[[#This Row],[_Pred2Text]]&amp;"F"),FIND("S",Tasks[[#This Row],[_Pred2Text]]&amp;"S"),FIND("+",Tasks[[#This Row],[_Pred2Text]]&amp;"+"),FIND("-",Tasks[[#This Row],[_Pred2Text]]&amp;"-"))-1)),""))</f>
        <v/>
      </c>
      <c r="DA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6" s="43" t="str">
        <f aca="false">IF(Tasks[[#This Row],[_Pred2Text]]="","",TRIM(MID(SUBSTITUTE(SUBSTITUTE(SUBSTITUTE(UPPER(Tasks[[#This Row],[_Predecessors]]),";",",")," ",""),",",REPT(" ",99)),199,99)))</f>
        <v/>
      </c>
      <c r="DD96" s="43" t="str">
        <f aca="false">IF(Tasks[[#This Row],[_Pred3Text]]="","",IFERROR(VALUE(LEFT(Tasks[[#This Row],[_Pred3Text]],MIN(FIND("F",Tasks[[#This Row],[_Pred3Text]]&amp;"F"),FIND("S",Tasks[[#This Row],[_Pred3Text]]&amp;"S"),FIND("+",Tasks[[#This Row],[_Pred3Text]]&amp;"+"),FIND("-",Tasks[[#This Row],[_Pred3Text]]&amp;"-"))-1)),""))</f>
        <v/>
      </c>
      <c r="DE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6" s="43" t="str">
        <f aca="false">IF(Tasks[[#This Row],[_Pred3Text]]="","",TRIM(MID(SUBSTITUTE(SUBSTITUTE(SUBSTITUTE(UPPER(Tasks[[#This Row],[_Predecessors]]),";",",")," ",""),",",REPT(" ",99)),298,99)))</f>
        <v/>
      </c>
      <c r="DH96" s="43" t="str">
        <f aca="false">IF(Tasks[[#This Row],[_Pred4Text]]="","",IFERROR(VALUE(LEFT(Tasks[[#This Row],[_Pred4Text]],MIN(FIND("F",Tasks[[#This Row],[_Pred4Text]]&amp;"F"),FIND("S",Tasks[[#This Row],[_Pred4Text]]&amp;"S"),FIND("+",Tasks[[#This Row],[_Pred4Text]]&amp;"+"),FIND("-",Tasks[[#This Row],[_Pred4Text]]&amp;"-"))-1)),""))</f>
        <v/>
      </c>
      <c r="DI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6" s="43" t="str">
        <f aca="false">IF(OR(Tasks[[#This Row],[Task Name]]="",Tasks[[#This Row],[_Resources]]=""),"",TRIM(MID(SUBSTITUTE(Tasks[[#This Row],[_Resources]],",",REPT(" ",99)),1,99)))</f>
        <v/>
      </c>
      <c r="DL96" s="43" t="str">
        <f aca="false">IF(Tasks[[#This Row],[_Res1Text]]="","",TRIM(MID(SUBSTITUTE(Tasks[[#This Row],[_Resources]],",",REPT(" ",99)),100,99)))</f>
        <v/>
      </c>
      <c r="DM96" s="43" t="str">
        <f aca="false">IF(Tasks[[#This Row],[_Res2Text]]="","",TRIM(MID(SUBSTITUTE(Tasks[[#This Row],[_Resources]],",",REPT(" ",99)),199,99)))</f>
        <v/>
      </c>
      <c r="DN96" s="43" t="str">
        <f aca="false">IF(Tasks[[#This Row],[_Res3Text]]="","",TRIM(MID(SUBSTITUTE(Tasks[[#This Row],[_Resources]],",",REPT(" ",99)),298,99)))</f>
        <v/>
      </c>
      <c r="DO96" s="43" t="n">
        <f aca="false">IF(Tasks[[#This Row],[_Res1Text]]="",0,IFERROR(MATCH(TRIM(LEFT(Tasks[[#This Row],[_Res1Text]],FIND("[",Tasks[[#This Row],[_Res1Text]]&amp;"[")-1)),res_Name,0),IFERROR(MATCH(TRIM(LEFT(Tasks[[#This Row],[_Res1Text]],FIND("[",Tasks[[#This Row],[_Res1Text]]&amp;"[")-1)),res_Initials,0),0)))</f>
        <v>0</v>
      </c>
      <c r="DP96" s="43" t="n">
        <f aca="false">IF(Tasks[[#This Row],[_Res2Text]]="",0,IFERROR(MATCH(TRIM(LEFT(Tasks[[#This Row],[_Res2Text]],FIND("[",Tasks[[#This Row],[_Res2Text]]&amp;"[")-1)),res_Name,0),IFERROR(MATCH(TRIM(LEFT(Tasks[[#This Row],[_Res2Text]],FIND("[",Tasks[[#This Row],[_Res2Text]]&amp;"[")-1)),res_Initials,0),0)))</f>
        <v>0</v>
      </c>
      <c r="DQ96" s="43" t="n">
        <f aca="false">IF(Tasks[[#This Row],[_Res3Text]]="",0,IFERROR(MATCH(TRIM(LEFT(Tasks[[#This Row],[_Res3Text]],FIND("[",Tasks[[#This Row],[_Res3Text]]&amp;"[")-1)),res_Name,0),IFERROR(MATCH(TRIM(LEFT(Tasks[[#This Row],[_Res3Text]],FIND("[",Tasks[[#This Row],[_Res3Text]]&amp;"[")-1)),res_Initials,0),0)))</f>
        <v>0</v>
      </c>
      <c r="DR96" s="43" t="n">
        <f aca="false">IF(Tasks[[#This Row],[_Res4Text]]="",0,IFERROR(MATCH(TRIM(LEFT(Tasks[[#This Row],[_Res4Text]],FIND("[",Tasks[[#This Row],[_Res4Text]]&amp;"[")-1)),res_Name,0),IFERROR(MATCH(TRIM(LEFT(Tasks[[#This Row],[_Res4Text]],FIND("[",Tasks[[#This Row],[_Res4Text]]&amp;"[")-1)),res_Initials,0),0)))</f>
        <v>0</v>
      </c>
      <c r="DS96" s="43" t="str">
        <f aca="false">IF(Tasks[[#This Row],[_Res1Text]]="","",IF(Tasks[[#This Row],[_Res1Row]]&gt;0,INDEX(res_Name,Tasks[[#This Row],[_Res1Row]]),TRIM(LEFT(Tasks[[#This Row],[_Res1Text]],FIND("[",Tasks[[#This Row],[_Res1Text]]&amp;"[")-1))))</f>
        <v/>
      </c>
      <c r="DT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6" s="43" t="n">
        <f aca="false">IF(NOT(Tasks[[#This Row],[_IsLeaf]]=1),0,(Tasks[[#This Row],[_Resource1]]&lt;&gt;"")+(Tasks[[#This Row],[_Res2]]&lt;&gt;"")+(Tasks[[#This Row],[_Res3]]&lt;&gt;"")+(Tasks[[#This Row],[_Res4]]&lt;&gt;""))</f>
        <v>0</v>
      </c>
      <c r="DV96" s="43" t="str">
        <f aca="false">IF(Tasks[[#This Row],[_Res2Text]]="","",IF(Tasks[[#This Row],[_Res2Row]]&gt;0,INDEX(res_Name,Tasks[[#This Row],[_Res2Row]]),TRIM(LEFT(Tasks[[#This Row],[_Res2Text]],FIND("[",Tasks[[#This Row],[_Res2Text]]&amp;"[")-1))))</f>
        <v/>
      </c>
      <c r="DW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6" s="43" t="n">
        <f aca="false">IF(OR(NOT(Tasks[[#This Row],[_IsLeaf]]=1),Tasks[[#This Row],[_Res2Row]]=0),0,N(Tasks[[#This Row],[_Days]])*HoursPerDay*IF(Tasks[[#This Row],[_Res2Units]]="",DefaultUnits,Tasks[[#This Row],[_Res2Units]]))</f>
        <v>0</v>
      </c>
      <c r="DY96" s="43" t="n">
        <f aca="false">IF(AND(AND(Tasks[[#This Row],[_IsLeaf]]=1,Tasks[[#This Row],[_LeafTotalWork]]&gt;0),Tasks[[#This Row],[_Res2Work]]&gt;0),Tasks[[#This Row],[_Res2Work]]/(Tasks[[#This Row],[_FinishWorkday]]-Tasks[[#This Row],[_StartWorkday]]+1),0)</f>
        <v>0</v>
      </c>
      <c r="DZ96" s="43" t="n">
        <f aca="false">Tasks[[#This Row],[_Res2WorkPerWD]]*MAX(0,Tasks[[#This Row],[_StartWorkday]]-1)</f>
        <v>0</v>
      </c>
      <c r="EA96" s="43" t="n">
        <f aca="false">Tasks[[#This Row],[_Res2Work]]*Tasks[[#This Row],[_LeafProgress]]</f>
        <v>0</v>
      </c>
      <c r="EB96" s="43" t="str">
        <f aca="false">IF(Tasks[[#This Row],[_Res3Text]]="","",IF(Tasks[[#This Row],[_Res3Row]]&gt;0,INDEX(res_Name,Tasks[[#This Row],[_Res3Row]]),TRIM(LEFT(Tasks[[#This Row],[_Res3Text]],FIND("[",Tasks[[#This Row],[_Res3Text]]&amp;"[")-1))))</f>
        <v/>
      </c>
      <c r="EC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6" s="43" t="n">
        <f aca="false">IF(OR(NOT(Tasks[[#This Row],[_IsLeaf]]=1),Tasks[[#This Row],[_Res3Row]]=0),0,N(Tasks[[#This Row],[_Days]])*HoursPerDay*IF(Tasks[[#This Row],[_Res3Units]]="",DefaultUnits,Tasks[[#This Row],[_Res3Units]]))</f>
        <v>0</v>
      </c>
      <c r="EE96" s="43" t="n">
        <f aca="false">IF(AND(AND(Tasks[[#This Row],[_IsLeaf]]=1,Tasks[[#This Row],[_LeafTotalWork]]&gt;0),Tasks[[#This Row],[_Res3Work]]&gt;0),Tasks[[#This Row],[_Res3Work]]/(Tasks[[#This Row],[_FinishWorkday]]-Tasks[[#This Row],[_StartWorkday]]+1),0)</f>
        <v>0</v>
      </c>
      <c r="EF96" s="43" t="n">
        <f aca="false">Tasks[[#This Row],[_Res3WorkPerWD]]*MAX(0,Tasks[[#This Row],[_StartWorkday]]-1)</f>
        <v>0</v>
      </c>
      <c r="EG96" s="43" t="n">
        <f aca="false">Tasks[[#This Row],[_Res3Work]]*Tasks[[#This Row],[_LeafProgress]]</f>
        <v>0</v>
      </c>
      <c r="EH96" s="43" t="str">
        <f aca="false">IF(Tasks[[#This Row],[_Res4Text]]="","",IF(Tasks[[#This Row],[_Res4Row]]&gt;0,INDEX(res_Name,Tasks[[#This Row],[_Res4Row]]),TRIM(LEFT(Tasks[[#This Row],[_Res4Text]],FIND("[",Tasks[[#This Row],[_Res4Text]]&amp;"[")-1))))</f>
        <v/>
      </c>
      <c r="EI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6" s="43" t="n">
        <f aca="false">IF(OR(NOT(Tasks[[#This Row],[_IsLeaf]]=1),Tasks[[#This Row],[_Res4Row]]=0),0,N(Tasks[[#This Row],[_Days]])*HoursPerDay*IF(Tasks[[#This Row],[_Res4Units]]="",DefaultUnits,Tasks[[#This Row],[_Res4Units]]))</f>
        <v>0</v>
      </c>
      <c r="EK96" s="43" t="n">
        <f aca="false">IF(AND(AND(Tasks[[#This Row],[_IsLeaf]]=1,Tasks[[#This Row],[_LeafTotalWork]]&gt;0),Tasks[[#This Row],[_Res4Work]]&gt;0),Tasks[[#This Row],[_Res4Work]]/(Tasks[[#This Row],[_FinishWorkday]]-Tasks[[#This Row],[_StartWorkday]]+1),0)</f>
        <v>0</v>
      </c>
      <c r="EL96" s="43" t="n">
        <f aca="false">Tasks[[#This Row],[_Res4WorkPerWD]]*MAX(0,Tasks[[#This Row],[_StartWorkday]]-1)</f>
        <v>0</v>
      </c>
      <c r="EM96" s="43" t="n">
        <f aca="false">Tasks[[#This Row],[_Res4Work]]*Tasks[[#This Row],[_LeafProgress]]</f>
        <v>0</v>
      </c>
      <c r="EN96" s="43" t="n">
        <f aca="false">IF(ISNUMBER(Tasks[[#This Row],[% Complete]]),Tasks[[#This Row],[% Complete]],IF(Tasks[[#This Row],[Stage]]="",0,IFERROR(INDEX(stg_Pct,MATCH(Tasks[[#This Row],[Stage]],stg_Name,0)),0)))</f>
        <v>0</v>
      </c>
      <c r="EO96" s="43" t="n">
        <f aca="false">IF(NOT(Tasks[[#This Row],[_IsLeaf]]=1),0,IF(N(Tasks[[#This Row],[Actual Finish]])&gt;0,1,MIN(1,Tasks[[#This Row],[_Pct]])))</f>
        <v>0</v>
      </c>
      <c r="EP96" s="43" t="n">
        <f aca="false">IF(OR(NOT(Tasks[[#This Row],[_IsLeaf]]=1),Tasks[[#This Row],[_Res1Row]]=0),0,N(Tasks[[#This Row],[_Days]])*HoursPerDay*IF(Tasks[[#This Row],[_Units1]]="",DefaultUnits,Tasks[[#This Row],[_Units1]]))</f>
        <v>0</v>
      </c>
      <c r="EQ96" s="43" t="n">
        <f aca="false">Tasks[[#This Row],[_LeafWork]]+Tasks[[#This Row],[_Res2Work]]+Tasks[[#This Row],[_Res3Work]]+Tasks[[#This Row],[_Res4Work]]</f>
        <v>0</v>
      </c>
      <c r="ER9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6" s="43" t="n">
        <f aca="false">IF(NOT(Tasks[[#This Row],[_IsLeaf]]=1),0,MAX(_xlfn.MAXIFS(Tasks[_Row],Tasks[_Pred1UID],Tasks[[#This Row],[UID]]),_xlfn.MAXIFS(Tasks[_Row],Tasks[_Pred2UID],Tasks[[#This Row],[UID]]),_xlfn.MAXIFS(Tasks[_Row],Tasks[_Pred3UID],Tasks[[#This Row],[UID]]),_xlfn.MAXIFS(Tasks[_Row],Tasks[_Pred4UID],Tasks[[#This Row],[UID]])))</f>
        <v>0</v>
      </c>
      <c r="FA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6" s="91" t="str">
        <f aca="false">IF(NOT(Tasks[[#This Row],[_IsLeaf]]=1),"",IF(N(Tasks[[#This Row],[_Days]])&lt;=0,Tasks[[#This Row],[_LeafLateFinish]],WORKDAY.INTL(Tasks[[#This Row],[_LeafLateFinish]],-(Tasks[[#This Row],[_Days]]-1),WorkWeek,Holidays)))</f>
        <v/>
      </c>
      <c r="FD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6" s="90" t="b">
        <f aca="false">AND(Tasks[[#This Row],[_IsLeaf]]=1,Tasks[[#This Row],[_LeafProgress]]&lt;1,N(Tasks[[#This Row],[_LeafTotalSlack]])&lt;=CriticalSlackDays)</f>
        <v>0</v>
      </c>
      <c r="FF96" s="43" t="n">
        <f aca="false">IF(AND(Tasks[[#This Row],[_IsLeaf]]=1,Tasks[[#This Row],[_ConstraintCode]]=1,Tasks[[#This Row],[Mode]]&lt;&gt;"Manual",N(Tasks[[#This Row],[Actual Start]])=0),MAX(0,N(Tasks[[#This Row],[Free Slack]])),0)</f>
        <v>0</v>
      </c>
      <c r="FG96" s="91" t="str">
        <f aca="false">IF(NOT(Tasks[[#This Row],[_IsLeaf]]=1),"",IF(Tasks[[#This Row],[_AlapShift]]=0,Tasks[[#This Row],[_LeafCalcStart]],WORKDAY.INTL(Tasks[[#This Row],[_LeafCalcStart]],Tasks[[#This Row],[_AlapShift]],WorkWeek,Holidays)))</f>
        <v/>
      </c>
      <c r="FH96" s="91" t="str">
        <f aca="false">IF(NOT(Tasks[[#This Row],[_IsLeaf]]=1),"",IF(Tasks[[#This Row],[_AlapShift]]=0,Tasks[[#This Row],[_LeafCalcFinish]],WORKDAY.INTL(Tasks[[#This Row],[_LeafCalcFinish]],Tasks[[#This Row],[_AlapShift]],WorkWeek,Holidays)))</f>
        <v/>
      </c>
      <c r="FI96" s="91" t="str">
        <f aca="false">IF(NOT(Tasks[[#This Row],[_IsLeaf]]=1),"",IF(Tasks[[#This Row],[_AlapShift]]=0,Tasks[[#This Row],[_LeafFcstStart]],WORKDAY.INTL(Tasks[[#This Row],[_LeafFcstStart]],Tasks[[#This Row],[_AlapShift]],WorkWeek,Holidays)))</f>
        <v/>
      </c>
      <c r="FJ96" s="91" t="str">
        <f aca="false">IF(NOT(Tasks[[#This Row],[_IsLeaf]]=1),"",IF(Tasks[[#This Row],[_AlapShift]]=0,Tasks[[#This Row],[_LeafFcstFinish]],WORKDAY.INTL(Tasks[[#This Row],[_LeafFcstFinish]],Tasks[[#This Row],[_AlapShift]],WorkWeek,Holidays)))</f>
        <v/>
      </c>
      <c r="FK96" s="91" t="str">
        <f aca="false">IF(Tasks[[#This Row],[Task Name]]="","",IF(Tasks[[#This Row],[_IsSummary]],MIN(INDEX(Tasks[_ShownCalcStart],Tasks[[#This Row],[_Row]]+1):INDEX(Tasks[_ShownCalcStart],Tasks[[#This Row],[_Row]]+Tasks[[#This Row],[_Descendants]])),Tasks[[#This Row],[_ShownCalcStart]]))</f>
        <v/>
      </c>
      <c r="FL96" s="91" t="str">
        <f aca="false">IF(Tasks[[#This Row],[Task Name]]="","",IF(Tasks[[#This Row],[_IsSummary]],MAX(INDEX(Tasks[_ShownCalcFinish],Tasks[[#This Row],[_Row]]+1):INDEX(Tasks[_ShownCalcFinish],Tasks[[#This Row],[_Row]]+Tasks[[#This Row],[_Descendants]])),Tasks[[#This Row],[_ShownCalcFinish]]))</f>
        <v/>
      </c>
      <c r="FM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6" s="43" t="n">
        <f aca="false">IF(AND(Tasks[[#This Row],[_IsLeaf]]=1,Tasks[[#This Row],[_LeafTotalWork]]&gt;0),NETWORKDAYS.INTL(ProjectStart,Tasks[[#This Row],[_ShownFcstStart]],WorkWeek,Holidays),0)</f>
        <v>0</v>
      </c>
      <c r="FZ96" s="43" t="n">
        <f aca="false">IF(AND(Tasks[[#This Row],[_IsLeaf]]=1,Tasks[[#This Row],[_LeafTotalWork]]&gt;0),MAX(Tasks[[#This Row],[_StartWorkday]],NETWORKDAYS.INTL(ProjectStart,Tasks[[#This Row],[_ShownFcstFinish]],WorkWeek,Holidays)),0)</f>
        <v>0</v>
      </c>
      <c r="GA96" s="43" t="n">
        <f aca="false">IF(AND(Tasks[[#This Row],[_IsLeaf]]=1,Tasks[[#This Row],[_LeafTotalWork]]&gt;0),Tasks[[#This Row],[_LeafWork]]/(Tasks[[#This Row],[_FinishWorkday]]-Tasks[[#This Row],[_StartWorkday]]+1),0)</f>
        <v>0</v>
      </c>
      <c r="GB96" s="43" t="n">
        <f aca="false">Tasks[[#This Row],[_WorkPerWorkday]]*(Tasks[[#This Row],[_StartWorkday]]-1)</f>
        <v>-0</v>
      </c>
      <c r="GC96" s="43" t="n">
        <f aca="false">IF(Tasks[[#This Row],[_IsLeaf]]=1,MAX(N(Tasks[[#This Row],[_Days]]),0.1),0)</f>
        <v>0</v>
      </c>
      <c r="GD96" s="43" t="n">
        <f aca="false">Tasks[[#This Row],[_WeightDur]]*Tasks[[#This Row],[_LeafProgress]]</f>
        <v>0</v>
      </c>
      <c r="GE96" s="43" t="n">
        <f aca="false">Tasks[[#This Row],[_WeightDur]]*Tasks[[#This Row],[_PlannedPct]]</f>
        <v>0</v>
      </c>
      <c r="GF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6" s="43" t="str">
        <f aca="false">IF(AND(Tasks[[#This Row],[_IsLeaf]]=1,N(Tasks[[#This Row],[_Days]])=0,Tasks[[#This Row],[_LeafProgress]]&lt;1),Tasks[[#This Row],[_ShownFcstFinish]]+Tasks[[#This Row],[_Row]]/100000,"")</f>
        <v/>
      </c>
      <c r="GH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6" s="43" t="str">
        <f aca="false">IF(Tasks[[#This Row],[Task Name]]="","",LEFT(Tasks[[#This Row],[WBS]],FIND(".",Tasks[[#This Row],[WBS]]&amp;".")-1))</f>
        <v/>
      </c>
      <c r="GJ96" s="43" t="str">
        <f aca="false">IF(AND(Tasks[[#This Row],[Task Name]]&lt;&gt;"",Tasks[[#This Row],[_Level]]=1),Tasks[[#This Row],[_Row]],"")</f>
        <v/>
      </c>
      <c r="GK96" s="43" t="str">
        <f aca="false">IF(AND(Tasks[[#This Row],[_IsLeaf]]=1,N(Tasks[[#This Row],[_Days]])=0),Tasks[[#This Row],[Planned Finish]]+Tasks[[#This Row],[_Row]]/100000,"")</f>
        <v/>
      </c>
      <c r="GL96" s="43" t="str">
        <f aca="false">IF(AND(Tasks[[#This Row],[_IsLeaf]]=1,Tasks[[#This Row],[_LeafProgress]]&lt;1,OR(N(Tasks[[#This Row],[Finish Var]])&gt;0,Tasks[[#This Row],[Status]]="Late Start")),MAX(0,Tasks[[#This Row],[Finish Var]])+1-Tasks[[#This Row],[_Row]]/1000000,"")</f>
        <v/>
      </c>
      <c r="GM96" s="43" t="str">
        <f aca="false">IF(AND(Tasks[[#This Row],[_IsLeaf]]=1,N(Tasks[[#This Row],[Actual Start]])=0,Tasks[[#This Row],[_ShownFcstStart]]&gt;=StatusDate,Tasks[[#This Row],[_ShownFcstStart]]&lt;=LookaheadEnd),Tasks[[#This Row],[_ShownFcstStart]]+Tasks[[#This Row],[_Row]]/100000,"")</f>
        <v/>
      </c>
      <c r="GN96" s="43" t="str">
        <f aca="false">IF(AND(Tasks[[#This Row],[_IsLeaf]]=1,Tasks[[#This Row],[_LeafProgress]]&lt;1,Tasks[[#This Row],[_ShownFcstFinish]]&gt;=StatusDate,Tasks[[#This Row],[_ShownFcstFinish]]&lt;=LookaheadEnd),Tasks[[#This Row],[_ShownFcstFinish]]+Tasks[[#This Row],[_Row]]/100000,"")</f>
        <v/>
      </c>
      <c r="GO96" s="43" t="str">
        <f aca="false">IF(Tasks[[#This Row],[_LeafCritical]],Tasks[[#This Row],[_ShownFcstStart]]+Tasks[[#This Row],[_Row]]/100000,"")</f>
        <v/>
      </c>
      <c r="GP96" s="43" t="n">
        <f aca="false">Tasks[[#This Row],[_LeafWork]]*Tasks[[#This Row],[_LeafProgress]]</f>
        <v>0</v>
      </c>
      <c r="GQ96" s="91" t="str">
        <f aca="false">IF(AND(Tasks[[#This Row],[_IsLeaf]]=1,Tasks[[#This Row],[_LeafProgress]]&gt;=1),IF(N(Tasks[[#This Row],[Actual Finish]])&gt;0,Tasks[[#This Row],[Actual Finish]],Tasks[[#This Row],[_ShownFcstFinish]]),"")</f>
        <v/>
      </c>
      <c r="GR96" s="43" t="n">
        <f aca="false">IF(Tasks[[#This Row],[_IsLeaf]]=1,N(Tasks[[#This Row],[Story Points]]),0)</f>
        <v>0</v>
      </c>
      <c r="GS96" s="43" t="str">
        <f aca="false">""</f>
        <v/>
      </c>
      <c r="GT96" s="90" t="b">
        <f aca="false">IF(Tasks[[#This Row],[Task Name]]="",FALSE(),AND(Tasks[[#This Row],[_IsLeaf]]=1,N(Tasks[[#This Row],[_Days]])=0))</f>
        <v>0</v>
      </c>
      <c r="GU96" s="91" t="n">
        <f aca="false">IF(Tasks[[#This Row],[Task Name]]="",0,IF(AND(Tasks[[#This Row],[_IsLeaf]]=1,NOT(Tasks[[#This Row],[_IsMilestone]]),N(Tasks[[#This Row],[Progress]])&gt;0),Tasks[[#This Row],[Start]],0))</f>
        <v>0</v>
      </c>
      <c r="GV96" s="91" t="n">
        <f aca="false">IF(Tasks[[#This Row],[_DoneFrom]]=0,0,IF(Tasks[[#This Row],[Progress]]&gt;=1,Tasks[[#This Row],[Finish]],MAX(Tasks[[#This Row],[_DoneFrom]],Tasks[[#This Row],[Start]]+ROUND((Tasks[[#This Row],[Finish]]-Tasks[[#This Row],[Start]]+1)*Tasks[[#This Row],[Progress]],0)-1)))</f>
        <v>0</v>
      </c>
      <c r="GW96" s="91" t="n">
        <f aca="false">IF(Tasks[[#This Row],[Task Name]]="",0,IF(OR(NOT(Tasks[[#This Row],[_IsLeaf]]=1),Tasks[[#This Row],[_IsMilestone]],N(Tasks[[#This Row],[Progress]])&gt;=1),0,IF(Tasks[[#This Row],[_DoneTo]]&gt;0,Tasks[[#This Row],[_DoneTo]]+1,Tasks[[#This Row],[Start]])))</f>
        <v>0</v>
      </c>
      <c r="GX96" s="91" t="n">
        <f aca="false">IF(Tasks[[#This Row],[_RemFrom]]=0,0,Tasks[[#This Row],[Finish]])</f>
        <v>0</v>
      </c>
      <c r="GY96" s="90" t="b">
        <f aca="false">IF(Tasks[[#This Row],[Task Name]]="",FALSE(),OR(NOT(BaselineSet),N(Tasks[[#This Row],[Baseline Start]])&gt;0))</f>
        <v>0</v>
      </c>
      <c r="GZ9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6" s="92" t="str">
        <f aca="false">IF(Tasks[[#This Row],[_IsLeaf]]=1,Tasks[[#This Row],[_Row]],"")</f>
        <v/>
      </c>
      <c r="HD96" s="92" t="str">
        <f aca="false">IFERROR(INDEX(Tasks[UID],SMALL(Tasks[_PickKey],Tasks[[#This Row],[_Row]]))&amp;" "&amp;INDEX(Tasks[Task Name],SMALL(Tasks[_PickKey],Tasks[[#This Row],[_Row]])),"")</f>
        <v/>
      </c>
      <c r="HE96" s="43" t="str">
        <f aca="false">IF(Tasks[[#This Row],[Task Name]]="","",IF(Tasks[[#This Row],[_IsSummary]],NETWORKDAYS.INTL(Tasks[[#This Row],[Start]],Tasks[[#This Row],[Finish]],WorkWeek,Holidays),N(Tasks[[#This Row],[_Days]])))</f>
        <v/>
      </c>
      <c r="HF96" s="43" t="n">
        <f aca="false">IF(Tasks[[#This Row],[Expected]]="",0,((Tasks[[#This Row],[Pessimistic]]-Tasks[[#This Row],[Optimistic]])/6)^2)</f>
        <v>0</v>
      </c>
      <c r="HG96" s="43" t="n">
        <f aca="false">IF(Tasks[[#This Row],[Expected]]="",0,Tasks[[#This Row],[Expected]]-N(Tasks[[#This Row],[_Days]]))</f>
        <v>0</v>
      </c>
    </row>
    <row r="97" customFormat="false" ht="15" hidden="false" customHeight="false" outlineLevel="0" collapsed="false">
      <c r="A97" s="21" t="str">
        <f aca="false">IF(Tasks[[#This Row],[Task Name]]="","",COUNTA(Tasks[[#Headers],[Task Name]]:Tasks[[#This Row],[Task Name]])-1)</f>
        <v/>
      </c>
      <c r="B97" s="22" t="n">
        <v>105</v>
      </c>
      <c r="C97" s="22"/>
      <c r="D97" s="23"/>
      <c r="E97" s="22"/>
      <c r="F97" s="23"/>
      <c r="G97" s="22"/>
      <c r="H97" s="22"/>
      <c r="I97" s="23"/>
      <c r="J97" s="22"/>
      <c r="K97" s="22"/>
      <c r="L97" s="23"/>
      <c r="M97" s="22"/>
      <c r="N97" s="22"/>
      <c r="O97" s="23"/>
      <c r="P97" s="22"/>
      <c r="Q97" s="22"/>
      <c r="R97" s="23"/>
      <c r="S97" s="23"/>
      <c r="T97" s="84"/>
      <c r="U97" s="23"/>
      <c r="V97" s="84"/>
      <c r="W97" s="23"/>
      <c r="X97" s="84"/>
      <c r="Y97" s="23"/>
      <c r="Z97" s="84"/>
      <c r="AA97" s="23"/>
      <c r="AB97" s="23"/>
      <c r="AC97" s="7"/>
      <c r="AD97" s="7"/>
      <c r="AE97" s="63" t="str">
        <f aca="false">IF(Tasks[[#This Row],[Task Name]]="","",IF(Tasks[[#This Row],[_IsSummary]],MIN(INDEX(Tasks[_ShownFcstStart],Tasks[[#This Row],[_Row]]+1):INDEX(Tasks[_ShownFcstStart],Tasks[[#This Row],[_Row]]+Tasks[[#This Row],[_Descendants]])),Tasks[[#This Row],[_ShownFcstStart]]))</f>
        <v/>
      </c>
      <c r="AF97" s="63" t="str">
        <f aca="false">IF(Tasks[[#This Row],[Task Name]]="","",IF(Tasks[[#This Row],[_IsSummary]],MAX(INDEX(Tasks[_ShownFcstFinish],Tasks[[#This Row],[_Row]]+1):INDEX(Tasks[_ShownFcstFinish],Tasks[[#This Row],[_Row]]+Tasks[[#This Row],[_Descendants]])),Tasks[[#This Row],[_ShownFcstFinish]]))</f>
        <v/>
      </c>
      <c r="AG97" s="21" t="str">
        <f aca="false">""</f>
        <v/>
      </c>
      <c r="AH97" s="23"/>
      <c r="AI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7" s="7"/>
      <c r="AK97" s="22"/>
      <c r="AL97" s="23"/>
      <c r="AM97" s="7"/>
      <c r="AN97" s="47" t="str">
        <f aca="false">IF(Tasks[[#This Row],[Task Name]]="","",IF(Tasks[[#This Row],[Finish]]&gt;=Tasks[[#This Row],[Planned Finish]],NETWORKDAYS.INTL(Tasks[[#This Row],[Planned Finish]],Tasks[[#This Row],[Finish]],WorkWeek,Holidays)-1,1-NETWORKDAYS.INTL(Tasks[[#This Row],[Finish]],Tasks[[#This Row],[Planned Finish]],WorkWeek,Holidays)))</f>
        <v/>
      </c>
      <c r="AO97" s="21" t="str">
        <f aca="false">IF(Tasks[[#This Row],[Task Name]]="","",IF(Tasks[[#This Row],[Progress]]&gt;=1,"Complete",IF(OR(N(Tasks[[#This Row],[Actual Start]])&gt;0,Tasks[[#This Row],[Progress]]&gt;0),IF(Tasks[[#This Row],[Finish Var]]&gt;0,"Behind","In Progress"),IF(Tasks[[#This Row],[Planned Start]]&lt;StatusDate,"Late Start","Not Started"))))</f>
        <v/>
      </c>
      <c r="AP97" s="21" t="str">
        <f aca="false">IF(Tasks[[#This Row],[Task Name]]="","",IF(IF(Tasks[[#This Row],[_IsSummary]],COUNTIF(INDEX(Tasks[_LeafCritical],Tasks[[#This Row],[_Row]]+1):INDEX(Tasks[_LeafCritical],Tasks[[#This Row],[_Row]]+Tasks[[#This Row],[_Descendants]]),TRUE())&gt;0,Tasks[[#This Row],[_LeafCritical]]),"Yes",""))</f>
        <v/>
      </c>
      <c r="AQ97" s="63" t="str">
        <f aca="false">IF(Tasks[[#This Row],[Task Name]]="","",IF(N(Tasks[[#This Row],[Baseline Start]])&gt;0,Tasks[[#This Row],[Baseline Start]],Tasks[[#This Row],[_CalcStart]]))</f>
        <v/>
      </c>
      <c r="AR97" s="63" t="str">
        <f aca="false">IF(Tasks[[#This Row],[Task Name]]="","",IF(N(Tasks[[#This Row],[Baseline Finish]])&gt;0,Tasks[[#This Row],[Baseline Finish]],Tasks[[#This Row],[_CalcFinish]]))</f>
        <v/>
      </c>
      <c r="AS97" s="47" t="str">
        <f aca="false">IF(Tasks[[#This Row],[Task Name]]="","",IF(Tasks[[#This Row],[Start]]&gt;=Tasks[[#This Row],[Planned Start]],NETWORKDAYS.INTL(Tasks[[#This Row],[Planned Start]],Tasks[[#This Row],[Start]],WorkWeek,Holidays)-1,1-NETWORKDAYS.INTL(Tasks[[#This Row],[Start]],Tasks[[#This Row],[Planned Start]],WorkWeek,Holidays)))</f>
        <v/>
      </c>
      <c r="AT97" s="63" t="str">
        <f aca="false">IF(Tasks[[#This Row],[Task Name]]="","",IF(Tasks[[#This Row],[_IsSummary]],MIN(INDEX(Tasks[_LeafLateStart],Tasks[[#This Row],[_Row]]+1):INDEX(Tasks[_LeafLateStart],Tasks[[#This Row],[_Row]]+Tasks[[#This Row],[_Descendants]])),Tasks[[#This Row],[_LeafLateStart]]))</f>
        <v/>
      </c>
      <c r="AU97" s="63" t="str">
        <f aca="false">IF(Tasks[[#This Row],[Task Name]]="","",IF(Tasks[[#This Row],[_IsSummary]],MAX(INDEX(Tasks[_LeafLateFinish],Tasks[[#This Row],[_Row]]+1):INDEX(Tasks[_LeafLateFinish],Tasks[[#This Row],[_Row]]+Tasks[[#This Row],[_Descendants]])),Tasks[[#This Row],[_LeafLateFinish]]))</f>
        <v/>
      </c>
      <c r="AV97" s="47" t="str">
        <f aca="false">IF(Tasks[[#This Row],[Task Name]]="","",IF(Tasks[[#This Row],[_IsSummary]],MIN(INDEX(Tasks[_LeafTotalSlack],Tasks[[#This Row],[_Row]]+1):INDEX(Tasks[_LeafTotalSlack],Tasks[[#This Row],[_Row]]+Tasks[[#This Row],[_Descendants]])),Tasks[[#This Row],[_LeafTotalSlack]]))</f>
        <v/>
      </c>
      <c r="AW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5"/>
      <c r="BA9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t="str">
        <f aca="false">IF(Tasks[[#This Row],[Task Name]]="","",IF(Tasks[[#This Row],[_Level]]&lt;=OutlineShowLevel,"Yes","No"))</f>
        <v/>
      </c>
      <c r="BE97" s="86" t="str">
        <f aca="false">IF(Tasks[[#This Row],[Task Name]]="","",IF(Tasks[[#This Row],[_IsSummary]],SUM(INDEX(Tasks[_LeafTotalWork],Tasks[[#This Row],[_Row]]+1):INDEX(Tasks[_LeafTotalWork],Tasks[[#This Row],[_Row]]+Tasks[[#This Row],[_Descendants]])),Tasks[[#This Row],[_LeafTotalWork]]))</f>
        <v/>
      </c>
      <c r="BF97" s="23"/>
      <c r="BG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t="str">
        <f aca="false">""</f>
        <v/>
      </c>
      <c r="BI97" s="87"/>
      <c r="BJ97" s="22"/>
      <c r="BK97" s="47" t="str">
        <f aca="false">IF(OR(Tasks[[#This Row],[Task Name]]="",Tasks[[#This Row],[Baseline Duration]]=""),"",Tasks[[#This Row],[_SpanDays]]-N(Tasks[[#This Row],[Baseline Duration]]))</f>
        <v/>
      </c>
      <c r="BL97" s="86" t="str">
        <f aca="false">IF(OR(Tasks[[#This Row],[Task Name]]="",Tasks[[#This Row],[Baseline Work]]=""),"",Tasks[[#This Row],[Work]]-N(Tasks[[#This Row],[Baseline Work]]))</f>
        <v/>
      </c>
      <c r="BM97" s="63" t="str">
        <f aca="false">IF(Tasks[[#This Row],[Task Name]]="","",IF(OR(TakeBaseline="Yes",N(Tasks[[#This Row],[Baseline Start]])=0),Tasks[[#This Row],[Start]],Tasks[[#This Row],[Baseline Start]]))</f>
        <v/>
      </c>
      <c r="BN97" s="63" t="str">
        <f aca="false">IF(Tasks[[#This Row],[Task Name]]="","",IF(OR(TakeBaseline="Yes",N(Tasks[[#This Row],[Baseline Finish]])=0),Tasks[[#This Row],[Finish]],Tasks[[#This Row],[Baseline Finish]]))</f>
        <v/>
      </c>
      <c r="BO97" s="21" t="str">
        <f aca="false">IF(Tasks[[#This Row],[Task Name]]="","",IF(OR(TakeBaseline="Yes",N(Tasks[[#This Row],[Baseline Duration]])=0),Tasks[[#This Row],[_SpanDays]],Tasks[[#This Row],[Baseline Duration]]))</f>
        <v/>
      </c>
      <c r="BP97" s="86" t="str">
        <f aca="false">IF(Tasks[[#This Row],[Task Name]]="","",IF(OR(TakeBaseline="Yes",N(Tasks[[#This Row],[Baseline Work]])=0),Tasks[[#This Row],[Work]],Tasks[[#This Row],[Baseline Work]]))</f>
        <v/>
      </c>
      <c r="BQ97" s="7"/>
      <c r="BR97" s="7"/>
      <c r="BS97" s="22"/>
      <c r="BT97" s="88"/>
      <c r="BU97" s="23"/>
      <c r="BV97" s="23"/>
      <c r="BW97" s="23"/>
      <c r="BX97" s="89" t="str">
        <f aca="false">IF(AND(Tasks[[#This Row],[_IsLeaf]]=1,ISNUMBER(Tasks[[#This Row],[Optimistic]]),ISNUMBER(Tasks[[#This Row],[Pessimistic]])),ROUND((Tasks[[#This Row],[Optimistic]]+4*N(Tasks[[#This Row],[_Days]])+Tasks[[#This Row],[Pessimistic]])/6,1),"")</f>
        <v/>
      </c>
      <c r="BY97" s="87"/>
      <c r="BZ97" s="87"/>
      <c r="CA97" s="22"/>
      <c r="CB97" s="43" t="str">
        <f aca="false">IF(Tasks[[#This Row],[Task Name]]="","",MAX(1,N(Tasks[[#This Row],[Level]])))</f>
        <v/>
      </c>
      <c r="CC97" s="43" t="n">
        <f aca="false">ROW()-ROW(Tasks[[#Headers],[ID]])</f>
        <v>92</v>
      </c>
      <c r="CD97" s="43" t="n">
        <f aca="false">IF(OR(Tasks[[#This Row],[Task Name]]="",Tasks[[#This Row],[_Level]]&lt;=1),0,IFERROR(LOOKUP(2,1/(Tasks[[#Headers],[_Level]]:Tasks[[#This Row],[_Level]]=Tasks[[#This Row],[_Level]]-1),ROW(Tasks[[#Headers],[_Level]]:Tasks[[#This Row],[_Level]])),0))</f>
        <v>0</v>
      </c>
      <c r="CE97" s="43" t="n">
        <f aca="false">IFERROR(N(INDEX(Tasks[_Level],Tasks[[#This Row],[_Row]]+1)),0)</f>
        <v>0</v>
      </c>
      <c r="CF97" s="90" t="b">
        <f aca="false">AND(Tasks[[#This Row],[Task Name]]&lt;&gt;"",Tasks[[#This Row],[_NextLevel]]&gt;Tasks[[#This Row],[_Level]])</f>
        <v>0</v>
      </c>
      <c r="CG97" s="43" t="n">
        <f aca="false">IF(Tasks[[#This Row],[_IsSummary]],COUNTIF(Tasks[WBS],Tasks[[#This Row],[WBS]]&amp;".*"),0)</f>
        <v>0</v>
      </c>
      <c r="CH97" s="43" t="n">
        <f aca="false">IF(AND(Tasks[[#This Row],[Task Name]]&lt;&gt;"",NOT(Tasks[[#This Row],[_IsSummary]])),1,0)</f>
        <v>0</v>
      </c>
      <c r="CI97" s="43" t="n">
        <f aca="false">IF(N(Tasks[[#This Row],[_Pred1UID]])=0,0,IFERROR(MATCH(Tasks[[#This Row],[_Pred1UID]],Tasks[UID],0),-1))</f>
        <v>0</v>
      </c>
      <c r="CJ97" s="43" t="n">
        <f aca="false">IF(N(Tasks[[#This Row],[_Pred2UID]])=0,0,IFERROR(MATCH(Tasks[[#This Row],[_Pred2UID]],Tasks[UID],0),-1))</f>
        <v>0</v>
      </c>
      <c r="CK97" s="43" t="n">
        <f aca="false">IF(N(Tasks[[#This Row],[_Pred3UID]])=0,0,IFERROR(MATCH(Tasks[[#This Row],[_Pred3UID]],Tasks[UID],0),-1))</f>
        <v>0</v>
      </c>
      <c r="CL97" s="43" t="n">
        <f aca="false">IF(N(Tasks[[#This Row],[_Pred4UID]])=0,0,IFERROR(MATCH(Tasks[[#This Row],[_Pred4UID]],Tasks[UID],0),-1))</f>
        <v>0</v>
      </c>
      <c r="CM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7" s="91" t="n">
        <f aca="false">IF(OR(Tasks[[#This Row],[_ConstraintCode]]=2,Tasks[[#This Row],[_ConstraintCode]]=3,Tasks[[#This Row],[_ConstraintCode]]=4,Tasks[[#This Row],[_ConstraintCode]]=6),Tasks[[#This Row],[_ConstraintStart]],0)</f>
        <v>0</v>
      </c>
      <c r="CP97" s="91" t="n">
        <f aca="false">IF(OR(Tasks[[#This Row],[_ConstraintCode]]=2,Tasks[[#This Row],[_ConstraintCode]]=3,Tasks[[#This Row],[_ConstraintCode]]=5,Tasks[[#This Row],[_ConstraintCode]]=7),Tasks[[#This Row],[_ConstraintStart]],2958465)</f>
        <v>2958465</v>
      </c>
      <c r="CQ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7" s="91" t="str">
        <f aca="false">IF(NOT(Tasks[[#This Row],[_IsLeaf]]=1),"",IF(N(Tasks[[#This Row],[_Days]])&lt;=0,Tasks[[#This Row],[_LeafCalcStart]],WORKDAY.INTL(Tasks[[#This Row],[_LeafCalcStart]],Tasks[[#This Row],[_Days]]-1,WorkWeek,Holidays)))</f>
        <v/>
      </c>
      <c r="CS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7" s="43" t="str">
        <f aca="false">IF(Tasks[[#This Row],[_Predecessors]]="","",TRIM(MID(SUBSTITUTE(SUBSTITUTE(SUBSTITUTE(UPPER(Tasks[[#This Row],[_Predecessors]]),";",",")," ",""),",",REPT(" ",99)),1,99)))</f>
        <v/>
      </c>
      <c r="CV97" s="43" t="str">
        <f aca="false">IF(Tasks[[#This Row],[_Pred1Text]]="","",IFERROR(VALUE(LEFT(Tasks[[#This Row],[_Pred1Text]],MIN(FIND("F",Tasks[[#This Row],[_Pred1Text]]&amp;"F"),FIND("S",Tasks[[#This Row],[_Pred1Text]]&amp;"S"),FIND("+",Tasks[[#This Row],[_Pred1Text]]&amp;"+"),FIND("-",Tasks[[#This Row],[_Pred1Text]]&amp;"-"))-1)),""))</f>
        <v/>
      </c>
      <c r="CW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7" s="43" t="str">
        <f aca="false">IF(Tasks[[#This Row],[_Pred1Text]]="","",TRIM(MID(SUBSTITUTE(SUBSTITUTE(SUBSTITUTE(UPPER(Tasks[[#This Row],[_Predecessors]]),";",",")," ",""),",",REPT(" ",99)),100,99)))</f>
        <v/>
      </c>
      <c r="CZ97" s="43" t="str">
        <f aca="false">IF(Tasks[[#This Row],[_Pred2Text]]="","",IFERROR(VALUE(LEFT(Tasks[[#This Row],[_Pred2Text]],MIN(FIND("F",Tasks[[#This Row],[_Pred2Text]]&amp;"F"),FIND("S",Tasks[[#This Row],[_Pred2Text]]&amp;"S"),FIND("+",Tasks[[#This Row],[_Pred2Text]]&amp;"+"),FIND("-",Tasks[[#This Row],[_Pred2Text]]&amp;"-"))-1)),""))</f>
        <v/>
      </c>
      <c r="DA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7" s="43" t="str">
        <f aca="false">IF(Tasks[[#This Row],[_Pred2Text]]="","",TRIM(MID(SUBSTITUTE(SUBSTITUTE(SUBSTITUTE(UPPER(Tasks[[#This Row],[_Predecessors]]),";",",")," ",""),",",REPT(" ",99)),199,99)))</f>
        <v/>
      </c>
      <c r="DD97" s="43" t="str">
        <f aca="false">IF(Tasks[[#This Row],[_Pred3Text]]="","",IFERROR(VALUE(LEFT(Tasks[[#This Row],[_Pred3Text]],MIN(FIND("F",Tasks[[#This Row],[_Pred3Text]]&amp;"F"),FIND("S",Tasks[[#This Row],[_Pred3Text]]&amp;"S"),FIND("+",Tasks[[#This Row],[_Pred3Text]]&amp;"+"),FIND("-",Tasks[[#This Row],[_Pred3Text]]&amp;"-"))-1)),""))</f>
        <v/>
      </c>
      <c r="DE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7" s="43" t="str">
        <f aca="false">IF(Tasks[[#This Row],[_Pred3Text]]="","",TRIM(MID(SUBSTITUTE(SUBSTITUTE(SUBSTITUTE(UPPER(Tasks[[#This Row],[_Predecessors]]),";",",")," ",""),",",REPT(" ",99)),298,99)))</f>
        <v/>
      </c>
      <c r="DH97" s="43" t="str">
        <f aca="false">IF(Tasks[[#This Row],[_Pred4Text]]="","",IFERROR(VALUE(LEFT(Tasks[[#This Row],[_Pred4Text]],MIN(FIND("F",Tasks[[#This Row],[_Pred4Text]]&amp;"F"),FIND("S",Tasks[[#This Row],[_Pred4Text]]&amp;"S"),FIND("+",Tasks[[#This Row],[_Pred4Text]]&amp;"+"),FIND("-",Tasks[[#This Row],[_Pred4Text]]&amp;"-"))-1)),""))</f>
        <v/>
      </c>
      <c r="DI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7" s="43" t="str">
        <f aca="false">IF(OR(Tasks[[#This Row],[Task Name]]="",Tasks[[#This Row],[_Resources]]=""),"",TRIM(MID(SUBSTITUTE(Tasks[[#This Row],[_Resources]],",",REPT(" ",99)),1,99)))</f>
        <v/>
      </c>
      <c r="DL97" s="43" t="str">
        <f aca="false">IF(Tasks[[#This Row],[_Res1Text]]="","",TRIM(MID(SUBSTITUTE(Tasks[[#This Row],[_Resources]],",",REPT(" ",99)),100,99)))</f>
        <v/>
      </c>
      <c r="DM97" s="43" t="str">
        <f aca="false">IF(Tasks[[#This Row],[_Res2Text]]="","",TRIM(MID(SUBSTITUTE(Tasks[[#This Row],[_Resources]],",",REPT(" ",99)),199,99)))</f>
        <v/>
      </c>
      <c r="DN97" s="43" t="str">
        <f aca="false">IF(Tasks[[#This Row],[_Res3Text]]="","",TRIM(MID(SUBSTITUTE(Tasks[[#This Row],[_Resources]],",",REPT(" ",99)),298,99)))</f>
        <v/>
      </c>
      <c r="DO97" s="43" t="n">
        <f aca="false">IF(Tasks[[#This Row],[_Res1Text]]="",0,IFERROR(MATCH(TRIM(LEFT(Tasks[[#This Row],[_Res1Text]],FIND("[",Tasks[[#This Row],[_Res1Text]]&amp;"[")-1)),res_Name,0),IFERROR(MATCH(TRIM(LEFT(Tasks[[#This Row],[_Res1Text]],FIND("[",Tasks[[#This Row],[_Res1Text]]&amp;"[")-1)),res_Initials,0),0)))</f>
        <v>0</v>
      </c>
      <c r="DP97" s="43" t="n">
        <f aca="false">IF(Tasks[[#This Row],[_Res2Text]]="",0,IFERROR(MATCH(TRIM(LEFT(Tasks[[#This Row],[_Res2Text]],FIND("[",Tasks[[#This Row],[_Res2Text]]&amp;"[")-1)),res_Name,0),IFERROR(MATCH(TRIM(LEFT(Tasks[[#This Row],[_Res2Text]],FIND("[",Tasks[[#This Row],[_Res2Text]]&amp;"[")-1)),res_Initials,0),0)))</f>
        <v>0</v>
      </c>
      <c r="DQ97" s="43" t="n">
        <f aca="false">IF(Tasks[[#This Row],[_Res3Text]]="",0,IFERROR(MATCH(TRIM(LEFT(Tasks[[#This Row],[_Res3Text]],FIND("[",Tasks[[#This Row],[_Res3Text]]&amp;"[")-1)),res_Name,0),IFERROR(MATCH(TRIM(LEFT(Tasks[[#This Row],[_Res3Text]],FIND("[",Tasks[[#This Row],[_Res3Text]]&amp;"[")-1)),res_Initials,0),0)))</f>
        <v>0</v>
      </c>
      <c r="DR97" s="43" t="n">
        <f aca="false">IF(Tasks[[#This Row],[_Res4Text]]="",0,IFERROR(MATCH(TRIM(LEFT(Tasks[[#This Row],[_Res4Text]],FIND("[",Tasks[[#This Row],[_Res4Text]]&amp;"[")-1)),res_Name,0),IFERROR(MATCH(TRIM(LEFT(Tasks[[#This Row],[_Res4Text]],FIND("[",Tasks[[#This Row],[_Res4Text]]&amp;"[")-1)),res_Initials,0),0)))</f>
        <v>0</v>
      </c>
      <c r="DS97" s="43" t="str">
        <f aca="false">IF(Tasks[[#This Row],[_Res1Text]]="","",IF(Tasks[[#This Row],[_Res1Row]]&gt;0,INDEX(res_Name,Tasks[[#This Row],[_Res1Row]]),TRIM(LEFT(Tasks[[#This Row],[_Res1Text]],FIND("[",Tasks[[#This Row],[_Res1Text]]&amp;"[")-1))))</f>
        <v/>
      </c>
      <c r="DT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7" s="43" t="n">
        <f aca="false">IF(NOT(Tasks[[#This Row],[_IsLeaf]]=1),0,(Tasks[[#This Row],[_Resource1]]&lt;&gt;"")+(Tasks[[#This Row],[_Res2]]&lt;&gt;"")+(Tasks[[#This Row],[_Res3]]&lt;&gt;"")+(Tasks[[#This Row],[_Res4]]&lt;&gt;""))</f>
        <v>0</v>
      </c>
      <c r="DV97" s="43" t="str">
        <f aca="false">IF(Tasks[[#This Row],[_Res2Text]]="","",IF(Tasks[[#This Row],[_Res2Row]]&gt;0,INDEX(res_Name,Tasks[[#This Row],[_Res2Row]]),TRIM(LEFT(Tasks[[#This Row],[_Res2Text]],FIND("[",Tasks[[#This Row],[_Res2Text]]&amp;"[")-1))))</f>
        <v/>
      </c>
      <c r="DW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7" s="43" t="n">
        <f aca="false">IF(OR(NOT(Tasks[[#This Row],[_IsLeaf]]=1),Tasks[[#This Row],[_Res2Row]]=0),0,N(Tasks[[#This Row],[_Days]])*HoursPerDay*IF(Tasks[[#This Row],[_Res2Units]]="",DefaultUnits,Tasks[[#This Row],[_Res2Units]]))</f>
        <v>0</v>
      </c>
      <c r="DY97" s="43" t="n">
        <f aca="false">IF(AND(AND(Tasks[[#This Row],[_IsLeaf]]=1,Tasks[[#This Row],[_LeafTotalWork]]&gt;0),Tasks[[#This Row],[_Res2Work]]&gt;0),Tasks[[#This Row],[_Res2Work]]/(Tasks[[#This Row],[_FinishWorkday]]-Tasks[[#This Row],[_StartWorkday]]+1),0)</f>
        <v>0</v>
      </c>
      <c r="DZ97" s="43" t="n">
        <f aca="false">Tasks[[#This Row],[_Res2WorkPerWD]]*MAX(0,Tasks[[#This Row],[_StartWorkday]]-1)</f>
        <v>0</v>
      </c>
      <c r="EA97" s="43" t="n">
        <f aca="false">Tasks[[#This Row],[_Res2Work]]*Tasks[[#This Row],[_LeafProgress]]</f>
        <v>0</v>
      </c>
      <c r="EB97" s="43" t="str">
        <f aca="false">IF(Tasks[[#This Row],[_Res3Text]]="","",IF(Tasks[[#This Row],[_Res3Row]]&gt;0,INDEX(res_Name,Tasks[[#This Row],[_Res3Row]]),TRIM(LEFT(Tasks[[#This Row],[_Res3Text]],FIND("[",Tasks[[#This Row],[_Res3Text]]&amp;"[")-1))))</f>
        <v/>
      </c>
      <c r="EC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7" s="43" t="n">
        <f aca="false">IF(OR(NOT(Tasks[[#This Row],[_IsLeaf]]=1),Tasks[[#This Row],[_Res3Row]]=0),0,N(Tasks[[#This Row],[_Days]])*HoursPerDay*IF(Tasks[[#This Row],[_Res3Units]]="",DefaultUnits,Tasks[[#This Row],[_Res3Units]]))</f>
        <v>0</v>
      </c>
      <c r="EE97" s="43" t="n">
        <f aca="false">IF(AND(AND(Tasks[[#This Row],[_IsLeaf]]=1,Tasks[[#This Row],[_LeafTotalWork]]&gt;0),Tasks[[#This Row],[_Res3Work]]&gt;0),Tasks[[#This Row],[_Res3Work]]/(Tasks[[#This Row],[_FinishWorkday]]-Tasks[[#This Row],[_StartWorkday]]+1),0)</f>
        <v>0</v>
      </c>
      <c r="EF97" s="43" t="n">
        <f aca="false">Tasks[[#This Row],[_Res3WorkPerWD]]*MAX(0,Tasks[[#This Row],[_StartWorkday]]-1)</f>
        <v>0</v>
      </c>
      <c r="EG97" s="43" t="n">
        <f aca="false">Tasks[[#This Row],[_Res3Work]]*Tasks[[#This Row],[_LeafProgress]]</f>
        <v>0</v>
      </c>
      <c r="EH97" s="43" t="str">
        <f aca="false">IF(Tasks[[#This Row],[_Res4Text]]="","",IF(Tasks[[#This Row],[_Res4Row]]&gt;0,INDEX(res_Name,Tasks[[#This Row],[_Res4Row]]),TRIM(LEFT(Tasks[[#This Row],[_Res4Text]],FIND("[",Tasks[[#This Row],[_Res4Text]]&amp;"[")-1))))</f>
        <v/>
      </c>
      <c r="EI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7" s="43" t="n">
        <f aca="false">IF(OR(NOT(Tasks[[#This Row],[_IsLeaf]]=1),Tasks[[#This Row],[_Res4Row]]=0),0,N(Tasks[[#This Row],[_Days]])*HoursPerDay*IF(Tasks[[#This Row],[_Res4Units]]="",DefaultUnits,Tasks[[#This Row],[_Res4Units]]))</f>
        <v>0</v>
      </c>
      <c r="EK97" s="43" t="n">
        <f aca="false">IF(AND(AND(Tasks[[#This Row],[_IsLeaf]]=1,Tasks[[#This Row],[_LeafTotalWork]]&gt;0),Tasks[[#This Row],[_Res4Work]]&gt;0),Tasks[[#This Row],[_Res4Work]]/(Tasks[[#This Row],[_FinishWorkday]]-Tasks[[#This Row],[_StartWorkday]]+1),0)</f>
        <v>0</v>
      </c>
      <c r="EL97" s="43" t="n">
        <f aca="false">Tasks[[#This Row],[_Res4WorkPerWD]]*MAX(0,Tasks[[#This Row],[_StartWorkday]]-1)</f>
        <v>0</v>
      </c>
      <c r="EM97" s="43" t="n">
        <f aca="false">Tasks[[#This Row],[_Res4Work]]*Tasks[[#This Row],[_LeafProgress]]</f>
        <v>0</v>
      </c>
      <c r="EN97" s="43" t="n">
        <f aca="false">IF(ISNUMBER(Tasks[[#This Row],[% Complete]]),Tasks[[#This Row],[% Complete]],IF(Tasks[[#This Row],[Stage]]="",0,IFERROR(INDEX(stg_Pct,MATCH(Tasks[[#This Row],[Stage]],stg_Name,0)),0)))</f>
        <v>0</v>
      </c>
      <c r="EO97" s="43" t="n">
        <f aca="false">IF(NOT(Tasks[[#This Row],[_IsLeaf]]=1),0,IF(N(Tasks[[#This Row],[Actual Finish]])&gt;0,1,MIN(1,Tasks[[#This Row],[_Pct]])))</f>
        <v>0</v>
      </c>
      <c r="EP97" s="43" t="n">
        <f aca="false">IF(OR(NOT(Tasks[[#This Row],[_IsLeaf]]=1),Tasks[[#This Row],[_Res1Row]]=0),0,N(Tasks[[#This Row],[_Days]])*HoursPerDay*IF(Tasks[[#This Row],[_Units1]]="",DefaultUnits,Tasks[[#This Row],[_Units1]]))</f>
        <v>0</v>
      </c>
      <c r="EQ97" s="43" t="n">
        <f aca="false">Tasks[[#This Row],[_LeafWork]]+Tasks[[#This Row],[_Res2Work]]+Tasks[[#This Row],[_Res3Work]]+Tasks[[#This Row],[_Res4Work]]</f>
        <v>0</v>
      </c>
      <c r="ER9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7" s="43" t="n">
        <f aca="false">IF(NOT(Tasks[[#This Row],[_IsLeaf]]=1),0,MAX(_xlfn.MAXIFS(Tasks[_Row],Tasks[_Pred1UID],Tasks[[#This Row],[UID]]),_xlfn.MAXIFS(Tasks[_Row],Tasks[_Pred2UID],Tasks[[#This Row],[UID]]),_xlfn.MAXIFS(Tasks[_Row],Tasks[_Pred3UID],Tasks[[#This Row],[UID]]),_xlfn.MAXIFS(Tasks[_Row],Tasks[_Pred4UID],Tasks[[#This Row],[UID]])))</f>
        <v>0</v>
      </c>
      <c r="FA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7" s="91" t="str">
        <f aca="false">IF(NOT(Tasks[[#This Row],[_IsLeaf]]=1),"",IF(N(Tasks[[#This Row],[_Days]])&lt;=0,Tasks[[#This Row],[_LeafLateFinish]],WORKDAY.INTL(Tasks[[#This Row],[_LeafLateFinish]],-(Tasks[[#This Row],[_Days]]-1),WorkWeek,Holidays)))</f>
        <v/>
      </c>
      <c r="FD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7" s="90" t="b">
        <f aca="false">AND(Tasks[[#This Row],[_IsLeaf]]=1,Tasks[[#This Row],[_LeafProgress]]&lt;1,N(Tasks[[#This Row],[_LeafTotalSlack]])&lt;=CriticalSlackDays)</f>
        <v>0</v>
      </c>
      <c r="FF97" s="43" t="n">
        <f aca="false">IF(AND(Tasks[[#This Row],[_IsLeaf]]=1,Tasks[[#This Row],[_ConstraintCode]]=1,Tasks[[#This Row],[Mode]]&lt;&gt;"Manual",N(Tasks[[#This Row],[Actual Start]])=0),MAX(0,N(Tasks[[#This Row],[Free Slack]])),0)</f>
        <v>0</v>
      </c>
      <c r="FG97" s="91" t="str">
        <f aca="false">IF(NOT(Tasks[[#This Row],[_IsLeaf]]=1),"",IF(Tasks[[#This Row],[_AlapShift]]=0,Tasks[[#This Row],[_LeafCalcStart]],WORKDAY.INTL(Tasks[[#This Row],[_LeafCalcStart]],Tasks[[#This Row],[_AlapShift]],WorkWeek,Holidays)))</f>
        <v/>
      </c>
      <c r="FH97" s="91" t="str">
        <f aca="false">IF(NOT(Tasks[[#This Row],[_IsLeaf]]=1),"",IF(Tasks[[#This Row],[_AlapShift]]=0,Tasks[[#This Row],[_LeafCalcFinish]],WORKDAY.INTL(Tasks[[#This Row],[_LeafCalcFinish]],Tasks[[#This Row],[_AlapShift]],WorkWeek,Holidays)))</f>
        <v/>
      </c>
      <c r="FI97" s="91" t="str">
        <f aca="false">IF(NOT(Tasks[[#This Row],[_IsLeaf]]=1),"",IF(Tasks[[#This Row],[_AlapShift]]=0,Tasks[[#This Row],[_LeafFcstStart]],WORKDAY.INTL(Tasks[[#This Row],[_LeafFcstStart]],Tasks[[#This Row],[_AlapShift]],WorkWeek,Holidays)))</f>
        <v/>
      </c>
      <c r="FJ97" s="91" t="str">
        <f aca="false">IF(NOT(Tasks[[#This Row],[_IsLeaf]]=1),"",IF(Tasks[[#This Row],[_AlapShift]]=0,Tasks[[#This Row],[_LeafFcstFinish]],WORKDAY.INTL(Tasks[[#This Row],[_LeafFcstFinish]],Tasks[[#This Row],[_AlapShift]],WorkWeek,Holidays)))</f>
        <v/>
      </c>
      <c r="FK97" s="91" t="str">
        <f aca="false">IF(Tasks[[#This Row],[Task Name]]="","",IF(Tasks[[#This Row],[_IsSummary]],MIN(INDEX(Tasks[_ShownCalcStart],Tasks[[#This Row],[_Row]]+1):INDEX(Tasks[_ShownCalcStart],Tasks[[#This Row],[_Row]]+Tasks[[#This Row],[_Descendants]])),Tasks[[#This Row],[_ShownCalcStart]]))</f>
        <v/>
      </c>
      <c r="FL97" s="91" t="str">
        <f aca="false">IF(Tasks[[#This Row],[Task Name]]="","",IF(Tasks[[#This Row],[_IsSummary]],MAX(INDEX(Tasks[_ShownCalcFinish],Tasks[[#This Row],[_Row]]+1):INDEX(Tasks[_ShownCalcFinish],Tasks[[#This Row],[_Row]]+Tasks[[#This Row],[_Descendants]])),Tasks[[#This Row],[_ShownCalcFinish]]))</f>
        <v/>
      </c>
      <c r="FM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7" s="43" t="n">
        <f aca="false">IF(AND(Tasks[[#This Row],[_IsLeaf]]=1,Tasks[[#This Row],[_LeafTotalWork]]&gt;0),NETWORKDAYS.INTL(ProjectStart,Tasks[[#This Row],[_ShownFcstStart]],WorkWeek,Holidays),0)</f>
        <v>0</v>
      </c>
      <c r="FZ97" s="43" t="n">
        <f aca="false">IF(AND(Tasks[[#This Row],[_IsLeaf]]=1,Tasks[[#This Row],[_LeafTotalWork]]&gt;0),MAX(Tasks[[#This Row],[_StartWorkday]],NETWORKDAYS.INTL(ProjectStart,Tasks[[#This Row],[_ShownFcstFinish]],WorkWeek,Holidays)),0)</f>
        <v>0</v>
      </c>
      <c r="GA97" s="43" t="n">
        <f aca="false">IF(AND(Tasks[[#This Row],[_IsLeaf]]=1,Tasks[[#This Row],[_LeafTotalWork]]&gt;0),Tasks[[#This Row],[_LeafWork]]/(Tasks[[#This Row],[_FinishWorkday]]-Tasks[[#This Row],[_StartWorkday]]+1),0)</f>
        <v>0</v>
      </c>
      <c r="GB97" s="43" t="n">
        <f aca="false">Tasks[[#This Row],[_WorkPerWorkday]]*(Tasks[[#This Row],[_StartWorkday]]-1)</f>
        <v>-0</v>
      </c>
      <c r="GC97" s="43" t="n">
        <f aca="false">IF(Tasks[[#This Row],[_IsLeaf]]=1,MAX(N(Tasks[[#This Row],[_Days]]),0.1),0)</f>
        <v>0</v>
      </c>
      <c r="GD97" s="43" t="n">
        <f aca="false">Tasks[[#This Row],[_WeightDur]]*Tasks[[#This Row],[_LeafProgress]]</f>
        <v>0</v>
      </c>
      <c r="GE97" s="43" t="n">
        <f aca="false">Tasks[[#This Row],[_WeightDur]]*Tasks[[#This Row],[_PlannedPct]]</f>
        <v>0</v>
      </c>
      <c r="GF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7" s="43" t="str">
        <f aca="false">IF(AND(Tasks[[#This Row],[_IsLeaf]]=1,N(Tasks[[#This Row],[_Days]])=0,Tasks[[#This Row],[_LeafProgress]]&lt;1),Tasks[[#This Row],[_ShownFcstFinish]]+Tasks[[#This Row],[_Row]]/100000,"")</f>
        <v/>
      </c>
      <c r="GH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7" s="43" t="str">
        <f aca="false">IF(Tasks[[#This Row],[Task Name]]="","",LEFT(Tasks[[#This Row],[WBS]],FIND(".",Tasks[[#This Row],[WBS]]&amp;".")-1))</f>
        <v/>
      </c>
      <c r="GJ97" s="43" t="str">
        <f aca="false">IF(AND(Tasks[[#This Row],[Task Name]]&lt;&gt;"",Tasks[[#This Row],[_Level]]=1),Tasks[[#This Row],[_Row]],"")</f>
        <v/>
      </c>
      <c r="GK97" s="43" t="str">
        <f aca="false">IF(AND(Tasks[[#This Row],[_IsLeaf]]=1,N(Tasks[[#This Row],[_Days]])=0),Tasks[[#This Row],[Planned Finish]]+Tasks[[#This Row],[_Row]]/100000,"")</f>
        <v/>
      </c>
      <c r="GL97" s="43" t="str">
        <f aca="false">IF(AND(Tasks[[#This Row],[_IsLeaf]]=1,Tasks[[#This Row],[_LeafProgress]]&lt;1,OR(N(Tasks[[#This Row],[Finish Var]])&gt;0,Tasks[[#This Row],[Status]]="Late Start")),MAX(0,Tasks[[#This Row],[Finish Var]])+1-Tasks[[#This Row],[_Row]]/1000000,"")</f>
        <v/>
      </c>
      <c r="GM97" s="43" t="str">
        <f aca="false">IF(AND(Tasks[[#This Row],[_IsLeaf]]=1,N(Tasks[[#This Row],[Actual Start]])=0,Tasks[[#This Row],[_ShownFcstStart]]&gt;=StatusDate,Tasks[[#This Row],[_ShownFcstStart]]&lt;=LookaheadEnd),Tasks[[#This Row],[_ShownFcstStart]]+Tasks[[#This Row],[_Row]]/100000,"")</f>
        <v/>
      </c>
      <c r="GN97" s="43" t="str">
        <f aca="false">IF(AND(Tasks[[#This Row],[_IsLeaf]]=1,Tasks[[#This Row],[_LeafProgress]]&lt;1,Tasks[[#This Row],[_ShownFcstFinish]]&gt;=StatusDate,Tasks[[#This Row],[_ShownFcstFinish]]&lt;=LookaheadEnd),Tasks[[#This Row],[_ShownFcstFinish]]+Tasks[[#This Row],[_Row]]/100000,"")</f>
        <v/>
      </c>
      <c r="GO97" s="43" t="str">
        <f aca="false">IF(Tasks[[#This Row],[_LeafCritical]],Tasks[[#This Row],[_ShownFcstStart]]+Tasks[[#This Row],[_Row]]/100000,"")</f>
        <v/>
      </c>
      <c r="GP97" s="43" t="n">
        <f aca="false">Tasks[[#This Row],[_LeafWork]]*Tasks[[#This Row],[_LeafProgress]]</f>
        <v>0</v>
      </c>
      <c r="GQ97" s="91" t="str">
        <f aca="false">IF(AND(Tasks[[#This Row],[_IsLeaf]]=1,Tasks[[#This Row],[_LeafProgress]]&gt;=1),IF(N(Tasks[[#This Row],[Actual Finish]])&gt;0,Tasks[[#This Row],[Actual Finish]],Tasks[[#This Row],[_ShownFcstFinish]]),"")</f>
        <v/>
      </c>
      <c r="GR97" s="43" t="n">
        <f aca="false">IF(Tasks[[#This Row],[_IsLeaf]]=1,N(Tasks[[#This Row],[Story Points]]),0)</f>
        <v>0</v>
      </c>
      <c r="GS97" s="43" t="str">
        <f aca="false">""</f>
        <v/>
      </c>
      <c r="GT97" s="90" t="b">
        <f aca="false">IF(Tasks[[#This Row],[Task Name]]="",FALSE(),AND(Tasks[[#This Row],[_IsLeaf]]=1,N(Tasks[[#This Row],[_Days]])=0))</f>
        <v>0</v>
      </c>
      <c r="GU97" s="91" t="n">
        <f aca="false">IF(Tasks[[#This Row],[Task Name]]="",0,IF(AND(Tasks[[#This Row],[_IsLeaf]]=1,NOT(Tasks[[#This Row],[_IsMilestone]]),N(Tasks[[#This Row],[Progress]])&gt;0),Tasks[[#This Row],[Start]],0))</f>
        <v>0</v>
      </c>
      <c r="GV97" s="91" t="n">
        <f aca="false">IF(Tasks[[#This Row],[_DoneFrom]]=0,0,IF(Tasks[[#This Row],[Progress]]&gt;=1,Tasks[[#This Row],[Finish]],MAX(Tasks[[#This Row],[_DoneFrom]],Tasks[[#This Row],[Start]]+ROUND((Tasks[[#This Row],[Finish]]-Tasks[[#This Row],[Start]]+1)*Tasks[[#This Row],[Progress]],0)-1)))</f>
        <v>0</v>
      </c>
      <c r="GW97" s="91" t="n">
        <f aca="false">IF(Tasks[[#This Row],[Task Name]]="",0,IF(OR(NOT(Tasks[[#This Row],[_IsLeaf]]=1),Tasks[[#This Row],[_IsMilestone]],N(Tasks[[#This Row],[Progress]])&gt;=1),0,IF(Tasks[[#This Row],[_DoneTo]]&gt;0,Tasks[[#This Row],[_DoneTo]]+1,Tasks[[#This Row],[Start]])))</f>
        <v>0</v>
      </c>
      <c r="GX97" s="91" t="n">
        <f aca="false">IF(Tasks[[#This Row],[_RemFrom]]=0,0,Tasks[[#This Row],[Finish]])</f>
        <v>0</v>
      </c>
      <c r="GY97" s="90" t="b">
        <f aca="false">IF(Tasks[[#This Row],[Task Name]]="",FALSE(),OR(NOT(BaselineSet),N(Tasks[[#This Row],[Baseline Start]])&gt;0))</f>
        <v>0</v>
      </c>
      <c r="GZ9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7" s="92" t="str">
        <f aca="false">IF(Tasks[[#This Row],[_IsLeaf]]=1,Tasks[[#This Row],[_Row]],"")</f>
        <v/>
      </c>
      <c r="HD97" s="92" t="str">
        <f aca="false">IFERROR(INDEX(Tasks[UID],SMALL(Tasks[_PickKey],Tasks[[#This Row],[_Row]]))&amp;" "&amp;INDEX(Tasks[Task Name],SMALL(Tasks[_PickKey],Tasks[[#This Row],[_Row]])),"")</f>
        <v/>
      </c>
      <c r="HE97" s="43" t="str">
        <f aca="false">IF(Tasks[[#This Row],[Task Name]]="","",IF(Tasks[[#This Row],[_IsSummary]],NETWORKDAYS.INTL(Tasks[[#This Row],[Start]],Tasks[[#This Row],[Finish]],WorkWeek,Holidays),N(Tasks[[#This Row],[_Days]])))</f>
        <v/>
      </c>
      <c r="HF97" s="43" t="n">
        <f aca="false">IF(Tasks[[#This Row],[Expected]]="",0,((Tasks[[#This Row],[Pessimistic]]-Tasks[[#This Row],[Optimistic]])/6)^2)</f>
        <v>0</v>
      </c>
      <c r="HG97" s="43" t="n">
        <f aca="false">IF(Tasks[[#This Row],[Expected]]="",0,Tasks[[#This Row],[Expected]]-N(Tasks[[#This Row],[_Days]]))</f>
        <v>0</v>
      </c>
    </row>
    <row r="98" customFormat="false" ht="15" hidden="false" customHeight="false" outlineLevel="0" collapsed="false">
      <c r="A98" s="21" t="str">
        <f aca="false">IF(Tasks[[#This Row],[Task Name]]="","",COUNTA(Tasks[[#Headers],[Task Name]]:Tasks[[#This Row],[Task Name]])-1)</f>
        <v/>
      </c>
      <c r="B98" s="22" t="n">
        <v>106</v>
      </c>
      <c r="C98" s="22"/>
      <c r="D98" s="23"/>
      <c r="E98" s="22"/>
      <c r="F98" s="23"/>
      <c r="G98" s="22"/>
      <c r="H98" s="22"/>
      <c r="I98" s="23"/>
      <c r="J98" s="22"/>
      <c r="K98" s="22"/>
      <c r="L98" s="23"/>
      <c r="M98" s="22"/>
      <c r="N98" s="22"/>
      <c r="O98" s="23"/>
      <c r="P98" s="22"/>
      <c r="Q98" s="22"/>
      <c r="R98" s="23"/>
      <c r="S98" s="23"/>
      <c r="T98" s="84"/>
      <c r="U98" s="23"/>
      <c r="V98" s="84"/>
      <c r="W98" s="23"/>
      <c r="X98" s="84"/>
      <c r="Y98" s="23"/>
      <c r="Z98" s="84"/>
      <c r="AA98" s="23"/>
      <c r="AB98" s="23"/>
      <c r="AC98" s="7"/>
      <c r="AD98" s="7"/>
      <c r="AE98" s="63" t="str">
        <f aca="false">IF(Tasks[[#This Row],[Task Name]]="","",IF(Tasks[[#This Row],[_IsSummary]],MIN(INDEX(Tasks[_ShownFcstStart],Tasks[[#This Row],[_Row]]+1):INDEX(Tasks[_ShownFcstStart],Tasks[[#This Row],[_Row]]+Tasks[[#This Row],[_Descendants]])),Tasks[[#This Row],[_ShownFcstStart]]))</f>
        <v/>
      </c>
      <c r="AF98" s="63" t="str">
        <f aca="false">IF(Tasks[[#This Row],[Task Name]]="","",IF(Tasks[[#This Row],[_IsSummary]],MAX(INDEX(Tasks[_ShownFcstFinish],Tasks[[#This Row],[_Row]]+1):INDEX(Tasks[_ShownFcstFinish],Tasks[[#This Row],[_Row]]+Tasks[[#This Row],[_Descendants]])),Tasks[[#This Row],[_ShownFcstFinish]]))</f>
        <v/>
      </c>
      <c r="AG98" s="21" t="str">
        <f aca="false">""</f>
        <v/>
      </c>
      <c r="AH98" s="23"/>
      <c r="AI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8" s="7"/>
      <c r="AK98" s="22"/>
      <c r="AL98" s="23"/>
      <c r="AM98" s="7"/>
      <c r="AN98" s="47" t="str">
        <f aca="false">IF(Tasks[[#This Row],[Task Name]]="","",IF(Tasks[[#This Row],[Finish]]&gt;=Tasks[[#This Row],[Planned Finish]],NETWORKDAYS.INTL(Tasks[[#This Row],[Planned Finish]],Tasks[[#This Row],[Finish]],WorkWeek,Holidays)-1,1-NETWORKDAYS.INTL(Tasks[[#This Row],[Finish]],Tasks[[#This Row],[Planned Finish]],WorkWeek,Holidays)))</f>
        <v/>
      </c>
      <c r="AO98" s="21" t="str">
        <f aca="false">IF(Tasks[[#This Row],[Task Name]]="","",IF(Tasks[[#This Row],[Progress]]&gt;=1,"Complete",IF(OR(N(Tasks[[#This Row],[Actual Start]])&gt;0,Tasks[[#This Row],[Progress]]&gt;0),IF(Tasks[[#This Row],[Finish Var]]&gt;0,"Behind","In Progress"),IF(Tasks[[#This Row],[Planned Start]]&lt;StatusDate,"Late Start","Not Started"))))</f>
        <v/>
      </c>
      <c r="AP98" s="21" t="str">
        <f aca="false">IF(Tasks[[#This Row],[Task Name]]="","",IF(IF(Tasks[[#This Row],[_IsSummary]],COUNTIF(INDEX(Tasks[_LeafCritical],Tasks[[#This Row],[_Row]]+1):INDEX(Tasks[_LeafCritical],Tasks[[#This Row],[_Row]]+Tasks[[#This Row],[_Descendants]]),TRUE())&gt;0,Tasks[[#This Row],[_LeafCritical]]),"Yes",""))</f>
        <v/>
      </c>
      <c r="AQ98" s="63" t="str">
        <f aca="false">IF(Tasks[[#This Row],[Task Name]]="","",IF(N(Tasks[[#This Row],[Baseline Start]])&gt;0,Tasks[[#This Row],[Baseline Start]],Tasks[[#This Row],[_CalcStart]]))</f>
        <v/>
      </c>
      <c r="AR98" s="63" t="str">
        <f aca="false">IF(Tasks[[#This Row],[Task Name]]="","",IF(N(Tasks[[#This Row],[Baseline Finish]])&gt;0,Tasks[[#This Row],[Baseline Finish]],Tasks[[#This Row],[_CalcFinish]]))</f>
        <v/>
      </c>
      <c r="AS98" s="47" t="str">
        <f aca="false">IF(Tasks[[#This Row],[Task Name]]="","",IF(Tasks[[#This Row],[Start]]&gt;=Tasks[[#This Row],[Planned Start]],NETWORKDAYS.INTL(Tasks[[#This Row],[Planned Start]],Tasks[[#This Row],[Start]],WorkWeek,Holidays)-1,1-NETWORKDAYS.INTL(Tasks[[#This Row],[Start]],Tasks[[#This Row],[Planned Start]],WorkWeek,Holidays)))</f>
        <v/>
      </c>
      <c r="AT98" s="63" t="str">
        <f aca="false">IF(Tasks[[#This Row],[Task Name]]="","",IF(Tasks[[#This Row],[_IsSummary]],MIN(INDEX(Tasks[_LeafLateStart],Tasks[[#This Row],[_Row]]+1):INDEX(Tasks[_LeafLateStart],Tasks[[#This Row],[_Row]]+Tasks[[#This Row],[_Descendants]])),Tasks[[#This Row],[_LeafLateStart]]))</f>
        <v/>
      </c>
      <c r="AU98" s="63" t="str">
        <f aca="false">IF(Tasks[[#This Row],[Task Name]]="","",IF(Tasks[[#This Row],[_IsSummary]],MAX(INDEX(Tasks[_LeafLateFinish],Tasks[[#This Row],[_Row]]+1):INDEX(Tasks[_LeafLateFinish],Tasks[[#This Row],[_Row]]+Tasks[[#This Row],[_Descendants]])),Tasks[[#This Row],[_LeafLateFinish]]))</f>
        <v/>
      </c>
      <c r="AV98" s="47" t="str">
        <f aca="false">IF(Tasks[[#This Row],[Task Name]]="","",IF(Tasks[[#This Row],[_IsSummary]],MIN(INDEX(Tasks[_LeafTotalSlack],Tasks[[#This Row],[_Row]]+1):INDEX(Tasks[_LeafTotalSlack],Tasks[[#This Row],[_Row]]+Tasks[[#This Row],[_Descendants]])),Tasks[[#This Row],[_LeafTotalSlack]]))</f>
        <v/>
      </c>
      <c r="AW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5"/>
      <c r="BA9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t="str">
        <f aca="false">IF(Tasks[[#This Row],[Task Name]]="","",IF(Tasks[[#This Row],[_Level]]&lt;=OutlineShowLevel,"Yes","No"))</f>
        <v/>
      </c>
      <c r="BE98" s="86" t="str">
        <f aca="false">IF(Tasks[[#This Row],[Task Name]]="","",IF(Tasks[[#This Row],[_IsSummary]],SUM(INDEX(Tasks[_LeafTotalWork],Tasks[[#This Row],[_Row]]+1):INDEX(Tasks[_LeafTotalWork],Tasks[[#This Row],[_Row]]+Tasks[[#This Row],[_Descendants]])),Tasks[[#This Row],[_LeafTotalWork]]))</f>
        <v/>
      </c>
      <c r="BF98" s="23"/>
      <c r="BG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t="str">
        <f aca="false">""</f>
        <v/>
      </c>
      <c r="BI98" s="87"/>
      <c r="BJ98" s="22"/>
      <c r="BK98" s="47" t="str">
        <f aca="false">IF(OR(Tasks[[#This Row],[Task Name]]="",Tasks[[#This Row],[Baseline Duration]]=""),"",Tasks[[#This Row],[_SpanDays]]-N(Tasks[[#This Row],[Baseline Duration]]))</f>
        <v/>
      </c>
      <c r="BL98" s="86" t="str">
        <f aca="false">IF(OR(Tasks[[#This Row],[Task Name]]="",Tasks[[#This Row],[Baseline Work]]=""),"",Tasks[[#This Row],[Work]]-N(Tasks[[#This Row],[Baseline Work]]))</f>
        <v/>
      </c>
      <c r="BM98" s="63" t="str">
        <f aca="false">IF(Tasks[[#This Row],[Task Name]]="","",IF(OR(TakeBaseline="Yes",N(Tasks[[#This Row],[Baseline Start]])=0),Tasks[[#This Row],[Start]],Tasks[[#This Row],[Baseline Start]]))</f>
        <v/>
      </c>
      <c r="BN98" s="63" t="str">
        <f aca="false">IF(Tasks[[#This Row],[Task Name]]="","",IF(OR(TakeBaseline="Yes",N(Tasks[[#This Row],[Baseline Finish]])=0),Tasks[[#This Row],[Finish]],Tasks[[#This Row],[Baseline Finish]]))</f>
        <v/>
      </c>
      <c r="BO98" s="21" t="str">
        <f aca="false">IF(Tasks[[#This Row],[Task Name]]="","",IF(OR(TakeBaseline="Yes",N(Tasks[[#This Row],[Baseline Duration]])=0),Tasks[[#This Row],[_SpanDays]],Tasks[[#This Row],[Baseline Duration]]))</f>
        <v/>
      </c>
      <c r="BP98" s="86" t="str">
        <f aca="false">IF(Tasks[[#This Row],[Task Name]]="","",IF(OR(TakeBaseline="Yes",N(Tasks[[#This Row],[Baseline Work]])=0),Tasks[[#This Row],[Work]],Tasks[[#This Row],[Baseline Work]]))</f>
        <v/>
      </c>
      <c r="BQ98" s="7"/>
      <c r="BR98" s="7"/>
      <c r="BS98" s="22"/>
      <c r="BT98" s="88"/>
      <c r="BU98" s="23"/>
      <c r="BV98" s="23"/>
      <c r="BW98" s="23"/>
      <c r="BX98" s="89" t="str">
        <f aca="false">IF(AND(Tasks[[#This Row],[_IsLeaf]]=1,ISNUMBER(Tasks[[#This Row],[Optimistic]]),ISNUMBER(Tasks[[#This Row],[Pessimistic]])),ROUND((Tasks[[#This Row],[Optimistic]]+4*N(Tasks[[#This Row],[_Days]])+Tasks[[#This Row],[Pessimistic]])/6,1),"")</f>
        <v/>
      </c>
      <c r="BY98" s="87"/>
      <c r="BZ98" s="87"/>
      <c r="CA98" s="22"/>
      <c r="CB98" s="43" t="str">
        <f aca="false">IF(Tasks[[#This Row],[Task Name]]="","",MAX(1,N(Tasks[[#This Row],[Level]])))</f>
        <v/>
      </c>
      <c r="CC98" s="43" t="n">
        <f aca="false">ROW()-ROW(Tasks[[#Headers],[ID]])</f>
        <v>93</v>
      </c>
      <c r="CD98" s="43" t="n">
        <f aca="false">IF(OR(Tasks[[#This Row],[Task Name]]="",Tasks[[#This Row],[_Level]]&lt;=1),0,IFERROR(LOOKUP(2,1/(Tasks[[#Headers],[_Level]]:Tasks[[#This Row],[_Level]]=Tasks[[#This Row],[_Level]]-1),ROW(Tasks[[#Headers],[_Level]]:Tasks[[#This Row],[_Level]])),0))</f>
        <v>0</v>
      </c>
      <c r="CE98" s="43" t="n">
        <f aca="false">IFERROR(N(INDEX(Tasks[_Level],Tasks[[#This Row],[_Row]]+1)),0)</f>
        <v>0</v>
      </c>
      <c r="CF98" s="90" t="b">
        <f aca="false">AND(Tasks[[#This Row],[Task Name]]&lt;&gt;"",Tasks[[#This Row],[_NextLevel]]&gt;Tasks[[#This Row],[_Level]])</f>
        <v>0</v>
      </c>
      <c r="CG98" s="43" t="n">
        <f aca="false">IF(Tasks[[#This Row],[_IsSummary]],COUNTIF(Tasks[WBS],Tasks[[#This Row],[WBS]]&amp;".*"),0)</f>
        <v>0</v>
      </c>
      <c r="CH98" s="43" t="n">
        <f aca="false">IF(AND(Tasks[[#This Row],[Task Name]]&lt;&gt;"",NOT(Tasks[[#This Row],[_IsSummary]])),1,0)</f>
        <v>0</v>
      </c>
      <c r="CI98" s="43" t="n">
        <f aca="false">IF(N(Tasks[[#This Row],[_Pred1UID]])=0,0,IFERROR(MATCH(Tasks[[#This Row],[_Pred1UID]],Tasks[UID],0),-1))</f>
        <v>0</v>
      </c>
      <c r="CJ98" s="43" t="n">
        <f aca="false">IF(N(Tasks[[#This Row],[_Pred2UID]])=0,0,IFERROR(MATCH(Tasks[[#This Row],[_Pred2UID]],Tasks[UID],0),-1))</f>
        <v>0</v>
      </c>
      <c r="CK98" s="43" t="n">
        <f aca="false">IF(N(Tasks[[#This Row],[_Pred3UID]])=0,0,IFERROR(MATCH(Tasks[[#This Row],[_Pred3UID]],Tasks[UID],0),-1))</f>
        <v>0</v>
      </c>
      <c r="CL98" s="43" t="n">
        <f aca="false">IF(N(Tasks[[#This Row],[_Pred4UID]])=0,0,IFERROR(MATCH(Tasks[[#This Row],[_Pred4UID]],Tasks[UID],0),-1))</f>
        <v>0</v>
      </c>
      <c r="CM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8" s="91" t="n">
        <f aca="false">IF(OR(Tasks[[#This Row],[_ConstraintCode]]=2,Tasks[[#This Row],[_ConstraintCode]]=3,Tasks[[#This Row],[_ConstraintCode]]=4,Tasks[[#This Row],[_ConstraintCode]]=6),Tasks[[#This Row],[_ConstraintStart]],0)</f>
        <v>0</v>
      </c>
      <c r="CP98" s="91" t="n">
        <f aca="false">IF(OR(Tasks[[#This Row],[_ConstraintCode]]=2,Tasks[[#This Row],[_ConstraintCode]]=3,Tasks[[#This Row],[_ConstraintCode]]=5,Tasks[[#This Row],[_ConstraintCode]]=7),Tasks[[#This Row],[_ConstraintStart]],2958465)</f>
        <v>2958465</v>
      </c>
      <c r="CQ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8" s="91" t="str">
        <f aca="false">IF(NOT(Tasks[[#This Row],[_IsLeaf]]=1),"",IF(N(Tasks[[#This Row],[_Days]])&lt;=0,Tasks[[#This Row],[_LeafCalcStart]],WORKDAY.INTL(Tasks[[#This Row],[_LeafCalcStart]],Tasks[[#This Row],[_Days]]-1,WorkWeek,Holidays)))</f>
        <v/>
      </c>
      <c r="CS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8" s="43" t="str">
        <f aca="false">IF(Tasks[[#This Row],[_Predecessors]]="","",TRIM(MID(SUBSTITUTE(SUBSTITUTE(SUBSTITUTE(UPPER(Tasks[[#This Row],[_Predecessors]]),";",",")," ",""),",",REPT(" ",99)),1,99)))</f>
        <v/>
      </c>
      <c r="CV98" s="43" t="str">
        <f aca="false">IF(Tasks[[#This Row],[_Pred1Text]]="","",IFERROR(VALUE(LEFT(Tasks[[#This Row],[_Pred1Text]],MIN(FIND("F",Tasks[[#This Row],[_Pred1Text]]&amp;"F"),FIND("S",Tasks[[#This Row],[_Pred1Text]]&amp;"S"),FIND("+",Tasks[[#This Row],[_Pred1Text]]&amp;"+"),FIND("-",Tasks[[#This Row],[_Pred1Text]]&amp;"-"))-1)),""))</f>
        <v/>
      </c>
      <c r="CW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8" s="43" t="str">
        <f aca="false">IF(Tasks[[#This Row],[_Pred1Text]]="","",TRIM(MID(SUBSTITUTE(SUBSTITUTE(SUBSTITUTE(UPPER(Tasks[[#This Row],[_Predecessors]]),";",",")," ",""),",",REPT(" ",99)),100,99)))</f>
        <v/>
      </c>
      <c r="CZ98" s="43" t="str">
        <f aca="false">IF(Tasks[[#This Row],[_Pred2Text]]="","",IFERROR(VALUE(LEFT(Tasks[[#This Row],[_Pred2Text]],MIN(FIND("F",Tasks[[#This Row],[_Pred2Text]]&amp;"F"),FIND("S",Tasks[[#This Row],[_Pred2Text]]&amp;"S"),FIND("+",Tasks[[#This Row],[_Pred2Text]]&amp;"+"),FIND("-",Tasks[[#This Row],[_Pred2Text]]&amp;"-"))-1)),""))</f>
        <v/>
      </c>
      <c r="DA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8" s="43" t="str">
        <f aca="false">IF(Tasks[[#This Row],[_Pred2Text]]="","",TRIM(MID(SUBSTITUTE(SUBSTITUTE(SUBSTITUTE(UPPER(Tasks[[#This Row],[_Predecessors]]),";",",")," ",""),",",REPT(" ",99)),199,99)))</f>
        <v/>
      </c>
      <c r="DD98" s="43" t="str">
        <f aca="false">IF(Tasks[[#This Row],[_Pred3Text]]="","",IFERROR(VALUE(LEFT(Tasks[[#This Row],[_Pred3Text]],MIN(FIND("F",Tasks[[#This Row],[_Pred3Text]]&amp;"F"),FIND("S",Tasks[[#This Row],[_Pred3Text]]&amp;"S"),FIND("+",Tasks[[#This Row],[_Pred3Text]]&amp;"+"),FIND("-",Tasks[[#This Row],[_Pred3Text]]&amp;"-"))-1)),""))</f>
        <v/>
      </c>
      <c r="DE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8" s="43" t="str">
        <f aca="false">IF(Tasks[[#This Row],[_Pred3Text]]="","",TRIM(MID(SUBSTITUTE(SUBSTITUTE(SUBSTITUTE(UPPER(Tasks[[#This Row],[_Predecessors]]),";",",")," ",""),",",REPT(" ",99)),298,99)))</f>
        <v/>
      </c>
      <c r="DH98" s="43" t="str">
        <f aca="false">IF(Tasks[[#This Row],[_Pred4Text]]="","",IFERROR(VALUE(LEFT(Tasks[[#This Row],[_Pred4Text]],MIN(FIND("F",Tasks[[#This Row],[_Pred4Text]]&amp;"F"),FIND("S",Tasks[[#This Row],[_Pred4Text]]&amp;"S"),FIND("+",Tasks[[#This Row],[_Pred4Text]]&amp;"+"),FIND("-",Tasks[[#This Row],[_Pred4Text]]&amp;"-"))-1)),""))</f>
        <v/>
      </c>
      <c r="DI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8" s="43" t="str">
        <f aca="false">IF(OR(Tasks[[#This Row],[Task Name]]="",Tasks[[#This Row],[_Resources]]=""),"",TRIM(MID(SUBSTITUTE(Tasks[[#This Row],[_Resources]],",",REPT(" ",99)),1,99)))</f>
        <v/>
      </c>
      <c r="DL98" s="43" t="str">
        <f aca="false">IF(Tasks[[#This Row],[_Res1Text]]="","",TRIM(MID(SUBSTITUTE(Tasks[[#This Row],[_Resources]],",",REPT(" ",99)),100,99)))</f>
        <v/>
      </c>
      <c r="DM98" s="43" t="str">
        <f aca="false">IF(Tasks[[#This Row],[_Res2Text]]="","",TRIM(MID(SUBSTITUTE(Tasks[[#This Row],[_Resources]],",",REPT(" ",99)),199,99)))</f>
        <v/>
      </c>
      <c r="DN98" s="43" t="str">
        <f aca="false">IF(Tasks[[#This Row],[_Res3Text]]="","",TRIM(MID(SUBSTITUTE(Tasks[[#This Row],[_Resources]],",",REPT(" ",99)),298,99)))</f>
        <v/>
      </c>
      <c r="DO98" s="43" t="n">
        <f aca="false">IF(Tasks[[#This Row],[_Res1Text]]="",0,IFERROR(MATCH(TRIM(LEFT(Tasks[[#This Row],[_Res1Text]],FIND("[",Tasks[[#This Row],[_Res1Text]]&amp;"[")-1)),res_Name,0),IFERROR(MATCH(TRIM(LEFT(Tasks[[#This Row],[_Res1Text]],FIND("[",Tasks[[#This Row],[_Res1Text]]&amp;"[")-1)),res_Initials,0),0)))</f>
        <v>0</v>
      </c>
      <c r="DP98" s="43" t="n">
        <f aca="false">IF(Tasks[[#This Row],[_Res2Text]]="",0,IFERROR(MATCH(TRIM(LEFT(Tasks[[#This Row],[_Res2Text]],FIND("[",Tasks[[#This Row],[_Res2Text]]&amp;"[")-1)),res_Name,0),IFERROR(MATCH(TRIM(LEFT(Tasks[[#This Row],[_Res2Text]],FIND("[",Tasks[[#This Row],[_Res2Text]]&amp;"[")-1)),res_Initials,0),0)))</f>
        <v>0</v>
      </c>
      <c r="DQ98" s="43" t="n">
        <f aca="false">IF(Tasks[[#This Row],[_Res3Text]]="",0,IFERROR(MATCH(TRIM(LEFT(Tasks[[#This Row],[_Res3Text]],FIND("[",Tasks[[#This Row],[_Res3Text]]&amp;"[")-1)),res_Name,0),IFERROR(MATCH(TRIM(LEFT(Tasks[[#This Row],[_Res3Text]],FIND("[",Tasks[[#This Row],[_Res3Text]]&amp;"[")-1)),res_Initials,0),0)))</f>
        <v>0</v>
      </c>
      <c r="DR98" s="43" t="n">
        <f aca="false">IF(Tasks[[#This Row],[_Res4Text]]="",0,IFERROR(MATCH(TRIM(LEFT(Tasks[[#This Row],[_Res4Text]],FIND("[",Tasks[[#This Row],[_Res4Text]]&amp;"[")-1)),res_Name,0),IFERROR(MATCH(TRIM(LEFT(Tasks[[#This Row],[_Res4Text]],FIND("[",Tasks[[#This Row],[_Res4Text]]&amp;"[")-1)),res_Initials,0),0)))</f>
        <v>0</v>
      </c>
      <c r="DS98" s="43" t="str">
        <f aca="false">IF(Tasks[[#This Row],[_Res1Text]]="","",IF(Tasks[[#This Row],[_Res1Row]]&gt;0,INDEX(res_Name,Tasks[[#This Row],[_Res1Row]]),TRIM(LEFT(Tasks[[#This Row],[_Res1Text]],FIND("[",Tasks[[#This Row],[_Res1Text]]&amp;"[")-1))))</f>
        <v/>
      </c>
      <c r="DT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8" s="43" t="n">
        <f aca="false">IF(NOT(Tasks[[#This Row],[_IsLeaf]]=1),0,(Tasks[[#This Row],[_Resource1]]&lt;&gt;"")+(Tasks[[#This Row],[_Res2]]&lt;&gt;"")+(Tasks[[#This Row],[_Res3]]&lt;&gt;"")+(Tasks[[#This Row],[_Res4]]&lt;&gt;""))</f>
        <v>0</v>
      </c>
      <c r="DV98" s="43" t="str">
        <f aca="false">IF(Tasks[[#This Row],[_Res2Text]]="","",IF(Tasks[[#This Row],[_Res2Row]]&gt;0,INDEX(res_Name,Tasks[[#This Row],[_Res2Row]]),TRIM(LEFT(Tasks[[#This Row],[_Res2Text]],FIND("[",Tasks[[#This Row],[_Res2Text]]&amp;"[")-1))))</f>
        <v/>
      </c>
      <c r="DW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8" s="43" t="n">
        <f aca="false">IF(OR(NOT(Tasks[[#This Row],[_IsLeaf]]=1),Tasks[[#This Row],[_Res2Row]]=0),0,N(Tasks[[#This Row],[_Days]])*HoursPerDay*IF(Tasks[[#This Row],[_Res2Units]]="",DefaultUnits,Tasks[[#This Row],[_Res2Units]]))</f>
        <v>0</v>
      </c>
      <c r="DY98" s="43" t="n">
        <f aca="false">IF(AND(AND(Tasks[[#This Row],[_IsLeaf]]=1,Tasks[[#This Row],[_LeafTotalWork]]&gt;0),Tasks[[#This Row],[_Res2Work]]&gt;0),Tasks[[#This Row],[_Res2Work]]/(Tasks[[#This Row],[_FinishWorkday]]-Tasks[[#This Row],[_StartWorkday]]+1),0)</f>
        <v>0</v>
      </c>
      <c r="DZ98" s="43" t="n">
        <f aca="false">Tasks[[#This Row],[_Res2WorkPerWD]]*MAX(0,Tasks[[#This Row],[_StartWorkday]]-1)</f>
        <v>0</v>
      </c>
      <c r="EA98" s="43" t="n">
        <f aca="false">Tasks[[#This Row],[_Res2Work]]*Tasks[[#This Row],[_LeafProgress]]</f>
        <v>0</v>
      </c>
      <c r="EB98" s="43" t="str">
        <f aca="false">IF(Tasks[[#This Row],[_Res3Text]]="","",IF(Tasks[[#This Row],[_Res3Row]]&gt;0,INDEX(res_Name,Tasks[[#This Row],[_Res3Row]]),TRIM(LEFT(Tasks[[#This Row],[_Res3Text]],FIND("[",Tasks[[#This Row],[_Res3Text]]&amp;"[")-1))))</f>
        <v/>
      </c>
      <c r="EC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8" s="43" t="n">
        <f aca="false">IF(OR(NOT(Tasks[[#This Row],[_IsLeaf]]=1),Tasks[[#This Row],[_Res3Row]]=0),0,N(Tasks[[#This Row],[_Days]])*HoursPerDay*IF(Tasks[[#This Row],[_Res3Units]]="",DefaultUnits,Tasks[[#This Row],[_Res3Units]]))</f>
        <v>0</v>
      </c>
      <c r="EE98" s="43" t="n">
        <f aca="false">IF(AND(AND(Tasks[[#This Row],[_IsLeaf]]=1,Tasks[[#This Row],[_LeafTotalWork]]&gt;0),Tasks[[#This Row],[_Res3Work]]&gt;0),Tasks[[#This Row],[_Res3Work]]/(Tasks[[#This Row],[_FinishWorkday]]-Tasks[[#This Row],[_StartWorkday]]+1),0)</f>
        <v>0</v>
      </c>
      <c r="EF98" s="43" t="n">
        <f aca="false">Tasks[[#This Row],[_Res3WorkPerWD]]*MAX(0,Tasks[[#This Row],[_StartWorkday]]-1)</f>
        <v>0</v>
      </c>
      <c r="EG98" s="43" t="n">
        <f aca="false">Tasks[[#This Row],[_Res3Work]]*Tasks[[#This Row],[_LeafProgress]]</f>
        <v>0</v>
      </c>
      <c r="EH98" s="43" t="str">
        <f aca="false">IF(Tasks[[#This Row],[_Res4Text]]="","",IF(Tasks[[#This Row],[_Res4Row]]&gt;0,INDEX(res_Name,Tasks[[#This Row],[_Res4Row]]),TRIM(LEFT(Tasks[[#This Row],[_Res4Text]],FIND("[",Tasks[[#This Row],[_Res4Text]]&amp;"[")-1))))</f>
        <v/>
      </c>
      <c r="EI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8" s="43" t="n">
        <f aca="false">IF(OR(NOT(Tasks[[#This Row],[_IsLeaf]]=1),Tasks[[#This Row],[_Res4Row]]=0),0,N(Tasks[[#This Row],[_Days]])*HoursPerDay*IF(Tasks[[#This Row],[_Res4Units]]="",DefaultUnits,Tasks[[#This Row],[_Res4Units]]))</f>
        <v>0</v>
      </c>
      <c r="EK98" s="43" t="n">
        <f aca="false">IF(AND(AND(Tasks[[#This Row],[_IsLeaf]]=1,Tasks[[#This Row],[_LeafTotalWork]]&gt;0),Tasks[[#This Row],[_Res4Work]]&gt;0),Tasks[[#This Row],[_Res4Work]]/(Tasks[[#This Row],[_FinishWorkday]]-Tasks[[#This Row],[_StartWorkday]]+1),0)</f>
        <v>0</v>
      </c>
      <c r="EL98" s="43" t="n">
        <f aca="false">Tasks[[#This Row],[_Res4WorkPerWD]]*MAX(0,Tasks[[#This Row],[_StartWorkday]]-1)</f>
        <v>0</v>
      </c>
      <c r="EM98" s="43" t="n">
        <f aca="false">Tasks[[#This Row],[_Res4Work]]*Tasks[[#This Row],[_LeafProgress]]</f>
        <v>0</v>
      </c>
      <c r="EN98" s="43" t="n">
        <f aca="false">IF(ISNUMBER(Tasks[[#This Row],[% Complete]]),Tasks[[#This Row],[% Complete]],IF(Tasks[[#This Row],[Stage]]="",0,IFERROR(INDEX(stg_Pct,MATCH(Tasks[[#This Row],[Stage]],stg_Name,0)),0)))</f>
        <v>0</v>
      </c>
      <c r="EO98" s="43" t="n">
        <f aca="false">IF(NOT(Tasks[[#This Row],[_IsLeaf]]=1),0,IF(N(Tasks[[#This Row],[Actual Finish]])&gt;0,1,MIN(1,Tasks[[#This Row],[_Pct]])))</f>
        <v>0</v>
      </c>
      <c r="EP98" s="43" t="n">
        <f aca="false">IF(OR(NOT(Tasks[[#This Row],[_IsLeaf]]=1),Tasks[[#This Row],[_Res1Row]]=0),0,N(Tasks[[#This Row],[_Days]])*HoursPerDay*IF(Tasks[[#This Row],[_Units1]]="",DefaultUnits,Tasks[[#This Row],[_Units1]]))</f>
        <v>0</v>
      </c>
      <c r="EQ98" s="43" t="n">
        <f aca="false">Tasks[[#This Row],[_LeafWork]]+Tasks[[#This Row],[_Res2Work]]+Tasks[[#This Row],[_Res3Work]]+Tasks[[#This Row],[_Res4Work]]</f>
        <v>0</v>
      </c>
      <c r="ER9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8" s="43" t="n">
        <f aca="false">IF(NOT(Tasks[[#This Row],[_IsLeaf]]=1),0,MAX(_xlfn.MAXIFS(Tasks[_Row],Tasks[_Pred1UID],Tasks[[#This Row],[UID]]),_xlfn.MAXIFS(Tasks[_Row],Tasks[_Pred2UID],Tasks[[#This Row],[UID]]),_xlfn.MAXIFS(Tasks[_Row],Tasks[_Pred3UID],Tasks[[#This Row],[UID]]),_xlfn.MAXIFS(Tasks[_Row],Tasks[_Pred4UID],Tasks[[#This Row],[UID]])))</f>
        <v>0</v>
      </c>
      <c r="FA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8" s="91" t="str">
        <f aca="false">IF(NOT(Tasks[[#This Row],[_IsLeaf]]=1),"",IF(N(Tasks[[#This Row],[_Days]])&lt;=0,Tasks[[#This Row],[_LeafLateFinish]],WORKDAY.INTL(Tasks[[#This Row],[_LeafLateFinish]],-(Tasks[[#This Row],[_Days]]-1),WorkWeek,Holidays)))</f>
        <v/>
      </c>
      <c r="FD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8" s="90" t="b">
        <f aca="false">AND(Tasks[[#This Row],[_IsLeaf]]=1,Tasks[[#This Row],[_LeafProgress]]&lt;1,N(Tasks[[#This Row],[_LeafTotalSlack]])&lt;=CriticalSlackDays)</f>
        <v>0</v>
      </c>
      <c r="FF98" s="43" t="n">
        <f aca="false">IF(AND(Tasks[[#This Row],[_IsLeaf]]=1,Tasks[[#This Row],[_ConstraintCode]]=1,Tasks[[#This Row],[Mode]]&lt;&gt;"Manual",N(Tasks[[#This Row],[Actual Start]])=0),MAX(0,N(Tasks[[#This Row],[Free Slack]])),0)</f>
        <v>0</v>
      </c>
      <c r="FG98" s="91" t="str">
        <f aca="false">IF(NOT(Tasks[[#This Row],[_IsLeaf]]=1),"",IF(Tasks[[#This Row],[_AlapShift]]=0,Tasks[[#This Row],[_LeafCalcStart]],WORKDAY.INTL(Tasks[[#This Row],[_LeafCalcStart]],Tasks[[#This Row],[_AlapShift]],WorkWeek,Holidays)))</f>
        <v/>
      </c>
      <c r="FH98" s="91" t="str">
        <f aca="false">IF(NOT(Tasks[[#This Row],[_IsLeaf]]=1),"",IF(Tasks[[#This Row],[_AlapShift]]=0,Tasks[[#This Row],[_LeafCalcFinish]],WORKDAY.INTL(Tasks[[#This Row],[_LeafCalcFinish]],Tasks[[#This Row],[_AlapShift]],WorkWeek,Holidays)))</f>
        <v/>
      </c>
      <c r="FI98" s="91" t="str">
        <f aca="false">IF(NOT(Tasks[[#This Row],[_IsLeaf]]=1),"",IF(Tasks[[#This Row],[_AlapShift]]=0,Tasks[[#This Row],[_LeafFcstStart]],WORKDAY.INTL(Tasks[[#This Row],[_LeafFcstStart]],Tasks[[#This Row],[_AlapShift]],WorkWeek,Holidays)))</f>
        <v/>
      </c>
      <c r="FJ98" s="91" t="str">
        <f aca="false">IF(NOT(Tasks[[#This Row],[_IsLeaf]]=1),"",IF(Tasks[[#This Row],[_AlapShift]]=0,Tasks[[#This Row],[_LeafFcstFinish]],WORKDAY.INTL(Tasks[[#This Row],[_LeafFcstFinish]],Tasks[[#This Row],[_AlapShift]],WorkWeek,Holidays)))</f>
        <v/>
      </c>
      <c r="FK98" s="91" t="str">
        <f aca="false">IF(Tasks[[#This Row],[Task Name]]="","",IF(Tasks[[#This Row],[_IsSummary]],MIN(INDEX(Tasks[_ShownCalcStart],Tasks[[#This Row],[_Row]]+1):INDEX(Tasks[_ShownCalcStart],Tasks[[#This Row],[_Row]]+Tasks[[#This Row],[_Descendants]])),Tasks[[#This Row],[_ShownCalcStart]]))</f>
        <v/>
      </c>
      <c r="FL98" s="91" t="str">
        <f aca="false">IF(Tasks[[#This Row],[Task Name]]="","",IF(Tasks[[#This Row],[_IsSummary]],MAX(INDEX(Tasks[_ShownCalcFinish],Tasks[[#This Row],[_Row]]+1):INDEX(Tasks[_ShownCalcFinish],Tasks[[#This Row],[_Row]]+Tasks[[#This Row],[_Descendants]])),Tasks[[#This Row],[_ShownCalcFinish]]))</f>
        <v/>
      </c>
      <c r="FM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8" s="43" t="n">
        <f aca="false">IF(AND(Tasks[[#This Row],[_IsLeaf]]=1,Tasks[[#This Row],[_LeafTotalWork]]&gt;0),NETWORKDAYS.INTL(ProjectStart,Tasks[[#This Row],[_ShownFcstStart]],WorkWeek,Holidays),0)</f>
        <v>0</v>
      </c>
      <c r="FZ98" s="43" t="n">
        <f aca="false">IF(AND(Tasks[[#This Row],[_IsLeaf]]=1,Tasks[[#This Row],[_LeafTotalWork]]&gt;0),MAX(Tasks[[#This Row],[_StartWorkday]],NETWORKDAYS.INTL(ProjectStart,Tasks[[#This Row],[_ShownFcstFinish]],WorkWeek,Holidays)),0)</f>
        <v>0</v>
      </c>
      <c r="GA98" s="43" t="n">
        <f aca="false">IF(AND(Tasks[[#This Row],[_IsLeaf]]=1,Tasks[[#This Row],[_LeafTotalWork]]&gt;0),Tasks[[#This Row],[_LeafWork]]/(Tasks[[#This Row],[_FinishWorkday]]-Tasks[[#This Row],[_StartWorkday]]+1),0)</f>
        <v>0</v>
      </c>
      <c r="GB98" s="43" t="n">
        <f aca="false">Tasks[[#This Row],[_WorkPerWorkday]]*(Tasks[[#This Row],[_StartWorkday]]-1)</f>
        <v>-0</v>
      </c>
      <c r="GC98" s="43" t="n">
        <f aca="false">IF(Tasks[[#This Row],[_IsLeaf]]=1,MAX(N(Tasks[[#This Row],[_Days]]),0.1),0)</f>
        <v>0</v>
      </c>
      <c r="GD98" s="43" t="n">
        <f aca="false">Tasks[[#This Row],[_WeightDur]]*Tasks[[#This Row],[_LeafProgress]]</f>
        <v>0</v>
      </c>
      <c r="GE98" s="43" t="n">
        <f aca="false">Tasks[[#This Row],[_WeightDur]]*Tasks[[#This Row],[_PlannedPct]]</f>
        <v>0</v>
      </c>
      <c r="GF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8" s="43" t="str">
        <f aca="false">IF(AND(Tasks[[#This Row],[_IsLeaf]]=1,N(Tasks[[#This Row],[_Days]])=0,Tasks[[#This Row],[_LeafProgress]]&lt;1),Tasks[[#This Row],[_ShownFcstFinish]]+Tasks[[#This Row],[_Row]]/100000,"")</f>
        <v/>
      </c>
      <c r="GH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8" s="43" t="str">
        <f aca="false">IF(Tasks[[#This Row],[Task Name]]="","",LEFT(Tasks[[#This Row],[WBS]],FIND(".",Tasks[[#This Row],[WBS]]&amp;".")-1))</f>
        <v/>
      </c>
      <c r="GJ98" s="43" t="str">
        <f aca="false">IF(AND(Tasks[[#This Row],[Task Name]]&lt;&gt;"",Tasks[[#This Row],[_Level]]=1),Tasks[[#This Row],[_Row]],"")</f>
        <v/>
      </c>
      <c r="GK98" s="43" t="str">
        <f aca="false">IF(AND(Tasks[[#This Row],[_IsLeaf]]=1,N(Tasks[[#This Row],[_Days]])=0),Tasks[[#This Row],[Planned Finish]]+Tasks[[#This Row],[_Row]]/100000,"")</f>
        <v/>
      </c>
      <c r="GL98" s="43" t="str">
        <f aca="false">IF(AND(Tasks[[#This Row],[_IsLeaf]]=1,Tasks[[#This Row],[_LeafProgress]]&lt;1,OR(N(Tasks[[#This Row],[Finish Var]])&gt;0,Tasks[[#This Row],[Status]]="Late Start")),MAX(0,Tasks[[#This Row],[Finish Var]])+1-Tasks[[#This Row],[_Row]]/1000000,"")</f>
        <v/>
      </c>
      <c r="GM98" s="43" t="str">
        <f aca="false">IF(AND(Tasks[[#This Row],[_IsLeaf]]=1,N(Tasks[[#This Row],[Actual Start]])=0,Tasks[[#This Row],[_ShownFcstStart]]&gt;=StatusDate,Tasks[[#This Row],[_ShownFcstStart]]&lt;=LookaheadEnd),Tasks[[#This Row],[_ShownFcstStart]]+Tasks[[#This Row],[_Row]]/100000,"")</f>
        <v/>
      </c>
      <c r="GN98" s="43" t="str">
        <f aca="false">IF(AND(Tasks[[#This Row],[_IsLeaf]]=1,Tasks[[#This Row],[_LeafProgress]]&lt;1,Tasks[[#This Row],[_ShownFcstFinish]]&gt;=StatusDate,Tasks[[#This Row],[_ShownFcstFinish]]&lt;=LookaheadEnd),Tasks[[#This Row],[_ShownFcstFinish]]+Tasks[[#This Row],[_Row]]/100000,"")</f>
        <v/>
      </c>
      <c r="GO98" s="43" t="str">
        <f aca="false">IF(Tasks[[#This Row],[_LeafCritical]],Tasks[[#This Row],[_ShownFcstStart]]+Tasks[[#This Row],[_Row]]/100000,"")</f>
        <v/>
      </c>
      <c r="GP98" s="43" t="n">
        <f aca="false">Tasks[[#This Row],[_LeafWork]]*Tasks[[#This Row],[_LeafProgress]]</f>
        <v>0</v>
      </c>
      <c r="GQ98" s="91" t="str">
        <f aca="false">IF(AND(Tasks[[#This Row],[_IsLeaf]]=1,Tasks[[#This Row],[_LeafProgress]]&gt;=1),IF(N(Tasks[[#This Row],[Actual Finish]])&gt;0,Tasks[[#This Row],[Actual Finish]],Tasks[[#This Row],[_ShownFcstFinish]]),"")</f>
        <v/>
      </c>
      <c r="GR98" s="43" t="n">
        <f aca="false">IF(Tasks[[#This Row],[_IsLeaf]]=1,N(Tasks[[#This Row],[Story Points]]),0)</f>
        <v>0</v>
      </c>
      <c r="GS98" s="43" t="str">
        <f aca="false">""</f>
        <v/>
      </c>
      <c r="GT98" s="90" t="b">
        <f aca="false">IF(Tasks[[#This Row],[Task Name]]="",FALSE(),AND(Tasks[[#This Row],[_IsLeaf]]=1,N(Tasks[[#This Row],[_Days]])=0))</f>
        <v>0</v>
      </c>
      <c r="GU98" s="91" t="n">
        <f aca="false">IF(Tasks[[#This Row],[Task Name]]="",0,IF(AND(Tasks[[#This Row],[_IsLeaf]]=1,NOT(Tasks[[#This Row],[_IsMilestone]]),N(Tasks[[#This Row],[Progress]])&gt;0),Tasks[[#This Row],[Start]],0))</f>
        <v>0</v>
      </c>
      <c r="GV98" s="91" t="n">
        <f aca="false">IF(Tasks[[#This Row],[_DoneFrom]]=0,0,IF(Tasks[[#This Row],[Progress]]&gt;=1,Tasks[[#This Row],[Finish]],MAX(Tasks[[#This Row],[_DoneFrom]],Tasks[[#This Row],[Start]]+ROUND((Tasks[[#This Row],[Finish]]-Tasks[[#This Row],[Start]]+1)*Tasks[[#This Row],[Progress]],0)-1)))</f>
        <v>0</v>
      </c>
      <c r="GW98" s="91" t="n">
        <f aca="false">IF(Tasks[[#This Row],[Task Name]]="",0,IF(OR(NOT(Tasks[[#This Row],[_IsLeaf]]=1),Tasks[[#This Row],[_IsMilestone]],N(Tasks[[#This Row],[Progress]])&gt;=1),0,IF(Tasks[[#This Row],[_DoneTo]]&gt;0,Tasks[[#This Row],[_DoneTo]]+1,Tasks[[#This Row],[Start]])))</f>
        <v>0</v>
      </c>
      <c r="GX98" s="91" t="n">
        <f aca="false">IF(Tasks[[#This Row],[_RemFrom]]=0,0,Tasks[[#This Row],[Finish]])</f>
        <v>0</v>
      </c>
      <c r="GY98" s="90" t="b">
        <f aca="false">IF(Tasks[[#This Row],[Task Name]]="",FALSE(),OR(NOT(BaselineSet),N(Tasks[[#This Row],[Baseline Start]])&gt;0))</f>
        <v>0</v>
      </c>
      <c r="GZ9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8" s="92" t="str">
        <f aca="false">IF(Tasks[[#This Row],[_IsLeaf]]=1,Tasks[[#This Row],[_Row]],"")</f>
        <v/>
      </c>
      <c r="HD98" s="92" t="str">
        <f aca="false">IFERROR(INDEX(Tasks[UID],SMALL(Tasks[_PickKey],Tasks[[#This Row],[_Row]]))&amp;" "&amp;INDEX(Tasks[Task Name],SMALL(Tasks[_PickKey],Tasks[[#This Row],[_Row]])),"")</f>
        <v/>
      </c>
      <c r="HE98" s="43" t="str">
        <f aca="false">IF(Tasks[[#This Row],[Task Name]]="","",IF(Tasks[[#This Row],[_IsSummary]],NETWORKDAYS.INTL(Tasks[[#This Row],[Start]],Tasks[[#This Row],[Finish]],WorkWeek,Holidays),N(Tasks[[#This Row],[_Days]])))</f>
        <v/>
      </c>
      <c r="HF98" s="43" t="n">
        <f aca="false">IF(Tasks[[#This Row],[Expected]]="",0,((Tasks[[#This Row],[Pessimistic]]-Tasks[[#This Row],[Optimistic]])/6)^2)</f>
        <v>0</v>
      </c>
      <c r="HG98" s="43" t="n">
        <f aca="false">IF(Tasks[[#This Row],[Expected]]="",0,Tasks[[#This Row],[Expected]]-N(Tasks[[#This Row],[_Days]]))</f>
        <v>0</v>
      </c>
    </row>
    <row r="99" customFormat="false" ht="15" hidden="false" customHeight="false" outlineLevel="0" collapsed="false">
      <c r="A99" s="21" t="str">
        <f aca="false">IF(Tasks[[#This Row],[Task Name]]="","",COUNTA(Tasks[[#Headers],[Task Name]]:Tasks[[#This Row],[Task Name]])-1)</f>
        <v/>
      </c>
      <c r="B99" s="22" t="n">
        <v>107</v>
      </c>
      <c r="C99" s="22"/>
      <c r="D99" s="23"/>
      <c r="E99" s="22"/>
      <c r="F99" s="23"/>
      <c r="G99" s="22"/>
      <c r="H99" s="22"/>
      <c r="I99" s="23"/>
      <c r="J99" s="22"/>
      <c r="K99" s="22"/>
      <c r="L99" s="23"/>
      <c r="M99" s="22"/>
      <c r="N99" s="22"/>
      <c r="O99" s="23"/>
      <c r="P99" s="22"/>
      <c r="Q99" s="22"/>
      <c r="R99" s="23"/>
      <c r="S99" s="23"/>
      <c r="T99" s="84"/>
      <c r="U99" s="23"/>
      <c r="V99" s="84"/>
      <c r="W99" s="23"/>
      <c r="X99" s="84"/>
      <c r="Y99" s="23"/>
      <c r="Z99" s="84"/>
      <c r="AA99" s="23"/>
      <c r="AB99" s="23"/>
      <c r="AC99" s="7"/>
      <c r="AD99" s="7"/>
      <c r="AE99" s="63" t="str">
        <f aca="false">IF(Tasks[[#This Row],[Task Name]]="","",IF(Tasks[[#This Row],[_IsSummary]],MIN(INDEX(Tasks[_ShownFcstStart],Tasks[[#This Row],[_Row]]+1):INDEX(Tasks[_ShownFcstStart],Tasks[[#This Row],[_Row]]+Tasks[[#This Row],[_Descendants]])),Tasks[[#This Row],[_ShownFcstStart]]))</f>
        <v/>
      </c>
      <c r="AF99" s="63" t="str">
        <f aca="false">IF(Tasks[[#This Row],[Task Name]]="","",IF(Tasks[[#This Row],[_IsSummary]],MAX(INDEX(Tasks[_ShownFcstFinish],Tasks[[#This Row],[_Row]]+1):INDEX(Tasks[_ShownFcstFinish],Tasks[[#This Row],[_Row]]+Tasks[[#This Row],[_Descendants]])),Tasks[[#This Row],[_ShownFcstFinish]]))</f>
        <v/>
      </c>
      <c r="AG99" s="21" t="str">
        <f aca="false">""</f>
        <v/>
      </c>
      <c r="AH99" s="23"/>
      <c r="AI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9" s="7"/>
      <c r="AK99" s="22"/>
      <c r="AL99" s="23"/>
      <c r="AM99" s="7"/>
      <c r="AN99" s="47" t="str">
        <f aca="false">IF(Tasks[[#This Row],[Task Name]]="","",IF(Tasks[[#This Row],[Finish]]&gt;=Tasks[[#This Row],[Planned Finish]],NETWORKDAYS.INTL(Tasks[[#This Row],[Planned Finish]],Tasks[[#This Row],[Finish]],WorkWeek,Holidays)-1,1-NETWORKDAYS.INTL(Tasks[[#This Row],[Finish]],Tasks[[#This Row],[Planned Finish]],WorkWeek,Holidays)))</f>
        <v/>
      </c>
      <c r="AO99" s="21" t="str">
        <f aca="false">IF(Tasks[[#This Row],[Task Name]]="","",IF(Tasks[[#This Row],[Progress]]&gt;=1,"Complete",IF(OR(N(Tasks[[#This Row],[Actual Start]])&gt;0,Tasks[[#This Row],[Progress]]&gt;0),IF(Tasks[[#This Row],[Finish Var]]&gt;0,"Behind","In Progress"),IF(Tasks[[#This Row],[Planned Start]]&lt;StatusDate,"Late Start","Not Started"))))</f>
        <v/>
      </c>
      <c r="AP99" s="21" t="str">
        <f aca="false">IF(Tasks[[#This Row],[Task Name]]="","",IF(IF(Tasks[[#This Row],[_IsSummary]],COUNTIF(INDEX(Tasks[_LeafCritical],Tasks[[#This Row],[_Row]]+1):INDEX(Tasks[_LeafCritical],Tasks[[#This Row],[_Row]]+Tasks[[#This Row],[_Descendants]]),TRUE())&gt;0,Tasks[[#This Row],[_LeafCritical]]),"Yes",""))</f>
        <v/>
      </c>
      <c r="AQ99" s="63" t="str">
        <f aca="false">IF(Tasks[[#This Row],[Task Name]]="","",IF(N(Tasks[[#This Row],[Baseline Start]])&gt;0,Tasks[[#This Row],[Baseline Start]],Tasks[[#This Row],[_CalcStart]]))</f>
        <v/>
      </c>
      <c r="AR99" s="63" t="str">
        <f aca="false">IF(Tasks[[#This Row],[Task Name]]="","",IF(N(Tasks[[#This Row],[Baseline Finish]])&gt;0,Tasks[[#This Row],[Baseline Finish]],Tasks[[#This Row],[_CalcFinish]]))</f>
        <v/>
      </c>
      <c r="AS99" s="47" t="str">
        <f aca="false">IF(Tasks[[#This Row],[Task Name]]="","",IF(Tasks[[#This Row],[Start]]&gt;=Tasks[[#This Row],[Planned Start]],NETWORKDAYS.INTL(Tasks[[#This Row],[Planned Start]],Tasks[[#This Row],[Start]],WorkWeek,Holidays)-1,1-NETWORKDAYS.INTL(Tasks[[#This Row],[Start]],Tasks[[#This Row],[Planned Start]],WorkWeek,Holidays)))</f>
        <v/>
      </c>
      <c r="AT99" s="63" t="str">
        <f aca="false">IF(Tasks[[#This Row],[Task Name]]="","",IF(Tasks[[#This Row],[_IsSummary]],MIN(INDEX(Tasks[_LeafLateStart],Tasks[[#This Row],[_Row]]+1):INDEX(Tasks[_LeafLateStart],Tasks[[#This Row],[_Row]]+Tasks[[#This Row],[_Descendants]])),Tasks[[#This Row],[_LeafLateStart]]))</f>
        <v/>
      </c>
      <c r="AU99" s="63" t="str">
        <f aca="false">IF(Tasks[[#This Row],[Task Name]]="","",IF(Tasks[[#This Row],[_IsSummary]],MAX(INDEX(Tasks[_LeafLateFinish],Tasks[[#This Row],[_Row]]+1):INDEX(Tasks[_LeafLateFinish],Tasks[[#This Row],[_Row]]+Tasks[[#This Row],[_Descendants]])),Tasks[[#This Row],[_LeafLateFinish]]))</f>
        <v/>
      </c>
      <c r="AV99" s="47" t="str">
        <f aca="false">IF(Tasks[[#This Row],[Task Name]]="","",IF(Tasks[[#This Row],[_IsSummary]],MIN(INDEX(Tasks[_LeafTotalSlack],Tasks[[#This Row],[_Row]]+1):INDEX(Tasks[_LeafTotalSlack],Tasks[[#This Row],[_Row]]+Tasks[[#This Row],[_Descendants]])),Tasks[[#This Row],[_LeafTotalSlack]]))</f>
        <v/>
      </c>
      <c r="AW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5"/>
      <c r="BA9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t="str">
        <f aca="false">IF(Tasks[[#This Row],[Task Name]]="","",IF(Tasks[[#This Row],[_Level]]&lt;=OutlineShowLevel,"Yes","No"))</f>
        <v/>
      </c>
      <c r="BE99" s="86" t="str">
        <f aca="false">IF(Tasks[[#This Row],[Task Name]]="","",IF(Tasks[[#This Row],[_IsSummary]],SUM(INDEX(Tasks[_LeafTotalWork],Tasks[[#This Row],[_Row]]+1):INDEX(Tasks[_LeafTotalWork],Tasks[[#This Row],[_Row]]+Tasks[[#This Row],[_Descendants]])),Tasks[[#This Row],[_LeafTotalWork]]))</f>
        <v/>
      </c>
      <c r="BF99" s="23"/>
      <c r="BG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t="str">
        <f aca="false">""</f>
        <v/>
      </c>
      <c r="BI99" s="87"/>
      <c r="BJ99" s="22"/>
      <c r="BK99" s="47" t="str">
        <f aca="false">IF(OR(Tasks[[#This Row],[Task Name]]="",Tasks[[#This Row],[Baseline Duration]]=""),"",Tasks[[#This Row],[_SpanDays]]-N(Tasks[[#This Row],[Baseline Duration]]))</f>
        <v/>
      </c>
      <c r="BL99" s="86" t="str">
        <f aca="false">IF(OR(Tasks[[#This Row],[Task Name]]="",Tasks[[#This Row],[Baseline Work]]=""),"",Tasks[[#This Row],[Work]]-N(Tasks[[#This Row],[Baseline Work]]))</f>
        <v/>
      </c>
      <c r="BM99" s="63" t="str">
        <f aca="false">IF(Tasks[[#This Row],[Task Name]]="","",IF(OR(TakeBaseline="Yes",N(Tasks[[#This Row],[Baseline Start]])=0),Tasks[[#This Row],[Start]],Tasks[[#This Row],[Baseline Start]]))</f>
        <v/>
      </c>
      <c r="BN99" s="63" t="str">
        <f aca="false">IF(Tasks[[#This Row],[Task Name]]="","",IF(OR(TakeBaseline="Yes",N(Tasks[[#This Row],[Baseline Finish]])=0),Tasks[[#This Row],[Finish]],Tasks[[#This Row],[Baseline Finish]]))</f>
        <v/>
      </c>
      <c r="BO99" s="21" t="str">
        <f aca="false">IF(Tasks[[#This Row],[Task Name]]="","",IF(OR(TakeBaseline="Yes",N(Tasks[[#This Row],[Baseline Duration]])=0),Tasks[[#This Row],[_SpanDays]],Tasks[[#This Row],[Baseline Duration]]))</f>
        <v/>
      </c>
      <c r="BP99" s="86" t="str">
        <f aca="false">IF(Tasks[[#This Row],[Task Name]]="","",IF(OR(TakeBaseline="Yes",N(Tasks[[#This Row],[Baseline Work]])=0),Tasks[[#This Row],[Work]],Tasks[[#This Row],[Baseline Work]]))</f>
        <v/>
      </c>
      <c r="BQ99" s="7"/>
      <c r="BR99" s="7"/>
      <c r="BS99" s="22"/>
      <c r="BT99" s="88"/>
      <c r="BU99" s="23"/>
      <c r="BV99" s="23"/>
      <c r="BW99" s="23"/>
      <c r="BX99" s="89" t="str">
        <f aca="false">IF(AND(Tasks[[#This Row],[_IsLeaf]]=1,ISNUMBER(Tasks[[#This Row],[Optimistic]]),ISNUMBER(Tasks[[#This Row],[Pessimistic]])),ROUND((Tasks[[#This Row],[Optimistic]]+4*N(Tasks[[#This Row],[_Days]])+Tasks[[#This Row],[Pessimistic]])/6,1),"")</f>
        <v/>
      </c>
      <c r="BY99" s="87"/>
      <c r="BZ99" s="87"/>
      <c r="CA99" s="22"/>
      <c r="CB99" s="43" t="str">
        <f aca="false">IF(Tasks[[#This Row],[Task Name]]="","",MAX(1,N(Tasks[[#This Row],[Level]])))</f>
        <v/>
      </c>
      <c r="CC99" s="43" t="n">
        <f aca="false">ROW()-ROW(Tasks[[#Headers],[ID]])</f>
        <v>94</v>
      </c>
      <c r="CD99" s="43" t="n">
        <f aca="false">IF(OR(Tasks[[#This Row],[Task Name]]="",Tasks[[#This Row],[_Level]]&lt;=1),0,IFERROR(LOOKUP(2,1/(Tasks[[#Headers],[_Level]]:Tasks[[#This Row],[_Level]]=Tasks[[#This Row],[_Level]]-1),ROW(Tasks[[#Headers],[_Level]]:Tasks[[#This Row],[_Level]])),0))</f>
        <v>0</v>
      </c>
      <c r="CE99" s="43" t="n">
        <f aca="false">IFERROR(N(INDEX(Tasks[_Level],Tasks[[#This Row],[_Row]]+1)),0)</f>
        <v>0</v>
      </c>
      <c r="CF99" s="90" t="b">
        <f aca="false">AND(Tasks[[#This Row],[Task Name]]&lt;&gt;"",Tasks[[#This Row],[_NextLevel]]&gt;Tasks[[#This Row],[_Level]])</f>
        <v>0</v>
      </c>
      <c r="CG99" s="43" t="n">
        <f aca="false">IF(Tasks[[#This Row],[_IsSummary]],COUNTIF(Tasks[WBS],Tasks[[#This Row],[WBS]]&amp;".*"),0)</f>
        <v>0</v>
      </c>
      <c r="CH99" s="43" t="n">
        <f aca="false">IF(AND(Tasks[[#This Row],[Task Name]]&lt;&gt;"",NOT(Tasks[[#This Row],[_IsSummary]])),1,0)</f>
        <v>0</v>
      </c>
      <c r="CI99" s="43" t="n">
        <f aca="false">IF(N(Tasks[[#This Row],[_Pred1UID]])=0,0,IFERROR(MATCH(Tasks[[#This Row],[_Pred1UID]],Tasks[UID],0),-1))</f>
        <v>0</v>
      </c>
      <c r="CJ99" s="43" t="n">
        <f aca="false">IF(N(Tasks[[#This Row],[_Pred2UID]])=0,0,IFERROR(MATCH(Tasks[[#This Row],[_Pred2UID]],Tasks[UID],0),-1))</f>
        <v>0</v>
      </c>
      <c r="CK99" s="43" t="n">
        <f aca="false">IF(N(Tasks[[#This Row],[_Pred3UID]])=0,0,IFERROR(MATCH(Tasks[[#This Row],[_Pred3UID]],Tasks[UID],0),-1))</f>
        <v>0</v>
      </c>
      <c r="CL99" s="43" t="n">
        <f aca="false">IF(N(Tasks[[#This Row],[_Pred4UID]])=0,0,IFERROR(MATCH(Tasks[[#This Row],[_Pred4UID]],Tasks[UID],0),-1))</f>
        <v>0</v>
      </c>
      <c r="CM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9" s="91" t="n">
        <f aca="false">IF(OR(Tasks[[#This Row],[_ConstraintCode]]=2,Tasks[[#This Row],[_ConstraintCode]]=3,Tasks[[#This Row],[_ConstraintCode]]=4,Tasks[[#This Row],[_ConstraintCode]]=6),Tasks[[#This Row],[_ConstraintStart]],0)</f>
        <v>0</v>
      </c>
      <c r="CP99" s="91" t="n">
        <f aca="false">IF(OR(Tasks[[#This Row],[_ConstraintCode]]=2,Tasks[[#This Row],[_ConstraintCode]]=3,Tasks[[#This Row],[_ConstraintCode]]=5,Tasks[[#This Row],[_ConstraintCode]]=7),Tasks[[#This Row],[_ConstraintStart]],2958465)</f>
        <v>2958465</v>
      </c>
      <c r="CQ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9" s="91" t="str">
        <f aca="false">IF(NOT(Tasks[[#This Row],[_IsLeaf]]=1),"",IF(N(Tasks[[#This Row],[_Days]])&lt;=0,Tasks[[#This Row],[_LeafCalcStart]],WORKDAY.INTL(Tasks[[#This Row],[_LeafCalcStart]],Tasks[[#This Row],[_Days]]-1,WorkWeek,Holidays)))</f>
        <v/>
      </c>
      <c r="CS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9" s="43" t="str">
        <f aca="false">IF(Tasks[[#This Row],[_Predecessors]]="","",TRIM(MID(SUBSTITUTE(SUBSTITUTE(SUBSTITUTE(UPPER(Tasks[[#This Row],[_Predecessors]]),";",",")," ",""),",",REPT(" ",99)),1,99)))</f>
        <v/>
      </c>
      <c r="CV99" s="43" t="str">
        <f aca="false">IF(Tasks[[#This Row],[_Pred1Text]]="","",IFERROR(VALUE(LEFT(Tasks[[#This Row],[_Pred1Text]],MIN(FIND("F",Tasks[[#This Row],[_Pred1Text]]&amp;"F"),FIND("S",Tasks[[#This Row],[_Pred1Text]]&amp;"S"),FIND("+",Tasks[[#This Row],[_Pred1Text]]&amp;"+"),FIND("-",Tasks[[#This Row],[_Pred1Text]]&amp;"-"))-1)),""))</f>
        <v/>
      </c>
      <c r="CW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9" s="43" t="str">
        <f aca="false">IF(Tasks[[#This Row],[_Pred1Text]]="","",TRIM(MID(SUBSTITUTE(SUBSTITUTE(SUBSTITUTE(UPPER(Tasks[[#This Row],[_Predecessors]]),";",",")," ",""),",",REPT(" ",99)),100,99)))</f>
        <v/>
      </c>
      <c r="CZ99" s="43" t="str">
        <f aca="false">IF(Tasks[[#This Row],[_Pred2Text]]="","",IFERROR(VALUE(LEFT(Tasks[[#This Row],[_Pred2Text]],MIN(FIND("F",Tasks[[#This Row],[_Pred2Text]]&amp;"F"),FIND("S",Tasks[[#This Row],[_Pred2Text]]&amp;"S"),FIND("+",Tasks[[#This Row],[_Pred2Text]]&amp;"+"),FIND("-",Tasks[[#This Row],[_Pred2Text]]&amp;"-"))-1)),""))</f>
        <v/>
      </c>
      <c r="DA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9" s="43" t="str">
        <f aca="false">IF(Tasks[[#This Row],[_Pred2Text]]="","",TRIM(MID(SUBSTITUTE(SUBSTITUTE(SUBSTITUTE(UPPER(Tasks[[#This Row],[_Predecessors]]),";",",")," ",""),",",REPT(" ",99)),199,99)))</f>
        <v/>
      </c>
      <c r="DD99" s="43" t="str">
        <f aca="false">IF(Tasks[[#This Row],[_Pred3Text]]="","",IFERROR(VALUE(LEFT(Tasks[[#This Row],[_Pred3Text]],MIN(FIND("F",Tasks[[#This Row],[_Pred3Text]]&amp;"F"),FIND("S",Tasks[[#This Row],[_Pred3Text]]&amp;"S"),FIND("+",Tasks[[#This Row],[_Pred3Text]]&amp;"+"),FIND("-",Tasks[[#This Row],[_Pred3Text]]&amp;"-"))-1)),""))</f>
        <v/>
      </c>
      <c r="DE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9" s="43" t="str">
        <f aca="false">IF(Tasks[[#This Row],[_Pred3Text]]="","",TRIM(MID(SUBSTITUTE(SUBSTITUTE(SUBSTITUTE(UPPER(Tasks[[#This Row],[_Predecessors]]),";",",")," ",""),",",REPT(" ",99)),298,99)))</f>
        <v/>
      </c>
      <c r="DH99" s="43" t="str">
        <f aca="false">IF(Tasks[[#This Row],[_Pred4Text]]="","",IFERROR(VALUE(LEFT(Tasks[[#This Row],[_Pred4Text]],MIN(FIND("F",Tasks[[#This Row],[_Pred4Text]]&amp;"F"),FIND("S",Tasks[[#This Row],[_Pred4Text]]&amp;"S"),FIND("+",Tasks[[#This Row],[_Pred4Text]]&amp;"+"),FIND("-",Tasks[[#This Row],[_Pred4Text]]&amp;"-"))-1)),""))</f>
        <v/>
      </c>
      <c r="DI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9" s="43" t="str">
        <f aca="false">IF(OR(Tasks[[#This Row],[Task Name]]="",Tasks[[#This Row],[_Resources]]=""),"",TRIM(MID(SUBSTITUTE(Tasks[[#This Row],[_Resources]],",",REPT(" ",99)),1,99)))</f>
        <v/>
      </c>
      <c r="DL99" s="43" t="str">
        <f aca="false">IF(Tasks[[#This Row],[_Res1Text]]="","",TRIM(MID(SUBSTITUTE(Tasks[[#This Row],[_Resources]],",",REPT(" ",99)),100,99)))</f>
        <v/>
      </c>
      <c r="DM99" s="43" t="str">
        <f aca="false">IF(Tasks[[#This Row],[_Res2Text]]="","",TRIM(MID(SUBSTITUTE(Tasks[[#This Row],[_Resources]],",",REPT(" ",99)),199,99)))</f>
        <v/>
      </c>
      <c r="DN99" s="43" t="str">
        <f aca="false">IF(Tasks[[#This Row],[_Res3Text]]="","",TRIM(MID(SUBSTITUTE(Tasks[[#This Row],[_Resources]],",",REPT(" ",99)),298,99)))</f>
        <v/>
      </c>
      <c r="DO99" s="43" t="n">
        <f aca="false">IF(Tasks[[#This Row],[_Res1Text]]="",0,IFERROR(MATCH(TRIM(LEFT(Tasks[[#This Row],[_Res1Text]],FIND("[",Tasks[[#This Row],[_Res1Text]]&amp;"[")-1)),res_Name,0),IFERROR(MATCH(TRIM(LEFT(Tasks[[#This Row],[_Res1Text]],FIND("[",Tasks[[#This Row],[_Res1Text]]&amp;"[")-1)),res_Initials,0),0)))</f>
        <v>0</v>
      </c>
      <c r="DP99" s="43" t="n">
        <f aca="false">IF(Tasks[[#This Row],[_Res2Text]]="",0,IFERROR(MATCH(TRIM(LEFT(Tasks[[#This Row],[_Res2Text]],FIND("[",Tasks[[#This Row],[_Res2Text]]&amp;"[")-1)),res_Name,0),IFERROR(MATCH(TRIM(LEFT(Tasks[[#This Row],[_Res2Text]],FIND("[",Tasks[[#This Row],[_Res2Text]]&amp;"[")-1)),res_Initials,0),0)))</f>
        <v>0</v>
      </c>
      <c r="DQ99" s="43" t="n">
        <f aca="false">IF(Tasks[[#This Row],[_Res3Text]]="",0,IFERROR(MATCH(TRIM(LEFT(Tasks[[#This Row],[_Res3Text]],FIND("[",Tasks[[#This Row],[_Res3Text]]&amp;"[")-1)),res_Name,0),IFERROR(MATCH(TRIM(LEFT(Tasks[[#This Row],[_Res3Text]],FIND("[",Tasks[[#This Row],[_Res3Text]]&amp;"[")-1)),res_Initials,0),0)))</f>
        <v>0</v>
      </c>
      <c r="DR99" s="43" t="n">
        <f aca="false">IF(Tasks[[#This Row],[_Res4Text]]="",0,IFERROR(MATCH(TRIM(LEFT(Tasks[[#This Row],[_Res4Text]],FIND("[",Tasks[[#This Row],[_Res4Text]]&amp;"[")-1)),res_Name,0),IFERROR(MATCH(TRIM(LEFT(Tasks[[#This Row],[_Res4Text]],FIND("[",Tasks[[#This Row],[_Res4Text]]&amp;"[")-1)),res_Initials,0),0)))</f>
        <v>0</v>
      </c>
      <c r="DS99" s="43" t="str">
        <f aca="false">IF(Tasks[[#This Row],[_Res1Text]]="","",IF(Tasks[[#This Row],[_Res1Row]]&gt;0,INDEX(res_Name,Tasks[[#This Row],[_Res1Row]]),TRIM(LEFT(Tasks[[#This Row],[_Res1Text]],FIND("[",Tasks[[#This Row],[_Res1Text]]&amp;"[")-1))))</f>
        <v/>
      </c>
      <c r="DT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9" s="43" t="n">
        <f aca="false">IF(NOT(Tasks[[#This Row],[_IsLeaf]]=1),0,(Tasks[[#This Row],[_Resource1]]&lt;&gt;"")+(Tasks[[#This Row],[_Res2]]&lt;&gt;"")+(Tasks[[#This Row],[_Res3]]&lt;&gt;"")+(Tasks[[#This Row],[_Res4]]&lt;&gt;""))</f>
        <v>0</v>
      </c>
      <c r="DV99" s="43" t="str">
        <f aca="false">IF(Tasks[[#This Row],[_Res2Text]]="","",IF(Tasks[[#This Row],[_Res2Row]]&gt;0,INDEX(res_Name,Tasks[[#This Row],[_Res2Row]]),TRIM(LEFT(Tasks[[#This Row],[_Res2Text]],FIND("[",Tasks[[#This Row],[_Res2Text]]&amp;"[")-1))))</f>
        <v/>
      </c>
      <c r="DW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9" s="43" t="n">
        <f aca="false">IF(OR(NOT(Tasks[[#This Row],[_IsLeaf]]=1),Tasks[[#This Row],[_Res2Row]]=0),0,N(Tasks[[#This Row],[_Days]])*HoursPerDay*IF(Tasks[[#This Row],[_Res2Units]]="",DefaultUnits,Tasks[[#This Row],[_Res2Units]]))</f>
        <v>0</v>
      </c>
      <c r="DY99" s="43" t="n">
        <f aca="false">IF(AND(AND(Tasks[[#This Row],[_IsLeaf]]=1,Tasks[[#This Row],[_LeafTotalWork]]&gt;0),Tasks[[#This Row],[_Res2Work]]&gt;0),Tasks[[#This Row],[_Res2Work]]/(Tasks[[#This Row],[_FinishWorkday]]-Tasks[[#This Row],[_StartWorkday]]+1),0)</f>
        <v>0</v>
      </c>
      <c r="DZ99" s="43" t="n">
        <f aca="false">Tasks[[#This Row],[_Res2WorkPerWD]]*MAX(0,Tasks[[#This Row],[_StartWorkday]]-1)</f>
        <v>0</v>
      </c>
      <c r="EA99" s="43" t="n">
        <f aca="false">Tasks[[#This Row],[_Res2Work]]*Tasks[[#This Row],[_LeafProgress]]</f>
        <v>0</v>
      </c>
      <c r="EB99" s="43" t="str">
        <f aca="false">IF(Tasks[[#This Row],[_Res3Text]]="","",IF(Tasks[[#This Row],[_Res3Row]]&gt;0,INDEX(res_Name,Tasks[[#This Row],[_Res3Row]]),TRIM(LEFT(Tasks[[#This Row],[_Res3Text]],FIND("[",Tasks[[#This Row],[_Res3Text]]&amp;"[")-1))))</f>
        <v/>
      </c>
      <c r="EC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9" s="43" t="n">
        <f aca="false">IF(OR(NOT(Tasks[[#This Row],[_IsLeaf]]=1),Tasks[[#This Row],[_Res3Row]]=0),0,N(Tasks[[#This Row],[_Days]])*HoursPerDay*IF(Tasks[[#This Row],[_Res3Units]]="",DefaultUnits,Tasks[[#This Row],[_Res3Units]]))</f>
        <v>0</v>
      </c>
      <c r="EE99" s="43" t="n">
        <f aca="false">IF(AND(AND(Tasks[[#This Row],[_IsLeaf]]=1,Tasks[[#This Row],[_LeafTotalWork]]&gt;0),Tasks[[#This Row],[_Res3Work]]&gt;0),Tasks[[#This Row],[_Res3Work]]/(Tasks[[#This Row],[_FinishWorkday]]-Tasks[[#This Row],[_StartWorkday]]+1),0)</f>
        <v>0</v>
      </c>
      <c r="EF99" s="43" t="n">
        <f aca="false">Tasks[[#This Row],[_Res3WorkPerWD]]*MAX(0,Tasks[[#This Row],[_StartWorkday]]-1)</f>
        <v>0</v>
      </c>
      <c r="EG99" s="43" t="n">
        <f aca="false">Tasks[[#This Row],[_Res3Work]]*Tasks[[#This Row],[_LeafProgress]]</f>
        <v>0</v>
      </c>
      <c r="EH99" s="43" t="str">
        <f aca="false">IF(Tasks[[#This Row],[_Res4Text]]="","",IF(Tasks[[#This Row],[_Res4Row]]&gt;0,INDEX(res_Name,Tasks[[#This Row],[_Res4Row]]),TRIM(LEFT(Tasks[[#This Row],[_Res4Text]],FIND("[",Tasks[[#This Row],[_Res4Text]]&amp;"[")-1))))</f>
        <v/>
      </c>
      <c r="EI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9" s="43" t="n">
        <f aca="false">IF(OR(NOT(Tasks[[#This Row],[_IsLeaf]]=1),Tasks[[#This Row],[_Res4Row]]=0),0,N(Tasks[[#This Row],[_Days]])*HoursPerDay*IF(Tasks[[#This Row],[_Res4Units]]="",DefaultUnits,Tasks[[#This Row],[_Res4Units]]))</f>
        <v>0</v>
      </c>
      <c r="EK99" s="43" t="n">
        <f aca="false">IF(AND(AND(Tasks[[#This Row],[_IsLeaf]]=1,Tasks[[#This Row],[_LeafTotalWork]]&gt;0),Tasks[[#This Row],[_Res4Work]]&gt;0),Tasks[[#This Row],[_Res4Work]]/(Tasks[[#This Row],[_FinishWorkday]]-Tasks[[#This Row],[_StartWorkday]]+1),0)</f>
        <v>0</v>
      </c>
      <c r="EL99" s="43" t="n">
        <f aca="false">Tasks[[#This Row],[_Res4WorkPerWD]]*MAX(0,Tasks[[#This Row],[_StartWorkday]]-1)</f>
        <v>0</v>
      </c>
      <c r="EM99" s="43" t="n">
        <f aca="false">Tasks[[#This Row],[_Res4Work]]*Tasks[[#This Row],[_LeafProgress]]</f>
        <v>0</v>
      </c>
      <c r="EN99" s="43" t="n">
        <f aca="false">IF(ISNUMBER(Tasks[[#This Row],[% Complete]]),Tasks[[#This Row],[% Complete]],IF(Tasks[[#This Row],[Stage]]="",0,IFERROR(INDEX(stg_Pct,MATCH(Tasks[[#This Row],[Stage]],stg_Name,0)),0)))</f>
        <v>0</v>
      </c>
      <c r="EO99" s="43" t="n">
        <f aca="false">IF(NOT(Tasks[[#This Row],[_IsLeaf]]=1),0,IF(N(Tasks[[#This Row],[Actual Finish]])&gt;0,1,MIN(1,Tasks[[#This Row],[_Pct]])))</f>
        <v>0</v>
      </c>
      <c r="EP99" s="43" t="n">
        <f aca="false">IF(OR(NOT(Tasks[[#This Row],[_IsLeaf]]=1),Tasks[[#This Row],[_Res1Row]]=0),0,N(Tasks[[#This Row],[_Days]])*HoursPerDay*IF(Tasks[[#This Row],[_Units1]]="",DefaultUnits,Tasks[[#This Row],[_Units1]]))</f>
        <v>0</v>
      </c>
      <c r="EQ99" s="43" t="n">
        <f aca="false">Tasks[[#This Row],[_LeafWork]]+Tasks[[#This Row],[_Res2Work]]+Tasks[[#This Row],[_Res3Work]]+Tasks[[#This Row],[_Res4Work]]</f>
        <v>0</v>
      </c>
      <c r="ER9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9" s="43" t="n">
        <f aca="false">IF(NOT(Tasks[[#This Row],[_IsLeaf]]=1),0,MAX(_xlfn.MAXIFS(Tasks[_Row],Tasks[_Pred1UID],Tasks[[#This Row],[UID]]),_xlfn.MAXIFS(Tasks[_Row],Tasks[_Pred2UID],Tasks[[#This Row],[UID]]),_xlfn.MAXIFS(Tasks[_Row],Tasks[_Pred3UID],Tasks[[#This Row],[UID]]),_xlfn.MAXIFS(Tasks[_Row],Tasks[_Pred4UID],Tasks[[#This Row],[UID]])))</f>
        <v>0</v>
      </c>
      <c r="FA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9" s="91" t="str">
        <f aca="false">IF(NOT(Tasks[[#This Row],[_IsLeaf]]=1),"",IF(N(Tasks[[#This Row],[_Days]])&lt;=0,Tasks[[#This Row],[_LeafLateFinish]],WORKDAY.INTL(Tasks[[#This Row],[_LeafLateFinish]],-(Tasks[[#This Row],[_Days]]-1),WorkWeek,Holidays)))</f>
        <v/>
      </c>
      <c r="FD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9" s="90" t="b">
        <f aca="false">AND(Tasks[[#This Row],[_IsLeaf]]=1,Tasks[[#This Row],[_LeafProgress]]&lt;1,N(Tasks[[#This Row],[_LeafTotalSlack]])&lt;=CriticalSlackDays)</f>
        <v>0</v>
      </c>
      <c r="FF99" s="43" t="n">
        <f aca="false">IF(AND(Tasks[[#This Row],[_IsLeaf]]=1,Tasks[[#This Row],[_ConstraintCode]]=1,Tasks[[#This Row],[Mode]]&lt;&gt;"Manual",N(Tasks[[#This Row],[Actual Start]])=0),MAX(0,N(Tasks[[#This Row],[Free Slack]])),0)</f>
        <v>0</v>
      </c>
      <c r="FG99" s="91" t="str">
        <f aca="false">IF(NOT(Tasks[[#This Row],[_IsLeaf]]=1),"",IF(Tasks[[#This Row],[_AlapShift]]=0,Tasks[[#This Row],[_LeafCalcStart]],WORKDAY.INTL(Tasks[[#This Row],[_LeafCalcStart]],Tasks[[#This Row],[_AlapShift]],WorkWeek,Holidays)))</f>
        <v/>
      </c>
      <c r="FH99" s="91" t="str">
        <f aca="false">IF(NOT(Tasks[[#This Row],[_IsLeaf]]=1),"",IF(Tasks[[#This Row],[_AlapShift]]=0,Tasks[[#This Row],[_LeafCalcFinish]],WORKDAY.INTL(Tasks[[#This Row],[_LeafCalcFinish]],Tasks[[#This Row],[_AlapShift]],WorkWeek,Holidays)))</f>
        <v/>
      </c>
      <c r="FI99" s="91" t="str">
        <f aca="false">IF(NOT(Tasks[[#This Row],[_IsLeaf]]=1),"",IF(Tasks[[#This Row],[_AlapShift]]=0,Tasks[[#This Row],[_LeafFcstStart]],WORKDAY.INTL(Tasks[[#This Row],[_LeafFcstStart]],Tasks[[#This Row],[_AlapShift]],WorkWeek,Holidays)))</f>
        <v/>
      </c>
      <c r="FJ99" s="91" t="str">
        <f aca="false">IF(NOT(Tasks[[#This Row],[_IsLeaf]]=1),"",IF(Tasks[[#This Row],[_AlapShift]]=0,Tasks[[#This Row],[_LeafFcstFinish]],WORKDAY.INTL(Tasks[[#This Row],[_LeafFcstFinish]],Tasks[[#This Row],[_AlapShift]],WorkWeek,Holidays)))</f>
        <v/>
      </c>
      <c r="FK99" s="91" t="str">
        <f aca="false">IF(Tasks[[#This Row],[Task Name]]="","",IF(Tasks[[#This Row],[_IsSummary]],MIN(INDEX(Tasks[_ShownCalcStart],Tasks[[#This Row],[_Row]]+1):INDEX(Tasks[_ShownCalcStart],Tasks[[#This Row],[_Row]]+Tasks[[#This Row],[_Descendants]])),Tasks[[#This Row],[_ShownCalcStart]]))</f>
        <v/>
      </c>
      <c r="FL99" s="91" t="str">
        <f aca="false">IF(Tasks[[#This Row],[Task Name]]="","",IF(Tasks[[#This Row],[_IsSummary]],MAX(INDEX(Tasks[_ShownCalcFinish],Tasks[[#This Row],[_Row]]+1):INDEX(Tasks[_ShownCalcFinish],Tasks[[#This Row],[_Row]]+Tasks[[#This Row],[_Descendants]])),Tasks[[#This Row],[_ShownCalcFinish]]))</f>
        <v/>
      </c>
      <c r="FM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9" s="43" t="n">
        <f aca="false">IF(AND(Tasks[[#This Row],[_IsLeaf]]=1,Tasks[[#This Row],[_LeafTotalWork]]&gt;0),NETWORKDAYS.INTL(ProjectStart,Tasks[[#This Row],[_ShownFcstStart]],WorkWeek,Holidays),0)</f>
        <v>0</v>
      </c>
      <c r="FZ99" s="43" t="n">
        <f aca="false">IF(AND(Tasks[[#This Row],[_IsLeaf]]=1,Tasks[[#This Row],[_LeafTotalWork]]&gt;0),MAX(Tasks[[#This Row],[_StartWorkday]],NETWORKDAYS.INTL(ProjectStart,Tasks[[#This Row],[_ShownFcstFinish]],WorkWeek,Holidays)),0)</f>
        <v>0</v>
      </c>
      <c r="GA99" s="43" t="n">
        <f aca="false">IF(AND(Tasks[[#This Row],[_IsLeaf]]=1,Tasks[[#This Row],[_LeafTotalWork]]&gt;0),Tasks[[#This Row],[_LeafWork]]/(Tasks[[#This Row],[_FinishWorkday]]-Tasks[[#This Row],[_StartWorkday]]+1),0)</f>
        <v>0</v>
      </c>
      <c r="GB99" s="43" t="n">
        <f aca="false">Tasks[[#This Row],[_WorkPerWorkday]]*(Tasks[[#This Row],[_StartWorkday]]-1)</f>
        <v>-0</v>
      </c>
      <c r="GC99" s="43" t="n">
        <f aca="false">IF(Tasks[[#This Row],[_IsLeaf]]=1,MAX(N(Tasks[[#This Row],[_Days]]),0.1),0)</f>
        <v>0</v>
      </c>
      <c r="GD99" s="43" t="n">
        <f aca="false">Tasks[[#This Row],[_WeightDur]]*Tasks[[#This Row],[_LeafProgress]]</f>
        <v>0</v>
      </c>
      <c r="GE99" s="43" t="n">
        <f aca="false">Tasks[[#This Row],[_WeightDur]]*Tasks[[#This Row],[_PlannedPct]]</f>
        <v>0</v>
      </c>
      <c r="GF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9" s="43" t="str">
        <f aca="false">IF(AND(Tasks[[#This Row],[_IsLeaf]]=1,N(Tasks[[#This Row],[_Days]])=0,Tasks[[#This Row],[_LeafProgress]]&lt;1),Tasks[[#This Row],[_ShownFcstFinish]]+Tasks[[#This Row],[_Row]]/100000,"")</f>
        <v/>
      </c>
      <c r="GH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9" s="43" t="str">
        <f aca="false">IF(Tasks[[#This Row],[Task Name]]="","",LEFT(Tasks[[#This Row],[WBS]],FIND(".",Tasks[[#This Row],[WBS]]&amp;".")-1))</f>
        <v/>
      </c>
      <c r="GJ99" s="43" t="str">
        <f aca="false">IF(AND(Tasks[[#This Row],[Task Name]]&lt;&gt;"",Tasks[[#This Row],[_Level]]=1),Tasks[[#This Row],[_Row]],"")</f>
        <v/>
      </c>
      <c r="GK99" s="43" t="str">
        <f aca="false">IF(AND(Tasks[[#This Row],[_IsLeaf]]=1,N(Tasks[[#This Row],[_Days]])=0),Tasks[[#This Row],[Planned Finish]]+Tasks[[#This Row],[_Row]]/100000,"")</f>
        <v/>
      </c>
      <c r="GL99" s="43" t="str">
        <f aca="false">IF(AND(Tasks[[#This Row],[_IsLeaf]]=1,Tasks[[#This Row],[_LeafProgress]]&lt;1,OR(N(Tasks[[#This Row],[Finish Var]])&gt;0,Tasks[[#This Row],[Status]]="Late Start")),MAX(0,Tasks[[#This Row],[Finish Var]])+1-Tasks[[#This Row],[_Row]]/1000000,"")</f>
        <v/>
      </c>
      <c r="GM99" s="43" t="str">
        <f aca="false">IF(AND(Tasks[[#This Row],[_IsLeaf]]=1,N(Tasks[[#This Row],[Actual Start]])=0,Tasks[[#This Row],[_ShownFcstStart]]&gt;=StatusDate,Tasks[[#This Row],[_ShownFcstStart]]&lt;=LookaheadEnd),Tasks[[#This Row],[_ShownFcstStart]]+Tasks[[#This Row],[_Row]]/100000,"")</f>
        <v/>
      </c>
      <c r="GN99" s="43" t="str">
        <f aca="false">IF(AND(Tasks[[#This Row],[_IsLeaf]]=1,Tasks[[#This Row],[_LeafProgress]]&lt;1,Tasks[[#This Row],[_ShownFcstFinish]]&gt;=StatusDate,Tasks[[#This Row],[_ShownFcstFinish]]&lt;=LookaheadEnd),Tasks[[#This Row],[_ShownFcstFinish]]+Tasks[[#This Row],[_Row]]/100000,"")</f>
        <v/>
      </c>
      <c r="GO99" s="43" t="str">
        <f aca="false">IF(Tasks[[#This Row],[_LeafCritical]],Tasks[[#This Row],[_ShownFcstStart]]+Tasks[[#This Row],[_Row]]/100000,"")</f>
        <v/>
      </c>
      <c r="GP99" s="43" t="n">
        <f aca="false">Tasks[[#This Row],[_LeafWork]]*Tasks[[#This Row],[_LeafProgress]]</f>
        <v>0</v>
      </c>
      <c r="GQ99" s="91" t="str">
        <f aca="false">IF(AND(Tasks[[#This Row],[_IsLeaf]]=1,Tasks[[#This Row],[_LeafProgress]]&gt;=1),IF(N(Tasks[[#This Row],[Actual Finish]])&gt;0,Tasks[[#This Row],[Actual Finish]],Tasks[[#This Row],[_ShownFcstFinish]]),"")</f>
        <v/>
      </c>
      <c r="GR99" s="43" t="n">
        <f aca="false">IF(Tasks[[#This Row],[_IsLeaf]]=1,N(Tasks[[#This Row],[Story Points]]),0)</f>
        <v>0</v>
      </c>
      <c r="GS99" s="43" t="str">
        <f aca="false">""</f>
        <v/>
      </c>
      <c r="GT99" s="90" t="b">
        <f aca="false">IF(Tasks[[#This Row],[Task Name]]="",FALSE(),AND(Tasks[[#This Row],[_IsLeaf]]=1,N(Tasks[[#This Row],[_Days]])=0))</f>
        <v>0</v>
      </c>
      <c r="GU99" s="91" t="n">
        <f aca="false">IF(Tasks[[#This Row],[Task Name]]="",0,IF(AND(Tasks[[#This Row],[_IsLeaf]]=1,NOT(Tasks[[#This Row],[_IsMilestone]]),N(Tasks[[#This Row],[Progress]])&gt;0),Tasks[[#This Row],[Start]],0))</f>
        <v>0</v>
      </c>
      <c r="GV99" s="91" t="n">
        <f aca="false">IF(Tasks[[#This Row],[_DoneFrom]]=0,0,IF(Tasks[[#This Row],[Progress]]&gt;=1,Tasks[[#This Row],[Finish]],MAX(Tasks[[#This Row],[_DoneFrom]],Tasks[[#This Row],[Start]]+ROUND((Tasks[[#This Row],[Finish]]-Tasks[[#This Row],[Start]]+1)*Tasks[[#This Row],[Progress]],0)-1)))</f>
        <v>0</v>
      </c>
      <c r="GW99" s="91" t="n">
        <f aca="false">IF(Tasks[[#This Row],[Task Name]]="",0,IF(OR(NOT(Tasks[[#This Row],[_IsLeaf]]=1),Tasks[[#This Row],[_IsMilestone]],N(Tasks[[#This Row],[Progress]])&gt;=1),0,IF(Tasks[[#This Row],[_DoneTo]]&gt;0,Tasks[[#This Row],[_DoneTo]]+1,Tasks[[#This Row],[Start]])))</f>
        <v>0</v>
      </c>
      <c r="GX99" s="91" t="n">
        <f aca="false">IF(Tasks[[#This Row],[_RemFrom]]=0,0,Tasks[[#This Row],[Finish]])</f>
        <v>0</v>
      </c>
      <c r="GY99" s="90" t="b">
        <f aca="false">IF(Tasks[[#This Row],[Task Name]]="",FALSE(),OR(NOT(BaselineSet),N(Tasks[[#This Row],[Baseline Start]])&gt;0))</f>
        <v>0</v>
      </c>
      <c r="GZ9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9" s="92" t="str">
        <f aca="false">IF(Tasks[[#This Row],[_IsLeaf]]=1,Tasks[[#This Row],[_Row]],"")</f>
        <v/>
      </c>
      <c r="HD99" s="92" t="str">
        <f aca="false">IFERROR(INDEX(Tasks[UID],SMALL(Tasks[_PickKey],Tasks[[#This Row],[_Row]]))&amp;" "&amp;INDEX(Tasks[Task Name],SMALL(Tasks[_PickKey],Tasks[[#This Row],[_Row]])),"")</f>
        <v/>
      </c>
      <c r="HE99" s="43" t="str">
        <f aca="false">IF(Tasks[[#This Row],[Task Name]]="","",IF(Tasks[[#This Row],[_IsSummary]],NETWORKDAYS.INTL(Tasks[[#This Row],[Start]],Tasks[[#This Row],[Finish]],WorkWeek,Holidays),N(Tasks[[#This Row],[_Days]])))</f>
        <v/>
      </c>
      <c r="HF99" s="43" t="n">
        <f aca="false">IF(Tasks[[#This Row],[Expected]]="",0,((Tasks[[#This Row],[Pessimistic]]-Tasks[[#This Row],[Optimistic]])/6)^2)</f>
        <v>0</v>
      </c>
      <c r="HG99" s="43" t="n">
        <f aca="false">IF(Tasks[[#This Row],[Expected]]="",0,Tasks[[#This Row],[Expected]]-N(Tasks[[#This Row],[_Days]]))</f>
        <v>0</v>
      </c>
    </row>
    <row r="100" customFormat="false" ht="15" hidden="false" customHeight="false" outlineLevel="0" collapsed="false">
      <c r="A100" s="21" t="str">
        <f aca="false">IF(Tasks[[#This Row],[Task Name]]="","",COUNTA(Tasks[[#Headers],[Task Name]]:Tasks[[#This Row],[Task Name]])-1)</f>
        <v/>
      </c>
      <c r="B100" s="22" t="n">
        <v>108</v>
      </c>
      <c r="C100" s="22"/>
      <c r="D100" s="23"/>
      <c r="E100" s="22"/>
      <c r="F100" s="23"/>
      <c r="G100" s="22"/>
      <c r="H100" s="22"/>
      <c r="I100" s="23"/>
      <c r="J100" s="22"/>
      <c r="K100" s="22"/>
      <c r="L100" s="23"/>
      <c r="M100" s="22"/>
      <c r="N100" s="22"/>
      <c r="O100" s="23"/>
      <c r="P100" s="22"/>
      <c r="Q100" s="22"/>
      <c r="R100" s="23"/>
      <c r="S100" s="23"/>
      <c r="T100" s="84"/>
      <c r="U100" s="23"/>
      <c r="V100" s="84"/>
      <c r="W100" s="23"/>
      <c r="X100" s="84"/>
      <c r="Y100" s="23"/>
      <c r="Z100" s="84"/>
      <c r="AA100" s="23"/>
      <c r="AB100" s="23"/>
      <c r="AC100" s="7"/>
      <c r="AD100" s="7"/>
      <c r="AE100" s="63" t="str">
        <f aca="false">IF(Tasks[[#This Row],[Task Name]]="","",IF(Tasks[[#This Row],[_IsSummary]],MIN(INDEX(Tasks[_ShownFcstStart],Tasks[[#This Row],[_Row]]+1):INDEX(Tasks[_ShownFcstStart],Tasks[[#This Row],[_Row]]+Tasks[[#This Row],[_Descendants]])),Tasks[[#This Row],[_ShownFcstStart]]))</f>
        <v/>
      </c>
      <c r="AF100" s="63" t="str">
        <f aca="false">IF(Tasks[[#This Row],[Task Name]]="","",IF(Tasks[[#This Row],[_IsSummary]],MAX(INDEX(Tasks[_ShownFcstFinish],Tasks[[#This Row],[_Row]]+1):INDEX(Tasks[_ShownFcstFinish],Tasks[[#This Row],[_Row]]+Tasks[[#This Row],[_Descendants]])),Tasks[[#This Row],[_ShownFcstFinish]]))</f>
        <v/>
      </c>
      <c r="AG100" s="21" t="str">
        <f aca="false">""</f>
        <v/>
      </c>
      <c r="AH100" s="23"/>
      <c r="AI1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0" s="7"/>
      <c r="AK100" s="22"/>
      <c r="AL100" s="23"/>
      <c r="AM100" s="7"/>
      <c r="AN100" s="47" t="str">
        <f aca="false">IF(Tasks[[#This Row],[Task Name]]="","",IF(Tasks[[#This Row],[Finish]]&gt;=Tasks[[#This Row],[Planned Finish]],NETWORKDAYS.INTL(Tasks[[#This Row],[Planned Finish]],Tasks[[#This Row],[Finish]],WorkWeek,Holidays)-1,1-NETWORKDAYS.INTL(Tasks[[#This Row],[Finish]],Tasks[[#This Row],[Planned Finish]],WorkWeek,Holidays)))</f>
        <v/>
      </c>
      <c r="AO100" s="21" t="str">
        <f aca="false">IF(Tasks[[#This Row],[Task Name]]="","",IF(Tasks[[#This Row],[Progress]]&gt;=1,"Complete",IF(OR(N(Tasks[[#This Row],[Actual Start]])&gt;0,Tasks[[#This Row],[Progress]]&gt;0),IF(Tasks[[#This Row],[Finish Var]]&gt;0,"Behind","In Progress"),IF(Tasks[[#This Row],[Planned Start]]&lt;StatusDate,"Late Start","Not Started"))))</f>
        <v/>
      </c>
      <c r="AP100" s="21" t="str">
        <f aca="false">IF(Tasks[[#This Row],[Task Name]]="","",IF(IF(Tasks[[#This Row],[_IsSummary]],COUNTIF(INDEX(Tasks[_LeafCritical],Tasks[[#This Row],[_Row]]+1):INDEX(Tasks[_LeafCritical],Tasks[[#This Row],[_Row]]+Tasks[[#This Row],[_Descendants]]),TRUE())&gt;0,Tasks[[#This Row],[_LeafCritical]]),"Yes",""))</f>
        <v/>
      </c>
      <c r="AQ100" s="63" t="str">
        <f aca="false">IF(Tasks[[#This Row],[Task Name]]="","",IF(N(Tasks[[#This Row],[Baseline Start]])&gt;0,Tasks[[#This Row],[Baseline Start]],Tasks[[#This Row],[_CalcStart]]))</f>
        <v/>
      </c>
      <c r="AR100" s="63" t="str">
        <f aca="false">IF(Tasks[[#This Row],[Task Name]]="","",IF(N(Tasks[[#This Row],[Baseline Finish]])&gt;0,Tasks[[#This Row],[Baseline Finish]],Tasks[[#This Row],[_CalcFinish]]))</f>
        <v/>
      </c>
      <c r="AS100" s="47" t="str">
        <f aca="false">IF(Tasks[[#This Row],[Task Name]]="","",IF(Tasks[[#This Row],[Start]]&gt;=Tasks[[#This Row],[Planned Start]],NETWORKDAYS.INTL(Tasks[[#This Row],[Planned Start]],Tasks[[#This Row],[Start]],WorkWeek,Holidays)-1,1-NETWORKDAYS.INTL(Tasks[[#This Row],[Start]],Tasks[[#This Row],[Planned Start]],WorkWeek,Holidays)))</f>
        <v/>
      </c>
      <c r="AT100" s="63" t="str">
        <f aca="false">IF(Tasks[[#This Row],[Task Name]]="","",IF(Tasks[[#This Row],[_IsSummary]],MIN(INDEX(Tasks[_LeafLateStart],Tasks[[#This Row],[_Row]]+1):INDEX(Tasks[_LeafLateStart],Tasks[[#This Row],[_Row]]+Tasks[[#This Row],[_Descendants]])),Tasks[[#This Row],[_LeafLateStart]]))</f>
        <v/>
      </c>
      <c r="AU100" s="63" t="str">
        <f aca="false">IF(Tasks[[#This Row],[Task Name]]="","",IF(Tasks[[#This Row],[_IsSummary]],MAX(INDEX(Tasks[_LeafLateFinish],Tasks[[#This Row],[_Row]]+1):INDEX(Tasks[_LeafLateFinish],Tasks[[#This Row],[_Row]]+Tasks[[#This Row],[_Descendants]])),Tasks[[#This Row],[_LeafLateFinish]]))</f>
        <v/>
      </c>
      <c r="AV100" s="47" t="str">
        <f aca="false">IF(Tasks[[#This Row],[Task Name]]="","",IF(Tasks[[#This Row],[_IsSummary]],MIN(INDEX(Tasks[_LeafTotalSlack],Tasks[[#This Row],[_Row]]+1):INDEX(Tasks[_LeafTotalSlack],Tasks[[#This Row],[_Row]]+Tasks[[#This Row],[_Descendants]])),Tasks[[#This Row],[_LeafTotalSlack]]))</f>
        <v/>
      </c>
      <c r="AW1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5"/>
      <c r="BA10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t="str">
        <f aca="false">IF(Tasks[[#This Row],[Task Name]]="","",IF(Tasks[[#This Row],[_Level]]&lt;=OutlineShowLevel,"Yes","No"))</f>
        <v/>
      </c>
      <c r="BE100" s="86" t="str">
        <f aca="false">IF(Tasks[[#This Row],[Task Name]]="","",IF(Tasks[[#This Row],[_IsSummary]],SUM(INDEX(Tasks[_LeafTotalWork],Tasks[[#This Row],[_Row]]+1):INDEX(Tasks[_LeafTotalWork],Tasks[[#This Row],[_Row]]+Tasks[[#This Row],[_Descendants]])),Tasks[[#This Row],[_LeafTotalWork]]))</f>
        <v/>
      </c>
      <c r="BF100" s="23"/>
      <c r="BG1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t="str">
        <f aca="false">""</f>
        <v/>
      </c>
      <c r="BI100" s="87"/>
      <c r="BJ100" s="22"/>
      <c r="BK100" s="47" t="str">
        <f aca="false">IF(OR(Tasks[[#This Row],[Task Name]]="",Tasks[[#This Row],[Baseline Duration]]=""),"",Tasks[[#This Row],[_SpanDays]]-N(Tasks[[#This Row],[Baseline Duration]]))</f>
        <v/>
      </c>
      <c r="BL100" s="86" t="str">
        <f aca="false">IF(OR(Tasks[[#This Row],[Task Name]]="",Tasks[[#This Row],[Baseline Work]]=""),"",Tasks[[#This Row],[Work]]-N(Tasks[[#This Row],[Baseline Work]]))</f>
        <v/>
      </c>
      <c r="BM100" s="63" t="str">
        <f aca="false">IF(Tasks[[#This Row],[Task Name]]="","",IF(OR(TakeBaseline="Yes",N(Tasks[[#This Row],[Baseline Start]])=0),Tasks[[#This Row],[Start]],Tasks[[#This Row],[Baseline Start]]))</f>
        <v/>
      </c>
      <c r="BN100" s="63" t="str">
        <f aca="false">IF(Tasks[[#This Row],[Task Name]]="","",IF(OR(TakeBaseline="Yes",N(Tasks[[#This Row],[Baseline Finish]])=0),Tasks[[#This Row],[Finish]],Tasks[[#This Row],[Baseline Finish]]))</f>
        <v/>
      </c>
      <c r="BO100" s="21" t="str">
        <f aca="false">IF(Tasks[[#This Row],[Task Name]]="","",IF(OR(TakeBaseline="Yes",N(Tasks[[#This Row],[Baseline Duration]])=0),Tasks[[#This Row],[_SpanDays]],Tasks[[#This Row],[Baseline Duration]]))</f>
        <v/>
      </c>
      <c r="BP100" s="86" t="str">
        <f aca="false">IF(Tasks[[#This Row],[Task Name]]="","",IF(OR(TakeBaseline="Yes",N(Tasks[[#This Row],[Baseline Work]])=0),Tasks[[#This Row],[Work]],Tasks[[#This Row],[Baseline Work]]))</f>
        <v/>
      </c>
      <c r="BQ100" s="7"/>
      <c r="BR100" s="7"/>
      <c r="BS100" s="22"/>
      <c r="BT100" s="88"/>
      <c r="BU100" s="23"/>
      <c r="BV100" s="23"/>
      <c r="BW100" s="23"/>
      <c r="BX100" s="89" t="str">
        <f aca="false">IF(AND(Tasks[[#This Row],[_IsLeaf]]=1,ISNUMBER(Tasks[[#This Row],[Optimistic]]),ISNUMBER(Tasks[[#This Row],[Pessimistic]])),ROUND((Tasks[[#This Row],[Optimistic]]+4*N(Tasks[[#This Row],[_Days]])+Tasks[[#This Row],[Pessimistic]])/6,1),"")</f>
        <v/>
      </c>
      <c r="BY100" s="87"/>
      <c r="BZ100" s="87"/>
      <c r="CA100" s="22"/>
      <c r="CB100" s="43" t="str">
        <f aca="false">IF(Tasks[[#This Row],[Task Name]]="","",MAX(1,N(Tasks[[#This Row],[Level]])))</f>
        <v/>
      </c>
      <c r="CC100" s="43" t="n">
        <f aca="false">ROW()-ROW(Tasks[[#Headers],[ID]])</f>
        <v>95</v>
      </c>
      <c r="CD100" s="43" t="n">
        <f aca="false">IF(OR(Tasks[[#This Row],[Task Name]]="",Tasks[[#This Row],[_Level]]&lt;=1),0,IFERROR(LOOKUP(2,1/(Tasks[[#Headers],[_Level]]:Tasks[[#This Row],[_Level]]=Tasks[[#This Row],[_Level]]-1),ROW(Tasks[[#Headers],[_Level]]:Tasks[[#This Row],[_Level]])),0))</f>
        <v>0</v>
      </c>
      <c r="CE100" s="43" t="n">
        <f aca="false">IFERROR(N(INDEX(Tasks[_Level],Tasks[[#This Row],[_Row]]+1)),0)</f>
        <v>0</v>
      </c>
      <c r="CF100" s="90" t="b">
        <f aca="false">AND(Tasks[[#This Row],[Task Name]]&lt;&gt;"",Tasks[[#This Row],[_NextLevel]]&gt;Tasks[[#This Row],[_Level]])</f>
        <v>0</v>
      </c>
      <c r="CG100" s="43" t="n">
        <f aca="false">IF(Tasks[[#This Row],[_IsSummary]],COUNTIF(Tasks[WBS],Tasks[[#This Row],[WBS]]&amp;".*"),0)</f>
        <v>0</v>
      </c>
      <c r="CH100" s="43" t="n">
        <f aca="false">IF(AND(Tasks[[#This Row],[Task Name]]&lt;&gt;"",NOT(Tasks[[#This Row],[_IsSummary]])),1,0)</f>
        <v>0</v>
      </c>
      <c r="CI100" s="43" t="n">
        <f aca="false">IF(N(Tasks[[#This Row],[_Pred1UID]])=0,0,IFERROR(MATCH(Tasks[[#This Row],[_Pred1UID]],Tasks[UID],0),-1))</f>
        <v>0</v>
      </c>
      <c r="CJ100" s="43" t="n">
        <f aca="false">IF(N(Tasks[[#This Row],[_Pred2UID]])=0,0,IFERROR(MATCH(Tasks[[#This Row],[_Pred2UID]],Tasks[UID],0),-1))</f>
        <v>0</v>
      </c>
      <c r="CK100" s="43" t="n">
        <f aca="false">IF(N(Tasks[[#This Row],[_Pred3UID]])=0,0,IFERROR(MATCH(Tasks[[#This Row],[_Pred3UID]],Tasks[UID],0),-1))</f>
        <v>0</v>
      </c>
      <c r="CL100" s="43" t="n">
        <f aca="false">IF(N(Tasks[[#This Row],[_Pred4UID]])=0,0,IFERROR(MATCH(Tasks[[#This Row],[_Pred4UID]],Tasks[UID],0),-1))</f>
        <v>0</v>
      </c>
      <c r="CM1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0" s="91" t="n">
        <f aca="false">IF(OR(Tasks[[#This Row],[_ConstraintCode]]=2,Tasks[[#This Row],[_ConstraintCode]]=3,Tasks[[#This Row],[_ConstraintCode]]=4,Tasks[[#This Row],[_ConstraintCode]]=6),Tasks[[#This Row],[_ConstraintStart]],0)</f>
        <v>0</v>
      </c>
      <c r="CP100" s="91" t="n">
        <f aca="false">IF(OR(Tasks[[#This Row],[_ConstraintCode]]=2,Tasks[[#This Row],[_ConstraintCode]]=3,Tasks[[#This Row],[_ConstraintCode]]=5,Tasks[[#This Row],[_ConstraintCode]]=7),Tasks[[#This Row],[_ConstraintStart]],2958465)</f>
        <v>2958465</v>
      </c>
      <c r="CQ1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0" s="91" t="str">
        <f aca="false">IF(NOT(Tasks[[#This Row],[_IsLeaf]]=1),"",IF(N(Tasks[[#This Row],[_Days]])&lt;=0,Tasks[[#This Row],[_LeafCalcStart]],WORKDAY.INTL(Tasks[[#This Row],[_LeafCalcStart]],Tasks[[#This Row],[_Days]]-1,WorkWeek,Holidays)))</f>
        <v/>
      </c>
      <c r="CS1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0" s="43" t="str">
        <f aca="false">IF(Tasks[[#This Row],[_Predecessors]]="","",TRIM(MID(SUBSTITUTE(SUBSTITUTE(SUBSTITUTE(UPPER(Tasks[[#This Row],[_Predecessors]]),";",",")," ",""),",",REPT(" ",99)),1,99)))</f>
        <v/>
      </c>
      <c r="CV100" s="43" t="str">
        <f aca="false">IF(Tasks[[#This Row],[_Pred1Text]]="","",IFERROR(VALUE(LEFT(Tasks[[#This Row],[_Pred1Text]],MIN(FIND("F",Tasks[[#This Row],[_Pred1Text]]&amp;"F"),FIND("S",Tasks[[#This Row],[_Pred1Text]]&amp;"S"),FIND("+",Tasks[[#This Row],[_Pred1Text]]&amp;"+"),FIND("-",Tasks[[#This Row],[_Pred1Text]]&amp;"-"))-1)),""))</f>
        <v/>
      </c>
      <c r="CW1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0" s="43" t="str">
        <f aca="false">IF(Tasks[[#This Row],[_Pred1Text]]="","",TRIM(MID(SUBSTITUTE(SUBSTITUTE(SUBSTITUTE(UPPER(Tasks[[#This Row],[_Predecessors]]),";",",")," ",""),",",REPT(" ",99)),100,99)))</f>
        <v/>
      </c>
      <c r="CZ100" s="43" t="str">
        <f aca="false">IF(Tasks[[#This Row],[_Pred2Text]]="","",IFERROR(VALUE(LEFT(Tasks[[#This Row],[_Pred2Text]],MIN(FIND("F",Tasks[[#This Row],[_Pred2Text]]&amp;"F"),FIND("S",Tasks[[#This Row],[_Pred2Text]]&amp;"S"),FIND("+",Tasks[[#This Row],[_Pred2Text]]&amp;"+"),FIND("-",Tasks[[#This Row],[_Pred2Text]]&amp;"-"))-1)),""))</f>
        <v/>
      </c>
      <c r="DA1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0" s="43" t="str">
        <f aca="false">IF(Tasks[[#This Row],[_Pred2Text]]="","",TRIM(MID(SUBSTITUTE(SUBSTITUTE(SUBSTITUTE(UPPER(Tasks[[#This Row],[_Predecessors]]),";",",")," ",""),",",REPT(" ",99)),199,99)))</f>
        <v/>
      </c>
      <c r="DD100" s="43" t="str">
        <f aca="false">IF(Tasks[[#This Row],[_Pred3Text]]="","",IFERROR(VALUE(LEFT(Tasks[[#This Row],[_Pred3Text]],MIN(FIND("F",Tasks[[#This Row],[_Pred3Text]]&amp;"F"),FIND("S",Tasks[[#This Row],[_Pred3Text]]&amp;"S"),FIND("+",Tasks[[#This Row],[_Pred3Text]]&amp;"+"),FIND("-",Tasks[[#This Row],[_Pred3Text]]&amp;"-"))-1)),""))</f>
        <v/>
      </c>
      <c r="DE1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0" s="43" t="str">
        <f aca="false">IF(Tasks[[#This Row],[_Pred3Text]]="","",TRIM(MID(SUBSTITUTE(SUBSTITUTE(SUBSTITUTE(UPPER(Tasks[[#This Row],[_Predecessors]]),";",",")," ",""),",",REPT(" ",99)),298,99)))</f>
        <v/>
      </c>
      <c r="DH100" s="43" t="str">
        <f aca="false">IF(Tasks[[#This Row],[_Pred4Text]]="","",IFERROR(VALUE(LEFT(Tasks[[#This Row],[_Pred4Text]],MIN(FIND("F",Tasks[[#This Row],[_Pred4Text]]&amp;"F"),FIND("S",Tasks[[#This Row],[_Pred4Text]]&amp;"S"),FIND("+",Tasks[[#This Row],[_Pred4Text]]&amp;"+"),FIND("-",Tasks[[#This Row],[_Pred4Text]]&amp;"-"))-1)),""))</f>
        <v/>
      </c>
      <c r="DI1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0" s="43" t="str">
        <f aca="false">IF(OR(Tasks[[#This Row],[Task Name]]="",Tasks[[#This Row],[_Resources]]=""),"",TRIM(MID(SUBSTITUTE(Tasks[[#This Row],[_Resources]],",",REPT(" ",99)),1,99)))</f>
        <v/>
      </c>
      <c r="DL100" s="43" t="str">
        <f aca="false">IF(Tasks[[#This Row],[_Res1Text]]="","",TRIM(MID(SUBSTITUTE(Tasks[[#This Row],[_Resources]],",",REPT(" ",99)),100,99)))</f>
        <v/>
      </c>
      <c r="DM100" s="43" t="str">
        <f aca="false">IF(Tasks[[#This Row],[_Res2Text]]="","",TRIM(MID(SUBSTITUTE(Tasks[[#This Row],[_Resources]],",",REPT(" ",99)),199,99)))</f>
        <v/>
      </c>
      <c r="DN100" s="43" t="str">
        <f aca="false">IF(Tasks[[#This Row],[_Res3Text]]="","",TRIM(MID(SUBSTITUTE(Tasks[[#This Row],[_Resources]],",",REPT(" ",99)),298,99)))</f>
        <v/>
      </c>
      <c r="DO100" s="43" t="n">
        <f aca="false">IF(Tasks[[#This Row],[_Res1Text]]="",0,IFERROR(MATCH(TRIM(LEFT(Tasks[[#This Row],[_Res1Text]],FIND("[",Tasks[[#This Row],[_Res1Text]]&amp;"[")-1)),res_Name,0),IFERROR(MATCH(TRIM(LEFT(Tasks[[#This Row],[_Res1Text]],FIND("[",Tasks[[#This Row],[_Res1Text]]&amp;"[")-1)),res_Initials,0),0)))</f>
        <v>0</v>
      </c>
      <c r="DP100" s="43" t="n">
        <f aca="false">IF(Tasks[[#This Row],[_Res2Text]]="",0,IFERROR(MATCH(TRIM(LEFT(Tasks[[#This Row],[_Res2Text]],FIND("[",Tasks[[#This Row],[_Res2Text]]&amp;"[")-1)),res_Name,0),IFERROR(MATCH(TRIM(LEFT(Tasks[[#This Row],[_Res2Text]],FIND("[",Tasks[[#This Row],[_Res2Text]]&amp;"[")-1)),res_Initials,0),0)))</f>
        <v>0</v>
      </c>
      <c r="DQ100" s="43" t="n">
        <f aca="false">IF(Tasks[[#This Row],[_Res3Text]]="",0,IFERROR(MATCH(TRIM(LEFT(Tasks[[#This Row],[_Res3Text]],FIND("[",Tasks[[#This Row],[_Res3Text]]&amp;"[")-1)),res_Name,0),IFERROR(MATCH(TRIM(LEFT(Tasks[[#This Row],[_Res3Text]],FIND("[",Tasks[[#This Row],[_Res3Text]]&amp;"[")-1)),res_Initials,0),0)))</f>
        <v>0</v>
      </c>
      <c r="DR100" s="43" t="n">
        <f aca="false">IF(Tasks[[#This Row],[_Res4Text]]="",0,IFERROR(MATCH(TRIM(LEFT(Tasks[[#This Row],[_Res4Text]],FIND("[",Tasks[[#This Row],[_Res4Text]]&amp;"[")-1)),res_Name,0),IFERROR(MATCH(TRIM(LEFT(Tasks[[#This Row],[_Res4Text]],FIND("[",Tasks[[#This Row],[_Res4Text]]&amp;"[")-1)),res_Initials,0),0)))</f>
        <v>0</v>
      </c>
      <c r="DS100" s="43" t="str">
        <f aca="false">IF(Tasks[[#This Row],[_Res1Text]]="","",IF(Tasks[[#This Row],[_Res1Row]]&gt;0,INDEX(res_Name,Tasks[[#This Row],[_Res1Row]]),TRIM(LEFT(Tasks[[#This Row],[_Res1Text]],FIND("[",Tasks[[#This Row],[_Res1Text]]&amp;"[")-1))))</f>
        <v/>
      </c>
      <c r="DT1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0" s="43" t="n">
        <f aca="false">IF(NOT(Tasks[[#This Row],[_IsLeaf]]=1),0,(Tasks[[#This Row],[_Resource1]]&lt;&gt;"")+(Tasks[[#This Row],[_Res2]]&lt;&gt;"")+(Tasks[[#This Row],[_Res3]]&lt;&gt;"")+(Tasks[[#This Row],[_Res4]]&lt;&gt;""))</f>
        <v>0</v>
      </c>
      <c r="DV100" s="43" t="str">
        <f aca="false">IF(Tasks[[#This Row],[_Res2Text]]="","",IF(Tasks[[#This Row],[_Res2Row]]&gt;0,INDEX(res_Name,Tasks[[#This Row],[_Res2Row]]),TRIM(LEFT(Tasks[[#This Row],[_Res2Text]],FIND("[",Tasks[[#This Row],[_Res2Text]]&amp;"[")-1))))</f>
        <v/>
      </c>
      <c r="DW1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0" s="43" t="n">
        <f aca="false">IF(OR(NOT(Tasks[[#This Row],[_IsLeaf]]=1),Tasks[[#This Row],[_Res2Row]]=0),0,N(Tasks[[#This Row],[_Days]])*HoursPerDay*IF(Tasks[[#This Row],[_Res2Units]]="",DefaultUnits,Tasks[[#This Row],[_Res2Units]]))</f>
        <v>0</v>
      </c>
      <c r="DY100" s="43" t="n">
        <f aca="false">IF(AND(AND(Tasks[[#This Row],[_IsLeaf]]=1,Tasks[[#This Row],[_LeafTotalWork]]&gt;0),Tasks[[#This Row],[_Res2Work]]&gt;0),Tasks[[#This Row],[_Res2Work]]/(Tasks[[#This Row],[_FinishWorkday]]-Tasks[[#This Row],[_StartWorkday]]+1),0)</f>
        <v>0</v>
      </c>
      <c r="DZ100" s="43" t="n">
        <f aca="false">Tasks[[#This Row],[_Res2WorkPerWD]]*MAX(0,Tasks[[#This Row],[_StartWorkday]]-1)</f>
        <v>0</v>
      </c>
      <c r="EA100" s="43" t="n">
        <f aca="false">Tasks[[#This Row],[_Res2Work]]*Tasks[[#This Row],[_LeafProgress]]</f>
        <v>0</v>
      </c>
      <c r="EB100" s="43" t="str">
        <f aca="false">IF(Tasks[[#This Row],[_Res3Text]]="","",IF(Tasks[[#This Row],[_Res3Row]]&gt;0,INDEX(res_Name,Tasks[[#This Row],[_Res3Row]]),TRIM(LEFT(Tasks[[#This Row],[_Res3Text]],FIND("[",Tasks[[#This Row],[_Res3Text]]&amp;"[")-1))))</f>
        <v/>
      </c>
      <c r="EC1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0" s="43" t="n">
        <f aca="false">IF(OR(NOT(Tasks[[#This Row],[_IsLeaf]]=1),Tasks[[#This Row],[_Res3Row]]=0),0,N(Tasks[[#This Row],[_Days]])*HoursPerDay*IF(Tasks[[#This Row],[_Res3Units]]="",DefaultUnits,Tasks[[#This Row],[_Res3Units]]))</f>
        <v>0</v>
      </c>
      <c r="EE100" s="43" t="n">
        <f aca="false">IF(AND(AND(Tasks[[#This Row],[_IsLeaf]]=1,Tasks[[#This Row],[_LeafTotalWork]]&gt;0),Tasks[[#This Row],[_Res3Work]]&gt;0),Tasks[[#This Row],[_Res3Work]]/(Tasks[[#This Row],[_FinishWorkday]]-Tasks[[#This Row],[_StartWorkday]]+1),0)</f>
        <v>0</v>
      </c>
      <c r="EF100" s="43" t="n">
        <f aca="false">Tasks[[#This Row],[_Res3WorkPerWD]]*MAX(0,Tasks[[#This Row],[_StartWorkday]]-1)</f>
        <v>0</v>
      </c>
      <c r="EG100" s="43" t="n">
        <f aca="false">Tasks[[#This Row],[_Res3Work]]*Tasks[[#This Row],[_LeafProgress]]</f>
        <v>0</v>
      </c>
      <c r="EH100" s="43" t="str">
        <f aca="false">IF(Tasks[[#This Row],[_Res4Text]]="","",IF(Tasks[[#This Row],[_Res4Row]]&gt;0,INDEX(res_Name,Tasks[[#This Row],[_Res4Row]]),TRIM(LEFT(Tasks[[#This Row],[_Res4Text]],FIND("[",Tasks[[#This Row],[_Res4Text]]&amp;"[")-1))))</f>
        <v/>
      </c>
      <c r="EI1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0" s="43" t="n">
        <f aca="false">IF(OR(NOT(Tasks[[#This Row],[_IsLeaf]]=1),Tasks[[#This Row],[_Res4Row]]=0),0,N(Tasks[[#This Row],[_Days]])*HoursPerDay*IF(Tasks[[#This Row],[_Res4Units]]="",DefaultUnits,Tasks[[#This Row],[_Res4Units]]))</f>
        <v>0</v>
      </c>
      <c r="EK100" s="43" t="n">
        <f aca="false">IF(AND(AND(Tasks[[#This Row],[_IsLeaf]]=1,Tasks[[#This Row],[_LeafTotalWork]]&gt;0),Tasks[[#This Row],[_Res4Work]]&gt;0),Tasks[[#This Row],[_Res4Work]]/(Tasks[[#This Row],[_FinishWorkday]]-Tasks[[#This Row],[_StartWorkday]]+1),0)</f>
        <v>0</v>
      </c>
      <c r="EL100" s="43" t="n">
        <f aca="false">Tasks[[#This Row],[_Res4WorkPerWD]]*MAX(0,Tasks[[#This Row],[_StartWorkday]]-1)</f>
        <v>0</v>
      </c>
      <c r="EM100" s="43" t="n">
        <f aca="false">Tasks[[#This Row],[_Res4Work]]*Tasks[[#This Row],[_LeafProgress]]</f>
        <v>0</v>
      </c>
      <c r="EN100" s="43" t="n">
        <f aca="false">IF(ISNUMBER(Tasks[[#This Row],[% Complete]]),Tasks[[#This Row],[% Complete]],IF(Tasks[[#This Row],[Stage]]="",0,IFERROR(INDEX(stg_Pct,MATCH(Tasks[[#This Row],[Stage]],stg_Name,0)),0)))</f>
        <v>0</v>
      </c>
      <c r="EO100" s="43" t="n">
        <f aca="false">IF(NOT(Tasks[[#This Row],[_IsLeaf]]=1),0,IF(N(Tasks[[#This Row],[Actual Finish]])&gt;0,1,MIN(1,Tasks[[#This Row],[_Pct]])))</f>
        <v>0</v>
      </c>
      <c r="EP100" s="43" t="n">
        <f aca="false">IF(OR(NOT(Tasks[[#This Row],[_IsLeaf]]=1),Tasks[[#This Row],[_Res1Row]]=0),0,N(Tasks[[#This Row],[_Days]])*HoursPerDay*IF(Tasks[[#This Row],[_Units1]]="",DefaultUnits,Tasks[[#This Row],[_Units1]]))</f>
        <v>0</v>
      </c>
      <c r="EQ100" s="43" t="n">
        <f aca="false">Tasks[[#This Row],[_LeafWork]]+Tasks[[#This Row],[_Res2Work]]+Tasks[[#This Row],[_Res3Work]]+Tasks[[#This Row],[_Res4Work]]</f>
        <v>0</v>
      </c>
      <c r="ER10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0" s="43" t="n">
        <f aca="false">IF(NOT(Tasks[[#This Row],[_IsLeaf]]=1),0,MAX(_xlfn.MAXIFS(Tasks[_Row],Tasks[_Pred1UID],Tasks[[#This Row],[UID]]),_xlfn.MAXIFS(Tasks[_Row],Tasks[_Pred2UID],Tasks[[#This Row],[UID]]),_xlfn.MAXIFS(Tasks[_Row],Tasks[_Pred3UID],Tasks[[#This Row],[UID]]),_xlfn.MAXIFS(Tasks[_Row],Tasks[_Pred4UID],Tasks[[#This Row],[UID]])))</f>
        <v>0</v>
      </c>
      <c r="FA1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0" s="91" t="str">
        <f aca="false">IF(NOT(Tasks[[#This Row],[_IsLeaf]]=1),"",IF(N(Tasks[[#This Row],[_Days]])&lt;=0,Tasks[[#This Row],[_LeafLateFinish]],WORKDAY.INTL(Tasks[[#This Row],[_LeafLateFinish]],-(Tasks[[#This Row],[_Days]]-1),WorkWeek,Holidays)))</f>
        <v/>
      </c>
      <c r="FD1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0" s="90" t="b">
        <f aca="false">AND(Tasks[[#This Row],[_IsLeaf]]=1,Tasks[[#This Row],[_LeafProgress]]&lt;1,N(Tasks[[#This Row],[_LeafTotalSlack]])&lt;=CriticalSlackDays)</f>
        <v>0</v>
      </c>
      <c r="FF100" s="43" t="n">
        <f aca="false">IF(AND(Tasks[[#This Row],[_IsLeaf]]=1,Tasks[[#This Row],[_ConstraintCode]]=1,Tasks[[#This Row],[Mode]]&lt;&gt;"Manual",N(Tasks[[#This Row],[Actual Start]])=0),MAX(0,N(Tasks[[#This Row],[Free Slack]])),0)</f>
        <v>0</v>
      </c>
      <c r="FG100" s="91" t="str">
        <f aca="false">IF(NOT(Tasks[[#This Row],[_IsLeaf]]=1),"",IF(Tasks[[#This Row],[_AlapShift]]=0,Tasks[[#This Row],[_LeafCalcStart]],WORKDAY.INTL(Tasks[[#This Row],[_LeafCalcStart]],Tasks[[#This Row],[_AlapShift]],WorkWeek,Holidays)))</f>
        <v/>
      </c>
      <c r="FH100" s="91" t="str">
        <f aca="false">IF(NOT(Tasks[[#This Row],[_IsLeaf]]=1),"",IF(Tasks[[#This Row],[_AlapShift]]=0,Tasks[[#This Row],[_LeafCalcFinish]],WORKDAY.INTL(Tasks[[#This Row],[_LeafCalcFinish]],Tasks[[#This Row],[_AlapShift]],WorkWeek,Holidays)))</f>
        <v/>
      </c>
      <c r="FI100" s="91" t="str">
        <f aca="false">IF(NOT(Tasks[[#This Row],[_IsLeaf]]=1),"",IF(Tasks[[#This Row],[_AlapShift]]=0,Tasks[[#This Row],[_LeafFcstStart]],WORKDAY.INTL(Tasks[[#This Row],[_LeafFcstStart]],Tasks[[#This Row],[_AlapShift]],WorkWeek,Holidays)))</f>
        <v/>
      </c>
      <c r="FJ100" s="91" t="str">
        <f aca="false">IF(NOT(Tasks[[#This Row],[_IsLeaf]]=1),"",IF(Tasks[[#This Row],[_AlapShift]]=0,Tasks[[#This Row],[_LeafFcstFinish]],WORKDAY.INTL(Tasks[[#This Row],[_LeafFcstFinish]],Tasks[[#This Row],[_AlapShift]],WorkWeek,Holidays)))</f>
        <v/>
      </c>
      <c r="FK100" s="91" t="str">
        <f aca="false">IF(Tasks[[#This Row],[Task Name]]="","",IF(Tasks[[#This Row],[_IsSummary]],MIN(INDEX(Tasks[_ShownCalcStart],Tasks[[#This Row],[_Row]]+1):INDEX(Tasks[_ShownCalcStart],Tasks[[#This Row],[_Row]]+Tasks[[#This Row],[_Descendants]])),Tasks[[#This Row],[_ShownCalcStart]]))</f>
        <v/>
      </c>
      <c r="FL100" s="91" t="str">
        <f aca="false">IF(Tasks[[#This Row],[Task Name]]="","",IF(Tasks[[#This Row],[_IsSummary]],MAX(INDEX(Tasks[_ShownCalcFinish],Tasks[[#This Row],[_Row]]+1):INDEX(Tasks[_ShownCalcFinish],Tasks[[#This Row],[_Row]]+Tasks[[#This Row],[_Descendants]])),Tasks[[#This Row],[_ShownCalcFinish]]))</f>
        <v/>
      </c>
      <c r="FM1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0" s="43" t="n">
        <f aca="false">IF(AND(Tasks[[#This Row],[_IsLeaf]]=1,Tasks[[#This Row],[_LeafTotalWork]]&gt;0),NETWORKDAYS.INTL(ProjectStart,Tasks[[#This Row],[_ShownFcstStart]],WorkWeek,Holidays),0)</f>
        <v>0</v>
      </c>
      <c r="FZ100" s="43" t="n">
        <f aca="false">IF(AND(Tasks[[#This Row],[_IsLeaf]]=1,Tasks[[#This Row],[_LeafTotalWork]]&gt;0),MAX(Tasks[[#This Row],[_StartWorkday]],NETWORKDAYS.INTL(ProjectStart,Tasks[[#This Row],[_ShownFcstFinish]],WorkWeek,Holidays)),0)</f>
        <v>0</v>
      </c>
      <c r="GA100" s="43" t="n">
        <f aca="false">IF(AND(Tasks[[#This Row],[_IsLeaf]]=1,Tasks[[#This Row],[_LeafTotalWork]]&gt;0),Tasks[[#This Row],[_LeafWork]]/(Tasks[[#This Row],[_FinishWorkday]]-Tasks[[#This Row],[_StartWorkday]]+1),0)</f>
        <v>0</v>
      </c>
      <c r="GB100" s="43" t="n">
        <f aca="false">Tasks[[#This Row],[_WorkPerWorkday]]*(Tasks[[#This Row],[_StartWorkday]]-1)</f>
        <v>-0</v>
      </c>
      <c r="GC100" s="43" t="n">
        <f aca="false">IF(Tasks[[#This Row],[_IsLeaf]]=1,MAX(N(Tasks[[#This Row],[_Days]]),0.1),0)</f>
        <v>0</v>
      </c>
      <c r="GD100" s="43" t="n">
        <f aca="false">Tasks[[#This Row],[_WeightDur]]*Tasks[[#This Row],[_LeafProgress]]</f>
        <v>0</v>
      </c>
      <c r="GE100" s="43" t="n">
        <f aca="false">Tasks[[#This Row],[_WeightDur]]*Tasks[[#This Row],[_PlannedPct]]</f>
        <v>0</v>
      </c>
      <c r="GF1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0" s="43" t="str">
        <f aca="false">IF(AND(Tasks[[#This Row],[_IsLeaf]]=1,N(Tasks[[#This Row],[_Days]])=0,Tasks[[#This Row],[_LeafProgress]]&lt;1),Tasks[[#This Row],[_ShownFcstFinish]]+Tasks[[#This Row],[_Row]]/100000,"")</f>
        <v/>
      </c>
      <c r="GH1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0" s="43" t="str">
        <f aca="false">IF(Tasks[[#This Row],[Task Name]]="","",LEFT(Tasks[[#This Row],[WBS]],FIND(".",Tasks[[#This Row],[WBS]]&amp;".")-1))</f>
        <v/>
      </c>
      <c r="GJ100" s="43" t="str">
        <f aca="false">IF(AND(Tasks[[#This Row],[Task Name]]&lt;&gt;"",Tasks[[#This Row],[_Level]]=1),Tasks[[#This Row],[_Row]],"")</f>
        <v/>
      </c>
      <c r="GK100" s="43" t="str">
        <f aca="false">IF(AND(Tasks[[#This Row],[_IsLeaf]]=1,N(Tasks[[#This Row],[_Days]])=0),Tasks[[#This Row],[Planned Finish]]+Tasks[[#This Row],[_Row]]/100000,"")</f>
        <v/>
      </c>
      <c r="GL100" s="43" t="str">
        <f aca="false">IF(AND(Tasks[[#This Row],[_IsLeaf]]=1,Tasks[[#This Row],[_LeafProgress]]&lt;1,OR(N(Tasks[[#This Row],[Finish Var]])&gt;0,Tasks[[#This Row],[Status]]="Late Start")),MAX(0,Tasks[[#This Row],[Finish Var]])+1-Tasks[[#This Row],[_Row]]/1000000,"")</f>
        <v/>
      </c>
      <c r="GM100" s="43" t="str">
        <f aca="false">IF(AND(Tasks[[#This Row],[_IsLeaf]]=1,N(Tasks[[#This Row],[Actual Start]])=0,Tasks[[#This Row],[_ShownFcstStart]]&gt;=StatusDate,Tasks[[#This Row],[_ShownFcstStart]]&lt;=LookaheadEnd),Tasks[[#This Row],[_ShownFcstStart]]+Tasks[[#This Row],[_Row]]/100000,"")</f>
        <v/>
      </c>
      <c r="GN100" s="43" t="str">
        <f aca="false">IF(AND(Tasks[[#This Row],[_IsLeaf]]=1,Tasks[[#This Row],[_LeafProgress]]&lt;1,Tasks[[#This Row],[_ShownFcstFinish]]&gt;=StatusDate,Tasks[[#This Row],[_ShownFcstFinish]]&lt;=LookaheadEnd),Tasks[[#This Row],[_ShownFcstFinish]]+Tasks[[#This Row],[_Row]]/100000,"")</f>
        <v/>
      </c>
      <c r="GO100" s="43" t="str">
        <f aca="false">IF(Tasks[[#This Row],[_LeafCritical]],Tasks[[#This Row],[_ShownFcstStart]]+Tasks[[#This Row],[_Row]]/100000,"")</f>
        <v/>
      </c>
      <c r="GP100" s="43" t="n">
        <f aca="false">Tasks[[#This Row],[_LeafWork]]*Tasks[[#This Row],[_LeafProgress]]</f>
        <v>0</v>
      </c>
      <c r="GQ100" s="91" t="str">
        <f aca="false">IF(AND(Tasks[[#This Row],[_IsLeaf]]=1,Tasks[[#This Row],[_LeafProgress]]&gt;=1),IF(N(Tasks[[#This Row],[Actual Finish]])&gt;0,Tasks[[#This Row],[Actual Finish]],Tasks[[#This Row],[_ShownFcstFinish]]),"")</f>
        <v/>
      </c>
      <c r="GR100" s="43" t="n">
        <f aca="false">IF(Tasks[[#This Row],[_IsLeaf]]=1,N(Tasks[[#This Row],[Story Points]]),0)</f>
        <v>0</v>
      </c>
      <c r="GS100" s="43" t="str">
        <f aca="false">""</f>
        <v/>
      </c>
      <c r="GT100" s="90" t="b">
        <f aca="false">IF(Tasks[[#This Row],[Task Name]]="",FALSE(),AND(Tasks[[#This Row],[_IsLeaf]]=1,N(Tasks[[#This Row],[_Days]])=0))</f>
        <v>0</v>
      </c>
      <c r="GU100" s="91" t="n">
        <f aca="false">IF(Tasks[[#This Row],[Task Name]]="",0,IF(AND(Tasks[[#This Row],[_IsLeaf]]=1,NOT(Tasks[[#This Row],[_IsMilestone]]),N(Tasks[[#This Row],[Progress]])&gt;0),Tasks[[#This Row],[Start]],0))</f>
        <v>0</v>
      </c>
      <c r="GV100" s="91" t="n">
        <f aca="false">IF(Tasks[[#This Row],[_DoneFrom]]=0,0,IF(Tasks[[#This Row],[Progress]]&gt;=1,Tasks[[#This Row],[Finish]],MAX(Tasks[[#This Row],[_DoneFrom]],Tasks[[#This Row],[Start]]+ROUND((Tasks[[#This Row],[Finish]]-Tasks[[#This Row],[Start]]+1)*Tasks[[#This Row],[Progress]],0)-1)))</f>
        <v>0</v>
      </c>
      <c r="GW100" s="91" t="n">
        <f aca="false">IF(Tasks[[#This Row],[Task Name]]="",0,IF(OR(NOT(Tasks[[#This Row],[_IsLeaf]]=1),Tasks[[#This Row],[_IsMilestone]],N(Tasks[[#This Row],[Progress]])&gt;=1),0,IF(Tasks[[#This Row],[_DoneTo]]&gt;0,Tasks[[#This Row],[_DoneTo]]+1,Tasks[[#This Row],[Start]])))</f>
        <v>0</v>
      </c>
      <c r="GX100" s="91" t="n">
        <f aca="false">IF(Tasks[[#This Row],[_RemFrom]]=0,0,Tasks[[#This Row],[Finish]])</f>
        <v>0</v>
      </c>
      <c r="GY100" s="90" t="b">
        <f aca="false">IF(Tasks[[#This Row],[Task Name]]="",FALSE(),OR(NOT(BaselineSet),N(Tasks[[#This Row],[Baseline Start]])&gt;0))</f>
        <v>0</v>
      </c>
      <c r="GZ10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0" s="92" t="str">
        <f aca="false">IF(Tasks[[#This Row],[_IsLeaf]]=1,Tasks[[#This Row],[_Row]],"")</f>
        <v/>
      </c>
      <c r="HD100" s="92" t="str">
        <f aca="false">IFERROR(INDEX(Tasks[UID],SMALL(Tasks[_PickKey],Tasks[[#This Row],[_Row]]))&amp;" "&amp;INDEX(Tasks[Task Name],SMALL(Tasks[_PickKey],Tasks[[#This Row],[_Row]])),"")</f>
        <v/>
      </c>
      <c r="HE100" s="43" t="str">
        <f aca="false">IF(Tasks[[#This Row],[Task Name]]="","",IF(Tasks[[#This Row],[_IsSummary]],NETWORKDAYS.INTL(Tasks[[#This Row],[Start]],Tasks[[#This Row],[Finish]],WorkWeek,Holidays),N(Tasks[[#This Row],[_Days]])))</f>
        <v/>
      </c>
      <c r="HF100" s="43" t="n">
        <f aca="false">IF(Tasks[[#This Row],[Expected]]="",0,((Tasks[[#This Row],[Pessimistic]]-Tasks[[#This Row],[Optimistic]])/6)^2)</f>
        <v>0</v>
      </c>
      <c r="HG100" s="43" t="n">
        <f aca="false">IF(Tasks[[#This Row],[Expected]]="",0,Tasks[[#This Row],[Expected]]-N(Tasks[[#This Row],[_Days]]))</f>
        <v>0</v>
      </c>
    </row>
    <row r="101" customFormat="false" ht="15" hidden="false" customHeight="false" outlineLevel="0" collapsed="false">
      <c r="A101" s="21" t="str">
        <f aca="false">IF(Tasks[[#This Row],[Task Name]]="","",COUNTA(Tasks[[#Headers],[Task Name]]:Tasks[[#This Row],[Task Name]])-1)</f>
        <v/>
      </c>
      <c r="B101" s="22" t="n">
        <v>109</v>
      </c>
      <c r="C101" s="22"/>
      <c r="D101" s="23"/>
      <c r="E101" s="22"/>
      <c r="F101" s="23"/>
      <c r="G101" s="22"/>
      <c r="H101" s="22"/>
      <c r="I101" s="23"/>
      <c r="J101" s="22"/>
      <c r="K101" s="22"/>
      <c r="L101" s="23"/>
      <c r="M101" s="22"/>
      <c r="N101" s="22"/>
      <c r="O101" s="23"/>
      <c r="P101" s="22"/>
      <c r="Q101" s="22"/>
      <c r="R101" s="23"/>
      <c r="S101" s="23"/>
      <c r="T101" s="84"/>
      <c r="U101" s="23"/>
      <c r="V101" s="84"/>
      <c r="W101" s="23"/>
      <c r="X101" s="84"/>
      <c r="Y101" s="23"/>
      <c r="Z101" s="84"/>
      <c r="AA101" s="23"/>
      <c r="AB101" s="23"/>
      <c r="AC101" s="7"/>
      <c r="AD101" s="7"/>
      <c r="AE101" s="63" t="str">
        <f aca="false">IF(Tasks[[#This Row],[Task Name]]="","",IF(Tasks[[#This Row],[_IsSummary]],MIN(INDEX(Tasks[_ShownFcstStart],Tasks[[#This Row],[_Row]]+1):INDEX(Tasks[_ShownFcstStart],Tasks[[#This Row],[_Row]]+Tasks[[#This Row],[_Descendants]])),Tasks[[#This Row],[_ShownFcstStart]]))</f>
        <v/>
      </c>
      <c r="AF101" s="63" t="str">
        <f aca="false">IF(Tasks[[#This Row],[Task Name]]="","",IF(Tasks[[#This Row],[_IsSummary]],MAX(INDEX(Tasks[_ShownFcstFinish],Tasks[[#This Row],[_Row]]+1):INDEX(Tasks[_ShownFcstFinish],Tasks[[#This Row],[_Row]]+Tasks[[#This Row],[_Descendants]])),Tasks[[#This Row],[_ShownFcstFinish]]))</f>
        <v/>
      </c>
      <c r="AG101" s="21" t="str">
        <f aca="false">""</f>
        <v/>
      </c>
      <c r="AH101" s="23"/>
      <c r="AI1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1" s="7"/>
      <c r="AK101" s="22"/>
      <c r="AL101" s="23"/>
      <c r="AM101" s="7"/>
      <c r="AN101" s="47" t="str">
        <f aca="false">IF(Tasks[[#This Row],[Task Name]]="","",IF(Tasks[[#This Row],[Finish]]&gt;=Tasks[[#This Row],[Planned Finish]],NETWORKDAYS.INTL(Tasks[[#This Row],[Planned Finish]],Tasks[[#This Row],[Finish]],WorkWeek,Holidays)-1,1-NETWORKDAYS.INTL(Tasks[[#This Row],[Finish]],Tasks[[#This Row],[Planned Finish]],WorkWeek,Holidays)))</f>
        <v/>
      </c>
      <c r="AO101" s="21" t="str">
        <f aca="false">IF(Tasks[[#This Row],[Task Name]]="","",IF(Tasks[[#This Row],[Progress]]&gt;=1,"Complete",IF(OR(N(Tasks[[#This Row],[Actual Start]])&gt;0,Tasks[[#This Row],[Progress]]&gt;0),IF(Tasks[[#This Row],[Finish Var]]&gt;0,"Behind","In Progress"),IF(Tasks[[#This Row],[Planned Start]]&lt;StatusDate,"Late Start","Not Started"))))</f>
        <v/>
      </c>
      <c r="AP101" s="21" t="str">
        <f aca="false">IF(Tasks[[#This Row],[Task Name]]="","",IF(IF(Tasks[[#This Row],[_IsSummary]],COUNTIF(INDEX(Tasks[_LeafCritical],Tasks[[#This Row],[_Row]]+1):INDEX(Tasks[_LeafCritical],Tasks[[#This Row],[_Row]]+Tasks[[#This Row],[_Descendants]]),TRUE())&gt;0,Tasks[[#This Row],[_LeafCritical]]),"Yes",""))</f>
        <v/>
      </c>
      <c r="AQ101" s="63" t="str">
        <f aca="false">IF(Tasks[[#This Row],[Task Name]]="","",IF(N(Tasks[[#This Row],[Baseline Start]])&gt;0,Tasks[[#This Row],[Baseline Start]],Tasks[[#This Row],[_CalcStart]]))</f>
        <v/>
      </c>
      <c r="AR101" s="63" t="str">
        <f aca="false">IF(Tasks[[#This Row],[Task Name]]="","",IF(N(Tasks[[#This Row],[Baseline Finish]])&gt;0,Tasks[[#This Row],[Baseline Finish]],Tasks[[#This Row],[_CalcFinish]]))</f>
        <v/>
      </c>
      <c r="AS101" s="47" t="str">
        <f aca="false">IF(Tasks[[#This Row],[Task Name]]="","",IF(Tasks[[#This Row],[Start]]&gt;=Tasks[[#This Row],[Planned Start]],NETWORKDAYS.INTL(Tasks[[#This Row],[Planned Start]],Tasks[[#This Row],[Start]],WorkWeek,Holidays)-1,1-NETWORKDAYS.INTL(Tasks[[#This Row],[Start]],Tasks[[#This Row],[Planned Start]],WorkWeek,Holidays)))</f>
        <v/>
      </c>
      <c r="AT101" s="63" t="str">
        <f aca="false">IF(Tasks[[#This Row],[Task Name]]="","",IF(Tasks[[#This Row],[_IsSummary]],MIN(INDEX(Tasks[_LeafLateStart],Tasks[[#This Row],[_Row]]+1):INDEX(Tasks[_LeafLateStart],Tasks[[#This Row],[_Row]]+Tasks[[#This Row],[_Descendants]])),Tasks[[#This Row],[_LeafLateStart]]))</f>
        <v/>
      </c>
      <c r="AU101" s="63" t="str">
        <f aca="false">IF(Tasks[[#This Row],[Task Name]]="","",IF(Tasks[[#This Row],[_IsSummary]],MAX(INDEX(Tasks[_LeafLateFinish],Tasks[[#This Row],[_Row]]+1):INDEX(Tasks[_LeafLateFinish],Tasks[[#This Row],[_Row]]+Tasks[[#This Row],[_Descendants]])),Tasks[[#This Row],[_LeafLateFinish]]))</f>
        <v/>
      </c>
      <c r="AV101" s="47" t="str">
        <f aca="false">IF(Tasks[[#This Row],[Task Name]]="","",IF(Tasks[[#This Row],[_IsSummary]],MIN(INDEX(Tasks[_LeafTotalSlack],Tasks[[#This Row],[_Row]]+1):INDEX(Tasks[_LeafTotalSlack],Tasks[[#This Row],[_Row]]+Tasks[[#This Row],[_Descendants]])),Tasks[[#This Row],[_LeafTotalSlack]]))</f>
        <v/>
      </c>
      <c r="AW1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5"/>
      <c r="BA10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t="str">
        <f aca="false">IF(Tasks[[#This Row],[Task Name]]="","",IF(Tasks[[#This Row],[_Level]]&lt;=OutlineShowLevel,"Yes","No"))</f>
        <v/>
      </c>
      <c r="BE101" s="86" t="str">
        <f aca="false">IF(Tasks[[#This Row],[Task Name]]="","",IF(Tasks[[#This Row],[_IsSummary]],SUM(INDEX(Tasks[_LeafTotalWork],Tasks[[#This Row],[_Row]]+1):INDEX(Tasks[_LeafTotalWork],Tasks[[#This Row],[_Row]]+Tasks[[#This Row],[_Descendants]])),Tasks[[#This Row],[_LeafTotalWork]]))</f>
        <v/>
      </c>
      <c r="BF101" s="23"/>
      <c r="BG1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t="str">
        <f aca="false">""</f>
        <v/>
      </c>
      <c r="BI101" s="87"/>
      <c r="BJ101" s="22"/>
      <c r="BK101" s="47" t="str">
        <f aca="false">IF(OR(Tasks[[#This Row],[Task Name]]="",Tasks[[#This Row],[Baseline Duration]]=""),"",Tasks[[#This Row],[_SpanDays]]-N(Tasks[[#This Row],[Baseline Duration]]))</f>
        <v/>
      </c>
      <c r="BL101" s="86" t="str">
        <f aca="false">IF(OR(Tasks[[#This Row],[Task Name]]="",Tasks[[#This Row],[Baseline Work]]=""),"",Tasks[[#This Row],[Work]]-N(Tasks[[#This Row],[Baseline Work]]))</f>
        <v/>
      </c>
      <c r="BM101" s="63" t="str">
        <f aca="false">IF(Tasks[[#This Row],[Task Name]]="","",IF(OR(TakeBaseline="Yes",N(Tasks[[#This Row],[Baseline Start]])=0),Tasks[[#This Row],[Start]],Tasks[[#This Row],[Baseline Start]]))</f>
        <v/>
      </c>
      <c r="BN101" s="63" t="str">
        <f aca="false">IF(Tasks[[#This Row],[Task Name]]="","",IF(OR(TakeBaseline="Yes",N(Tasks[[#This Row],[Baseline Finish]])=0),Tasks[[#This Row],[Finish]],Tasks[[#This Row],[Baseline Finish]]))</f>
        <v/>
      </c>
      <c r="BO101" s="21" t="str">
        <f aca="false">IF(Tasks[[#This Row],[Task Name]]="","",IF(OR(TakeBaseline="Yes",N(Tasks[[#This Row],[Baseline Duration]])=0),Tasks[[#This Row],[_SpanDays]],Tasks[[#This Row],[Baseline Duration]]))</f>
        <v/>
      </c>
      <c r="BP101" s="86" t="str">
        <f aca="false">IF(Tasks[[#This Row],[Task Name]]="","",IF(OR(TakeBaseline="Yes",N(Tasks[[#This Row],[Baseline Work]])=0),Tasks[[#This Row],[Work]],Tasks[[#This Row],[Baseline Work]]))</f>
        <v/>
      </c>
      <c r="BQ101" s="7"/>
      <c r="BR101" s="7"/>
      <c r="BS101" s="22"/>
      <c r="BT101" s="88"/>
      <c r="BU101" s="23"/>
      <c r="BV101" s="23"/>
      <c r="BW101" s="23"/>
      <c r="BX101" s="89" t="str">
        <f aca="false">IF(AND(Tasks[[#This Row],[_IsLeaf]]=1,ISNUMBER(Tasks[[#This Row],[Optimistic]]),ISNUMBER(Tasks[[#This Row],[Pessimistic]])),ROUND((Tasks[[#This Row],[Optimistic]]+4*N(Tasks[[#This Row],[_Days]])+Tasks[[#This Row],[Pessimistic]])/6,1),"")</f>
        <v/>
      </c>
      <c r="BY101" s="87"/>
      <c r="BZ101" s="87"/>
      <c r="CA101" s="22"/>
      <c r="CB101" s="43" t="str">
        <f aca="false">IF(Tasks[[#This Row],[Task Name]]="","",MAX(1,N(Tasks[[#This Row],[Level]])))</f>
        <v/>
      </c>
      <c r="CC101" s="43" t="n">
        <f aca="false">ROW()-ROW(Tasks[[#Headers],[ID]])</f>
        <v>96</v>
      </c>
      <c r="CD101" s="43" t="n">
        <f aca="false">IF(OR(Tasks[[#This Row],[Task Name]]="",Tasks[[#This Row],[_Level]]&lt;=1),0,IFERROR(LOOKUP(2,1/(Tasks[[#Headers],[_Level]]:Tasks[[#This Row],[_Level]]=Tasks[[#This Row],[_Level]]-1),ROW(Tasks[[#Headers],[_Level]]:Tasks[[#This Row],[_Level]])),0))</f>
        <v>0</v>
      </c>
      <c r="CE101" s="43" t="n">
        <f aca="false">IFERROR(N(INDEX(Tasks[_Level],Tasks[[#This Row],[_Row]]+1)),0)</f>
        <v>0</v>
      </c>
      <c r="CF101" s="90" t="b">
        <f aca="false">AND(Tasks[[#This Row],[Task Name]]&lt;&gt;"",Tasks[[#This Row],[_NextLevel]]&gt;Tasks[[#This Row],[_Level]])</f>
        <v>0</v>
      </c>
      <c r="CG101" s="43" t="n">
        <f aca="false">IF(Tasks[[#This Row],[_IsSummary]],COUNTIF(Tasks[WBS],Tasks[[#This Row],[WBS]]&amp;".*"),0)</f>
        <v>0</v>
      </c>
      <c r="CH101" s="43" t="n">
        <f aca="false">IF(AND(Tasks[[#This Row],[Task Name]]&lt;&gt;"",NOT(Tasks[[#This Row],[_IsSummary]])),1,0)</f>
        <v>0</v>
      </c>
      <c r="CI101" s="43" t="n">
        <f aca="false">IF(N(Tasks[[#This Row],[_Pred1UID]])=0,0,IFERROR(MATCH(Tasks[[#This Row],[_Pred1UID]],Tasks[UID],0),-1))</f>
        <v>0</v>
      </c>
      <c r="CJ101" s="43" t="n">
        <f aca="false">IF(N(Tasks[[#This Row],[_Pred2UID]])=0,0,IFERROR(MATCH(Tasks[[#This Row],[_Pred2UID]],Tasks[UID],0),-1))</f>
        <v>0</v>
      </c>
      <c r="CK101" s="43" t="n">
        <f aca="false">IF(N(Tasks[[#This Row],[_Pred3UID]])=0,0,IFERROR(MATCH(Tasks[[#This Row],[_Pred3UID]],Tasks[UID],0),-1))</f>
        <v>0</v>
      </c>
      <c r="CL101" s="43" t="n">
        <f aca="false">IF(N(Tasks[[#This Row],[_Pred4UID]])=0,0,IFERROR(MATCH(Tasks[[#This Row],[_Pred4UID]],Tasks[UID],0),-1))</f>
        <v>0</v>
      </c>
      <c r="CM1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1" s="91" t="n">
        <f aca="false">IF(OR(Tasks[[#This Row],[_ConstraintCode]]=2,Tasks[[#This Row],[_ConstraintCode]]=3,Tasks[[#This Row],[_ConstraintCode]]=4,Tasks[[#This Row],[_ConstraintCode]]=6),Tasks[[#This Row],[_ConstraintStart]],0)</f>
        <v>0</v>
      </c>
      <c r="CP101" s="91" t="n">
        <f aca="false">IF(OR(Tasks[[#This Row],[_ConstraintCode]]=2,Tasks[[#This Row],[_ConstraintCode]]=3,Tasks[[#This Row],[_ConstraintCode]]=5,Tasks[[#This Row],[_ConstraintCode]]=7),Tasks[[#This Row],[_ConstraintStart]],2958465)</f>
        <v>2958465</v>
      </c>
      <c r="CQ1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1" s="91" t="str">
        <f aca="false">IF(NOT(Tasks[[#This Row],[_IsLeaf]]=1),"",IF(N(Tasks[[#This Row],[_Days]])&lt;=0,Tasks[[#This Row],[_LeafCalcStart]],WORKDAY.INTL(Tasks[[#This Row],[_LeafCalcStart]],Tasks[[#This Row],[_Days]]-1,WorkWeek,Holidays)))</f>
        <v/>
      </c>
      <c r="CS1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1" s="43" t="str">
        <f aca="false">IF(Tasks[[#This Row],[_Predecessors]]="","",TRIM(MID(SUBSTITUTE(SUBSTITUTE(SUBSTITUTE(UPPER(Tasks[[#This Row],[_Predecessors]]),";",",")," ",""),",",REPT(" ",99)),1,99)))</f>
        <v/>
      </c>
      <c r="CV101" s="43" t="str">
        <f aca="false">IF(Tasks[[#This Row],[_Pred1Text]]="","",IFERROR(VALUE(LEFT(Tasks[[#This Row],[_Pred1Text]],MIN(FIND("F",Tasks[[#This Row],[_Pred1Text]]&amp;"F"),FIND("S",Tasks[[#This Row],[_Pred1Text]]&amp;"S"),FIND("+",Tasks[[#This Row],[_Pred1Text]]&amp;"+"),FIND("-",Tasks[[#This Row],[_Pred1Text]]&amp;"-"))-1)),""))</f>
        <v/>
      </c>
      <c r="CW1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1" s="43" t="str">
        <f aca="false">IF(Tasks[[#This Row],[_Pred1Text]]="","",TRIM(MID(SUBSTITUTE(SUBSTITUTE(SUBSTITUTE(UPPER(Tasks[[#This Row],[_Predecessors]]),";",",")," ",""),",",REPT(" ",99)),100,99)))</f>
        <v/>
      </c>
      <c r="CZ101" s="43" t="str">
        <f aca="false">IF(Tasks[[#This Row],[_Pred2Text]]="","",IFERROR(VALUE(LEFT(Tasks[[#This Row],[_Pred2Text]],MIN(FIND("F",Tasks[[#This Row],[_Pred2Text]]&amp;"F"),FIND("S",Tasks[[#This Row],[_Pred2Text]]&amp;"S"),FIND("+",Tasks[[#This Row],[_Pred2Text]]&amp;"+"),FIND("-",Tasks[[#This Row],[_Pred2Text]]&amp;"-"))-1)),""))</f>
        <v/>
      </c>
      <c r="DA1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1" s="43" t="str">
        <f aca="false">IF(Tasks[[#This Row],[_Pred2Text]]="","",TRIM(MID(SUBSTITUTE(SUBSTITUTE(SUBSTITUTE(UPPER(Tasks[[#This Row],[_Predecessors]]),";",",")," ",""),",",REPT(" ",99)),199,99)))</f>
        <v/>
      </c>
      <c r="DD101" s="43" t="str">
        <f aca="false">IF(Tasks[[#This Row],[_Pred3Text]]="","",IFERROR(VALUE(LEFT(Tasks[[#This Row],[_Pred3Text]],MIN(FIND("F",Tasks[[#This Row],[_Pred3Text]]&amp;"F"),FIND("S",Tasks[[#This Row],[_Pred3Text]]&amp;"S"),FIND("+",Tasks[[#This Row],[_Pred3Text]]&amp;"+"),FIND("-",Tasks[[#This Row],[_Pred3Text]]&amp;"-"))-1)),""))</f>
        <v/>
      </c>
      <c r="DE1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1" s="43" t="str">
        <f aca="false">IF(Tasks[[#This Row],[_Pred3Text]]="","",TRIM(MID(SUBSTITUTE(SUBSTITUTE(SUBSTITUTE(UPPER(Tasks[[#This Row],[_Predecessors]]),";",",")," ",""),",",REPT(" ",99)),298,99)))</f>
        <v/>
      </c>
      <c r="DH101" s="43" t="str">
        <f aca="false">IF(Tasks[[#This Row],[_Pred4Text]]="","",IFERROR(VALUE(LEFT(Tasks[[#This Row],[_Pred4Text]],MIN(FIND("F",Tasks[[#This Row],[_Pred4Text]]&amp;"F"),FIND("S",Tasks[[#This Row],[_Pred4Text]]&amp;"S"),FIND("+",Tasks[[#This Row],[_Pred4Text]]&amp;"+"),FIND("-",Tasks[[#This Row],[_Pred4Text]]&amp;"-"))-1)),""))</f>
        <v/>
      </c>
      <c r="DI1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1" s="43" t="str">
        <f aca="false">IF(OR(Tasks[[#This Row],[Task Name]]="",Tasks[[#This Row],[_Resources]]=""),"",TRIM(MID(SUBSTITUTE(Tasks[[#This Row],[_Resources]],",",REPT(" ",99)),1,99)))</f>
        <v/>
      </c>
      <c r="DL101" s="43" t="str">
        <f aca="false">IF(Tasks[[#This Row],[_Res1Text]]="","",TRIM(MID(SUBSTITUTE(Tasks[[#This Row],[_Resources]],",",REPT(" ",99)),100,99)))</f>
        <v/>
      </c>
      <c r="DM101" s="43" t="str">
        <f aca="false">IF(Tasks[[#This Row],[_Res2Text]]="","",TRIM(MID(SUBSTITUTE(Tasks[[#This Row],[_Resources]],",",REPT(" ",99)),199,99)))</f>
        <v/>
      </c>
      <c r="DN101" s="43" t="str">
        <f aca="false">IF(Tasks[[#This Row],[_Res3Text]]="","",TRIM(MID(SUBSTITUTE(Tasks[[#This Row],[_Resources]],",",REPT(" ",99)),298,99)))</f>
        <v/>
      </c>
      <c r="DO101" s="43" t="n">
        <f aca="false">IF(Tasks[[#This Row],[_Res1Text]]="",0,IFERROR(MATCH(TRIM(LEFT(Tasks[[#This Row],[_Res1Text]],FIND("[",Tasks[[#This Row],[_Res1Text]]&amp;"[")-1)),res_Name,0),IFERROR(MATCH(TRIM(LEFT(Tasks[[#This Row],[_Res1Text]],FIND("[",Tasks[[#This Row],[_Res1Text]]&amp;"[")-1)),res_Initials,0),0)))</f>
        <v>0</v>
      </c>
      <c r="DP101" s="43" t="n">
        <f aca="false">IF(Tasks[[#This Row],[_Res2Text]]="",0,IFERROR(MATCH(TRIM(LEFT(Tasks[[#This Row],[_Res2Text]],FIND("[",Tasks[[#This Row],[_Res2Text]]&amp;"[")-1)),res_Name,0),IFERROR(MATCH(TRIM(LEFT(Tasks[[#This Row],[_Res2Text]],FIND("[",Tasks[[#This Row],[_Res2Text]]&amp;"[")-1)),res_Initials,0),0)))</f>
        <v>0</v>
      </c>
      <c r="DQ101" s="43" t="n">
        <f aca="false">IF(Tasks[[#This Row],[_Res3Text]]="",0,IFERROR(MATCH(TRIM(LEFT(Tasks[[#This Row],[_Res3Text]],FIND("[",Tasks[[#This Row],[_Res3Text]]&amp;"[")-1)),res_Name,0),IFERROR(MATCH(TRIM(LEFT(Tasks[[#This Row],[_Res3Text]],FIND("[",Tasks[[#This Row],[_Res3Text]]&amp;"[")-1)),res_Initials,0),0)))</f>
        <v>0</v>
      </c>
      <c r="DR101" s="43" t="n">
        <f aca="false">IF(Tasks[[#This Row],[_Res4Text]]="",0,IFERROR(MATCH(TRIM(LEFT(Tasks[[#This Row],[_Res4Text]],FIND("[",Tasks[[#This Row],[_Res4Text]]&amp;"[")-1)),res_Name,0),IFERROR(MATCH(TRIM(LEFT(Tasks[[#This Row],[_Res4Text]],FIND("[",Tasks[[#This Row],[_Res4Text]]&amp;"[")-1)),res_Initials,0),0)))</f>
        <v>0</v>
      </c>
      <c r="DS101" s="43" t="str">
        <f aca="false">IF(Tasks[[#This Row],[_Res1Text]]="","",IF(Tasks[[#This Row],[_Res1Row]]&gt;0,INDEX(res_Name,Tasks[[#This Row],[_Res1Row]]),TRIM(LEFT(Tasks[[#This Row],[_Res1Text]],FIND("[",Tasks[[#This Row],[_Res1Text]]&amp;"[")-1))))</f>
        <v/>
      </c>
      <c r="DT1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1" s="43" t="n">
        <f aca="false">IF(NOT(Tasks[[#This Row],[_IsLeaf]]=1),0,(Tasks[[#This Row],[_Resource1]]&lt;&gt;"")+(Tasks[[#This Row],[_Res2]]&lt;&gt;"")+(Tasks[[#This Row],[_Res3]]&lt;&gt;"")+(Tasks[[#This Row],[_Res4]]&lt;&gt;""))</f>
        <v>0</v>
      </c>
      <c r="DV101" s="43" t="str">
        <f aca="false">IF(Tasks[[#This Row],[_Res2Text]]="","",IF(Tasks[[#This Row],[_Res2Row]]&gt;0,INDEX(res_Name,Tasks[[#This Row],[_Res2Row]]),TRIM(LEFT(Tasks[[#This Row],[_Res2Text]],FIND("[",Tasks[[#This Row],[_Res2Text]]&amp;"[")-1))))</f>
        <v/>
      </c>
      <c r="DW1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1" s="43" t="n">
        <f aca="false">IF(OR(NOT(Tasks[[#This Row],[_IsLeaf]]=1),Tasks[[#This Row],[_Res2Row]]=0),0,N(Tasks[[#This Row],[_Days]])*HoursPerDay*IF(Tasks[[#This Row],[_Res2Units]]="",DefaultUnits,Tasks[[#This Row],[_Res2Units]]))</f>
        <v>0</v>
      </c>
      <c r="DY101" s="43" t="n">
        <f aca="false">IF(AND(AND(Tasks[[#This Row],[_IsLeaf]]=1,Tasks[[#This Row],[_LeafTotalWork]]&gt;0),Tasks[[#This Row],[_Res2Work]]&gt;0),Tasks[[#This Row],[_Res2Work]]/(Tasks[[#This Row],[_FinishWorkday]]-Tasks[[#This Row],[_StartWorkday]]+1),0)</f>
        <v>0</v>
      </c>
      <c r="DZ101" s="43" t="n">
        <f aca="false">Tasks[[#This Row],[_Res2WorkPerWD]]*MAX(0,Tasks[[#This Row],[_StartWorkday]]-1)</f>
        <v>0</v>
      </c>
      <c r="EA101" s="43" t="n">
        <f aca="false">Tasks[[#This Row],[_Res2Work]]*Tasks[[#This Row],[_LeafProgress]]</f>
        <v>0</v>
      </c>
      <c r="EB101" s="43" t="str">
        <f aca="false">IF(Tasks[[#This Row],[_Res3Text]]="","",IF(Tasks[[#This Row],[_Res3Row]]&gt;0,INDEX(res_Name,Tasks[[#This Row],[_Res3Row]]),TRIM(LEFT(Tasks[[#This Row],[_Res3Text]],FIND("[",Tasks[[#This Row],[_Res3Text]]&amp;"[")-1))))</f>
        <v/>
      </c>
      <c r="EC1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1" s="43" t="n">
        <f aca="false">IF(OR(NOT(Tasks[[#This Row],[_IsLeaf]]=1),Tasks[[#This Row],[_Res3Row]]=0),0,N(Tasks[[#This Row],[_Days]])*HoursPerDay*IF(Tasks[[#This Row],[_Res3Units]]="",DefaultUnits,Tasks[[#This Row],[_Res3Units]]))</f>
        <v>0</v>
      </c>
      <c r="EE101" s="43" t="n">
        <f aca="false">IF(AND(AND(Tasks[[#This Row],[_IsLeaf]]=1,Tasks[[#This Row],[_LeafTotalWork]]&gt;0),Tasks[[#This Row],[_Res3Work]]&gt;0),Tasks[[#This Row],[_Res3Work]]/(Tasks[[#This Row],[_FinishWorkday]]-Tasks[[#This Row],[_StartWorkday]]+1),0)</f>
        <v>0</v>
      </c>
      <c r="EF101" s="43" t="n">
        <f aca="false">Tasks[[#This Row],[_Res3WorkPerWD]]*MAX(0,Tasks[[#This Row],[_StartWorkday]]-1)</f>
        <v>0</v>
      </c>
      <c r="EG101" s="43" t="n">
        <f aca="false">Tasks[[#This Row],[_Res3Work]]*Tasks[[#This Row],[_LeafProgress]]</f>
        <v>0</v>
      </c>
      <c r="EH101" s="43" t="str">
        <f aca="false">IF(Tasks[[#This Row],[_Res4Text]]="","",IF(Tasks[[#This Row],[_Res4Row]]&gt;0,INDEX(res_Name,Tasks[[#This Row],[_Res4Row]]),TRIM(LEFT(Tasks[[#This Row],[_Res4Text]],FIND("[",Tasks[[#This Row],[_Res4Text]]&amp;"[")-1))))</f>
        <v/>
      </c>
      <c r="EI1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1" s="43" t="n">
        <f aca="false">IF(OR(NOT(Tasks[[#This Row],[_IsLeaf]]=1),Tasks[[#This Row],[_Res4Row]]=0),0,N(Tasks[[#This Row],[_Days]])*HoursPerDay*IF(Tasks[[#This Row],[_Res4Units]]="",DefaultUnits,Tasks[[#This Row],[_Res4Units]]))</f>
        <v>0</v>
      </c>
      <c r="EK101" s="43" t="n">
        <f aca="false">IF(AND(AND(Tasks[[#This Row],[_IsLeaf]]=1,Tasks[[#This Row],[_LeafTotalWork]]&gt;0),Tasks[[#This Row],[_Res4Work]]&gt;0),Tasks[[#This Row],[_Res4Work]]/(Tasks[[#This Row],[_FinishWorkday]]-Tasks[[#This Row],[_StartWorkday]]+1),0)</f>
        <v>0</v>
      </c>
      <c r="EL101" s="43" t="n">
        <f aca="false">Tasks[[#This Row],[_Res4WorkPerWD]]*MAX(0,Tasks[[#This Row],[_StartWorkday]]-1)</f>
        <v>0</v>
      </c>
      <c r="EM101" s="43" t="n">
        <f aca="false">Tasks[[#This Row],[_Res4Work]]*Tasks[[#This Row],[_LeafProgress]]</f>
        <v>0</v>
      </c>
      <c r="EN101" s="43" t="n">
        <f aca="false">IF(ISNUMBER(Tasks[[#This Row],[% Complete]]),Tasks[[#This Row],[% Complete]],IF(Tasks[[#This Row],[Stage]]="",0,IFERROR(INDEX(stg_Pct,MATCH(Tasks[[#This Row],[Stage]],stg_Name,0)),0)))</f>
        <v>0</v>
      </c>
      <c r="EO101" s="43" t="n">
        <f aca="false">IF(NOT(Tasks[[#This Row],[_IsLeaf]]=1),0,IF(N(Tasks[[#This Row],[Actual Finish]])&gt;0,1,MIN(1,Tasks[[#This Row],[_Pct]])))</f>
        <v>0</v>
      </c>
      <c r="EP101" s="43" t="n">
        <f aca="false">IF(OR(NOT(Tasks[[#This Row],[_IsLeaf]]=1),Tasks[[#This Row],[_Res1Row]]=0),0,N(Tasks[[#This Row],[_Days]])*HoursPerDay*IF(Tasks[[#This Row],[_Units1]]="",DefaultUnits,Tasks[[#This Row],[_Units1]]))</f>
        <v>0</v>
      </c>
      <c r="EQ101" s="43" t="n">
        <f aca="false">Tasks[[#This Row],[_LeafWork]]+Tasks[[#This Row],[_Res2Work]]+Tasks[[#This Row],[_Res3Work]]+Tasks[[#This Row],[_Res4Work]]</f>
        <v>0</v>
      </c>
      <c r="ER10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1" s="43" t="n">
        <f aca="false">IF(NOT(Tasks[[#This Row],[_IsLeaf]]=1),0,MAX(_xlfn.MAXIFS(Tasks[_Row],Tasks[_Pred1UID],Tasks[[#This Row],[UID]]),_xlfn.MAXIFS(Tasks[_Row],Tasks[_Pred2UID],Tasks[[#This Row],[UID]]),_xlfn.MAXIFS(Tasks[_Row],Tasks[_Pred3UID],Tasks[[#This Row],[UID]]),_xlfn.MAXIFS(Tasks[_Row],Tasks[_Pred4UID],Tasks[[#This Row],[UID]])))</f>
        <v>0</v>
      </c>
      <c r="FA1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1" s="91" t="str">
        <f aca="false">IF(NOT(Tasks[[#This Row],[_IsLeaf]]=1),"",IF(N(Tasks[[#This Row],[_Days]])&lt;=0,Tasks[[#This Row],[_LeafLateFinish]],WORKDAY.INTL(Tasks[[#This Row],[_LeafLateFinish]],-(Tasks[[#This Row],[_Days]]-1),WorkWeek,Holidays)))</f>
        <v/>
      </c>
      <c r="FD1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1" s="90" t="b">
        <f aca="false">AND(Tasks[[#This Row],[_IsLeaf]]=1,Tasks[[#This Row],[_LeafProgress]]&lt;1,N(Tasks[[#This Row],[_LeafTotalSlack]])&lt;=CriticalSlackDays)</f>
        <v>0</v>
      </c>
      <c r="FF101" s="43" t="n">
        <f aca="false">IF(AND(Tasks[[#This Row],[_IsLeaf]]=1,Tasks[[#This Row],[_ConstraintCode]]=1,Tasks[[#This Row],[Mode]]&lt;&gt;"Manual",N(Tasks[[#This Row],[Actual Start]])=0),MAX(0,N(Tasks[[#This Row],[Free Slack]])),0)</f>
        <v>0</v>
      </c>
      <c r="FG101" s="91" t="str">
        <f aca="false">IF(NOT(Tasks[[#This Row],[_IsLeaf]]=1),"",IF(Tasks[[#This Row],[_AlapShift]]=0,Tasks[[#This Row],[_LeafCalcStart]],WORKDAY.INTL(Tasks[[#This Row],[_LeafCalcStart]],Tasks[[#This Row],[_AlapShift]],WorkWeek,Holidays)))</f>
        <v/>
      </c>
      <c r="FH101" s="91" t="str">
        <f aca="false">IF(NOT(Tasks[[#This Row],[_IsLeaf]]=1),"",IF(Tasks[[#This Row],[_AlapShift]]=0,Tasks[[#This Row],[_LeafCalcFinish]],WORKDAY.INTL(Tasks[[#This Row],[_LeafCalcFinish]],Tasks[[#This Row],[_AlapShift]],WorkWeek,Holidays)))</f>
        <v/>
      </c>
      <c r="FI101" s="91" t="str">
        <f aca="false">IF(NOT(Tasks[[#This Row],[_IsLeaf]]=1),"",IF(Tasks[[#This Row],[_AlapShift]]=0,Tasks[[#This Row],[_LeafFcstStart]],WORKDAY.INTL(Tasks[[#This Row],[_LeafFcstStart]],Tasks[[#This Row],[_AlapShift]],WorkWeek,Holidays)))</f>
        <v/>
      </c>
      <c r="FJ101" s="91" t="str">
        <f aca="false">IF(NOT(Tasks[[#This Row],[_IsLeaf]]=1),"",IF(Tasks[[#This Row],[_AlapShift]]=0,Tasks[[#This Row],[_LeafFcstFinish]],WORKDAY.INTL(Tasks[[#This Row],[_LeafFcstFinish]],Tasks[[#This Row],[_AlapShift]],WorkWeek,Holidays)))</f>
        <v/>
      </c>
      <c r="FK101" s="91" t="str">
        <f aca="false">IF(Tasks[[#This Row],[Task Name]]="","",IF(Tasks[[#This Row],[_IsSummary]],MIN(INDEX(Tasks[_ShownCalcStart],Tasks[[#This Row],[_Row]]+1):INDEX(Tasks[_ShownCalcStart],Tasks[[#This Row],[_Row]]+Tasks[[#This Row],[_Descendants]])),Tasks[[#This Row],[_ShownCalcStart]]))</f>
        <v/>
      </c>
      <c r="FL101" s="91" t="str">
        <f aca="false">IF(Tasks[[#This Row],[Task Name]]="","",IF(Tasks[[#This Row],[_IsSummary]],MAX(INDEX(Tasks[_ShownCalcFinish],Tasks[[#This Row],[_Row]]+1):INDEX(Tasks[_ShownCalcFinish],Tasks[[#This Row],[_Row]]+Tasks[[#This Row],[_Descendants]])),Tasks[[#This Row],[_ShownCalcFinish]]))</f>
        <v/>
      </c>
      <c r="FM1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1" s="43" t="n">
        <f aca="false">IF(AND(Tasks[[#This Row],[_IsLeaf]]=1,Tasks[[#This Row],[_LeafTotalWork]]&gt;0),NETWORKDAYS.INTL(ProjectStart,Tasks[[#This Row],[_ShownFcstStart]],WorkWeek,Holidays),0)</f>
        <v>0</v>
      </c>
      <c r="FZ101" s="43" t="n">
        <f aca="false">IF(AND(Tasks[[#This Row],[_IsLeaf]]=1,Tasks[[#This Row],[_LeafTotalWork]]&gt;0),MAX(Tasks[[#This Row],[_StartWorkday]],NETWORKDAYS.INTL(ProjectStart,Tasks[[#This Row],[_ShownFcstFinish]],WorkWeek,Holidays)),0)</f>
        <v>0</v>
      </c>
      <c r="GA101" s="43" t="n">
        <f aca="false">IF(AND(Tasks[[#This Row],[_IsLeaf]]=1,Tasks[[#This Row],[_LeafTotalWork]]&gt;0),Tasks[[#This Row],[_LeafWork]]/(Tasks[[#This Row],[_FinishWorkday]]-Tasks[[#This Row],[_StartWorkday]]+1),0)</f>
        <v>0</v>
      </c>
      <c r="GB101" s="43" t="n">
        <f aca="false">Tasks[[#This Row],[_WorkPerWorkday]]*(Tasks[[#This Row],[_StartWorkday]]-1)</f>
        <v>-0</v>
      </c>
      <c r="GC101" s="43" t="n">
        <f aca="false">IF(Tasks[[#This Row],[_IsLeaf]]=1,MAX(N(Tasks[[#This Row],[_Days]]),0.1),0)</f>
        <v>0</v>
      </c>
      <c r="GD101" s="43" t="n">
        <f aca="false">Tasks[[#This Row],[_WeightDur]]*Tasks[[#This Row],[_LeafProgress]]</f>
        <v>0</v>
      </c>
      <c r="GE101" s="43" t="n">
        <f aca="false">Tasks[[#This Row],[_WeightDur]]*Tasks[[#This Row],[_PlannedPct]]</f>
        <v>0</v>
      </c>
      <c r="GF1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1" s="43" t="str">
        <f aca="false">IF(AND(Tasks[[#This Row],[_IsLeaf]]=1,N(Tasks[[#This Row],[_Days]])=0,Tasks[[#This Row],[_LeafProgress]]&lt;1),Tasks[[#This Row],[_ShownFcstFinish]]+Tasks[[#This Row],[_Row]]/100000,"")</f>
        <v/>
      </c>
      <c r="GH1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1" s="43" t="str">
        <f aca="false">IF(Tasks[[#This Row],[Task Name]]="","",LEFT(Tasks[[#This Row],[WBS]],FIND(".",Tasks[[#This Row],[WBS]]&amp;".")-1))</f>
        <v/>
      </c>
      <c r="GJ101" s="43" t="str">
        <f aca="false">IF(AND(Tasks[[#This Row],[Task Name]]&lt;&gt;"",Tasks[[#This Row],[_Level]]=1),Tasks[[#This Row],[_Row]],"")</f>
        <v/>
      </c>
      <c r="GK101" s="43" t="str">
        <f aca="false">IF(AND(Tasks[[#This Row],[_IsLeaf]]=1,N(Tasks[[#This Row],[_Days]])=0),Tasks[[#This Row],[Planned Finish]]+Tasks[[#This Row],[_Row]]/100000,"")</f>
        <v/>
      </c>
      <c r="GL101" s="43" t="str">
        <f aca="false">IF(AND(Tasks[[#This Row],[_IsLeaf]]=1,Tasks[[#This Row],[_LeafProgress]]&lt;1,OR(N(Tasks[[#This Row],[Finish Var]])&gt;0,Tasks[[#This Row],[Status]]="Late Start")),MAX(0,Tasks[[#This Row],[Finish Var]])+1-Tasks[[#This Row],[_Row]]/1000000,"")</f>
        <v/>
      </c>
      <c r="GM101" s="43" t="str">
        <f aca="false">IF(AND(Tasks[[#This Row],[_IsLeaf]]=1,N(Tasks[[#This Row],[Actual Start]])=0,Tasks[[#This Row],[_ShownFcstStart]]&gt;=StatusDate,Tasks[[#This Row],[_ShownFcstStart]]&lt;=LookaheadEnd),Tasks[[#This Row],[_ShownFcstStart]]+Tasks[[#This Row],[_Row]]/100000,"")</f>
        <v/>
      </c>
      <c r="GN101" s="43" t="str">
        <f aca="false">IF(AND(Tasks[[#This Row],[_IsLeaf]]=1,Tasks[[#This Row],[_LeafProgress]]&lt;1,Tasks[[#This Row],[_ShownFcstFinish]]&gt;=StatusDate,Tasks[[#This Row],[_ShownFcstFinish]]&lt;=LookaheadEnd),Tasks[[#This Row],[_ShownFcstFinish]]+Tasks[[#This Row],[_Row]]/100000,"")</f>
        <v/>
      </c>
      <c r="GO101" s="43" t="str">
        <f aca="false">IF(Tasks[[#This Row],[_LeafCritical]],Tasks[[#This Row],[_ShownFcstStart]]+Tasks[[#This Row],[_Row]]/100000,"")</f>
        <v/>
      </c>
      <c r="GP101" s="43" t="n">
        <f aca="false">Tasks[[#This Row],[_LeafWork]]*Tasks[[#This Row],[_LeafProgress]]</f>
        <v>0</v>
      </c>
      <c r="GQ101" s="91" t="str">
        <f aca="false">IF(AND(Tasks[[#This Row],[_IsLeaf]]=1,Tasks[[#This Row],[_LeafProgress]]&gt;=1),IF(N(Tasks[[#This Row],[Actual Finish]])&gt;0,Tasks[[#This Row],[Actual Finish]],Tasks[[#This Row],[_ShownFcstFinish]]),"")</f>
        <v/>
      </c>
      <c r="GR101" s="43" t="n">
        <f aca="false">IF(Tasks[[#This Row],[_IsLeaf]]=1,N(Tasks[[#This Row],[Story Points]]),0)</f>
        <v>0</v>
      </c>
      <c r="GS101" s="43" t="str">
        <f aca="false">""</f>
        <v/>
      </c>
      <c r="GT101" s="90" t="b">
        <f aca="false">IF(Tasks[[#This Row],[Task Name]]="",FALSE(),AND(Tasks[[#This Row],[_IsLeaf]]=1,N(Tasks[[#This Row],[_Days]])=0))</f>
        <v>0</v>
      </c>
      <c r="GU101" s="91" t="n">
        <f aca="false">IF(Tasks[[#This Row],[Task Name]]="",0,IF(AND(Tasks[[#This Row],[_IsLeaf]]=1,NOT(Tasks[[#This Row],[_IsMilestone]]),N(Tasks[[#This Row],[Progress]])&gt;0),Tasks[[#This Row],[Start]],0))</f>
        <v>0</v>
      </c>
      <c r="GV101" s="91" t="n">
        <f aca="false">IF(Tasks[[#This Row],[_DoneFrom]]=0,0,IF(Tasks[[#This Row],[Progress]]&gt;=1,Tasks[[#This Row],[Finish]],MAX(Tasks[[#This Row],[_DoneFrom]],Tasks[[#This Row],[Start]]+ROUND((Tasks[[#This Row],[Finish]]-Tasks[[#This Row],[Start]]+1)*Tasks[[#This Row],[Progress]],0)-1)))</f>
        <v>0</v>
      </c>
      <c r="GW101" s="91" t="n">
        <f aca="false">IF(Tasks[[#This Row],[Task Name]]="",0,IF(OR(NOT(Tasks[[#This Row],[_IsLeaf]]=1),Tasks[[#This Row],[_IsMilestone]],N(Tasks[[#This Row],[Progress]])&gt;=1),0,IF(Tasks[[#This Row],[_DoneTo]]&gt;0,Tasks[[#This Row],[_DoneTo]]+1,Tasks[[#This Row],[Start]])))</f>
        <v>0</v>
      </c>
      <c r="GX101" s="91" t="n">
        <f aca="false">IF(Tasks[[#This Row],[_RemFrom]]=0,0,Tasks[[#This Row],[Finish]])</f>
        <v>0</v>
      </c>
      <c r="GY101" s="90" t="b">
        <f aca="false">IF(Tasks[[#This Row],[Task Name]]="",FALSE(),OR(NOT(BaselineSet),N(Tasks[[#This Row],[Baseline Start]])&gt;0))</f>
        <v>0</v>
      </c>
      <c r="GZ10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1" s="92" t="str">
        <f aca="false">IF(Tasks[[#This Row],[_IsLeaf]]=1,Tasks[[#This Row],[_Row]],"")</f>
        <v/>
      </c>
      <c r="HD101" s="92" t="str">
        <f aca="false">IFERROR(INDEX(Tasks[UID],SMALL(Tasks[_PickKey],Tasks[[#This Row],[_Row]]))&amp;" "&amp;INDEX(Tasks[Task Name],SMALL(Tasks[_PickKey],Tasks[[#This Row],[_Row]])),"")</f>
        <v/>
      </c>
      <c r="HE101" s="43" t="str">
        <f aca="false">IF(Tasks[[#This Row],[Task Name]]="","",IF(Tasks[[#This Row],[_IsSummary]],NETWORKDAYS.INTL(Tasks[[#This Row],[Start]],Tasks[[#This Row],[Finish]],WorkWeek,Holidays),N(Tasks[[#This Row],[_Days]])))</f>
        <v/>
      </c>
      <c r="HF101" s="43" t="n">
        <f aca="false">IF(Tasks[[#This Row],[Expected]]="",0,((Tasks[[#This Row],[Pessimistic]]-Tasks[[#This Row],[Optimistic]])/6)^2)</f>
        <v>0</v>
      </c>
      <c r="HG101" s="43" t="n">
        <f aca="false">IF(Tasks[[#This Row],[Expected]]="",0,Tasks[[#This Row],[Expected]]-N(Tasks[[#This Row],[_Days]]))</f>
        <v>0</v>
      </c>
    </row>
    <row r="102" customFormat="false" ht="15" hidden="false" customHeight="false" outlineLevel="0" collapsed="false">
      <c r="A102" s="21" t="str">
        <f aca="false">IF(Tasks[[#This Row],[Task Name]]="","",COUNTA(Tasks[[#Headers],[Task Name]]:Tasks[[#This Row],[Task Name]])-1)</f>
        <v/>
      </c>
      <c r="B102" s="22" t="n">
        <v>110</v>
      </c>
      <c r="C102" s="22"/>
      <c r="D102" s="23"/>
      <c r="E102" s="22"/>
      <c r="F102" s="23"/>
      <c r="G102" s="22"/>
      <c r="H102" s="22"/>
      <c r="I102" s="23"/>
      <c r="J102" s="22"/>
      <c r="K102" s="22"/>
      <c r="L102" s="23"/>
      <c r="M102" s="22"/>
      <c r="N102" s="22"/>
      <c r="O102" s="23"/>
      <c r="P102" s="22"/>
      <c r="Q102" s="22"/>
      <c r="R102" s="23"/>
      <c r="S102" s="23"/>
      <c r="T102" s="84"/>
      <c r="U102" s="23"/>
      <c r="V102" s="84"/>
      <c r="W102" s="23"/>
      <c r="X102" s="84"/>
      <c r="Y102" s="23"/>
      <c r="Z102" s="84"/>
      <c r="AA102" s="23"/>
      <c r="AB102" s="23"/>
      <c r="AC102" s="7"/>
      <c r="AD102" s="7"/>
      <c r="AE102" s="63" t="str">
        <f aca="false">IF(Tasks[[#This Row],[Task Name]]="","",IF(Tasks[[#This Row],[_IsSummary]],MIN(INDEX(Tasks[_ShownFcstStart],Tasks[[#This Row],[_Row]]+1):INDEX(Tasks[_ShownFcstStart],Tasks[[#This Row],[_Row]]+Tasks[[#This Row],[_Descendants]])),Tasks[[#This Row],[_ShownFcstStart]]))</f>
        <v/>
      </c>
      <c r="AF102" s="63" t="str">
        <f aca="false">IF(Tasks[[#This Row],[Task Name]]="","",IF(Tasks[[#This Row],[_IsSummary]],MAX(INDEX(Tasks[_ShownFcstFinish],Tasks[[#This Row],[_Row]]+1):INDEX(Tasks[_ShownFcstFinish],Tasks[[#This Row],[_Row]]+Tasks[[#This Row],[_Descendants]])),Tasks[[#This Row],[_ShownFcstFinish]]))</f>
        <v/>
      </c>
      <c r="AG102" s="21" t="str">
        <f aca="false">""</f>
        <v/>
      </c>
      <c r="AH102" s="23"/>
      <c r="AI1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2" s="7"/>
      <c r="AK102" s="22"/>
      <c r="AL102" s="23"/>
      <c r="AM102" s="7"/>
      <c r="AN102" s="47" t="str">
        <f aca="false">IF(Tasks[[#This Row],[Task Name]]="","",IF(Tasks[[#This Row],[Finish]]&gt;=Tasks[[#This Row],[Planned Finish]],NETWORKDAYS.INTL(Tasks[[#This Row],[Planned Finish]],Tasks[[#This Row],[Finish]],WorkWeek,Holidays)-1,1-NETWORKDAYS.INTL(Tasks[[#This Row],[Finish]],Tasks[[#This Row],[Planned Finish]],WorkWeek,Holidays)))</f>
        <v/>
      </c>
      <c r="AO102" s="21" t="str">
        <f aca="false">IF(Tasks[[#This Row],[Task Name]]="","",IF(Tasks[[#This Row],[Progress]]&gt;=1,"Complete",IF(OR(N(Tasks[[#This Row],[Actual Start]])&gt;0,Tasks[[#This Row],[Progress]]&gt;0),IF(Tasks[[#This Row],[Finish Var]]&gt;0,"Behind","In Progress"),IF(Tasks[[#This Row],[Planned Start]]&lt;StatusDate,"Late Start","Not Started"))))</f>
        <v/>
      </c>
      <c r="AP102" s="21" t="str">
        <f aca="false">IF(Tasks[[#This Row],[Task Name]]="","",IF(IF(Tasks[[#This Row],[_IsSummary]],COUNTIF(INDEX(Tasks[_LeafCritical],Tasks[[#This Row],[_Row]]+1):INDEX(Tasks[_LeafCritical],Tasks[[#This Row],[_Row]]+Tasks[[#This Row],[_Descendants]]),TRUE())&gt;0,Tasks[[#This Row],[_LeafCritical]]),"Yes",""))</f>
        <v/>
      </c>
      <c r="AQ102" s="63" t="str">
        <f aca="false">IF(Tasks[[#This Row],[Task Name]]="","",IF(N(Tasks[[#This Row],[Baseline Start]])&gt;0,Tasks[[#This Row],[Baseline Start]],Tasks[[#This Row],[_CalcStart]]))</f>
        <v/>
      </c>
      <c r="AR102" s="63" t="str">
        <f aca="false">IF(Tasks[[#This Row],[Task Name]]="","",IF(N(Tasks[[#This Row],[Baseline Finish]])&gt;0,Tasks[[#This Row],[Baseline Finish]],Tasks[[#This Row],[_CalcFinish]]))</f>
        <v/>
      </c>
      <c r="AS102" s="47" t="str">
        <f aca="false">IF(Tasks[[#This Row],[Task Name]]="","",IF(Tasks[[#This Row],[Start]]&gt;=Tasks[[#This Row],[Planned Start]],NETWORKDAYS.INTL(Tasks[[#This Row],[Planned Start]],Tasks[[#This Row],[Start]],WorkWeek,Holidays)-1,1-NETWORKDAYS.INTL(Tasks[[#This Row],[Start]],Tasks[[#This Row],[Planned Start]],WorkWeek,Holidays)))</f>
        <v/>
      </c>
      <c r="AT102" s="63" t="str">
        <f aca="false">IF(Tasks[[#This Row],[Task Name]]="","",IF(Tasks[[#This Row],[_IsSummary]],MIN(INDEX(Tasks[_LeafLateStart],Tasks[[#This Row],[_Row]]+1):INDEX(Tasks[_LeafLateStart],Tasks[[#This Row],[_Row]]+Tasks[[#This Row],[_Descendants]])),Tasks[[#This Row],[_LeafLateStart]]))</f>
        <v/>
      </c>
      <c r="AU102" s="63" t="str">
        <f aca="false">IF(Tasks[[#This Row],[Task Name]]="","",IF(Tasks[[#This Row],[_IsSummary]],MAX(INDEX(Tasks[_LeafLateFinish],Tasks[[#This Row],[_Row]]+1):INDEX(Tasks[_LeafLateFinish],Tasks[[#This Row],[_Row]]+Tasks[[#This Row],[_Descendants]])),Tasks[[#This Row],[_LeafLateFinish]]))</f>
        <v/>
      </c>
      <c r="AV102" s="47" t="str">
        <f aca="false">IF(Tasks[[#This Row],[Task Name]]="","",IF(Tasks[[#This Row],[_IsSummary]],MIN(INDEX(Tasks[_LeafTotalSlack],Tasks[[#This Row],[_Row]]+1):INDEX(Tasks[_LeafTotalSlack],Tasks[[#This Row],[_Row]]+Tasks[[#This Row],[_Descendants]])),Tasks[[#This Row],[_LeafTotalSlack]]))</f>
        <v/>
      </c>
      <c r="AW1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5"/>
      <c r="BA10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t="str">
        <f aca="false">IF(Tasks[[#This Row],[Task Name]]="","",IF(Tasks[[#This Row],[_Level]]&lt;=OutlineShowLevel,"Yes","No"))</f>
        <v/>
      </c>
      <c r="BE102" s="86" t="str">
        <f aca="false">IF(Tasks[[#This Row],[Task Name]]="","",IF(Tasks[[#This Row],[_IsSummary]],SUM(INDEX(Tasks[_LeafTotalWork],Tasks[[#This Row],[_Row]]+1):INDEX(Tasks[_LeafTotalWork],Tasks[[#This Row],[_Row]]+Tasks[[#This Row],[_Descendants]])),Tasks[[#This Row],[_LeafTotalWork]]))</f>
        <v/>
      </c>
      <c r="BF102" s="23"/>
      <c r="BG1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t="str">
        <f aca="false">""</f>
        <v/>
      </c>
      <c r="BI102" s="87"/>
      <c r="BJ102" s="22"/>
      <c r="BK102" s="47" t="str">
        <f aca="false">IF(OR(Tasks[[#This Row],[Task Name]]="",Tasks[[#This Row],[Baseline Duration]]=""),"",Tasks[[#This Row],[_SpanDays]]-N(Tasks[[#This Row],[Baseline Duration]]))</f>
        <v/>
      </c>
      <c r="BL102" s="86" t="str">
        <f aca="false">IF(OR(Tasks[[#This Row],[Task Name]]="",Tasks[[#This Row],[Baseline Work]]=""),"",Tasks[[#This Row],[Work]]-N(Tasks[[#This Row],[Baseline Work]]))</f>
        <v/>
      </c>
      <c r="BM102" s="63" t="str">
        <f aca="false">IF(Tasks[[#This Row],[Task Name]]="","",IF(OR(TakeBaseline="Yes",N(Tasks[[#This Row],[Baseline Start]])=0),Tasks[[#This Row],[Start]],Tasks[[#This Row],[Baseline Start]]))</f>
        <v/>
      </c>
      <c r="BN102" s="63" t="str">
        <f aca="false">IF(Tasks[[#This Row],[Task Name]]="","",IF(OR(TakeBaseline="Yes",N(Tasks[[#This Row],[Baseline Finish]])=0),Tasks[[#This Row],[Finish]],Tasks[[#This Row],[Baseline Finish]]))</f>
        <v/>
      </c>
      <c r="BO102" s="21" t="str">
        <f aca="false">IF(Tasks[[#This Row],[Task Name]]="","",IF(OR(TakeBaseline="Yes",N(Tasks[[#This Row],[Baseline Duration]])=0),Tasks[[#This Row],[_SpanDays]],Tasks[[#This Row],[Baseline Duration]]))</f>
        <v/>
      </c>
      <c r="BP102" s="86" t="str">
        <f aca="false">IF(Tasks[[#This Row],[Task Name]]="","",IF(OR(TakeBaseline="Yes",N(Tasks[[#This Row],[Baseline Work]])=0),Tasks[[#This Row],[Work]],Tasks[[#This Row],[Baseline Work]]))</f>
        <v/>
      </c>
      <c r="BQ102" s="7"/>
      <c r="BR102" s="7"/>
      <c r="BS102" s="22"/>
      <c r="BT102" s="88"/>
      <c r="BU102" s="23"/>
      <c r="BV102" s="23"/>
      <c r="BW102" s="23"/>
      <c r="BX102" s="89" t="str">
        <f aca="false">IF(AND(Tasks[[#This Row],[_IsLeaf]]=1,ISNUMBER(Tasks[[#This Row],[Optimistic]]),ISNUMBER(Tasks[[#This Row],[Pessimistic]])),ROUND((Tasks[[#This Row],[Optimistic]]+4*N(Tasks[[#This Row],[_Days]])+Tasks[[#This Row],[Pessimistic]])/6,1),"")</f>
        <v/>
      </c>
      <c r="BY102" s="87"/>
      <c r="BZ102" s="87"/>
      <c r="CA102" s="22"/>
      <c r="CB102" s="43" t="str">
        <f aca="false">IF(Tasks[[#This Row],[Task Name]]="","",MAX(1,N(Tasks[[#This Row],[Level]])))</f>
        <v/>
      </c>
      <c r="CC102" s="43" t="n">
        <f aca="false">ROW()-ROW(Tasks[[#Headers],[ID]])</f>
        <v>97</v>
      </c>
      <c r="CD102" s="43" t="n">
        <f aca="false">IF(OR(Tasks[[#This Row],[Task Name]]="",Tasks[[#This Row],[_Level]]&lt;=1),0,IFERROR(LOOKUP(2,1/(Tasks[[#Headers],[_Level]]:Tasks[[#This Row],[_Level]]=Tasks[[#This Row],[_Level]]-1),ROW(Tasks[[#Headers],[_Level]]:Tasks[[#This Row],[_Level]])),0))</f>
        <v>0</v>
      </c>
      <c r="CE102" s="43" t="n">
        <f aca="false">IFERROR(N(INDEX(Tasks[_Level],Tasks[[#This Row],[_Row]]+1)),0)</f>
        <v>0</v>
      </c>
      <c r="CF102" s="90" t="b">
        <f aca="false">AND(Tasks[[#This Row],[Task Name]]&lt;&gt;"",Tasks[[#This Row],[_NextLevel]]&gt;Tasks[[#This Row],[_Level]])</f>
        <v>0</v>
      </c>
      <c r="CG102" s="43" t="n">
        <f aca="false">IF(Tasks[[#This Row],[_IsSummary]],COUNTIF(Tasks[WBS],Tasks[[#This Row],[WBS]]&amp;".*"),0)</f>
        <v>0</v>
      </c>
      <c r="CH102" s="43" t="n">
        <f aca="false">IF(AND(Tasks[[#This Row],[Task Name]]&lt;&gt;"",NOT(Tasks[[#This Row],[_IsSummary]])),1,0)</f>
        <v>0</v>
      </c>
      <c r="CI102" s="43" t="n">
        <f aca="false">IF(N(Tasks[[#This Row],[_Pred1UID]])=0,0,IFERROR(MATCH(Tasks[[#This Row],[_Pred1UID]],Tasks[UID],0),-1))</f>
        <v>0</v>
      </c>
      <c r="CJ102" s="43" t="n">
        <f aca="false">IF(N(Tasks[[#This Row],[_Pred2UID]])=0,0,IFERROR(MATCH(Tasks[[#This Row],[_Pred2UID]],Tasks[UID],0),-1))</f>
        <v>0</v>
      </c>
      <c r="CK102" s="43" t="n">
        <f aca="false">IF(N(Tasks[[#This Row],[_Pred3UID]])=0,0,IFERROR(MATCH(Tasks[[#This Row],[_Pred3UID]],Tasks[UID],0),-1))</f>
        <v>0</v>
      </c>
      <c r="CL102" s="43" t="n">
        <f aca="false">IF(N(Tasks[[#This Row],[_Pred4UID]])=0,0,IFERROR(MATCH(Tasks[[#This Row],[_Pred4UID]],Tasks[UID],0),-1))</f>
        <v>0</v>
      </c>
      <c r="CM1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2" s="91" t="n">
        <f aca="false">IF(OR(Tasks[[#This Row],[_ConstraintCode]]=2,Tasks[[#This Row],[_ConstraintCode]]=3,Tasks[[#This Row],[_ConstraintCode]]=4,Tasks[[#This Row],[_ConstraintCode]]=6),Tasks[[#This Row],[_ConstraintStart]],0)</f>
        <v>0</v>
      </c>
      <c r="CP102" s="91" t="n">
        <f aca="false">IF(OR(Tasks[[#This Row],[_ConstraintCode]]=2,Tasks[[#This Row],[_ConstraintCode]]=3,Tasks[[#This Row],[_ConstraintCode]]=5,Tasks[[#This Row],[_ConstraintCode]]=7),Tasks[[#This Row],[_ConstraintStart]],2958465)</f>
        <v>2958465</v>
      </c>
      <c r="CQ1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2" s="91" t="str">
        <f aca="false">IF(NOT(Tasks[[#This Row],[_IsLeaf]]=1),"",IF(N(Tasks[[#This Row],[_Days]])&lt;=0,Tasks[[#This Row],[_LeafCalcStart]],WORKDAY.INTL(Tasks[[#This Row],[_LeafCalcStart]],Tasks[[#This Row],[_Days]]-1,WorkWeek,Holidays)))</f>
        <v/>
      </c>
      <c r="CS1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2" s="43" t="str">
        <f aca="false">IF(Tasks[[#This Row],[_Predecessors]]="","",TRIM(MID(SUBSTITUTE(SUBSTITUTE(SUBSTITUTE(UPPER(Tasks[[#This Row],[_Predecessors]]),";",",")," ",""),",",REPT(" ",99)),1,99)))</f>
        <v/>
      </c>
      <c r="CV102" s="43" t="str">
        <f aca="false">IF(Tasks[[#This Row],[_Pred1Text]]="","",IFERROR(VALUE(LEFT(Tasks[[#This Row],[_Pred1Text]],MIN(FIND("F",Tasks[[#This Row],[_Pred1Text]]&amp;"F"),FIND("S",Tasks[[#This Row],[_Pred1Text]]&amp;"S"),FIND("+",Tasks[[#This Row],[_Pred1Text]]&amp;"+"),FIND("-",Tasks[[#This Row],[_Pred1Text]]&amp;"-"))-1)),""))</f>
        <v/>
      </c>
      <c r="CW1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2" s="43" t="str">
        <f aca="false">IF(Tasks[[#This Row],[_Pred1Text]]="","",TRIM(MID(SUBSTITUTE(SUBSTITUTE(SUBSTITUTE(UPPER(Tasks[[#This Row],[_Predecessors]]),";",",")," ",""),",",REPT(" ",99)),100,99)))</f>
        <v/>
      </c>
      <c r="CZ102" s="43" t="str">
        <f aca="false">IF(Tasks[[#This Row],[_Pred2Text]]="","",IFERROR(VALUE(LEFT(Tasks[[#This Row],[_Pred2Text]],MIN(FIND("F",Tasks[[#This Row],[_Pred2Text]]&amp;"F"),FIND("S",Tasks[[#This Row],[_Pred2Text]]&amp;"S"),FIND("+",Tasks[[#This Row],[_Pred2Text]]&amp;"+"),FIND("-",Tasks[[#This Row],[_Pred2Text]]&amp;"-"))-1)),""))</f>
        <v/>
      </c>
      <c r="DA1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2" s="43" t="str">
        <f aca="false">IF(Tasks[[#This Row],[_Pred2Text]]="","",TRIM(MID(SUBSTITUTE(SUBSTITUTE(SUBSTITUTE(UPPER(Tasks[[#This Row],[_Predecessors]]),";",",")," ",""),",",REPT(" ",99)),199,99)))</f>
        <v/>
      </c>
      <c r="DD102" s="43" t="str">
        <f aca="false">IF(Tasks[[#This Row],[_Pred3Text]]="","",IFERROR(VALUE(LEFT(Tasks[[#This Row],[_Pred3Text]],MIN(FIND("F",Tasks[[#This Row],[_Pred3Text]]&amp;"F"),FIND("S",Tasks[[#This Row],[_Pred3Text]]&amp;"S"),FIND("+",Tasks[[#This Row],[_Pred3Text]]&amp;"+"),FIND("-",Tasks[[#This Row],[_Pred3Text]]&amp;"-"))-1)),""))</f>
        <v/>
      </c>
      <c r="DE1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2" s="43" t="str">
        <f aca="false">IF(Tasks[[#This Row],[_Pred3Text]]="","",TRIM(MID(SUBSTITUTE(SUBSTITUTE(SUBSTITUTE(UPPER(Tasks[[#This Row],[_Predecessors]]),";",",")," ",""),",",REPT(" ",99)),298,99)))</f>
        <v/>
      </c>
      <c r="DH102" s="43" t="str">
        <f aca="false">IF(Tasks[[#This Row],[_Pred4Text]]="","",IFERROR(VALUE(LEFT(Tasks[[#This Row],[_Pred4Text]],MIN(FIND("F",Tasks[[#This Row],[_Pred4Text]]&amp;"F"),FIND("S",Tasks[[#This Row],[_Pred4Text]]&amp;"S"),FIND("+",Tasks[[#This Row],[_Pred4Text]]&amp;"+"),FIND("-",Tasks[[#This Row],[_Pred4Text]]&amp;"-"))-1)),""))</f>
        <v/>
      </c>
      <c r="DI1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2" s="43" t="str">
        <f aca="false">IF(OR(Tasks[[#This Row],[Task Name]]="",Tasks[[#This Row],[_Resources]]=""),"",TRIM(MID(SUBSTITUTE(Tasks[[#This Row],[_Resources]],",",REPT(" ",99)),1,99)))</f>
        <v/>
      </c>
      <c r="DL102" s="43" t="str">
        <f aca="false">IF(Tasks[[#This Row],[_Res1Text]]="","",TRIM(MID(SUBSTITUTE(Tasks[[#This Row],[_Resources]],",",REPT(" ",99)),100,99)))</f>
        <v/>
      </c>
      <c r="DM102" s="43" t="str">
        <f aca="false">IF(Tasks[[#This Row],[_Res2Text]]="","",TRIM(MID(SUBSTITUTE(Tasks[[#This Row],[_Resources]],",",REPT(" ",99)),199,99)))</f>
        <v/>
      </c>
      <c r="DN102" s="43" t="str">
        <f aca="false">IF(Tasks[[#This Row],[_Res3Text]]="","",TRIM(MID(SUBSTITUTE(Tasks[[#This Row],[_Resources]],",",REPT(" ",99)),298,99)))</f>
        <v/>
      </c>
      <c r="DO102" s="43" t="n">
        <f aca="false">IF(Tasks[[#This Row],[_Res1Text]]="",0,IFERROR(MATCH(TRIM(LEFT(Tasks[[#This Row],[_Res1Text]],FIND("[",Tasks[[#This Row],[_Res1Text]]&amp;"[")-1)),res_Name,0),IFERROR(MATCH(TRIM(LEFT(Tasks[[#This Row],[_Res1Text]],FIND("[",Tasks[[#This Row],[_Res1Text]]&amp;"[")-1)),res_Initials,0),0)))</f>
        <v>0</v>
      </c>
      <c r="DP102" s="43" t="n">
        <f aca="false">IF(Tasks[[#This Row],[_Res2Text]]="",0,IFERROR(MATCH(TRIM(LEFT(Tasks[[#This Row],[_Res2Text]],FIND("[",Tasks[[#This Row],[_Res2Text]]&amp;"[")-1)),res_Name,0),IFERROR(MATCH(TRIM(LEFT(Tasks[[#This Row],[_Res2Text]],FIND("[",Tasks[[#This Row],[_Res2Text]]&amp;"[")-1)),res_Initials,0),0)))</f>
        <v>0</v>
      </c>
      <c r="DQ102" s="43" t="n">
        <f aca="false">IF(Tasks[[#This Row],[_Res3Text]]="",0,IFERROR(MATCH(TRIM(LEFT(Tasks[[#This Row],[_Res3Text]],FIND("[",Tasks[[#This Row],[_Res3Text]]&amp;"[")-1)),res_Name,0),IFERROR(MATCH(TRIM(LEFT(Tasks[[#This Row],[_Res3Text]],FIND("[",Tasks[[#This Row],[_Res3Text]]&amp;"[")-1)),res_Initials,0),0)))</f>
        <v>0</v>
      </c>
      <c r="DR102" s="43" t="n">
        <f aca="false">IF(Tasks[[#This Row],[_Res4Text]]="",0,IFERROR(MATCH(TRIM(LEFT(Tasks[[#This Row],[_Res4Text]],FIND("[",Tasks[[#This Row],[_Res4Text]]&amp;"[")-1)),res_Name,0),IFERROR(MATCH(TRIM(LEFT(Tasks[[#This Row],[_Res4Text]],FIND("[",Tasks[[#This Row],[_Res4Text]]&amp;"[")-1)),res_Initials,0),0)))</f>
        <v>0</v>
      </c>
      <c r="DS102" s="43" t="str">
        <f aca="false">IF(Tasks[[#This Row],[_Res1Text]]="","",IF(Tasks[[#This Row],[_Res1Row]]&gt;0,INDEX(res_Name,Tasks[[#This Row],[_Res1Row]]),TRIM(LEFT(Tasks[[#This Row],[_Res1Text]],FIND("[",Tasks[[#This Row],[_Res1Text]]&amp;"[")-1))))</f>
        <v/>
      </c>
      <c r="DT1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2" s="43" t="n">
        <f aca="false">IF(NOT(Tasks[[#This Row],[_IsLeaf]]=1),0,(Tasks[[#This Row],[_Resource1]]&lt;&gt;"")+(Tasks[[#This Row],[_Res2]]&lt;&gt;"")+(Tasks[[#This Row],[_Res3]]&lt;&gt;"")+(Tasks[[#This Row],[_Res4]]&lt;&gt;""))</f>
        <v>0</v>
      </c>
      <c r="DV102" s="43" t="str">
        <f aca="false">IF(Tasks[[#This Row],[_Res2Text]]="","",IF(Tasks[[#This Row],[_Res2Row]]&gt;0,INDEX(res_Name,Tasks[[#This Row],[_Res2Row]]),TRIM(LEFT(Tasks[[#This Row],[_Res2Text]],FIND("[",Tasks[[#This Row],[_Res2Text]]&amp;"[")-1))))</f>
        <v/>
      </c>
      <c r="DW1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2" s="43" t="n">
        <f aca="false">IF(OR(NOT(Tasks[[#This Row],[_IsLeaf]]=1),Tasks[[#This Row],[_Res2Row]]=0),0,N(Tasks[[#This Row],[_Days]])*HoursPerDay*IF(Tasks[[#This Row],[_Res2Units]]="",DefaultUnits,Tasks[[#This Row],[_Res2Units]]))</f>
        <v>0</v>
      </c>
      <c r="DY102" s="43" t="n">
        <f aca="false">IF(AND(AND(Tasks[[#This Row],[_IsLeaf]]=1,Tasks[[#This Row],[_LeafTotalWork]]&gt;0),Tasks[[#This Row],[_Res2Work]]&gt;0),Tasks[[#This Row],[_Res2Work]]/(Tasks[[#This Row],[_FinishWorkday]]-Tasks[[#This Row],[_StartWorkday]]+1),0)</f>
        <v>0</v>
      </c>
      <c r="DZ102" s="43" t="n">
        <f aca="false">Tasks[[#This Row],[_Res2WorkPerWD]]*MAX(0,Tasks[[#This Row],[_StartWorkday]]-1)</f>
        <v>0</v>
      </c>
      <c r="EA102" s="43" t="n">
        <f aca="false">Tasks[[#This Row],[_Res2Work]]*Tasks[[#This Row],[_LeafProgress]]</f>
        <v>0</v>
      </c>
      <c r="EB102" s="43" t="str">
        <f aca="false">IF(Tasks[[#This Row],[_Res3Text]]="","",IF(Tasks[[#This Row],[_Res3Row]]&gt;0,INDEX(res_Name,Tasks[[#This Row],[_Res3Row]]),TRIM(LEFT(Tasks[[#This Row],[_Res3Text]],FIND("[",Tasks[[#This Row],[_Res3Text]]&amp;"[")-1))))</f>
        <v/>
      </c>
      <c r="EC1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2" s="43" t="n">
        <f aca="false">IF(OR(NOT(Tasks[[#This Row],[_IsLeaf]]=1),Tasks[[#This Row],[_Res3Row]]=0),0,N(Tasks[[#This Row],[_Days]])*HoursPerDay*IF(Tasks[[#This Row],[_Res3Units]]="",DefaultUnits,Tasks[[#This Row],[_Res3Units]]))</f>
        <v>0</v>
      </c>
      <c r="EE102" s="43" t="n">
        <f aca="false">IF(AND(AND(Tasks[[#This Row],[_IsLeaf]]=1,Tasks[[#This Row],[_LeafTotalWork]]&gt;0),Tasks[[#This Row],[_Res3Work]]&gt;0),Tasks[[#This Row],[_Res3Work]]/(Tasks[[#This Row],[_FinishWorkday]]-Tasks[[#This Row],[_StartWorkday]]+1),0)</f>
        <v>0</v>
      </c>
      <c r="EF102" s="43" t="n">
        <f aca="false">Tasks[[#This Row],[_Res3WorkPerWD]]*MAX(0,Tasks[[#This Row],[_StartWorkday]]-1)</f>
        <v>0</v>
      </c>
      <c r="EG102" s="43" t="n">
        <f aca="false">Tasks[[#This Row],[_Res3Work]]*Tasks[[#This Row],[_LeafProgress]]</f>
        <v>0</v>
      </c>
      <c r="EH102" s="43" t="str">
        <f aca="false">IF(Tasks[[#This Row],[_Res4Text]]="","",IF(Tasks[[#This Row],[_Res4Row]]&gt;0,INDEX(res_Name,Tasks[[#This Row],[_Res4Row]]),TRIM(LEFT(Tasks[[#This Row],[_Res4Text]],FIND("[",Tasks[[#This Row],[_Res4Text]]&amp;"[")-1))))</f>
        <v/>
      </c>
      <c r="EI1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2" s="43" t="n">
        <f aca="false">IF(OR(NOT(Tasks[[#This Row],[_IsLeaf]]=1),Tasks[[#This Row],[_Res4Row]]=0),0,N(Tasks[[#This Row],[_Days]])*HoursPerDay*IF(Tasks[[#This Row],[_Res4Units]]="",DefaultUnits,Tasks[[#This Row],[_Res4Units]]))</f>
        <v>0</v>
      </c>
      <c r="EK102" s="43" t="n">
        <f aca="false">IF(AND(AND(Tasks[[#This Row],[_IsLeaf]]=1,Tasks[[#This Row],[_LeafTotalWork]]&gt;0),Tasks[[#This Row],[_Res4Work]]&gt;0),Tasks[[#This Row],[_Res4Work]]/(Tasks[[#This Row],[_FinishWorkday]]-Tasks[[#This Row],[_StartWorkday]]+1),0)</f>
        <v>0</v>
      </c>
      <c r="EL102" s="43" t="n">
        <f aca="false">Tasks[[#This Row],[_Res4WorkPerWD]]*MAX(0,Tasks[[#This Row],[_StartWorkday]]-1)</f>
        <v>0</v>
      </c>
      <c r="EM102" s="43" t="n">
        <f aca="false">Tasks[[#This Row],[_Res4Work]]*Tasks[[#This Row],[_LeafProgress]]</f>
        <v>0</v>
      </c>
      <c r="EN102" s="43" t="n">
        <f aca="false">IF(ISNUMBER(Tasks[[#This Row],[% Complete]]),Tasks[[#This Row],[% Complete]],IF(Tasks[[#This Row],[Stage]]="",0,IFERROR(INDEX(stg_Pct,MATCH(Tasks[[#This Row],[Stage]],stg_Name,0)),0)))</f>
        <v>0</v>
      </c>
      <c r="EO102" s="43" t="n">
        <f aca="false">IF(NOT(Tasks[[#This Row],[_IsLeaf]]=1),0,IF(N(Tasks[[#This Row],[Actual Finish]])&gt;0,1,MIN(1,Tasks[[#This Row],[_Pct]])))</f>
        <v>0</v>
      </c>
      <c r="EP102" s="43" t="n">
        <f aca="false">IF(OR(NOT(Tasks[[#This Row],[_IsLeaf]]=1),Tasks[[#This Row],[_Res1Row]]=0),0,N(Tasks[[#This Row],[_Days]])*HoursPerDay*IF(Tasks[[#This Row],[_Units1]]="",DefaultUnits,Tasks[[#This Row],[_Units1]]))</f>
        <v>0</v>
      </c>
      <c r="EQ102" s="43" t="n">
        <f aca="false">Tasks[[#This Row],[_LeafWork]]+Tasks[[#This Row],[_Res2Work]]+Tasks[[#This Row],[_Res3Work]]+Tasks[[#This Row],[_Res4Work]]</f>
        <v>0</v>
      </c>
      <c r="ER10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2" s="43" t="n">
        <f aca="false">IF(NOT(Tasks[[#This Row],[_IsLeaf]]=1),0,MAX(_xlfn.MAXIFS(Tasks[_Row],Tasks[_Pred1UID],Tasks[[#This Row],[UID]]),_xlfn.MAXIFS(Tasks[_Row],Tasks[_Pred2UID],Tasks[[#This Row],[UID]]),_xlfn.MAXIFS(Tasks[_Row],Tasks[_Pred3UID],Tasks[[#This Row],[UID]]),_xlfn.MAXIFS(Tasks[_Row],Tasks[_Pred4UID],Tasks[[#This Row],[UID]])))</f>
        <v>0</v>
      </c>
      <c r="FA1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2" s="91" t="str">
        <f aca="false">IF(NOT(Tasks[[#This Row],[_IsLeaf]]=1),"",IF(N(Tasks[[#This Row],[_Days]])&lt;=0,Tasks[[#This Row],[_LeafLateFinish]],WORKDAY.INTL(Tasks[[#This Row],[_LeafLateFinish]],-(Tasks[[#This Row],[_Days]]-1),WorkWeek,Holidays)))</f>
        <v/>
      </c>
      <c r="FD1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2" s="90" t="b">
        <f aca="false">AND(Tasks[[#This Row],[_IsLeaf]]=1,Tasks[[#This Row],[_LeafProgress]]&lt;1,N(Tasks[[#This Row],[_LeafTotalSlack]])&lt;=CriticalSlackDays)</f>
        <v>0</v>
      </c>
      <c r="FF102" s="43" t="n">
        <f aca="false">IF(AND(Tasks[[#This Row],[_IsLeaf]]=1,Tasks[[#This Row],[_ConstraintCode]]=1,Tasks[[#This Row],[Mode]]&lt;&gt;"Manual",N(Tasks[[#This Row],[Actual Start]])=0),MAX(0,N(Tasks[[#This Row],[Free Slack]])),0)</f>
        <v>0</v>
      </c>
      <c r="FG102" s="91" t="str">
        <f aca="false">IF(NOT(Tasks[[#This Row],[_IsLeaf]]=1),"",IF(Tasks[[#This Row],[_AlapShift]]=0,Tasks[[#This Row],[_LeafCalcStart]],WORKDAY.INTL(Tasks[[#This Row],[_LeafCalcStart]],Tasks[[#This Row],[_AlapShift]],WorkWeek,Holidays)))</f>
        <v/>
      </c>
      <c r="FH102" s="91" t="str">
        <f aca="false">IF(NOT(Tasks[[#This Row],[_IsLeaf]]=1),"",IF(Tasks[[#This Row],[_AlapShift]]=0,Tasks[[#This Row],[_LeafCalcFinish]],WORKDAY.INTL(Tasks[[#This Row],[_LeafCalcFinish]],Tasks[[#This Row],[_AlapShift]],WorkWeek,Holidays)))</f>
        <v/>
      </c>
      <c r="FI102" s="91" t="str">
        <f aca="false">IF(NOT(Tasks[[#This Row],[_IsLeaf]]=1),"",IF(Tasks[[#This Row],[_AlapShift]]=0,Tasks[[#This Row],[_LeafFcstStart]],WORKDAY.INTL(Tasks[[#This Row],[_LeafFcstStart]],Tasks[[#This Row],[_AlapShift]],WorkWeek,Holidays)))</f>
        <v/>
      </c>
      <c r="FJ102" s="91" t="str">
        <f aca="false">IF(NOT(Tasks[[#This Row],[_IsLeaf]]=1),"",IF(Tasks[[#This Row],[_AlapShift]]=0,Tasks[[#This Row],[_LeafFcstFinish]],WORKDAY.INTL(Tasks[[#This Row],[_LeafFcstFinish]],Tasks[[#This Row],[_AlapShift]],WorkWeek,Holidays)))</f>
        <v/>
      </c>
      <c r="FK102" s="91" t="str">
        <f aca="false">IF(Tasks[[#This Row],[Task Name]]="","",IF(Tasks[[#This Row],[_IsSummary]],MIN(INDEX(Tasks[_ShownCalcStart],Tasks[[#This Row],[_Row]]+1):INDEX(Tasks[_ShownCalcStart],Tasks[[#This Row],[_Row]]+Tasks[[#This Row],[_Descendants]])),Tasks[[#This Row],[_ShownCalcStart]]))</f>
        <v/>
      </c>
      <c r="FL102" s="91" t="str">
        <f aca="false">IF(Tasks[[#This Row],[Task Name]]="","",IF(Tasks[[#This Row],[_IsSummary]],MAX(INDEX(Tasks[_ShownCalcFinish],Tasks[[#This Row],[_Row]]+1):INDEX(Tasks[_ShownCalcFinish],Tasks[[#This Row],[_Row]]+Tasks[[#This Row],[_Descendants]])),Tasks[[#This Row],[_ShownCalcFinish]]))</f>
        <v/>
      </c>
      <c r="FM1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2" s="43" t="n">
        <f aca="false">IF(AND(Tasks[[#This Row],[_IsLeaf]]=1,Tasks[[#This Row],[_LeafTotalWork]]&gt;0),NETWORKDAYS.INTL(ProjectStart,Tasks[[#This Row],[_ShownFcstStart]],WorkWeek,Holidays),0)</f>
        <v>0</v>
      </c>
      <c r="FZ102" s="43" t="n">
        <f aca="false">IF(AND(Tasks[[#This Row],[_IsLeaf]]=1,Tasks[[#This Row],[_LeafTotalWork]]&gt;0),MAX(Tasks[[#This Row],[_StartWorkday]],NETWORKDAYS.INTL(ProjectStart,Tasks[[#This Row],[_ShownFcstFinish]],WorkWeek,Holidays)),0)</f>
        <v>0</v>
      </c>
      <c r="GA102" s="43" t="n">
        <f aca="false">IF(AND(Tasks[[#This Row],[_IsLeaf]]=1,Tasks[[#This Row],[_LeafTotalWork]]&gt;0),Tasks[[#This Row],[_LeafWork]]/(Tasks[[#This Row],[_FinishWorkday]]-Tasks[[#This Row],[_StartWorkday]]+1),0)</f>
        <v>0</v>
      </c>
      <c r="GB102" s="43" t="n">
        <f aca="false">Tasks[[#This Row],[_WorkPerWorkday]]*(Tasks[[#This Row],[_StartWorkday]]-1)</f>
        <v>-0</v>
      </c>
      <c r="GC102" s="43" t="n">
        <f aca="false">IF(Tasks[[#This Row],[_IsLeaf]]=1,MAX(N(Tasks[[#This Row],[_Days]]),0.1),0)</f>
        <v>0</v>
      </c>
      <c r="GD102" s="43" t="n">
        <f aca="false">Tasks[[#This Row],[_WeightDur]]*Tasks[[#This Row],[_LeafProgress]]</f>
        <v>0</v>
      </c>
      <c r="GE102" s="43" t="n">
        <f aca="false">Tasks[[#This Row],[_WeightDur]]*Tasks[[#This Row],[_PlannedPct]]</f>
        <v>0</v>
      </c>
      <c r="GF1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2" s="43" t="str">
        <f aca="false">IF(AND(Tasks[[#This Row],[_IsLeaf]]=1,N(Tasks[[#This Row],[_Days]])=0,Tasks[[#This Row],[_LeafProgress]]&lt;1),Tasks[[#This Row],[_ShownFcstFinish]]+Tasks[[#This Row],[_Row]]/100000,"")</f>
        <v/>
      </c>
      <c r="GH1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2" s="43" t="str">
        <f aca="false">IF(Tasks[[#This Row],[Task Name]]="","",LEFT(Tasks[[#This Row],[WBS]],FIND(".",Tasks[[#This Row],[WBS]]&amp;".")-1))</f>
        <v/>
      </c>
      <c r="GJ102" s="43" t="str">
        <f aca="false">IF(AND(Tasks[[#This Row],[Task Name]]&lt;&gt;"",Tasks[[#This Row],[_Level]]=1),Tasks[[#This Row],[_Row]],"")</f>
        <v/>
      </c>
      <c r="GK102" s="43" t="str">
        <f aca="false">IF(AND(Tasks[[#This Row],[_IsLeaf]]=1,N(Tasks[[#This Row],[_Days]])=0),Tasks[[#This Row],[Planned Finish]]+Tasks[[#This Row],[_Row]]/100000,"")</f>
        <v/>
      </c>
      <c r="GL102" s="43" t="str">
        <f aca="false">IF(AND(Tasks[[#This Row],[_IsLeaf]]=1,Tasks[[#This Row],[_LeafProgress]]&lt;1,OR(N(Tasks[[#This Row],[Finish Var]])&gt;0,Tasks[[#This Row],[Status]]="Late Start")),MAX(0,Tasks[[#This Row],[Finish Var]])+1-Tasks[[#This Row],[_Row]]/1000000,"")</f>
        <v/>
      </c>
      <c r="GM102" s="43" t="str">
        <f aca="false">IF(AND(Tasks[[#This Row],[_IsLeaf]]=1,N(Tasks[[#This Row],[Actual Start]])=0,Tasks[[#This Row],[_ShownFcstStart]]&gt;=StatusDate,Tasks[[#This Row],[_ShownFcstStart]]&lt;=LookaheadEnd),Tasks[[#This Row],[_ShownFcstStart]]+Tasks[[#This Row],[_Row]]/100000,"")</f>
        <v/>
      </c>
      <c r="GN102" s="43" t="str">
        <f aca="false">IF(AND(Tasks[[#This Row],[_IsLeaf]]=1,Tasks[[#This Row],[_LeafProgress]]&lt;1,Tasks[[#This Row],[_ShownFcstFinish]]&gt;=StatusDate,Tasks[[#This Row],[_ShownFcstFinish]]&lt;=LookaheadEnd),Tasks[[#This Row],[_ShownFcstFinish]]+Tasks[[#This Row],[_Row]]/100000,"")</f>
        <v/>
      </c>
      <c r="GO102" s="43" t="str">
        <f aca="false">IF(Tasks[[#This Row],[_LeafCritical]],Tasks[[#This Row],[_ShownFcstStart]]+Tasks[[#This Row],[_Row]]/100000,"")</f>
        <v/>
      </c>
      <c r="GP102" s="43" t="n">
        <f aca="false">Tasks[[#This Row],[_LeafWork]]*Tasks[[#This Row],[_LeafProgress]]</f>
        <v>0</v>
      </c>
      <c r="GQ102" s="91" t="str">
        <f aca="false">IF(AND(Tasks[[#This Row],[_IsLeaf]]=1,Tasks[[#This Row],[_LeafProgress]]&gt;=1),IF(N(Tasks[[#This Row],[Actual Finish]])&gt;0,Tasks[[#This Row],[Actual Finish]],Tasks[[#This Row],[_ShownFcstFinish]]),"")</f>
        <v/>
      </c>
      <c r="GR102" s="43" t="n">
        <f aca="false">IF(Tasks[[#This Row],[_IsLeaf]]=1,N(Tasks[[#This Row],[Story Points]]),0)</f>
        <v>0</v>
      </c>
      <c r="GS102" s="43" t="str">
        <f aca="false">""</f>
        <v/>
      </c>
      <c r="GT102" s="90" t="b">
        <f aca="false">IF(Tasks[[#This Row],[Task Name]]="",FALSE(),AND(Tasks[[#This Row],[_IsLeaf]]=1,N(Tasks[[#This Row],[_Days]])=0))</f>
        <v>0</v>
      </c>
      <c r="GU102" s="91" t="n">
        <f aca="false">IF(Tasks[[#This Row],[Task Name]]="",0,IF(AND(Tasks[[#This Row],[_IsLeaf]]=1,NOT(Tasks[[#This Row],[_IsMilestone]]),N(Tasks[[#This Row],[Progress]])&gt;0),Tasks[[#This Row],[Start]],0))</f>
        <v>0</v>
      </c>
      <c r="GV102" s="91" t="n">
        <f aca="false">IF(Tasks[[#This Row],[_DoneFrom]]=0,0,IF(Tasks[[#This Row],[Progress]]&gt;=1,Tasks[[#This Row],[Finish]],MAX(Tasks[[#This Row],[_DoneFrom]],Tasks[[#This Row],[Start]]+ROUND((Tasks[[#This Row],[Finish]]-Tasks[[#This Row],[Start]]+1)*Tasks[[#This Row],[Progress]],0)-1)))</f>
        <v>0</v>
      </c>
      <c r="GW102" s="91" t="n">
        <f aca="false">IF(Tasks[[#This Row],[Task Name]]="",0,IF(OR(NOT(Tasks[[#This Row],[_IsLeaf]]=1),Tasks[[#This Row],[_IsMilestone]],N(Tasks[[#This Row],[Progress]])&gt;=1),0,IF(Tasks[[#This Row],[_DoneTo]]&gt;0,Tasks[[#This Row],[_DoneTo]]+1,Tasks[[#This Row],[Start]])))</f>
        <v>0</v>
      </c>
      <c r="GX102" s="91" t="n">
        <f aca="false">IF(Tasks[[#This Row],[_RemFrom]]=0,0,Tasks[[#This Row],[Finish]])</f>
        <v>0</v>
      </c>
      <c r="GY102" s="90" t="b">
        <f aca="false">IF(Tasks[[#This Row],[Task Name]]="",FALSE(),OR(NOT(BaselineSet),N(Tasks[[#This Row],[Baseline Start]])&gt;0))</f>
        <v>0</v>
      </c>
      <c r="GZ10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2" s="92" t="str">
        <f aca="false">IF(Tasks[[#This Row],[_IsLeaf]]=1,Tasks[[#This Row],[_Row]],"")</f>
        <v/>
      </c>
      <c r="HD102" s="92" t="str">
        <f aca="false">IFERROR(INDEX(Tasks[UID],SMALL(Tasks[_PickKey],Tasks[[#This Row],[_Row]]))&amp;" "&amp;INDEX(Tasks[Task Name],SMALL(Tasks[_PickKey],Tasks[[#This Row],[_Row]])),"")</f>
        <v/>
      </c>
      <c r="HE102" s="43" t="str">
        <f aca="false">IF(Tasks[[#This Row],[Task Name]]="","",IF(Tasks[[#This Row],[_IsSummary]],NETWORKDAYS.INTL(Tasks[[#This Row],[Start]],Tasks[[#This Row],[Finish]],WorkWeek,Holidays),N(Tasks[[#This Row],[_Days]])))</f>
        <v/>
      </c>
      <c r="HF102" s="43" t="n">
        <f aca="false">IF(Tasks[[#This Row],[Expected]]="",0,((Tasks[[#This Row],[Pessimistic]]-Tasks[[#This Row],[Optimistic]])/6)^2)</f>
        <v>0</v>
      </c>
      <c r="HG102" s="43" t="n">
        <f aca="false">IF(Tasks[[#This Row],[Expected]]="",0,Tasks[[#This Row],[Expected]]-N(Tasks[[#This Row],[_Days]]))</f>
        <v>0</v>
      </c>
    </row>
    <row r="103" customFormat="false" ht="15" hidden="false" customHeight="false" outlineLevel="0" collapsed="false">
      <c r="A103" s="21" t="str">
        <f aca="false">IF(Tasks[[#This Row],[Task Name]]="","",COUNTA(Tasks[[#Headers],[Task Name]]:Tasks[[#This Row],[Task Name]])-1)</f>
        <v/>
      </c>
      <c r="B103" s="22" t="n">
        <v>111</v>
      </c>
      <c r="C103" s="22"/>
      <c r="D103" s="23"/>
      <c r="E103" s="22"/>
      <c r="F103" s="23"/>
      <c r="G103" s="22"/>
      <c r="H103" s="22"/>
      <c r="I103" s="23"/>
      <c r="J103" s="22"/>
      <c r="K103" s="22"/>
      <c r="L103" s="23"/>
      <c r="M103" s="22"/>
      <c r="N103" s="22"/>
      <c r="O103" s="23"/>
      <c r="P103" s="22"/>
      <c r="Q103" s="22"/>
      <c r="R103" s="23"/>
      <c r="S103" s="23"/>
      <c r="T103" s="84"/>
      <c r="U103" s="23"/>
      <c r="V103" s="84"/>
      <c r="W103" s="23"/>
      <c r="X103" s="84"/>
      <c r="Y103" s="23"/>
      <c r="Z103" s="84"/>
      <c r="AA103" s="23"/>
      <c r="AB103" s="23"/>
      <c r="AC103" s="7"/>
      <c r="AD103" s="7"/>
      <c r="AE103" s="63" t="str">
        <f aca="false">IF(Tasks[[#This Row],[Task Name]]="","",IF(Tasks[[#This Row],[_IsSummary]],MIN(INDEX(Tasks[_ShownFcstStart],Tasks[[#This Row],[_Row]]+1):INDEX(Tasks[_ShownFcstStart],Tasks[[#This Row],[_Row]]+Tasks[[#This Row],[_Descendants]])),Tasks[[#This Row],[_ShownFcstStart]]))</f>
        <v/>
      </c>
      <c r="AF103" s="63" t="str">
        <f aca="false">IF(Tasks[[#This Row],[Task Name]]="","",IF(Tasks[[#This Row],[_IsSummary]],MAX(INDEX(Tasks[_ShownFcstFinish],Tasks[[#This Row],[_Row]]+1):INDEX(Tasks[_ShownFcstFinish],Tasks[[#This Row],[_Row]]+Tasks[[#This Row],[_Descendants]])),Tasks[[#This Row],[_ShownFcstFinish]]))</f>
        <v/>
      </c>
      <c r="AG103" s="21" t="str">
        <f aca="false">""</f>
        <v/>
      </c>
      <c r="AH103" s="23"/>
      <c r="AI1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3" s="7"/>
      <c r="AK103" s="22"/>
      <c r="AL103" s="23"/>
      <c r="AM103" s="7"/>
      <c r="AN103" s="47" t="str">
        <f aca="false">IF(Tasks[[#This Row],[Task Name]]="","",IF(Tasks[[#This Row],[Finish]]&gt;=Tasks[[#This Row],[Planned Finish]],NETWORKDAYS.INTL(Tasks[[#This Row],[Planned Finish]],Tasks[[#This Row],[Finish]],WorkWeek,Holidays)-1,1-NETWORKDAYS.INTL(Tasks[[#This Row],[Finish]],Tasks[[#This Row],[Planned Finish]],WorkWeek,Holidays)))</f>
        <v/>
      </c>
      <c r="AO103" s="21" t="str">
        <f aca="false">IF(Tasks[[#This Row],[Task Name]]="","",IF(Tasks[[#This Row],[Progress]]&gt;=1,"Complete",IF(OR(N(Tasks[[#This Row],[Actual Start]])&gt;0,Tasks[[#This Row],[Progress]]&gt;0),IF(Tasks[[#This Row],[Finish Var]]&gt;0,"Behind","In Progress"),IF(Tasks[[#This Row],[Planned Start]]&lt;StatusDate,"Late Start","Not Started"))))</f>
        <v/>
      </c>
      <c r="AP103" s="21" t="str">
        <f aca="false">IF(Tasks[[#This Row],[Task Name]]="","",IF(IF(Tasks[[#This Row],[_IsSummary]],COUNTIF(INDEX(Tasks[_LeafCritical],Tasks[[#This Row],[_Row]]+1):INDEX(Tasks[_LeafCritical],Tasks[[#This Row],[_Row]]+Tasks[[#This Row],[_Descendants]]),TRUE())&gt;0,Tasks[[#This Row],[_LeafCritical]]),"Yes",""))</f>
        <v/>
      </c>
      <c r="AQ103" s="63" t="str">
        <f aca="false">IF(Tasks[[#This Row],[Task Name]]="","",IF(N(Tasks[[#This Row],[Baseline Start]])&gt;0,Tasks[[#This Row],[Baseline Start]],Tasks[[#This Row],[_CalcStart]]))</f>
        <v/>
      </c>
      <c r="AR103" s="63" t="str">
        <f aca="false">IF(Tasks[[#This Row],[Task Name]]="","",IF(N(Tasks[[#This Row],[Baseline Finish]])&gt;0,Tasks[[#This Row],[Baseline Finish]],Tasks[[#This Row],[_CalcFinish]]))</f>
        <v/>
      </c>
      <c r="AS103" s="47" t="str">
        <f aca="false">IF(Tasks[[#This Row],[Task Name]]="","",IF(Tasks[[#This Row],[Start]]&gt;=Tasks[[#This Row],[Planned Start]],NETWORKDAYS.INTL(Tasks[[#This Row],[Planned Start]],Tasks[[#This Row],[Start]],WorkWeek,Holidays)-1,1-NETWORKDAYS.INTL(Tasks[[#This Row],[Start]],Tasks[[#This Row],[Planned Start]],WorkWeek,Holidays)))</f>
        <v/>
      </c>
      <c r="AT103" s="63" t="str">
        <f aca="false">IF(Tasks[[#This Row],[Task Name]]="","",IF(Tasks[[#This Row],[_IsSummary]],MIN(INDEX(Tasks[_LeafLateStart],Tasks[[#This Row],[_Row]]+1):INDEX(Tasks[_LeafLateStart],Tasks[[#This Row],[_Row]]+Tasks[[#This Row],[_Descendants]])),Tasks[[#This Row],[_LeafLateStart]]))</f>
        <v/>
      </c>
      <c r="AU103" s="63" t="str">
        <f aca="false">IF(Tasks[[#This Row],[Task Name]]="","",IF(Tasks[[#This Row],[_IsSummary]],MAX(INDEX(Tasks[_LeafLateFinish],Tasks[[#This Row],[_Row]]+1):INDEX(Tasks[_LeafLateFinish],Tasks[[#This Row],[_Row]]+Tasks[[#This Row],[_Descendants]])),Tasks[[#This Row],[_LeafLateFinish]]))</f>
        <v/>
      </c>
      <c r="AV103" s="47" t="str">
        <f aca="false">IF(Tasks[[#This Row],[Task Name]]="","",IF(Tasks[[#This Row],[_IsSummary]],MIN(INDEX(Tasks[_LeafTotalSlack],Tasks[[#This Row],[_Row]]+1):INDEX(Tasks[_LeafTotalSlack],Tasks[[#This Row],[_Row]]+Tasks[[#This Row],[_Descendants]])),Tasks[[#This Row],[_LeafTotalSlack]]))</f>
        <v/>
      </c>
      <c r="AW1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5"/>
      <c r="BA10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t="str">
        <f aca="false">IF(Tasks[[#This Row],[Task Name]]="","",IF(Tasks[[#This Row],[_Level]]&lt;=OutlineShowLevel,"Yes","No"))</f>
        <v/>
      </c>
      <c r="BE103" s="86" t="str">
        <f aca="false">IF(Tasks[[#This Row],[Task Name]]="","",IF(Tasks[[#This Row],[_IsSummary]],SUM(INDEX(Tasks[_LeafTotalWork],Tasks[[#This Row],[_Row]]+1):INDEX(Tasks[_LeafTotalWork],Tasks[[#This Row],[_Row]]+Tasks[[#This Row],[_Descendants]])),Tasks[[#This Row],[_LeafTotalWork]]))</f>
        <v/>
      </c>
      <c r="BF103" s="23"/>
      <c r="BG1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t="str">
        <f aca="false">""</f>
        <v/>
      </c>
      <c r="BI103" s="87"/>
      <c r="BJ103" s="22"/>
      <c r="BK103" s="47" t="str">
        <f aca="false">IF(OR(Tasks[[#This Row],[Task Name]]="",Tasks[[#This Row],[Baseline Duration]]=""),"",Tasks[[#This Row],[_SpanDays]]-N(Tasks[[#This Row],[Baseline Duration]]))</f>
        <v/>
      </c>
      <c r="BL103" s="86" t="str">
        <f aca="false">IF(OR(Tasks[[#This Row],[Task Name]]="",Tasks[[#This Row],[Baseline Work]]=""),"",Tasks[[#This Row],[Work]]-N(Tasks[[#This Row],[Baseline Work]]))</f>
        <v/>
      </c>
      <c r="BM103" s="63" t="str">
        <f aca="false">IF(Tasks[[#This Row],[Task Name]]="","",IF(OR(TakeBaseline="Yes",N(Tasks[[#This Row],[Baseline Start]])=0),Tasks[[#This Row],[Start]],Tasks[[#This Row],[Baseline Start]]))</f>
        <v/>
      </c>
      <c r="BN103" s="63" t="str">
        <f aca="false">IF(Tasks[[#This Row],[Task Name]]="","",IF(OR(TakeBaseline="Yes",N(Tasks[[#This Row],[Baseline Finish]])=0),Tasks[[#This Row],[Finish]],Tasks[[#This Row],[Baseline Finish]]))</f>
        <v/>
      </c>
      <c r="BO103" s="21" t="str">
        <f aca="false">IF(Tasks[[#This Row],[Task Name]]="","",IF(OR(TakeBaseline="Yes",N(Tasks[[#This Row],[Baseline Duration]])=0),Tasks[[#This Row],[_SpanDays]],Tasks[[#This Row],[Baseline Duration]]))</f>
        <v/>
      </c>
      <c r="BP103" s="86" t="str">
        <f aca="false">IF(Tasks[[#This Row],[Task Name]]="","",IF(OR(TakeBaseline="Yes",N(Tasks[[#This Row],[Baseline Work]])=0),Tasks[[#This Row],[Work]],Tasks[[#This Row],[Baseline Work]]))</f>
        <v/>
      </c>
      <c r="BQ103" s="7"/>
      <c r="BR103" s="7"/>
      <c r="BS103" s="22"/>
      <c r="BT103" s="88"/>
      <c r="BU103" s="23"/>
      <c r="BV103" s="23"/>
      <c r="BW103" s="23"/>
      <c r="BX103" s="89" t="str">
        <f aca="false">IF(AND(Tasks[[#This Row],[_IsLeaf]]=1,ISNUMBER(Tasks[[#This Row],[Optimistic]]),ISNUMBER(Tasks[[#This Row],[Pessimistic]])),ROUND((Tasks[[#This Row],[Optimistic]]+4*N(Tasks[[#This Row],[_Days]])+Tasks[[#This Row],[Pessimistic]])/6,1),"")</f>
        <v/>
      </c>
      <c r="BY103" s="87"/>
      <c r="BZ103" s="87"/>
      <c r="CA103" s="22"/>
      <c r="CB103" s="43" t="str">
        <f aca="false">IF(Tasks[[#This Row],[Task Name]]="","",MAX(1,N(Tasks[[#This Row],[Level]])))</f>
        <v/>
      </c>
      <c r="CC103" s="43" t="n">
        <f aca="false">ROW()-ROW(Tasks[[#Headers],[ID]])</f>
        <v>98</v>
      </c>
      <c r="CD103" s="43" t="n">
        <f aca="false">IF(OR(Tasks[[#This Row],[Task Name]]="",Tasks[[#This Row],[_Level]]&lt;=1),0,IFERROR(LOOKUP(2,1/(Tasks[[#Headers],[_Level]]:Tasks[[#This Row],[_Level]]=Tasks[[#This Row],[_Level]]-1),ROW(Tasks[[#Headers],[_Level]]:Tasks[[#This Row],[_Level]])),0))</f>
        <v>0</v>
      </c>
      <c r="CE103" s="43" t="n">
        <f aca="false">IFERROR(N(INDEX(Tasks[_Level],Tasks[[#This Row],[_Row]]+1)),0)</f>
        <v>0</v>
      </c>
      <c r="CF103" s="90" t="b">
        <f aca="false">AND(Tasks[[#This Row],[Task Name]]&lt;&gt;"",Tasks[[#This Row],[_NextLevel]]&gt;Tasks[[#This Row],[_Level]])</f>
        <v>0</v>
      </c>
      <c r="CG103" s="43" t="n">
        <f aca="false">IF(Tasks[[#This Row],[_IsSummary]],COUNTIF(Tasks[WBS],Tasks[[#This Row],[WBS]]&amp;".*"),0)</f>
        <v>0</v>
      </c>
      <c r="CH103" s="43" t="n">
        <f aca="false">IF(AND(Tasks[[#This Row],[Task Name]]&lt;&gt;"",NOT(Tasks[[#This Row],[_IsSummary]])),1,0)</f>
        <v>0</v>
      </c>
      <c r="CI103" s="43" t="n">
        <f aca="false">IF(N(Tasks[[#This Row],[_Pred1UID]])=0,0,IFERROR(MATCH(Tasks[[#This Row],[_Pred1UID]],Tasks[UID],0),-1))</f>
        <v>0</v>
      </c>
      <c r="CJ103" s="43" t="n">
        <f aca="false">IF(N(Tasks[[#This Row],[_Pred2UID]])=0,0,IFERROR(MATCH(Tasks[[#This Row],[_Pred2UID]],Tasks[UID],0),-1))</f>
        <v>0</v>
      </c>
      <c r="CK103" s="43" t="n">
        <f aca="false">IF(N(Tasks[[#This Row],[_Pred3UID]])=0,0,IFERROR(MATCH(Tasks[[#This Row],[_Pred3UID]],Tasks[UID],0),-1))</f>
        <v>0</v>
      </c>
      <c r="CL103" s="43" t="n">
        <f aca="false">IF(N(Tasks[[#This Row],[_Pred4UID]])=0,0,IFERROR(MATCH(Tasks[[#This Row],[_Pred4UID]],Tasks[UID],0),-1))</f>
        <v>0</v>
      </c>
      <c r="CM1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3" s="91" t="n">
        <f aca="false">IF(OR(Tasks[[#This Row],[_ConstraintCode]]=2,Tasks[[#This Row],[_ConstraintCode]]=3,Tasks[[#This Row],[_ConstraintCode]]=4,Tasks[[#This Row],[_ConstraintCode]]=6),Tasks[[#This Row],[_ConstraintStart]],0)</f>
        <v>0</v>
      </c>
      <c r="CP103" s="91" t="n">
        <f aca="false">IF(OR(Tasks[[#This Row],[_ConstraintCode]]=2,Tasks[[#This Row],[_ConstraintCode]]=3,Tasks[[#This Row],[_ConstraintCode]]=5,Tasks[[#This Row],[_ConstraintCode]]=7),Tasks[[#This Row],[_ConstraintStart]],2958465)</f>
        <v>2958465</v>
      </c>
      <c r="CQ1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3" s="91" t="str">
        <f aca="false">IF(NOT(Tasks[[#This Row],[_IsLeaf]]=1),"",IF(N(Tasks[[#This Row],[_Days]])&lt;=0,Tasks[[#This Row],[_LeafCalcStart]],WORKDAY.INTL(Tasks[[#This Row],[_LeafCalcStart]],Tasks[[#This Row],[_Days]]-1,WorkWeek,Holidays)))</f>
        <v/>
      </c>
      <c r="CS1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3" s="43" t="str">
        <f aca="false">IF(Tasks[[#This Row],[_Predecessors]]="","",TRIM(MID(SUBSTITUTE(SUBSTITUTE(SUBSTITUTE(UPPER(Tasks[[#This Row],[_Predecessors]]),";",",")," ",""),",",REPT(" ",99)),1,99)))</f>
        <v/>
      </c>
      <c r="CV103" s="43" t="str">
        <f aca="false">IF(Tasks[[#This Row],[_Pred1Text]]="","",IFERROR(VALUE(LEFT(Tasks[[#This Row],[_Pred1Text]],MIN(FIND("F",Tasks[[#This Row],[_Pred1Text]]&amp;"F"),FIND("S",Tasks[[#This Row],[_Pred1Text]]&amp;"S"),FIND("+",Tasks[[#This Row],[_Pred1Text]]&amp;"+"),FIND("-",Tasks[[#This Row],[_Pred1Text]]&amp;"-"))-1)),""))</f>
        <v/>
      </c>
      <c r="CW1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3" s="43" t="str">
        <f aca="false">IF(Tasks[[#This Row],[_Pred1Text]]="","",TRIM(MID(SUBSTITUTE(SUBSTITUTE(SUBSTITUTE(UPPER(Tasks[[#This Row],[_Predecessors]]),";",",")," ",""),",",REPT(" ",99)),100,99)))</f>
        <v/>
      </c>
      <c r="CZ103" s="43" t="str">
        <f aca="false">IF(Tasks[[#This Row],[_Pred2Text]]="","",IFERROR(VALUE(LEFT(Tasks[[#This Row],[_Pred2Text]],MIN(FIND("F",Tasks[[#This Row],[_Pred2Text]]&amp;"F"),FIND("S",Tasks[[#This Row],[_Pred2Text]]&amp;"S"),FIND("+",Tasks[[#This Row],[_Pred2Text]]&amp;"+"),FIND("-",Tasks[[#This Row],[_Pred2Text]]&amp;"-"))-1)),""))</f>
        <v/>
      </c>
      <c r="DA1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3" s="43" t="str">
        <f aca="false">IF(Tasks[[#This Row],[_Pred2Text]]="","",TRIM(MID(SUBSTITUTE(SUBSTITUTE(SUBSTITUTE(UPPER(Tasks[[#This Row],[_Predecessors]]),";",",")," ",""),",",REPT(" ",99)),199,99)))</f>
        <v/>
      </c>
      <c r="DD103" s="43" t="str">
        <f aca="false">IF(Tasks[[#This Row],[_Pred3Text]]="","",IFERROR(VALUE(LEFT(Tasks[[#This Row],[_Pred3Text]],MIN(FIND("F",Tasks[[#This Row],[_Pred3Text]]&amp;"F"),FIND("S",Tasks[[#This Row],[_Pred3Text]]&amp;"S"),FIND("+",Tasks[[#This Row],[_Pred3Text]]&amp;"+"),FIND("-",Tasks[[#This Row],[_Pred3Text]]&amp;"-"))-1)),""))</f>
        <v/>
      </c>
      <c r="DE1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3" s="43" t="str">
        <f aca="false">IF(Tasks[[#This Row],[_Pred3Text]]="","",TRIM(MID(SUBSTITUTE(SUBSTITUTE(SUBSTITUTE(UPPER(Tasks[[#This Row],[_Predecessors]]),";",",")," ",""),",",REPT(" ",99)),298,99)))</f>
        <v/>
      </c>
      <c r="DH103" s="43" t="str">
        <f aca="false">IF(Tasks[[#This Row],[_Pred4Text]]="","",IFERROR(VALUE(LEFT(Tasks[[#This Row],[_Pred4Text]],MIN(FIND("F",Tasks[[#This Row],[_Pred4Text]]&amp;"F"),FIND("S",Tasks[[#This Row],[_Pred4Text]]&amp;"S"),FIND("+",Tasks[[#This Row],[_Pred4Text]]&amp;"+"),FIND("-",Tasks[[#This Row],[_Pred4Text]]&amp;"-"))-1)),""))</f>
        <v/>
      </c>
      <c r="DI1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3" s="43" t="str">
        <f aca="false">IF(OR(Tasks[[#This Row],[Task Name]]="",Tasks[[#This Row],[_Resources]]=""),"",TRIM(MID(SUBSTITUTE(Tasks[[#This Row],[_Resources]],",",REPT(" ",99)),1,99)))</f>
        <v/>
      </c>
      <c r="DL103" s="43" t="str">
        <f aca="false">IF(Tasks[[#This Row],[_Res1Text]]="","",TRIM(MID(SUBSTITUTE(Tasks[[#This Row],[_Resources]],",",REPT(" ",99)),100,99)))</f>
        <v/>
      </c>
      <c r="DM103" s="43" t="str">
        <f aca="false">IF(Tasks[[#This Row],[_Res2Text]]="","",TRIM(MID(SUBSTITUTE(Tasks[[#This Row],[_Resources]],",",REPT(" ",99)),199,99)))</f>
        <v/>
      </c>
      <c r="DN103" s="43" t="str">
        <f aca="false">IF(Tasks[[#This Row],[_Res3Text]]="","",TRIM(MID(SUBSTITUTE(Tasks[[#This Row],[_Resources]],",",REPT(" ",99)),298,99)))</f>
        <v/>
      </c>
      <c r="DO103" s="43" t="n">
        <f aca="false">IF(Tasks[[#This Row],[_Res1Text]]="",0,IFERROR(MATCH(TRIM(LEFT(Tasks[[#This Row],[_Res1Text]],FIND("[",Tasks[[#This Row],[_Res1Text]]&amp;"[")-1)),res_Name,0),IFERROR(MATCH(TRIM(LEFT(Tasks[[#This Row],[_Res1Text]],FIND("[",Tasks[[#This Row],[_Res1Text]]&amp;"[")-1)),res_Initials,0),0)))</f>
        <v>0</v>
      </c>
      <c r="DP103" s="43" t="n">
        <f aca="false">IF(Tasks[[#This Row],[_Res2Text]]="",0,IFERROR(MATCH(TRIM(LEFT(Tasks[[#This Row],[_Res2Text]],FIND("[",Tasks[[#This Row],[_Res2Text]]&amp;"[")-1)),res_Name,0),IFERROR(MATCH(TRIM(LEFT(Tasks[[#This Row],[_Res2Text]],FIND("[",Tasks[[#This Row],[_Res2Text]]&amp;"[")-1)),res_Initials,0),0)))</f>
        <v>0</v>
      </c>
      <c r="DQ103" s="43" t="n">
        <f aca="false">IF(Tasks[[#This Row],[_Res3Text]]="",0,IFERROR(MATCH(TRIM(LEFT(Tasks[[#This Row],[_Res3Text]],FIND("[",Tasks[[#This Row],[_Res3Text]]&amp;"[")-1)),res_Name,0),IFERROR(MATCH(TRIM(LEFT(Tasks[[#This Row],[_Res3Text]],FIND("[",Tasks[[#This Row],[_Res3Text]]&amp;"[")-1)),res_Initials,0),0)))</f>
        <v>0</v>
      </c>
      <c r="DR103" s="43" t="n">
        <f aca="false">IF(Tasks[[#This Row],[_Res4Text]]="",0,IFERROR(MATCH(TRIM(LEFT(Tasks[[#This Row],[_Res4Text]],FIND("[",Tasks[[#This Row],[_Res4Text]]&amp;"[")-1)),res_Name,0),IFERROR(MATCH(TRIM(LEFT(Tasks[[#This Row],[_Res4Text]],FIND("[",Tasks[[#This Row],[_Res4Text]]&amp;"[")-1)),res_Initials,0),0)))</f>
        <v>0</v>
      </c>
      <c r="DS103" s="43" t="str">
        <f aca="false">IF(Tasks[[#This Row],[_Res1Text]]="","",IF(Tasks[[#This Row],[_Res1Row]]&gt;0,INDEX(res_Name,Tasks[[#This Row],[_Res1Row]]),TRIM(LEFT(Tasks[[#This Row],[_Res1Text]],FIND("[",Tasks[[#This Row],[_Res1Text]]&amp;"[")-1))))</f>
        <v/>
      </c>
      <c r="DT1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3" s="43" t="n">
        <f aca="false">IF(NOT(Tasks[[#This Row],[_IsLeaf]]=1),0,(Tasks[[#This Row],[_Resource1]]&lt;&gt;"")+(Tasks[[#This Row],[_Res2]]&lt;&gt;"")+(Tasks[[#This Row],[_Res3]]&lt;&gt;"")+(Tasks[[#This Row],[_Res4]]&lt;&gt;""))</f>
        <v>0</v>
      </c>
      <c r="DV103" s="43" t="str">
        <f aca="false">IF(Tasks[[#This Row],[_Res2Text]]="","",IF(Tasks[[#This Row],[_Res2Row]]&gt;0,INDEX(res_Name,Tasks[[#This Row],[_Res2Row]]),TRIM(LEFT(Tasks[[#This Row],[_Res2Text]],FIND("[",Tasks[[#This Row],[_Res2Text]]&amp;"[")-1))))</f>
        <v/>
      </c>
      <c r="DW1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3" s="43" t="n">
        <f aca="false">IF(OR(NOT(Tasks[[#This Row],[_IsLeaf]]=1),Tasks[[#This Row],[_Res2Row]]=0),0,N(Tasks[[#This Row],[_Days]])*HoursPerDay*IF(Tasks[[#This Row],[_Res2Units]]="",DefaultUnits,Tasks[[#This Row],[_Res2Units]]))</f>
        <v>0</v>
      </c>
      <c r="DY103" s="43" t="n">
        <f aca="false">IF(AND(AND(Tasks[[#This Row],[_IsLeaf]]=1,Tasks[[#This Row],[_LeafTotalWork]]&gt;0),Tasks[[#This Row],[_Res2Work]]&gt;0),Tasks[[#This Row],[_Res2Work]]/(Tasks[[#This Row],[_FinishWorkday]]-Tasks[[#This Row],[_StartWorkday]]+1),0)</f>
        <v>0</v>
      </c>
      <c r="DZ103" s="43" t="n">
        <f aca="false">Tasks[[#This Row],[_Res2WorkPerWD]]*MAX(0,Tasks[[#This Row],[_StartWorkday]]-1)</f>
        <v>0</v>
      </c>
      <c r="EA103" s="43" t="n">
        <f aca="false">Tasks[[#This Row],[_Res2Work]]*Tasks[[#This Row],[_LeafProgress]]</f>
        <v>0</v>
      </c>
      <c r="EB103" s="43" t="str">
        <f aca="false">IF(Tasks[[#This Row],[_Res3Text]]="","",IF(Tasks[[#This Row],[_Res3Row]]&gt;0,INDEX(res_Name,Tasks[[#This Row],[_Res3Row]]),TRIM(LEFT(Tasks[[#This Row],[_Res3Text]],FIND("[",Tasks[[#This Row],[_Res3Text]]&amp;"[")-1))))</f>
        <v/>
      </c>
      <c r="EC1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3" s="43" t="n">
        <f aca="false">IF(OR(NOT(Tasks[[#This Row],[_IsLeaf]]=1),Tasks[[#This Row],[_Res3Row]]=0),0,N(Tasks[[#This Row],[_Days]])*HoursPerDay*IF(Tasks[[#This Row],[_Res3Units]]="",DefaultUnits,Tasks[[#This Row],[_Res3Units]]))</f>
        <v>0</v>
      </c>
      <c r="EE103" s="43" t="n">
        <f aca="false">IF(AND(AND(Tasks[[#This Row],[_IsLeaf]]=1,Tasks[[#This Row],[_LeafTotalWork]]&gt;0),Tasks[[#This Row],[_Res3Work]]&gt;0),Tasks[[#This Row],[_Res3Work]]/(Tasks[[#This Row],[_FinishWorkday]]-Tasks[[#This Row],[_StartWorkday]]+1),0)</f>
        <v>0</v>
      </c>
      <c r="EF103" s="43" t="n">
        <f aca="false">Tasks[[#This Row],[_Res3WorkPerWD]]*MAX(0,Tasks[[#This Row],[_StartWorkday]]-1)</f>
        <v>0</v>
      </c>
      <c r="EG103" s="43" t="n">
        <f aca="false">Tasks[[#This Row],[_Res3Work]]*Tasks[[#This Row],[_LeafProgress]]</f>
        <v>0</v>
      </c>
      <c r="EH103" s="43" t="str">
        <f aca="false">IF(Tasks[[#This Row],[_Res4Text]]="","",IF(Tasks[[#This Row],[_Res4Row]]&gt;0,INDEX(res_Name,Tasks[[#This Row],[_Res4Row]]),TRIM(LEFT(Tasks[[#This Row],[_Res4Text]],FIND("[",Tasks[[#This Row],[_Res4Text]]&amp;"[")-1))))</f>
        <v/>
      </c>
      <c r="EI1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3" s="43" t="n">
        <f aca="false">IF(OR(NOT(Tasks[[#This Row],[_IsLeaf]]=1),Tasks[[#This Row],[_Res4Row]]=0),0,N(Tasks[[#This Row],[_Days]])*HoursPerDay*IF(Tasks[[#This Row],[_Res4Units]]="",DefaultUnits,Tasks[[#This Row],[_Res4Units]]))</f>
        <v>0</v>
      </c>
      <c r="EK103" s="43" t="n">
        <f aca="false">IF(AND(AND(Tasks[[#This Row],[_IsLeaf]]=1,Tasks[[#This Row],[_LeafTotalWork]]&gt;0),Tasks[[#This Row],[_Res4Work]]&gt;0),Tasks[[#This Row],[_Res4Work]]/(Tasks[[#This Row],[_FinishWorkday]]-Tasks[[#This Row],[_StartWorkday]]+1),0)</f>
        <v>0</v>
      </c>
      <c r="EL103" s="43" t="n">
        <f aca="false">Tasks[[#This Row],[_Res4WorkPerWD]]*MAX(0,Tasks[[#This Row],[_StartWorkday]]-1)</f>
        <v>0</v>
      </c>
      <c r="EM103" s="43" t="n">
        <f aca="false">Tasks[[#This Row],[_Res4Work]]*Tasks[[#This Row],[_LeafProgress]]</f>
        <v>0</v>
      </c>
      <c r="EN103" s="43" t="n">
        <f aca="false">IF(ISNUMBER(Tasks[[#This Row],[% Complete]]),Tasks[[#This Row],[% Complete]],IF(Tasks[[#This Row],[Stage]]="",0,IFERROR(INDEX(stg_Pct,MATCH(Tasks[[#This Row],[Stage]],stg_Name,0)),0)))</f>
        <v>0</v>
      </c>
      <c r="EO103" s="43" t="n">
        <f aca="false">IF(NOT(Tasks[[#This Row],[_IsLeaf]]=1),0,IF(N(Tasks[[#This Row],[Actual Finish]])&gt;0,1,MIN(1,Tasks[[#This Row],[_Pct]])))</f>
        <v>0</v>
      </c>
      <c r="EP103" s="43" t="n">
        <f aca="false">IF(OR(NOT(Tasks[[#This Row],[_IsLeaf]]=1),Tasks[[#This Row],[_Res1Row]]=0),0,N(Tasks[[#This Row],[_Days]])*HoursPerDay*IF(Tasks[[#This Row],[_Units1]]="",DefaultUnits,Tasks[[#This Row],[_Units1]]))</f>
        <v>0</v>
      </c>
      <c r="EQ103" s="43" t="n">
        <f aca="false">Tasks[[#This Row],[_LeafWork]]+Tasks[[#This Row],[_Res2Work]]+Tasks[[#This Row],[_Res3Work]]+Tasks[[#This Row],[_Res4Work]]</f>
        <v>0</v>
      </c>
      <c r="ER10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3" s="43" t="n">
        <f aca="false">IF(NOT(Tasks[[#This Row],[_IsLeaf]]=1),0,MAX(_xlfn.MAXIFS(Tasks[_Row],Tasks[_Pred1UID],Tasks[[#This Row],[UID]]),_xlfn.MAXIFS(Tasks[_Row],Tasks[_Pred2UID],Tasks[[#This Row],[UID]]),_xlfn.MAXIFS(Tasks[_Row],Tasks[_Pred3UID],Tasks[[#This Row],[UID]]),_xlfn.MAXIFS(Tasks[_Row],Tasks[_Pred4UID],Tasks[[#This Row],[UID]])))</f>
        <v>0</v>
      </c>
      <c r="FA1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3" s="91" t="str">
        <f aca="false">IF(NOT(Tasks[[#This Row],[_IsLeaf]]=1),"",IF(N(Tasks[[#This Row],[_Days]])&lt;=0,Tasks[[#This Row],[_LeafLateFinish]],WORKDAY.INTL(Tasks[[#This Row],[_LeafLateFinish]],-(Tasks[[#This Row],[_Days]]-1),WorkWeek,Holidays)))</f>
        <v/>
      </c>
      <c r="FD1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3" s="90" t="b">
        <f aca="false">AND(Tasks[[#This Row],[_IsLeaf]]=1,Tasks[[#This Row],[_LeafProgress]]&lt;1,N(Tasks[[#This Row],[_LeafTotalSlack]])&lt;=CriticalSlackDays)</f>
        <v>0</v>
      </c>
      <c r="FF103" s="43" t="n">
        <f aca="false">IF(AND(Tasks[[#This Row],[_IsLeaf]]=1,Tasks[[#This Row],[_ConstraintCode]]=1,Tasks[[#This Row],[Mode]]&lt;&gt;"Manual",N(Tasks[[#This Row],[Actual Start]])=0),MAX(0,N(Tasks[[#This Row],[Free Slack]])),0)</f>
        <v>0</v>
      </c>
      <c r="FG103" s="91" t="str">
        <f aca="false">IF(NOT(Tasks[[#This Row],[_IsLeaf]]=1),"",IF(Tasks[[#This Row],[_AlapShift]]=0,Tasks[[#This Row],[_LeafCalcStart]],WORKDAY.INTL(Tasks[[#This Row],[_LeafCalcStart]],Tasks[[#This Row],[_AlapShift]],WorkWeek,Holidays)))</f>
        <v/>
      </c>
      <c r="FH103" s="91" t="str">
        <f aca="false">IF(NOT(Tasks[[#This Row],[_IsLeaf]]=1),"",IF(Tasks[[#This Row],[_AlapShift]]=0,Tasks[[#This Row],[_LeafCalcFinish]],WORKDAY.INTL(Tasks[[#This Row],[_LeafCalcFinish]],Tasks[[#This Row],[_AlapShift]],WorkWeek,Holidays)))</f>
        <v/>
      </c>
      <c r="FI103" s="91" t="str">
        <f aca="false">IF(NOT(Tasks[[#This Row],[_IsLeaf]]=1),"",IF(Tasks[[#This Row],[_AlapShift]]=0,Tasks[[#This Row],[_LeafFcstStart]],WORKDAY.INTL(Tasks[[#This Row],[_LeafFcstStart]],Tasks[[#This Row],[_AlapShift]],WorkWeek,Holidays)))</f>
        <v/>
      </c>
      <c r="FJ103" s="91" t="str">
        <f aca="false">IF(NOT(Tasks[[#This Row],[_IsLeaf]]=1),"",IF(Tasks[[#This Row],[_AlapShift]]=0,Tasks[[#This Row],[_LeafFcstFinish]],WORKDAY.INTL(Tasks[[#This Row],[_LeafFcstFinish]],Tasks[[#This Row],[_AlapShift]],WorkWeek,Holidays)))</f>
        <v/>
      </c>
      <c r="FK103" s="91" t="str">
        <f aca="false">IF(Tasks[[#This Row],[Task Name]]="","",IF(Tasks[[#This Row],[_IsSummary]],MIN(INDEX(Tasks[_ShownCalcStart],Tasks[[#This Row],[_Row]]+1):INDEX(Tasks[_ShownCalcStart],Tasks[[#This Row],[_Row]]+Tasks[[#This Row],[_Descendants]])),Tasks[[#This Row],[_ShownCalcStart]]))</f>
        <v/>
      </c>
      <c r="FL103" s="91" t="str">
        <f aca="false">IF(Tasks[[#This Row],[Task Name]]="","",IF(Tasks[[#This Row],[_IsSummary]],MAX(INDEX(Tasks[_ShownCalcFinish],Tasks[[#This Row],[_Row]]+1):INDEX(Tasks[_ShownCalcFinish],Tasks[[#This Row],[_Row]]+Tasks[[#This Row],[_Descendants]])),Tasks[[#This Row],[_ShownCalcFinish]]))</f>
        <v/>
      </c>
      <c r="FM1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3" s="43" t="n">
        <f aca="false">IF(AND(Tasks[[#This Row],[_IsLeaf]]=1,Tasks[[#This Row],[_LeafTotalWork]]&gt;0),NETWORKDAYS.INTL(ProjectStart,Tasks[[#This Row],[_ShownFcstStart]],WorkWeek,Holidays),0)</f>
        <v>0</v>
      </c>
      <c r="FZ103" s="43" t="n">
        <f aca="false">IF(AND(Tasks[[#This Row],[_IsLeaf]]=1,Tasks[[#This Row],[_LeafTotalWork]]&gt;0),MAX(Tasks[[#This Row],[_StartWorkday]],NETWORKDAYS.INTL(ProjectStart,Tasks[[#This Row],[_ShownFcstFinish]],WorkWeek,Holidays)),0)</f>
        <v>0</v>
      </c>
      <c r="GA103" s="43" t="n">
        <f aca="false">IF(AND(Tasks[[#This Row],[_IsLeaf]]=1,Tasks[[#This Row],[_LeafTotalWork]]&gt;0),Tasks[[#This Row],[_LeafWork]]/(Tasks[[#This Row],[_FinishWorkday]]-Tasks[[#This Row],[_StartWorkday]]+1),0)</f>
        <v>0</v>
      </c>
      <c r="GB103" s="43" t="n">
        <f aca="false">Tasks[[#This Row],[_WorkPerWorkday]]*(Tasks[[#This Row],[_StartWorkday]]-1)</f>
        <v>-0</v>
      </c>
      <c r="GC103" s="43" t="n">
        <f aca="false">IF(Tasks[[#This Row],[_IsLeaf]]=1,MAX(N(Tasks[[#This Row],[_Days]]),0.1),0)</f>
        <v>0</v>
      </c>
      <c r="GD103" s="43" t="n">
        <f aca="false">Tasks[[#This Row],[_WeightDur]]*Tasks[[#This Row],[_LeafProgress]]</f>
        <v>0</v>
      </c>
      <c r="GE103" s="43" t="n">
        <f aca="false">Tasks[[#This Row],[_WeightDur]]*Tasks[[#This Row],[_PlannedPct]]</f>
        <v>0</v>
      </c>
      <c r="GF1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3" s="43" t="str">
        <f aca="false">IF(AND(Tasks[[#This Row],[_IsLeaf]]=1,N(Tasks[[#This Row],[_Days]])=0,Tasks[[#This Row],[_LeafProgress]]&lt;1),Tasks[[#This Row],[_ShownFcstFinish]]+Tasks[[#This Row],[_Row]]/100000,"")</f>
        <v/>
      </c>
      <c r="GH1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3" s="43" t="str">
        <f aca="false">IF(Tasks[[#This Row],[Task Name]]="","",LEFT(Tasks[[#This Row],[WBS]],FIND(".",Tasks[[#This Row],[WBS]]&amp;".")-1))</f>
        <v/>
      </c>
      <c r="GJ103" s="43" t="str">
        <f aca="false">IF(AND(Tasks[[#This Row],[Task Name]]&lt;&gt;"",Tasks[[#This Row],[_Level]]=1),Tasks[[#This Row],[_Row]],"")</f>
        <v/>
      </c>
      <c r="GK103" s="43" t="str">
        <f aca="false">IF(AND(Tasks[[#This Row],[_IsLeaf]]=1,N(Tasks[[#This Row],[_Days]])=0),Tasks[[#This Row],[Planned Finish]]+Tasks[[#This Row],[_Row]]/100000,"")</f>
        <v/>
      </c>
      <c r="GL103" s="43" t="str">
        <f aca="false">IF(AND(Tasks[[#This Row],[_IsLeaf]]=1,Tasks[[#This Row],[_LeafProgress]]&lt;1,OR(N(Tasks[[#This Row],[Finish Var]])&gt;0,Tasks[[#This Row],[Status]]="Late Start")),MAX(0,Tasks[[#This Row],[Finish Var]])+1-Tasks[[#This Row],[_Row]]/1000000,"")</f>
        <v/>
      </c>
      <c r="GM103" s="43" t="str">
        <f aca="false">IF(AND(Tasks[[#This Row],[_IsLeaf]]=1,N(Tasks[[#This Row],[Actual Start]])=0,Tasks[[#This Row],[_ShownFcstStart]]&gt;=StatusDate,Tasks[[#This Row],[_ShownFcstStart]]&lt;=LookaheadEnd),Tasks[[#This Row],[_ShownFcstStart]]+Tasks[[#This Row],[_Row]]/100000,"")</f>
        <v/>
      </c>
      <c r="GN103" s="43" t="str">
        <f aca="false">IF(AND(Tasks[[#This Row],[_IsLeaf]]=1,Tasks[[#This Row],[_LeafProgress]]&lt;1,Tasks[[#This Row],[_ShownFcstFinish]]&gt;=StatusDate,Tasks[[#This Row],[_ShownFcstFinish]]&lt;=LookaheadEnd),Tasks[[#This Row],[_ShownFcstFinish]]+Tasks[[#This Row],[_Row]]/100000,"")</f>
        <v/>
      </c>
      <c r="GO103" s="43" t="str">
        <f aca="false">IF(Tasks[[#This Row],[_LeafCritical]],Tasks[[#This Row],[_ShownFcstStart]]+Tasks[[#This Row],[_Row]]/100000,"")</f>
        <v/>
      </c>
      <c r="GP103" s="43" t="n">
        <f aca="false">Tasks[[#This Row],[_LeafWork]]*Tasks[[#This Row],[_LeafProgress]]</f>
        <v>0</v>
      </c>
      <c r="GQ103" s="91" t="str">
        <f aca="false">IF(AND(Tasks[[#This Row],[_IsLeaf]]=1,Tasks[[#This Row],[_LeafProgress]]&gt;=1),IF(N(Tasks[[#This Row],[Actual Finish]])&gt;0,Tasks[[#This Row],[Actual Finish]],Tasks[[#This Row],[_ShownFcstFinish]]),"")</f>
        <v/>
      </c>
      <c r="GR103" s="43" t="n">
        <f aca="false">IF(Tasks[[#This Row],[_IsLeaf]]=1,N(Tasks[[#This Row],[Story Points]]),0)</f>
        <v>0</v>
      </c>
      <c r="GS103" s="43" t="str">
        <f aca="false">""</f>
        <v/>
      </c>
      <c r="GT103" s="90" t="b">
        <f aca="false">IF(Tasks[[#This Row],[Task Name]]="",FALSE(),AND(Tasks[[#This Row],[_IsLeaf]]=1,N(Tasks[[#This Row],[_Days]])=0))</f>
        <v>0</v>
      </c>
      <c r="GU103" s="91" t="n">
        <f aca="false">IF(Tasks[[#This Row],[Task Name]]="",0,IF(AND(Tasks[[#This Row],[_IsLeaf]]=1,NOT(Tasks[[#This Row],[_IsMilestone]]),N(Tasks[[#This Row],[Progress]])&gt;0),Tasks[[#This Row],[Start]],0))</f>
        <v>0</v>
      </c>
      <c r="GV103" s="91" t="n">
        <f aca="false">IF(Tasks[[#This Row],[_DoneFrom]]=0,0,IF(Tasks[[#This Row],[Progress]]&gt;=1,Tasks[[#This Row],[Finish]],MAX(Tasks[[#This Row],[_DoneFrom]],Tasks[[#This Row],[Start]]+ROUND((Tasks[[#This Row],[Finish]]-Tasks[[#This Row],[Start]]+1)*Tasks[[#This Row],[Progress]],0)-1)))</f>
        <v>0</v>
      </c>
      <c r="GW103" s="91" t="n">
        <f aca="false">IF(Tasks[[#This Row],[Task Name]]="",0,IF(OR(NOT(Tasks[[#This Row],[_IsLeaf]]=1),Tasks[[#This Row],[_IsMilestone]],N(Tasks[[#This Row],[Progress]])&gt;=1),0,IF(Tasks[[#This Row],[_DoneTo]]&gt;0,Tasks[[#This Row],[_DoneTo]]+1,Tasks[[#This Row],[Start]])))</f>
        <v>0</v>
      </c>
      <c r="GX103" s="91" t="n">
        <f aca="false">IF(Tasks[[#This Row],[_RemFrom]]=0,0,Tasks[[#This Row],[Finish]])</f>
        <v>0</v>
      </c>
      <c r="GY103" s="90" t="b">
        <f aca="false">IF(Tasks[[#This Row],[Task Name]]="",FALSE(),OR(NOT(BaselineSet),N(Tasks[[#This Row],[Baseline Start]])&gt;0))</f>
        <v>0</v>
      </c>
      <c r="GZ10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3" s="92" t="str">
        <f aca="false">IF(Tasks[[#This Row],[_IsLeaf]]=1,Tasks[[#This Row],[_Row]],"")</f>
        <v/>
      </c>
      <c r="HD103" s="92" t="str">
        <f aca="false">IFERROR(INDEX(Tasks[UID],SMALL(Tasks[_PickKey],Tasks[[#This Row],[_Row]]))&amp;" "&amp;INDEX(Tasks[Task Name],SMALL(Tasks[_PickKey],Tasks[[#This Row],[_Row]])),"")</f>
        <v/>
      </c>
      <c r="HE103" s="43" t="str">
        <f aca="false">IF(Tasks[[#This Row],[Task Name]]="","",IF(Tasks[[#This Row],[_IsSummary]],NETWORKDAYS.INTL(Tasks[[#This Row],[Start]],Tasks[[#This Row],[Finish]],WorkWeek,Holidays),N(Tasks[[#This Row],[_Days]])))</f>
        <v/>
      </c>
      <c r="HF103" s="43" t="n">
        <f aca="false">IF(Tasks[[#This Row],[Expected]]="",0,((Tasks[[#This Row],[Pessimistic]]-Tasks[[#This Row],[Optimistic]])/6)^2)</f>
        <v>0</v>
      </c>
      <c r="HG103" s="43" t="n">
        <f aca="false">IF(Tasks[[#This Row],[Expected]]="",0,Tasks[[#This Row],[Expected]]-N(Tasks[[#This Row],[_Days]]))</f>
        <v>0</v>
      </c>
    </row>
    <row r="104" customFormat="false" ht="15" hidden="false" customHeight="false" outlineLevel="0" collapsed="false">
      <c r="A104" s="21" t="str">
        <f aca="false">IF(Tasks[[#This Row],[Task Name]]="","",COUNTA(Tasks[[#Headers],[Task Name]]:Tasks[[#This Row],[Task Name]])-1)</f>
        <v/>
      </c>
      <c r="B104" s="22" t="n">
        <v>112</v>
      </c>
      <c r="C104" s="22"/>
      <c r="D104" s="23"/>
      <c r="E104" s="22"/>
      <c r="F104" s="23"/>
      <c r="G104" s="22"/>
      <c r="H104" s="22"/>
      <c r="I104" s="23"/>
      <c r="J104" s="22"/>
      <c r="K104" s="22"/>
      <c r="L104" s="23"/>
      <c r="M104" s="22"/>
      <c r="N104" s="22"/>
      <c r="O104" s="23"/>
      <c r="P104" s="22"/>
      <c r="Q104" s="22"/>
      <c r="R104" s="23"/>
      <c r="S104" s="23"/>
      <c r="T104" s="84"/>
      <c r="U104" s="23"/>
      <c r="V104" s="84"/>
      <c r="W104" s="23"/>
      <c r="X104" s="84"/>
      <c r="Y104" s="23"/>
      <c r="Z104" s="84"/>
      <c r="AA104" s="23"/>
      <c r="AB104" s="23"/>
      <c r="AC104" s="7"/>
      <c r="AD104" s="7"/>
      <c r="AE104" s="63" t="str">
        <f aca="false">IF(Tasks[[#This Row],[Task Name]]="","",IF(Tasks[[#This Row],[_IsSummary]],MIN(INDEX(Tasks[_ShownFcstStart],Tasks[[#This Row],[_Row]]+1):INDEX(Tasks[_ShownFcstStart],Tasks[[#This Row],[_Row]]+Tasks[[#This Row],[_Descendants]])),Tasks[[#This Row],[_ShownFcstStart]]))</f>
        <v/>
      </c>
      <c r="AF104" s="63" t="str">
        <f aca="false">IF(Tasks[[#This Row],[Task Name]]="","",IF(Tasks[[#This Row],[_IsSummary]],MAX(INDEX(Tasks[_ShownFcstFinish],Tasks[[#This Row],[_Row]]+1):INDEX(Tasks[_ShownFcstFinish],Tasks[[#This Row],[_Row]]+Tasks[[#This Row],[_Descendants]])),Tasks[[#This Row],[_ShownFcstFinish]]))</f>
        <v/>
      </c>
      <c r="AG104" s="21" t="str">
        <f aca="false">""</f>
        <v/>
      </c>
      <c r="AH104" s="23"/>
      <c r="AI1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4" s="7"/>
      <c r="AK104" s="22"/>
      <c r="AL104" s="23"/>
      <c r="AM104" s="7"/>
      <c r="AN104" s="47" t="str">
        <f aca="false">IF(Tasks[[#This Row],[Task Name]]="","",IF(Tasks[[#This Row],[Finish]]&gt;=Tasks[[#This Row],[Planned Finish]],NETWORKDAYS.INTL(Tasks[[#This Row],[Planned Finish]],Tasks[[#This Row],[Finish]],WorkWeek,Holidays)-1,1-NETWORKDAYS.INTL(Tasks[[#This Row],[Finish]],Tasks[[#This Row],[Planned Finish]],WorkWeek,Holidays)))</f>
        <v/>
      </c>
      <c r="AO104" s="21" t="str">
        <f aca="false">IF(Tasks[[#This Row],[Task Name]]="","",IF(Tasks[[#This Row],[Progress]]&gt;=1,"Complete",IF(OR(N(Tasks[[#This Row],[Actual Start]])&gt;0,Tasks[[#This Row],[Progress]]&gt;0),IF(Tasks[[#This Row],[Finish Var]]&gt;0,"Behind","In Progress"),IF(Tasks[[#This Row],[Planned Start]]&lt;StatusDate,"Late Start","Not Started"))))</f>
        <v/>
      </c>
      <c r="AP104" s="21" t="str">
        <f aca="false">IF(Tasks[[#This Row],[Task Name]]="","",IF(IF(Tasks[[#This Row],[_IsSummary]],COUNTIF(INDEX(Tasks[_LeafCritical],Tasks[[#This Row],[_Row]]+1):INDEX(Tasks[_LeafCritical],Tasks[[#This Row],[_Row]]+Tasks[[#This Row],[_Descendants]]),TRUE())&gt;0,Tasks[[#This Row],[_LeafCritical]]),"Yes",""))</f>
        <v/>
      </c>
      <c r="AQ104" s="63" t="str">
        <f aca="false">IF(Tasks[[#This Row],[Task Name]]="","",IF(N(Tasks[[#This Row],[Baseline Start]])&gt;0,Tasks[[#This Row],[Baseline Start]],Tasks[[#This Row],[_CalcStart]]))</f>
        <v/>
      </c>
      <c r="AR104" s="63" t="str">
        <f aca="false">IF(Tasks[[#This Row],[Task Name]]="","",IF(N(Tasks[[#This Row],[Baseline Finish]])&gt;0,Tasks[[#This Row],[Baseline Finish]],Tasks[[#This Row],[_CalcFinish]]))</f>
        <v/>
      </c>
      <c r="AS104" s="47" t="str">
        <f aca="false">IF(Tasks[[#This Row],[Task Name]]="","",IF(Tasks[[#This Row],[Start]]&gt;=Tasks[[#This Row],[Planned Start]],NETWORKDAYS.INTL(Tasks[[#This Row],[Planned Start]],Tasks[[#This Row],[Start]],WorkWeek,Holidays)-1,1-NETWORKDAYS.INTL(Tasks[[#This Row],[Start]],Tasks[[#This Row],[Planned Start]],WorkWeek,Holidays)))</f>
        <v/>
      </c>
      <c r="AT104" s="63" t="str">
        <f aca="false">IF(Tasks[[#This Row],[Task Name]]="","",IF(Tasks[[#This Row],[_IsSummary]],MIN(INDEX(Tasks[_LeafLateStart],Tasks[[#This Row],[_Row]]+1):INDEX(Tasks[_LeafLateStart],Tasks[[#This Row],[_Row]]+Tasks[[#This Row],[_Descendants]])),Tasks[[#This Row],[_LeafLateStart]]))</f>
        <v/>
      </c>
      <c r="AU104" s="63" t="str">
        <f aca="false">IF(Tasks[[#This Row],[Task Name]]="","",IF(Tasks[[#This Row],[_IsSummary]],MAX(INDEX(Tasks[_LeafLateFinish],Tasks[[#This Row],[_Row]]+1):INDEX(Tasks[_LeafLateFinish],Tasks[[#This Row],[_Row]]+Tasks[[#This Row],[_Descendants]])),Tasks[[#This Row],[_LeafLateFinish]]))</f>
        <v/>
      </c>
      <c r="AV104" s="47" t="str">
        <f aca="false">IF(Tasks[[#This Row],[Task Name]]="","",IF(Tasks[[#This Row],[_IsSummary]],MIN(INDEX(Tasks[_LeafTotalSlack],Tasks[[#This Row],[_Row]]+1):INDEX(Tasks[_LeafTotalSlack],Tasks[[#This Row],[_Row]]+Tasks[[#This Row],[_Descendants]])),Tasks[[#This Row],[_LeafTotalSlack]]))</f>
        <v/>
      </c>
      <c r="AW1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5"/>
      <c r="BA10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t="str">
        <f aca="false">IF(Tasks[[#This Row],[Task Name]]="","",IF(Tasks[[#This Row],[_Level]]&lt;=OutlineShowLevel,"Yes","No"))</f>
        <v/>
      </c>
      <c r="BE104" s="86" t="str">
        <f aca="false">IF(Tasks[[#This Row],[Task Name]]="","",IF(Tasks[[#This Row],[_IsSummary]],SUM(INDEX(Tasks[_LeafTotalWork],Tasks[[#This Row],[_Row]]+1):INDEX(Tasks[_LeafTotalWork],Tasks[[#This Row],[_Row]]+Tasks[[#This Row],[_Descendants]])),Tasks[[#This Row],[_LeafTotalWork]]))</f>
        <v/>
      </c>
      <c r="BF104" s="23"/>
      <c r="BG1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t="str">
        <f aca="false">""</f>
        <v/>
      </c>
      <c r="BI104" s="87"/>
      <c r="BJ104" s="22"/>
      <c r="BK104" s="47" t="str">
        <f aca="false">IF(OR(Tasks[[#This Row],[Task Name]]="",Tasks[[#This Row],[Baseline Duration]]=""),"",Tasks[[#This Row],[_SpanDays]]-N(Tasks[[#This Row],[Baseline Duration]]))</f>
        <v/>
      </c>
      <c r="BL104" s="86" t="str">
        <f aca="false">IF(OR(Tasks[[#This Row],[Task Name]]="",Tasks[[#This Row],[Baseline Work]]=""),"",Tasks[[#This Row],[Work]]-N(Tasks[[#This Row],[Baseline Work]]))</f>
        <v/>
      </c>
      <c r="BM104" s="63" t="str">
        <f aca="false">IF(Tasks[[#This Row],[Task Name]]="","",IF(OR(TakeBaseline="Yes",N(Tasks[[#This Row],[Baseline Start]])=0),Tasks[[#This Row],[Start]],Tasks[[#This Row],[Baseline Start]]))</f>
        <v/>
      </c>
      <c r="BN104" s="63" t="str">
        <f aca="false">IF(Tasks[[#This Row],[Task Name]]="","",IF(OR(TakeBaseline="Yes",N(Tasks[[#This Row],[Baseline Finish]])=0),Tasks[[#This Row],[Finish]],Tasks[[#This Row],[Baseline Finish]]))</f>
        <v/>
      </c>
      <c r="BO104" s="21" t="str">
        <f aca="false">IF(Tasks[[#This Row],[Task Name]]="","",IF(OR(TakeBaseline="Yes",N(Tasks[[#This Row],[Baseline Duration]])=0),Tasks[[#This Row],[_SpanDays]],Tasks[[#This Row],[Baseline Duration]]))</f>
        <v/>
      </c>
      <c r="BP104" s="86" t="str">
        <f aca="false">IF(Tasks[[#This Row],[Task Name]]="","",IF(OR(TakeBaseline="Yes",N(Tasks[[#This Row],[Baseline Work]])=0),Tasks[[#This Row],[Work]],Tasks[[#This Row],[Baseline Work]]))</f>
        <v/>
      </c>
      <c r="BQ104" s="7"/>
      <c r="BR104" s="7"/>
      <c r="BS104" s="22"/>
      <c r="BT104" s="88"/>
      <c r="BU104" s="23"/>
      <c r="BV104" s="23"/>
      <c r="BW104" s="23"/>
      <c r="BX104" s="89" t="str">
        <f aca="false">IF(AND(Tasks[[#This Row],[_IsLeaf]]=1,ISNUMBER(Tasks[[#This Row],[Optimistic]]),ISNUMBER(Tasks[[#This Row],[Pessimistic]])),ROUND((Tasks[[#This Row],[Optimistic]]+4*N(Tasks[[#This Row],[_Days]])+Tasks[[#This Row],[Pessimistic]])/6,1),"")</f>
        <v/>
      </c>
      <c r="BY104" s="87"/>
      <c r="BZ104" s="87"/>
      <c r="CA104" s="22"/>
      <c r="CB104" s="43" t="str">
        <f aca="false">IF(Tasks[[#This Row],[Task Name]]="","",MAX(1,N(Tasks[[#This Row],[Level]])))</f>
        <v/>
      </c>
      <c r="CC104" s="43" t="n">
        <f aca="false">ROW()-ROW(Tasks[[#Headers],[ID]])</f>
        <v>99</v>
      </c>
      <c r="CD104" s="43" t="n">
        <f aca="false">IF(OR(Tasks[[#This Row],[Task Name]]="",Tasks[[#This Row],[_Level]]&lt;=1),0,IFERROR(LOOKUP(2,1/(Tasks[[#Headers],[_Level]]:Tasks[[#This Row],[_Level]]=Tasks[[#This Row],[_Level]]-1),ROW(Tasks[[#Headers],[_Level]]:Tasks[[#This Row],[_Level]])),0))</f>
        <v>0</v>
      </c>
      <c r="CE104" s="43" t="n">
        <f aca="false">IFERROR(N(INDEX(Tasks[_Level],Tasks[[#This Row],[_Row]]+1)),0)</f>
        <v>0</v>
      </c>
      <c r="CF104" s="90" t="b">
        <f aca="false">AND(Tasks[[#This Row],[Task Name]]&lt;&gt;"",Tasks[[#This Row],[_NextLevel]]&gt;Tasks[[#This Row],[_Level]])</f>
        <v>0</v>
      </c>
      <c r="CG104" s="43" t="n">
        <f aca="false">IF(Tasks[[#This Row],[_IsSummary]],COUNTIF(Tasks[WBS],Tasks[[#This Row],[WBS]]&amp;".*"),0)</f>
        <v>0</v>
      </c>
      <c r="CH104" s="43" t="n">
        <f aca="false">IF(AND(Tasks[[#This Row],[Task Name]]&lt;&gt;"",NOT(Tasks[[#This Row],[_IsSummary]])),1,0)</f>
        <v>0</v>
      </c>
      <c r="CI104" s="43" t="n">
        <f aca="false">IF(N(Tasks[[#This Row],[_Pred1UID]])=0,0,IFERROR(MATCH(Tasks[[#This Row],[_Pred1UID]],Tasks[UID],0),-1))</f>
        <v>0</v>
      </c>
      <c r="CJ104" s="43" t="n">
        <f aca="false">IF(N(Tasks[[#This Row],[_Pred2UID]])=0,0,IFERROR(MATCH(Tasks[[#This Row],[_Pred2UID]],Tasks[UID],0),-1))</f>
        <v>0</v>
      </c>
      <c r="CK104" s="43" t="n">
        <f aca="false">IF(N(Tasks[[#This Row],[_Pred3UID]])=0,0,IFERROR(MATCH(Tasks[[#This Row],[_Pred3UID]],Tasks[UID],0),-1))</f>
        <v>0</v>
      </c>
      <c r="CL104" s="43" t="n">
        <f aca="false">IF(N(Tasks[[#This Row],[_Pred4UID]])=0,0,IFERROR(MATCH(Tasks[[#This Row],[_Pred4UID]],Tasks[UID],0),-1))</f>
        <v>0</v>
      </c>
      <c r="CM1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4" s="91" t="n">
        <f aca="false">IF(OR(Tasks[[#This Row],[_ConstraintCode]]=2,Tasks[[#This Row],[_ConstraintCode]]=3,Tasks[[#This Row],[_ConstraintCode]]=4,Tasks[[#This Row],[_ConstraintCode]]=6),Tasks[[#This Row],[_ConstraintStart]],0)</f>
        <v>0</v>
      </c>
      <c r="CP104" s="91" t="n">
        <f aca="false">IF(OR(Tasks[[#This Row],[_ConstraintCode]]=2,Tasks[[#This Row],[_ConstraintCode]]=3,Tasks[[#This Row],[_ConstraintCode]]=5,Tasks[[#This Row],[_ConstraintCode]]=7),Tasks[[#This Row],[_ConstraintStart]],2958465)</f>
        <v>2958465</v>
      </c>
      <c r="CQ1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4" s="91" t="str">
        <f aca="false">IF(NOT(Tasks[[#This Row],[_IsLeaf]]=1),"",IF(N(Tasks[[#This Row],[_Days]])&lt;=0,Tasks[[#This Row],[_LeafCalcStart]],WORKDAY.INTL(Tasks[[#This Row],[_LeafCalcStart]],Tasks[[#This Row],[_Days]]-1,WorkWeek,Holidays)))</f>
        <v/>
      </c>
      <c r="CS1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4" s="43" t="str">
        <f aca="false">IF(Tasks[[#This Row],[_Predecessors]]="","",TRIM(MID(SUBSTITUTE(SUBSTITUTE(SUBSTITUTE(UPPER(Tasks[[#This Row],[_Predecessors]]),";",",")," ",""),",",REPT(" ",99)),1,99)))</f>
        <v/>
      </c>
      <c r="CV104" s="43" t="str">
        <f aca="false">IF(Tasks[[#This Row],[_Pred1Text]]="","",IFERROR(VALUE(LEFT(Tasks[[#This Row],[_Pred1Text]],MIN(FIND("F",Tasks[[#This Row],[_Pred1Text]]&amp;"F"),FIND("S",Tasks[[#This Row],[_Pred1Text]]&amp;"S"),FIND("+",Tasks[[#This Row],[_Pred1Text]]&amp;"+"),FIND("-",Tasks[[#This Row],[_Pred1Text]]&amp;"-"))-1)),""))</f>
        <v/>
      </c>
      <c r="CW1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4" s="43" t="str">
        <f aca="false">IF(Tasks[[#This Row],[_Pred1Text]]="","",TRIM(MID(SUBSTITUTE(SUBSTITUTE(SUBSTITUTE(UPPER(Tasks[[#This Row],[_Predecessors]]),";",",")," ",""),",",REPT(" ",99)),100,99)))</f>
        <v/>
      </c>
      <c r="CZ104" s="43" t="str">
        <f aca="false">IF(Tasks[[#This Row],[_Pred2Text]]="","",IFERROR(VALUE(LEFT(Tasks[[#This Row],[_Pred2Text]],MIN(FIND("F",Tasks[[#This Row],[_Pred2Text]]&amp;"F"),FIND("S",Tasks[[#This Row],[_Pred2Text]]&amp;"S"),FIND("+",Tasks[[#This Row],[_Pred2Text]]&amp;"+"),FIND("-",Tasks[[#This Row],[_Pred2Text]]&amp;"-"))-1)),""))</f>
        <v/>
      </c>
      <c r="DA1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4" s="43" t="str">
        <f aca="false">IF(Tasks[[#This Row],[_Pred2Text]]="","",TRIM(MID(SUBSTITUTE(SUBSTITUTE(SUBSTITUTE(UPPER(Tasks[[#This Row],[_Predecessors]]),";",",")," ",""),",",REPT(" ",99)),199,99)))</f>
        <v/>
      </c>
      <c r="DD104" s="43" t="str">
        <f aca="false">IF(Tasks[[#This Row],[_Pred3Text]]="","",IFERROR(VALUE(LEFT(Tasks[[#This Row],[_Pred3Text]],MIN(FIND("F",Tasks[[#This Row],[_Pred3Text]]&amp;"F"),FIND("S",Tasks[[#This Row],[_Pred3Text]]&amp;"S"),FIND("+",Tasks[[#This Row],[_Pred3Text]]&amp;"+"),FIND("-",Tasks[[#This Row],[_Pred3Text]]&amp;"-"))-1)),""))</f>
        <v/>
      </c>
      <c r="DE1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4" s="43" t="str">
        <f aca="false">IF(Tasks[[#This Row],[_Pred3Text]]="","",TRIM(MID(SUBSTITUTE(SUBSTITUTE(SUBSTITUTE(UPPER(Tasks[[#This Row],[_Predecessors]]),";",",")," ",""),",",REPT(" ",99)),298,99)))</f>
        <v/>
      </c>
      <c r="DH104" s="43" t="str">
        <f aca="false">IF(Tasks[[#This Row],[_Pred4Text]]="","",IFERROR(VALUE(LEFT(Tasks[[#This Row],[_Pred4Text]],MIN(FIND("F",Tasks[[#This Row],[_Pred4Text]]&amp;"F"),FIND("S",Tasks[[#This Row],[_Pred4Text]]&amp;"S"),FIND("+",Tasks[[#This Row],[_Pred4Text]]&amp;"+"),FIND("-",Tasks[[#This Row],[_Pred4Text]]&amp;"-"))-1)),""))</f>
        <v/>
      </c>
      <c r="DI1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4" s="43" t="str">
        <f aca="false">IF(OR(Tasks[[#This Row],[Task Name]]="",Tasks[[#This Row],[_Resources]]=""),"",TRIM(MID(SUBSTITUTE(Tasks[[#This Row],[_Resources]],",",REPT(" ",99)),1,99)))</f>
        <v/>
      </c>
      <c r="DL104" s="43" t="str">
        <f aca="false">IF(Tasks[[#This Row],[_Res1Text]]="","",TRIM(MID(SUBSTITUTE(Tasks[[#This Row],[_Resources]],",",REPT(" ",99)),100,99)))</f>
        <v/>
      </c>
      <c r="DM104" s="43" t="str">
        <f aca="false">IF(Tasks[[#This Row],[_Res2Text]]="","",TRIM(MID(SUBSTITUTE(Tasks[[#This Row],[_Resources]],",",REPT(" ",99)),199,99)))</f>
        <v/>
      </c>
      <c r="DN104" s="43" t="str">
        <f aca="false">IF(Tasks[[#This Row],[_Res3Text]]="","",TRIM(MID(SUBSTITUTE(Tasks[[#This Row],[_Resources]],",",REPT(" ",99)),298,99)))</f>
        <v/>
      </c>
      <c r="DO104" s="43" t="n">
        <f aca="false">IF(Tasks[[#This Row],[_Res1Text]]="",0,IFERROR(MATCH(TRIM(LEFT(Tasks[[#This Row],[_Res1Text]],FIND("[",Tasks[[#This Row],[_Res1Text]]&amp;"[")-1)),res_Name,0),IFERROR(MATCH(TRIM(LEFT(Tasks[[#This Row],[_Res1Text]],FIND("[",Tasks[[#This Row],[_Res1Text]]&amp;"[")-1)),res_Initials,0),0)))</f>
        <v>0</v>
      </c>
      <c r="DP104" s="43" t="n">
        <f aca="false">IF(Tasks[[#This Row],[_Res2Text]]="",0,IFERROR(MATCH(TRIM(LEFT(Tasks[[#This Row],[_Res2Text]],FIND("[",Tasks[[#This Row],[_Res2Text]]&amp;"[")-1)),res_Name,0),IFERROR(MATCH(TRIM(LEFT(Tasks[[#This Row],[_Res2Text]],FIND("[",Tasks[[#This Row],[_Res2Text]]&amp;"[")-1)),res_Initials,0),0)))</f>
        <v>0</v>
      </c>
      <c r="DQ104" s="43" t="n">
        <f aca="false">IF(Tasks[[#This Row],[_Res3Text]]="",0,IFERROR(MATCH(TRIM(LEFT(Tasks[[#This Row],[_Res3Text]],FIND("[",Tasks[[#This Row],[_Res3Text]]&amp;"[")-1)),res_Name,0),IFERROR(MATCH(TRIM(LEFT(Tasks[[#This Row],[_Res3Text]],FIND("[",Tasks[[#This Row],[_Res3Text]]&amp;"[")-1)),res_Initials,0),0)))</f>
        <v>0</v>
      </c>
      <c r="DR104" s="43" t="n">
        <f aca="false">IF(Tasks[[#This Row],[_Res4Text]]="",0,IFERROR(MATCH(TRIM(LEFT(Tasks[[#This Row],[_Res4Text]],FIND("[",Tasks[[#This Row],[_Res4Text]]&amp;"[")-1)),res_Name,0),IFERROR(MATCH(TRIM(LEFT(Tasks[[#This Row],[_Res4Text]],FIND("[",Tasks[[#This Row],[_Res4Text]]&amp;"[")-1)),res_Initials,0),0)))</f>
        <v>0</v>
      </c>
      <c r="DS104" s="43" t="str">
        <f aca="false">IF(Tasks[[#This Row],[_Res1Text]]="","",IF(Tasks[[#This Row],[_Res1Row]]&gt;0,INDEX(res_Name,Tasks[[#This Row],[_Res1Row]]),TRIM(LEFT(Tasks[[#This Row],[_Res1Text]],FIND("[",Tasks[[#This Row],[_Res1Text]]&amp;"[")-1))))</f>
        <v/>
      </c>
      <c r="DT1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4" s="43" t="n">
        <f aca="false">IF(NOT(Tasks[[#This Row],[_IsLeaf]]=1),0,(Tasks[[#This Row],[_Resource1]]&lt;&gt;"")+(Tasks[[#This Row],[_Res2]]&lt;&gt;"")+(Tasks[[#This Row],[_Res3]]&lt;&gt;"")+(Tasks[[#This Row],[_Res4]]&lt;&gt;""))</f>
        <v>0</v>
      </c>
      <c r="DV104" s="43" t="str">
        <f aca="false">IF(Tasks[[#This Row],[_Res2Text]]="","",IF(Tasks[[#This Row],[_Res2Row]]&gt;0,INDEX(res_Name,Tasks[[#This Row],[_Res2Row]]),TRIM(LEFT(Tasks[[#This Row],[_Res2Text]],FIND("[",Tasks[[#This Row],[_Res2Text]]&amp;"[")-1))))</f>
        <v/>
      </c>
      <c r="DW1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4" s="43" t="n">
        <f aca="false">IF(OR(NOT(Tasks[[#This Row],[_IsLeaf]]=1),Tasks[[#This Row],[_Res2Row]]=0),0,N(Tasks[[#This Row],[_Days]])*HoursPerDay*IF(Tasks[[#This Row],[_Res2Units]]="",DefaultUnits,Tasks[[#This Row],[_Res2Units]]))</f>
        <v>0</v>
      </c>
      <c r="DY104" s="43" t="n">
        <f aca="false">IF(AND(AND(Tasks[[#This Row],[_IsLeaf]]=1,Tasks[[#This Row],[_LeafTotalWork]]&gt;0),Tasks[[#This Row],[_Res2Work]]&gt;0),Tasks[[#This Row],[_Res2Work]]/(Tasks[[#This Row],[_FinishWorkday]]-Tasks[[#This Row],[_StartWorkday]]+1),0)</f>
        <v>0</v>
      </c>
      <c r="DZ104" s="43" t="n">
        <f aca="false">Tasks[[#This Row],[_Res2WorkPerWD]]*MAX(0,Tasks[[#This Row],[_StartWorkday]]-1)</f>
        <v>0</v>
      </c>
      <c r="EA104" s="43" t="n">
        <f aca="false">Tasks[[#This Row],[_Res2Work]]*Tasks[[#This Row],[_LeafProgress]]</f>
        <v>0</v>
      </c>
      <c r="EB104" s="43" t="str">
        <f aca="false">IF(Tasks[[#This Row],[_Res3Text]]="","",IF(Tasks[[#This Row],[_Res3Row]]&gt;0,INDEX(res_Name,Tasks[[#This Row],[_Res3Row]]),TRIM(LEFT(Tasks[[#This Row],[_Res3Text]],FIND("[",Tasks[[#This Row],[_Res3Text]]&amp;"[")-1))))</f>
        <v/>
      </c>
      <c r="EC1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4" s="43" t="n">
        <f aca="false">IF(OR(NOT(Tasks[[#This Row],[_IsLeaf]]=1),Tasks[[#This Row],[_Res3Row]]=0),0,N(Tasks[[#This Row],[_Days]])*HoursPerDay*IF(Tasks[[#This Row],[_Res3Units]]="",DefaultUnits,Tasks[[#This Row],[_Res3Units]]))</f>
        <v>0</v>
      </c>
      <c r="EE104" s="43" t="n">
        <f aca="false">IF(AND(AND(Tasks[[#This Row],[_IsLeaf]]=1,Tasks[[#This Row],[_LeafTotalWork]]&gt;0),Tasks[[#This Row],[_Res3Work]]&gt;0),Tasks[[#This Row],[_Res3Work]]/(Tasks[[#This Row],[_FinishWorkday]]-Tasks[[#This Row],[_StartWorkday]]+1),0)</f>
        <v>0</v>
      </c>
      <c r="EF104" s="43" t="n">
        <f aca="false">Tasks[[#This Row],[_Res3WorkPerWD]]*MAX(0,Tasks[[#This Row],[_StartWorkday]]-1)</f>
        <v>0</v>
      </c>
      <c r="EG104" s="43" t="n">
        <f aca="false">Tasks[[#This Row],[_Res3Work]]*Tasks[[#This Row],[_LeafProgress]]</f>
        <v>0</v>
      </c>
      <c r="EH104" s="43" t="str">
        <f aca="false">IF(Tasks[[#This Row],[_Res4Text]]="","",IF(Tasks[[#This Row],[_Res4Row]]&gt;0,INDEX(res_Name,Tasks[[#This Row],[_Res4Row]]),TRIM(LEFT(Tasks[[#This Row],[_Res4Text]],FIND("[",Tasks[[#This Row],[_Res4Text]]&amp;"[")-1))))</f>
        <v/>
      </c>
      <c r="EI1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4" s="43" t="n">
        <f aca="false">IF(OR(NOT(Tasks[[#This Row],[_IsLeaf]]=1),Tasks[[#This Row],[_Res4Row]]=0),0,N(Tasks[[#This Row],[_Days]])*HoursPerDay*IF(Tasks[[#This Row],[_Res4Units]]="",DefaultUnits,Tasks[[#This Row],[_Res4Units]]))</f>
        <v>0</v>
      </c>
      <c r="EK104" s="43" t="n">
        <f aca="false">IF(AND(AND(Tasks[[#This Row],[_IsLeaf]]=1,Tasks[[#This Row],[_LeafTotalWork]]&gt;0),Tasks[[#This Row],[_Res4Work]]&gt;0),Tasks[[#This Row],[_Res4Work]]/(Tasks[[#This Row],[_FinishWorkday]]-Tasks[[#This Row],[_StartWorkday]]+1),0)</f>
        <v>0</v>
      </c>
      <c r="EL104" s="43" t="n">
        <f aca="false">Tasks[[#This Row],[_Res4WorkPerWD]]*MAX(0,Tasks[[#This Row],[_StartWorkday]]-1)</f>
        <v>0</v>
      </c>
      <c r="EM104" s="43" t="n">
        <f aca="false">Tasks[[#This Row],[_Res4Work]]*Tasks[[#This Row],[_LeafProgress]]</f>
        <v>0</v>
      </c>
      <c r="EN104" s="43" t="n">
        <f aca="false">IF(ISNUMBER(Tasks[[#This Row],[% Complete]]),Tasks[[#This Row],[% Complete]],IF(Tasks[[#This Row],[Stage]]="",0,IFERROR(INDEX(stg_Pct,MATCH(Tasks[[#This Row],[Stage]],stg_Name,0)),0)))</f>
        <v>0</v>
      </c>
      <c r="EO104" s="43" t="n">
        <f aca="false">IF(NOT(Tasks[[#This Row],[_IsLeaf]]=1),0,IF(N(Tasks[[#This Row],[Actual Finish]])&gt;0,1,MIN(1,Tasks[[#This Row],[_Pct]])))</f>
        <v>0</v>
      </c>
      <c r="EP104" s="43" t="n">
        <f aca="false">IF(OR(NOT(Tasks[[#This Row],[_IsLeaf]]=1),Tasks[[#This Row],[_Res1Row]]=0),0,N(Tasks[[#This Row],[_Days]])*HoursPerDay*IF(Tasks[[#This Row],[_Units1]]="",DefaultUnits,Tasks[[#This Row],[_Units1]]))</f>
        <v>0</v>
      </c>
      <c r="EQ104" s="43" t="n">
        <f aca="false">Tasks[[#This Row],[_LeafWork]]+Tasks[[#This Row],[_Res2Work]]+Tasks[[#This Row],[_Res3Work]]+Tasks[[#This Row],[_Res4Work]]</f>
        <v>0</v>
      </c>
      <c r="ER10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4" s="43" t="n">
        <f aca="false">IF(NOT(Tasks[[#This Row],[_IsLeaf]]=1),0,MAX(_xlfn.MAXIFS(Tasks[_Row],Tasks[_Pred1UID],Tasks[[#This Row],[UID]]),_xlfn.MAXIFS(Tasks[_Row],Tasks[_Pred2UID],Tasks[[#This Row],[UID]]),_xlfn.MAXIFS(Tasks[_Row],Tasks[_Pred3UID],Tasks[[#This Row],[UID]]),_xlfn.MAXIFS(Tasks[_Row],Tasks[_Pred4UID],Tasks[[#This Row],[UID]])))</f>
        <v>0</v>
      </c>
      <c r="FA1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4" s="91" t="str">
        <f aca="false">IF(NOT(Tasks[[#This Row],[_IsLeaf]]=1),"",IF(N(Tasks[[#This Row],[_Days]])&lt;=0,Tasks[[#This Row],[_LeafLateFinish]],WORKDAY.INTL(Tasks[[#This Row],[_LeafLateFinish]],-(Tasks[[#This Row],[_Days]]-1),WorkWeek,Holidays)))</f>
        <v/>
      </c>
      <c r="FD1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4" s="90" t="b">
        <f aca="false">AND(Tasks[[#This Row],[_IsLeaf]]=1,Tasks[[#This Row],[_LeafProgress]]&lt;1,N(Tasks[[#This Row],[_LeafTotalSlack]])&lt;=CriticalSlackDays)</f>
        <v>0</v>
      </c>
      <c r="FF104" s="43" t="n">
        <f aca="false">IF(AND(Tasks[[#This Row],[_IsLeaf]]=1,Tasks[[#This Row],[_ConstraintCode]]=1,Tasks[[#This Row],[Mode]]&lt;&gt;"Manual",N(Tasks[[#This Row],[Actual Start]])=0),MAX(0,N(Tasks[[#This Row],[Free Slack]])),0)</f>
        <v>0</v>
      </c>
      <c r="FG104" s="91" t="str">
        <f aca="false">IF(NOT(Tasks[[#This Row],[_IsLeaf]]=1),"",IF(Tasks[[#This Row],[_AlapShift]]=0,Tasks[[#This Row],[_LeafCalcStart]],WORKDAY.INTL(Tasks[[#This Row],[_LeafCalcStart]],Tasks[[#This Row],[_AlapShift]],WorkWeek,Holidays)))</f>
        <v/>
      </c>
      <c r="FH104" s="91" t="str">
        <f aca="false">IF(NOT(Tasks[[#This Row],[_IsLeaf]]=1),"",IF(Tasks[[#This Row],[_AlapShift]]=0,Tasks[[#This Row],[_LeafCalcFinish]],WORKDAY.INTL(Tasks[[#This Row],[_LeafCalcFinish]],Tasks[[#This Row],[_AlapShift]],WorkWeek,Holidays)))</f>
        <v/>
      </c>
      <c r="FI104" s="91" t="str">
        <f aca="false">IF(NOT(Tasks[[#This Row],[_IsLeaf]]=1),"",IF(Tasks[[#This Row],[_AlapShift]]=0,Tasks[[#This Row],[_LeafFcstStart]],WORKDAY.INTL(Tasks[[#This Row],[_LeafFcstStart]],Tasks[[#This Row],[_AlapShift]],WorkWeek,Holidays)))</f>
        <v/>
      </c>
      <c r="FJ104" s="91" t="str">
        <f aca="false">IF(NOT(Tasks[[#This Row],[_IsLeaf]]=1),"",IF(Tasks[[#This Row],[_AlapShift]]=0,Tasks[[#This Row],[_LeafFcstFinish]],WORKDAY.INTL(Tasks[[#This Row],[_LeafFcstFinish]],Tasks[[#This Row],[_AlapShift]],WorkWeek,Holidays)))</f>
        <v/>
      </c>
      <c r="FK104" s="91" t="str">
        <f aca="false">IF(Tasks[[#This Row],[Task Name]]="","",IF(Tasks[[#This Row],[_IsSummary]],MIN(INDEX(Tasks[_ShownCalcStart],Tasks[[#This Row],[_Row]]+1):INDEX(Tasks[_ShownCalcStart],Tasks[[#This Row],[_Row]]+Tasks[[#This Row],[_Descendants]])),Tasks[[#This Row],[_ShownCalcStart]]))</f>
        <v/>
      </c>
      <c r="FL104" s="91" t="str">
        <f aca="false">IF(Tasks[[#This Row],[Task Name]]="","",IF(Tasks[[#This Row],[_IsSummary]],MAX(INDEX(Tasks[_ShownCalcFinish],Tasks[[#This Row],[_Row]]+1):INDEX(Tasks[_ShownCalcFinish],Tasks[[#This Row],[_Row]]+Tasks[[#This Row],[_Descendants]])),Tasks[[#This Row],[_ShownCalcFinish]]))</f>
        <v/>
      </c>
      <c r="FM1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4" s="43" t="n">
        <f aca="false">IF(AND(Tasks[[#This Row],[_IsLeaf]]=1,Tasks[[#This Row],[_LeafTotalWork]]&gt;0),NETWORKDAYS.INTL(ProjectStart,Tasks[[#This Row],[_ShownFcstStart]],WorkWeek,Holidays),0)</f>
        <v>0</v>
      </c>
      <c r="FZ104" s="43" t="n">
        <f aca="false">IF(AND(Tasks[[#This Row],[_IsLeaf]]=1,Tasks[[#This Row],[_LeafTotalWork]]&gt;0),MAX(Tasks[[#This Row],[_StartWorkday]],NETWORKDAYS.INTL(ProjectStart,Tasks[[#This Row],[_ShownFcstFinish]],WorkWeek,Holidays)),0)</f>
        <v>0</v>
      </c>
      <c r="GA104" s="43" t="n">
        <f aca="false">IF(AND(Tasks[[#This Row],[_IsLeaf]]=1,Tasks[[#This Row],[_LeafTotalWork]]&gt;0),Tasks[[#This Row],[_LeafWork]]/(Tasks[[#This Row],[_FinishWorkday]]-Tasks[[#This Row],[_StartWorkday]]+1),0)</f>
        <v>0</v>
      </c>
      <c r="GB104" s="43" t="n">
        <f aca="false">Tasks[[#This Row],[_WorkPerWorkday]]*(Tasks[[#This Row],[_StartWorkday]]-1)</f>
        <v>-0</v>
      </c>
      <c r="GC104" s="43" t="n">
        <f aca="false">IF(Tasks[[#This Row],[_IsLeaf]]=1,MAX(N(Tasks[[#This Row],[_Days]]),0.1),0)</f>
        <v>0</v>
      </c>
      <c r="GD104" s="43" t="n">
        <f aca="false">Tasks[[#This Row],[_WeightDur]]*Tasks[[#This Row],[_LeafProgress]]</f>
        <v>0</v>
      </c>
      <c r="GE104" s="43" t="n">
        <f aca="false">Tasks[[#This Row],[_WeightDur]]*Tasks[[#This Row],[_PlannedPct]]</f>
        <v>0</v>
      </c>
      <c r="GF1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4" s="43" t="str">
        <f aca="false">IF(AND(Tasks[[#This Row],[_IsLeaf]]=1,N(Tasks[[#This Row],[_Days]])=0,Tasks[[#This Row],[_LeafProgress]]&lt;1),Tasks[[#This Row],[_ShownFcstFinish]]+Tasks[[#This Row],[_Row]]/100000,"")</f>
        <v/>
      </c>
      <c r="GH1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4" s="43" t="str">
        <f aca="false">IF(Tasks[[#This Row],[Task Name]]="","",LEFT(Tasks[[#This Row],[WBS]],FIND(".",Tasks[[#This Row],[WBS]]&amp;".")-1))</f>
        <v/>
      </c>
      <c r="GJ104" s="43" t="str">
        <f aca="false">IF(AND(Tasks[[#This Row],[Task Name]]&lt;&gt;"",Tasks[[#This Row],[_Level]]=1),Tasks[[#This Row],[_Row]],"")</f>
        <v/>
      </c>
      <c r="GK104" s="43" t="str">
        <f aca="false">IF(AND(Tasks[[#This Row],[_IsLeaf]]=1,N(Tasks[[#This Row],[_Days]])=0),Tasks[[#This Row],[Planned Finish]]+Tasks[[#This Row],[_Row]]/100000,"")</f>
        <v/>
      </c>
      <c r="GL104" s="43" t="str">
        <f aca="false">IF(AND(Tasks[[#This Row],[_IsLeaf]]=1,Tasks[[#This Row],[_LeafProgress]]&lt;1,OR(N(Tasks[[#This Row],[Finish Var]])&gt;0,Tasks[[#This Row],[Status]]="Late Start")),MAX(0,Tasks[[#This Row],[Finish Var]])+1-Tasks[[#This Row],[_Row]]/1000000,"")</f>
        <v/>
      </c>
      <c r="GM104" s="43" t="str">
        <f aca="false">IF(AND(Tasks[[#This Row],[_IsLeaf]]=1,N(Tasks[[#This Row],[Actual Start]])=0,Tasks[[#This Row],[_ShownFcstStart]]&gt;=StatusDate,Tasks[[#This Row],[_ShownFcstStart]]&lt;=LookaheadEnd),Tasks[[#This Row],[_ShownFcstStart]]+Tasks[[#This Row],[_Row]]/100000,"")</f>
        <v/>
      </c>
      <c r="GN104" s="43" t="str">
        <f aca="false">IF(AND(Tasks[[#This Row],[_IsLeaf]]=1,Tasks[[#This Row],[_LeafProgress]]&lt;1,Tasks[[#This Row],[_ShownFcstFinish]]&gt;=StatusDate,Tasks[[#This Row],[_ShownFcstFinish]]&lt;=LookaheadEnd),Tasks[[#This Row],[_ShownFcstFinish]]+Tasks[[#This Row],[_Row]]/100000,"")</f>
        <v/>
      </c>
      <c r="GO104" s="43" t="str">
        <f aca="false">IF(Tasks[[#This Row],[_LeafCritical]],Tasks[[#This Row],[_ShownFcstStart]]+Tasks[[#This Row],[_Row]]/100000,"")</f>
        <v/>
      </c>
      <c r="GP104" s="43" t="n">
        <f aca="false">Tasks[[#This Row],[_LeafWork]]*Tasks[[#This Row],[_LeafProgress]]</f>
        <v>0</v>
      </c>
      <c r="GQ104" s="91" t="str">
        <f aca="false">IF(AND(Tasks[[#This Row],[_IsLeaf]]=1,Tasks[[#This Row],[_LeafProgress]]&gt;=1),IF(N(Tasks[[#This Row],[Actual Finish]])&gt;0,Tasks[[#This Row],[Actual Finish]],Tasks[[#This Row],[_ShownFcstFinish]]),"")</f>
        <v/>
      </c>
      <c r="GR104" s="43" t="n">
        <f aca="false">IF(Tasks[[#This Row],[_IsLeaf]]=1,N(Tasks[[#This Row],[Story Points]]),0)</f>
        <v>0</v>
      </c>
      <c r="GS104" s="43" t="str">
        <f aca="false">""</f>
        <v/>
      </c>
      <c r="GT104" s="90" t="b">
        <f aca="false">IF(Tasks[[#This Row],[Task Name]]="",FALSE(),AND(Tasks[[#This Row],[_IsLeaf]]=1,N(Tasks[[#This Row],[_Days]])=0))</f>
        <v>0</v>
      </c>
      <c r="GU104" s="91" t="n">
        <f aca="false">IF(Tasks[[#This Row],[Task Name]]="",0,IF(AND(Tasks[[#This Row],[_IsLeaf]]=1,NOT(Tasks[[#This Row],[_IsMilestone]]),N(Tasks[[#This Row],[Progress]])&gt;0),Tasks[[#This Row],[Start]],0))</f>
        <v>0</v>
      </c>
      <c r="GV104" s="91" t="n">
        <f aca="false">IF(Tasks[[#This Row],[_DoneFrom]]=0,0,IF(Tasks[[#This Row],[Progress]]&gt;=1,Tasks[[#This Row],[Finish]],MAX(Tasks[[#This Row],[_DoneFrom]],Tasks[[#This Row],[Start]]+ROUND((Tasks[[#This Row],[Finish]]-Tasks[[#This Row],[Start]]+1)*Tasks[[#This Row],[Progress]],0)-1)))</f>
        <v>0</v>
      </c>
      <c r="GW104" s="91" t="n">
        <f aca="false">IF(Tasks[[#This Row],[Task Name]]="",0,IF(OR(NOT(Tasks[[#This Row],[_IsLeaf]]=1),Tasks[[#This Row],[_IsMilestone]],N(Tasks[[#This Row],[Progress]])&gt;=1),0,IF(Tasks[[#This Row],[_DoneTo]]&gt;0,Tasks[[#This Row],[_DoneTo]]+1,Tasks[[#This Row],[Start]])))</f>
        <v>0</v>
      </c>
      <c r="GX104" s="91" t="n">
        <f aca="false">IF(Tasks[[#This Row],[_RemFrom]]=0,0,Tasks[[#This Row],[Finish]])</f>
        <v>0</v>
      </c>
      <c r="GY104" s="90" t="b">
        <f aca="false">IF(Tasks[[#This Row],[Task Name]]="",FALSE(),OR(NOT(BaselineSet),N(Tasks[[#This Row],[Baseline Start]])&gt;0))</f>
        <v>0</v>
      </c>
      <c r="GZ10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4" s="92" t="str">
        <f aca="false">IF(Tasks[[#This Row],[_IsLeaf]]=1,Tasks[[#This Row],[_Row]],"")</f>
        <v/>
      </c>
      <c r="HD104" s="92" t="str">
        <f aca="false">IFERROR(INDEX(Tasks[UID],SMALL(Tasks[_PickKey],Tasks[[#This Row],[_Row]]))&amp;" "&amp;INDEX(Tasks[Task Name],SMALL(Tasks[_PickKey],Tasks[[#This Row],[_Row]])),"")</f>
        <v/>
      </c>
      <c r="HE104" s="43" t="str">
        <f aca="false">IF(Tasks[[#This Row],[Task Name]]="","",IF(Tasks[[#This Row],[_IsSummary]],NETWORKDAYS.INTL(Tasks[[#This Row],[Start]],Tasks[[#This Row],[Finish]],WorkWeek,Holidays),N(Tasks[[#This Row],[_Days]])))</f>
        <v/>
      </c>
      <c r="HF104" s="43" t="n">
        <f aca="false">IF(Tasks[[#This Row],[Expected]]="",0,((Tasks[[#This Row],[Pessimistic]]-Tasks[[#This Row],[Optimistic]])/6)^2)</f>
        <v>0</v>
      </c>
      <c r="HG104" s="43" t="n">
        <f aca="false">IF(Tasks[[#This Row],[Expected]]="",0,Tasks[[#This Row],[Expected]]-N(Tasks[[#This Row],[_Days]]))</f>
        <v>0</v>
      </c>
    </row>
    <row r="105" customFormat="false" ht="15" hidden="false" customHeight="false" outlineLevel="0" collapsed="false">
      <c r="A105" s="21" t="str">
        <f aca="false">IF(Tasks[[#This Row],[Task Name]]="","",COUNTA(Tasks[[#Headers],[Task Name]]:Tasks[[#This Row],[Task Name]])-1)</f>
        <v/>
      </c>
      <c r="B105" s="22" t="n">
        <v>113</v>
      </c>
      <c r="C105" s="22"/>
      <c r="D105" s="23"/>
      <c r="E105" s="22"/>
      <c r="F105" s="23"/>
      <c r="G105" s="22"/>
      <c r="H105" s="22"/>
      <c r="I105" s="23"/>
      <c r="J105" s="22"/>
      <c r="K105" s="22"/>
      <c r="L105" s="23"/>
      <c r="M105" s="22"/>
      <c r="N105" s="22"/>
      <c r="O105" s="23"/>
      <c r="P105" s="22"/>
      <c r="Q105" s="22"/>
      <c r="R105" s="23"/>
      <c r="S105" s="23"/>
      <c r="T105" s="84"/>
      <c r="U105" s="23"/>
      <c r="V105" s="84"/>
      <c r="W105" s="23"/>
      <c r="X105" s="84"/>
      <c r="Y105" s="23"/>
      <c r="Z105" s="84"/>
      <c r="AA105" s="23"/>
      <c r="AB105" s="23"/>
      <c r="AC105" s="7"/>
      <c r="AD105" s="7"/>
      <c r="AE105" s="63" t="str">
        <f aca="false">IF(Tasks[[#This Row],[Task Name]]="","",IF(Tasks[[#This Row],[_IsSummary]],MIN(INDEX(Tasks[_ShownFcstStart],Tasks[[#This Row],[_Row]]+1):INDEX(Tasks[_ShownFcstStart],Tasks[[#This Row],[_Row]]+Tasks[[#This Row],[_Descendants]])),Tasks[[#This Row],[_ShownFcstStart]]))</f>
        <v/>
      </c>
      <c r="AF105" s="63" t="str">
        <f aca="false">IF(Tasks[[#This Row],[Task Name]]="","",IF(Tasks[[#This Row],[_IsSummary]],MAX(INDEX(Tasks[_ShownFcstFinish],Tasks[[#This Row],[_Row]]+1):INDEX(Tasks[_ShownFcstFinish],Tasks[[#This Row],[_Row]]+Tasks[[#This Row],[_Descendants]])),Tasks[[#This Row],[_ShownFcstFinish]]))</f>
        <v/>
      </c>
      <c r="AG105" s="21" t="str">
        <f aca="false">""</f>
        <v/>
      </c>
      <c r="AH105" s="23"/>
      <c r="AI1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5" s="7"/>
      <c r="AK105" s="22"/>
      <c r="AL105" s="23"/>
      <c r="AM105" s="7"/>
      <c r="AN105" s="47" t="str">
        <f aca="false">IF(Tasks[[#This Row],[Task Name]]="","",IF(Tasks[[#This Row],[Finish]]&gt;=Tasks[[#This Row],[Planned Finish]],NETWORKDAYS.INTL(Tasks[[#This Row],[Planned Finish]],Tasks[[#This Row],[Finish]],WorkWeek,Holidays)-1,1-NETWORKDAYS.INTL(Tasks[[#This Row],[Finish]],Tasks[[#This Row],[Planned Finish]],WorkWeek,Holidays)))</f>
        <v/>
      </c>
      <c r="AO105" s="21" t="str">
        <f aca="false">IF(Tasks[[#This Row],[Task Name]]="","",IF(Tasks[[#This Row],[Progress]]&gt;=1,"Complete",IF(OR(N(Tasks[[#This Row],[Actual Start]])&gt;0,Tasks[[#This Row],[Progress]]&gt;0),IF(Tasks[[#This Row],[Finish Var]]&gt;0,"Behind","In Progress"),IF(Tasks[[#This Row],[Planned Start]]&lt;StatusDate,"Late Start","Not Started"))))</f>
        <v/>
      </c>
      <c r="AP105" s="21" t="str">
        <f aca="false">IF(Tasks[[#This Row],[Task Name]]="","",IF(IF(Tasks[[#This Row],[_IsSummary]],COUNTIF(INDEX(Tasks[_LeafCritical],Tasks[[#This Row],[_Row]]+1):INDEX(Tasks[_LeafCritical],Tasks[[#This Row],[_Row]]+Tasks[[#This Row],[_Descendants]]),TRUE())&gt;0,Tasks[[#This Row],[_LeafCritical]]),"Yes",""))</f>
        <v/>
      </c>
      <c r="AQ105" s="63" t="str">
        <f aca="false">IF(Tasks[[#This Row],[Task Name]]="","",IF(N(Tasks[[#This Row],[Baseline Start]])&gt;0,Tasks[[#This Row],[Baseline Start]],Tasks[[#This Row],[_CalcStart]]))</f>
        <v/>
      </c>
      <c r="AR105" s="63" t="str">
        <f aca="false">IF(Tasks[[#This Row],[Task Name]]="","",IF(N(Tasks[[#This Row],[Baseline Finish]])&gt;0,Tasks[[#This Row],[Baseline Finish]],Tasks[[#This Row],[_CalcFinish]]))</f>
        <v/>
      </c>
      <c r="AS105" s="47" t="str">
        <f aca="false">IF(Tasks[[#This Row],[Task Name]]="","",IF(Tasks[[#This Row],[Start]]&gt;=Tasks[[#This Row],[Planned Start]],NETWORKDAYS.INTL(Tasks[[#This Row],[Planned Start]],Tasks[[#This Row],[Start]],WorkWeek,Holidays)-1,1-NETWORKDAYS.INTL(Tasks[[#This Row],[Start]],Tasks[[#This Row],[Planned Start]],WorkWeek,Holidays)))</f>
        <v/>
      </c>
      <c r="AT105" s="63" t="str">
        <f aca="false">IF(Tasks[[#This Row],[Task Name]]="","",IF(Tasks[[#This Row],[_IsSummary]],MIN(INDEX(Tasks[_LeafLateStart],Tasks[[#This Row],[_Row]]+1):INDEX(Tasks[_LeafLateStart],Tasks[[#This Row],[_Row]]+Tasks[[#This Row],[_Descendants]])),Tasks[[#This Row],[_LeafLateStart]]))</f>
        <v/>
      </c>
      <c r="AU105" s="63" t="str">
        <f aca="false">IF(Tasks[[#This Row],[Task Name]]="","",IF(Tasks[[#This Row],[_IsSummary]],MAX(INDEX(Tasks[_LeafLateFinish],Tasks[[#This Row],[_Row]]+1):INDEX(Tasks[_LeafLateFinish],Tasks[[#This Row],[_Row]]+Tasks[[#This Row],[_Descendants]])),Tasks[[#This Row],[_LeafLateFinish]]))</f>
        <v/>
      </c>
      <c r="AV105" s="47" t="str">
        <f aca="false">IF(Tasks[[#This Row],[Task Name]]="","",IF(Tasks[[#This Row],[_IsSummary]],MIN(INDEX(Tasks[_LeafTotalSlack],Tasks[[#This Row],[_Row]]+1):INDEX(Tasks[_LeafTotalSlack],Tasks[[#This Row],[_Row]]+Tasks[[#This Row],[_Descendants]])),Tasks[[#This Row],[_LeafTotalSlack]]))</f>
        <v/>
      </c>
      <c r="AW1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5"/>
      <c r="BA10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t="str">
        <f aca="false">IF(Tasks[[#This Row],[Task Name]]="","",IF(Tasks[[#This Row],[_Level]]&lt;=OutlineShowLevel,"Yes","No"))</f>
        <v/>
      </c>
      <c r="BE105" s="86" t="str">
        <f aca="false">IF(Tasks[[#This Row],[Task Name]]="","",IF(Tasks[[#This Row],[_IsSummary]],SUM(INDEX(Tasks[_LeafTotalWork],Tasks[[#This Row],[_Row]]+1):INDEX(Tasks[_LeafTotalWork],Tasks[[#This Row],[_Row]]+Tasks[[#This Row],[_Descendants]])),Tasks[[#This Row],[_LeafTotalWork]]))</f>
        <v/>
      </c>
      <c r="BF105" s="23"/>
      <c r="BG1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t="str">
        <f aca="false">""</f>
        <v/>
      </c>
      <c r="BI105" s="87"/>
      <c r="BJ105" s="22"/>
      <c r="BK105" s="47" t="str">
        <f aca="false">IF(OR(Tasks[[#This Row],[Task Name]]="",Tasks[[#This Row],[Baseline Duration]]=""),"",Tasks[[#This Row],[_SpanDays]]-N(Tasks[[#This Row],[Baseline Duration]]))</f>
        <v/>
      </c>
      <c r="BL105" s="86" t="str">
        <f aca="false">IF(OR(Tasks[[#This Row],[Task Name]]="",Tasks[[#This Row],[Baseline Work]]=""),"",Tasks[[#This Row],[Work]]-N(Tasks[[#This Row],[Baseline Work]]))</f>
        <v/>
      </c>
      <c r="BM105" s="63" t="str">
        <f aca="false">IF(Tasks[[#This Row],[Task Name]]="","",IF(OR(TakeBaseline="Yes",N(Tasks[[#This Row],[Baseline Start]])=0),Tasks[[#This Row],[Start]],Tasks[[#This Row],[Baseline Start]]))</f>
        <v/>
      </c>
      <c r="BN105" s="63" t="str">
        <f aca="false">IF(Tasks[[#This Row],[Task Name]]="","",IF(OR(TakeBaseline="Yes",N(Tasks[[#This Row],[Baseline Finish]])=0),Tasks[[#This Row],[Finish]],Tasks[[#This Row],[Baseline Finish]]))</f>
        <v/>
      </c>
      <c r="BO105" s="21" t="str">
        <f aca="false">IF(Tasks[[#This Row],[Task Name]]="","",IF(OR(TakeBaseline="Yes",N(Tasks[[#This Row],[Baseline Duration]])=0),Tasks[[#This Row],[_SpanDays]],Tasks[[#This Row],[Baseline Duration]]))</f>
        <v/>
      </c>
      <c r="BP105" s="86" t="str">
        <f aca="false">IF(Tasks[[#This Row],[Task Name]]="","",IF(OR(TakeBaseline="Yes",N(Tasks[[#This Row],[Baseline Work]])=0),Tasks[[#This Row],[Work]],Tasks[[#This Row],[Baseline Work]]))</f>
        <v/>
      </c>
      <c r="BQ105" s="7"/>
      <c r="BR105" s="7"/>
      <c r="BS105" s="22"/>
      <c r="BT105" s="88"/>
      <c r="BU105" s="23"/>
      <c r="BV105" s="23"/>
      <c r="BW105" s="23"/>
      <c r="BX105" s="89" t="str">
        <f aca="false">IF(AND(Tasks[[#This Row],[_IsLeaf]]=1,ISNUMBER(Tasks[[#This Row],[Optimistic]]),ISNUMBER(Tasks[[#This Row],[Pessimistic]])),ROUND((Tasks[[#This Row],[Optimistic]]+4*N(Tasks[[#This Row],[_Days]])+Tasks[[#This Row],[Pessimistic]])/6,1),"")</f>
        <v/>
      </c>
      <c r="BY105" s="87"/>
      <c r="BZ105" s="87"/>
      <c r="CA105" s="22"/>
      <c r="CB105" s="43" t="str">
        <f aca="false">IF(Tasks[[#This Row],[Task Name]]="","",MAX(1,N(Tasks[[#This Row],[Level]])))</f>
        <v/>
      </c>
      <c r="CC105" s="43" t="n">
        <f aca="false">ROW()-ROW(Tasks[[#Headers],[ID]])</f>
        <v>100</v>
      </c>
      <c r="CD105" s="43" t="n">
        <f aca="false">IF(OR(Tasks[[#This Row],[Task Name]]="",Tasks[[#This Row],[_Level]]&lt;=1),0,IFERROR(LOOKUP(2,1/(Tasks[[#Headers],[_Level]]:Tasks[[#This Row],[_Level]]=Tasks[[#This Row],[_Level]]-1),ROW(Tasks[[#Headers],[_Level]]:Tasks[[#This Row],[_Level]])),0))</f>
        <v>0</v>
      </c>
      <c r="CE105" s="43" t="n">
        <f aca="false">IFERROR(N(INDEX(Tasks[_Level],Tasks[[#This Row],[_Row]]+1)),0)</f>
        <v>0</v>
      </c>
      <c r="CF105" s="90" t="b">
        <f aca="false">AND(Tasks[[#This Row],[Task Name]]&lt;&gt;"",Tasks[[#This Row],[_NextLevel]]&gt;Tasks[[#This Row],[_Level]])</f>
        <v>0</v>
      </c>
      <c r="CG105" s="43" t="n">
        <f aca="false">IF(Tasks[[#This Row],[_IsSummary]],COUNTIF(Tasks[WBS],Tasks[[#This Row],[WBS]]&amp;".*"),0)</f>
        <v>0</v>
      </c>
      <c r="CH105" s="43" t="n">
        <f aca="false">IF(AND(Tasks[[#This Row],[Task Name]]&lt;&gt;"",NOT(Tasks[[#This Row],[_IsSummary]])),1,0)</f>
        <v>0</v>
      </c>
      <c r="CI105" s="43" t="n">
        <f aca="false">IF(N(Tasks[[#This Row],[_Pred1UID]])=0,0,IFERROR(MATCH(Tasks[[#This Row],[_Pred1UID]],Tasks[UID],0),-1))</f>
        <v>0</v>
      </c>
      <c r="CJ105" s="43" t="n">
        <f aca="false">IF(N(Tasks[[#This Row],[_Pred2UID]])=0,0,IFERROR(MATCH(Tasks[[#This Row],[_Pred2UID]],Tasks[UID],0),-1))</f>
        <v>0</v>
      </c>
      <c r="CK105" s="43" t="n">
        <f aca="false">IF(N(Tasks[[#This Row],[_Pred3UID]])=0,0,IFERROR(MATCH(Tasks[[#This Row],[_Pred3UID]],Tasks[UID],0),-1))</f>
        <v>0</v>
      </c>
      <c r="CL105" s="43" t="n">
        <f aca="false">IF(N(Tasks[[#This Row],[_Pred4UID]])=0,0,IFERROR(MATCH(Tasks[[#This Row],[_Pred4UID]],Tasks[UID],0),-1))</f>
        <v>0</v>
      </c>
      <c r="CM1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5" s="91" t="n">
        <f aca="false">IF(OR(Tasks[[#This Row],[_ConstraintCode]]=2,Tasks[[#This Row],[_ConstraintCode]]=3,Tasks[[#This Row],[_ConstraintCode]]=4,Tasks[[#This Row],[_ConstraintCode]]=6),Tasks[[#This Row],[_ConstraintStart]],0)</f>
        <v>0</v>
      </c>
      <c r="CP105" s="91" t="n">
        <f aca="false">IF(OR(Tasks[[#This Row],[_ConstraintCode]]=2,Tasks[[#This Row],[_ConstraintCode]]=3,Tasks[[#This Row],[_ConstraintCode]]=5,Tasks[[#This Row],[_ConstraintCode]]=7),Tasks[[#This Row],[_ConstraintStart]],2958465)</f>
        <v>2958465</v>
      </c>
      <c r="CQ1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5" s="91" t="str">
        <f aca="false">IF(NOT(Tasks[[#This Row],[_IsLeaf]]=1),"",IF(N(Tasks[[#This Row],[_Days]])&lt;=0,Tasks[[#This Row],[_LeafCalcStart]],WORKDAY.INTL(Tasks[[#This Row],[_LeafCalcStart]],Tasks[[#This Row],[_Days]]-1,WorkWeek,Holidays)))</f>
        <v/>
      </c>
      <c r="CS1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5" s="43" t="str">
        <f aca="false">IF(Tasks[[#This Row],[_Predecessors]]="","",TRIM(MID(SUBSTITUTE(SUBSTITUTE(SUBSTITUTE(UPPER(Tasks[[#This Row],[_Predecessors]]),";",",")," ",""),",",REPT(" ",99)),1,99)))</f>
        <v/>
      </c>
      <c r="CV105" s="43" t="str">
        <f aca="false">IF(Tasks[[#This Row],[_Pred1Text]]="","",IFERROR(VALUE(LEFT(Tasks[[#This Row],[_Pred1Text]],MIN(FIND("F",Tasks[[#This Row],[_Pred1Text]]&amp;"F"),FIND("S",Tasks[[#This Row],[_Pred1Text]]&amp;"S"),FIND("+",Tasks[[#This Row],[_Pred1Text]]&amp;"+"),FIND("-",Tasks[[#This Row],[_Pred1Text]]&amp;"-"))-1)),""))</f>
        <v/>
      </c>
      <c r="CW1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5" s="43" t="str">
        <f aca="false">IF(Tasks[[#This Row],[_Pred1Text]]="","",TRIM(MID(SUBSTITUTE(SUBSTITUTE(SUBSTITUTE(UPPER(Tasks[[#This Row],[_Predecessors]]),";",",")," ",""),",",REPT(" ",99)),100,99)))</f>
        <v/>
      </c>
      <c r="CZ105" s="43" t="str">
        <f aca="false">IF(Tasks[[#This Row],[_Pred2Text]]="","",IFERROR(VALUE(LEFT(Tasks[[#This Row],[_Pred2Text]],MIN(FIND("F",Tasks[[#This Row],[_Pred2Text]]&amp;"F"),FIND("S",Tasks[[#This Row],[_Pred2Text]]&amp;"S"),FIND("+",Tasks[[#This Row],[_Pred2Text]]&amp;"+"),FIND("-",Tasks[[#This Row],[_Pred2Text]]&amp;"-"))-1)),""))</f>
        <v/>
      </c>
      <c r="DA1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5" s="43" t="str">
        <f aca="false">IF(Tasks[[#This Row],[_Pred2Text]]="","",TRIM(MID(SUBSTITUTE(SUBSTITUTE(SUBSTITUTE(UPPER(Tasks[[#This Row],[_Predecessors]]),";",",")," ",""),",",REPT(" ",99)),199,99)))</f>
        <v/>
      </c>
      <c r="DD105" s="43" t="str">
        <f aca="false">IF(Tasks[[#This Row],[_Pred3Text]]="","",IFERROR(VALUE(LEFT(Tasks[[#This Row],[_Pred3Text]],MIN(FIND("F",Tasks[[#This Row],[_Pred3Text]]&amp;"F"),FIND("S",Tasks[[#This Row],[_Pred3Text]]&amp;"S"),FIND("+",Tasks[[#This Row],[_Pred3Text]]&amp;"+"),FIND("-",Tasks[[#This Row],[_Pred3Text]]&amp;"-"))-1)),""))</f>
        <v/>
      </c>
      <c r="DE1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5" s="43" t="str">
        <f aca="false">IF(Tasks[[#This Row],[_Pred3Text]]="","",TRIM(MID(SUBSTITUTE(SUBSTITUTE(SUBSTITUTE(UPPER(Tasks[[#This Row],[_Predecessors]]),";",",")," ",""),",",REPT(" ",99)),298,99)))</f>
        <v/>
      </c>
      <c r="DH105" s="43" t="str">
        <f aca="false">IF(Tasks[[#This Row],[_Pred4Text]]="","",IFERROR(VALUE(LEFT(Tasks[[#This Row],[_Pred4Text]],MIN(FIND("F",Tasks[[#This Row],[_Pred4Text]]&amp;"F"),FIND("S",Tasks[[#This Row],[_Pred4Text]]&amp;"S"),FIND("+",Tasks[[#This Row],[_Pred4Text]]&amp;"+"),FIND("-",Tasks[[#This Row],[_Pred4Text]]&amp;"-"))-1)),""))</f>
        <v/>
      </c>
      <c r="DI1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5" s="43" t="str">
        <f aca="false">IF(OR(Tasks[[#This Row],[Task Name]]="",Tasks[[#This Row],[_Resources]]=""),"",TRIM(MID(SUBSTITUTE(Tasks[[#This Row],[_Resources]],",",REPT(" ",99)),1,99)))</f>
        <v/>
      </c>
      <c r="DL105" s="43" t="str">
        <f aca="false">IF(Tasks[[#This Row],[_Res1Text]]="","",TRIM(MID(SUBSTITUTE(Tasks[[#This Row],[_Resources]],",",REPT(" ",99)),100,99)))</f>
        <v/>
      </c>
      <c r="DM105" s="43" t="str">
        <f aca="false">IF(Tasks[[#This Row],[_Res2Text]]="","",TRIM(MID(SUBSTITUTE(Tasks[[#This Row],[_Resources]],",",REPT(" ",99)),199,99)))</f>
        <v/>
      </c>
      <c r="DN105" s="43" t="str">
        <f aca="false">IF(Tasks[[#This Row],[_Res3Text]]="","",TRIM(MID(SUBSTITUTE(Tasks[[#This Row],[_Resources]],",",REPT(" ",99)),298,99)))</f>
        <v/>
      </c>
      <c r="DO105" s="43" t="n">
        <f aca="false">IF(Tasks[[#This Row],[_Res1Text]]="",0,IFERROR(MATCH(TRIM(LEFT(Tasks[[#This Row],[_Res1Text]],FIND("[",Tasks[[#This Row],[_Res1Text]]&amp;"[")-1)),res_Name,0),IFERROR(MATCH(TRIM(LEFT(Tasks[[#This Row],[_Res1Text]],FIND("[",Tasks[[#This Row],[_Res1Text]]&amp;"[")-1)),res_Initials,0),0)))</f>
        <v>0</v>
      </c>
      <c r="DP105" s="43" t="n">
        <f aca="false">IF(Tasks[[#This Row],[_Res2Text]]="",0,IFERROR(MATCH(TRIM(LEFT(Tasks[[#This Row],[_Res2Text]],FIND("[",Tasks[[#This Row],[_Res2Text]]&amp;"[")-1)),res_Name,0),IFERROR(MATCH(TRIM(LEFT(Tasks[[#This Row],[_Res2Text]],FIND("[",Tasks[[#This Row],[_Res2Text]]&amp;"[")-1)),res_Initials,0),0)))</f>
        <v>0</v>
      </c>
      <c r="DQ105" s="43" t="n">
        <f aca="false">IF(Tasks[[#This Row],[_Res3Text]]="",0,IFERROR(MATCH(TRIM(LEFT(Tasks[[#This Row],[_Res3Text]],FIND("[",Tasks[[#This Row],[_Res3Text]]&amp;"[")-1)),res_Name,0),IFERROR(MATCH(TRIM(LEFT(Tasks[[#This Row],[_Res3Text]],FIND("[",Tasks[[#This Row],[_Res3Text]]&amp;"[")-1)),res_Initials,0),0)))</f>
        <v>0</v>
      </c>
      <c r="DR105" s="43" t="n">
        <f aca="false">IF(Tasks[[#This Row],[_Res4Text]]="",0,IFERROR(MATCH(TRIM(LEFT(Tasks[[#This Row],[_Res4Text]],FIND("[",Tasks[[#This Row],[_Res4Text]]&amp;"[")-1)),res_Name,0),IFERROR(MATCH(TRIM(LEFT(Tasks[[#This Row],[_Res4Text]],FIND("[",Tasks[[#This Row],[_Res4Text]]&amp;"[")-1)),res_Initials,0),0)))</f>
        <v>0</v>
      </c>
      <c r="DS105" s="43" t="str">
        <f aca="false">IF(Tasks[[#This Row],[_Res1Text]]="","",IF(Tasks[[#This Row],[_Res1Row]]&gt;0,INDEX(res_Name,Tasks[[#This Row],[_Res1Row]]),TRIM(LEFT(Tasks[[#This Row],[_Res1Text]],FIND("[",Tasks[[#This Row],[_Res1Text]]&amp;"[")-1))))</f>
        <v/>
      </c>
      <c r="DT1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5" s="43" t="n">
        <f aca="false">IF(NOT(Tasks[[#This Row],[_IsLeaf]]=1),0,(Tasks[[#This Row],[_Resource1]]&lt;&gt;"")+(Tasks[[#This Row],[_Res2]]&lt;&gt;"")+(Tasks[[#This Row],[_Res3]]&lt;&gt;"")+(Tasks[[#This Row],[_Res4]]&lt;&gt;""))</f>
        <v>0</v>
      </c>
      <c r="DV105" s="43" t="str">
        <f aca="false">IF(Tasks[[#This Row],[_Res2Text]]="","",IF(Tasks[[#This Row],[_Res2Row]]&gt;0,INDEX(res_Name,Tasks[[#This Row],[_Res2Row]]),TRIM(LEFT(Tasks[[#This Row],[_Res2Text]],FIND("[",Tasks[[#This Row],[_Res2Text]]&amp;"[")-1))))</f>
        <v/>
      </c>
      <c r="DW1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5" s="43" t="n">
        <f aca="false">IF(OR(NOT(Tasks[[#This Row],[_IsLeaf]]=1),Tasks[[#This Row],[_Res2Row]]=0),0,N(Tasks[[#This Row],[_Days]])*HoursPerDay*IF(Tasks[[#This Row],[_Res2Units]]="",DefaultUnits,Tasks[[#This Row],[_Res2Units]]))</f>
        <v>0</v>
      </c>
      <c r="DY105" s="43" t="n">
        <f aca="false">IF(AND(AND(Tasks[[#This Row],[_IsLeaf]]=1,Tasks[[#This Row],[_LeafTotalWork]]&gt;0),Tasks[[#This Row],[_Res2Work]]&gt;0),Tasks[[#This Row],[_Res2Work]]/(Tasks[[#This Row],[_FinishWorkday]]-Tasks[[#This Row],[_StartWorkday]]+1),0)</f>
        <v>0</v>
      </c>
      <c r="DZ105" s="43" t="n">
        <f aca="false">Tasks[[#This Row],[_Res2WorkPerWD]]*MAX(0,Tasks[[#This Row],[_StartWorkday]]-1)</f>
        <v>0</v>
      </c>
      <c r="EA105" s="43" t="n">
        <f aca="false">Tasks[[#This Row],[_Res2Work]]*Tasks[[#This Row],[_LeafProgress]]</f>
        <v>0</v>
      </c>
      <c r="EB105" s="43" t="str">
        <f aca="false">IF(Tasks[[#This Row],[_Res3Text]]="","",IF(Tasks[[#This Row],[_Res3Row]]&gt;0,INDEX(res_Name,Tasks[[#This Row],[_Res3Row]]),TRIM(LEFT(Tasks[[#This Row],[_Res3Text]],FIND("[",Tasks[[#This Row],[_Res3Text]]&amp;"[")-1))))</f>
        <v/>
      </c>
      <c r="EC1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5" s="43" t="n">
        <f aca="false">IF(OR(NOT(Tasks[[#This Row],[_IsLeaf]]=1),Tasks[[#This Row],[_Res3Row]]=0),0,N(Tasks[[#This Row],[_Days]])*HoursPerDay*IF(Tasks[[#This Row],[_Res3Units]]="",DefaultUnits,Tasks[[#This Row],[_Res3Units]]))</f>
        <v>0</v>
      </c>
      <c r="EE105" s="43" t="n">
        <f aca="false">IF(AND(AND(Tasks[[#This Row],[_IsLeaf]]=1,Tasks[[#This Row],[_LeafTotalWork]]&gt;0),Tasks[[#This Row],[_Res3Work]]&gt;0),Tasks[[#This Row],[_Res3Work]]/(Tasks[[#This Row],[_FinishWorkday]]-Tasks[[#This Row],[_StartWorkday]]+1),0)</f>
        <v>0</v>
      </c>
      <c r="EF105" s="43" t="n">
        <f aca="false">Tasks[[#This Row],[_Res3WorkPerWD]]*MAX(0,Tasks[[#This Row],[_StartWorkday]]-1)</f>
        <v>0</v>
      </c>
      <c r="EG105" s="43" t="n">
        <f aca="false">Tasks[[#This Row],[_Res3Work]]*Tasks[[#This Row],[_LeafProgress]]</f>
        <v>0</v>
      </c>
      <c r="EH105" s="43" t="str">
        <f aca="false">IF(Tasks[[#This Row],[_Res4Text]]="","",IF(Tasks[[#This Row],[_Res4Row]]&gt;0,INDEX(res_Name,Tasks[[#This Row],[_Res4Row]]),TRIM(LEFT(Tasks[[#This Row],[_Res4Text]],FIND("[",Tasks[[#This Row],[_Res4Text]]&amp;"[")-1))))</f>
        <v/>
      </c>
      <c r="EI1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5" s="43" t="n">
        <f aca="false">IF(OR(NOT(Tasks[[#This Row],[_IsLeaf]]=1),Tasks[[#This Row],[_Res4Row]]=0),0,N(Tasks[[#This Row],[_Days]])*HoursPerDay*IF(Tasks[[#This Row],[_Res4Units]]="",DefaultUnits,Tasks[[#This Row],[_Res4Units]]))</f>
        <v>0</v>
      </c>
      <c r="EK105" s="43" t="n">
        <f aca="false">IF(AND(AND(Tasks[[#This Row],[_IsLeaf]]=1,Tasks[[#This Row],[_LeafTotalWork]]&gt;0),Tasks[[#This Row],[_Res4Work]]&gt;0),Tasks[[#This Row],[_Res4Work]]/(Tasks[[#This Row],[_FinishWorkday]]-Tasks[[#This Row],[_StartWorkday]]+1),0)</f>
        <v>0</v>
      </c>
      <c r="EL105" s="43" t="n">
        <f aca="false">Tasks[[#This Row],[_Res4WorkPerWD]]*MAX(0,Tasks[[#This Row],[_StartWorkday]]-1)</f>
        <v>0</v>
      </c>
      <c r="EM105" s="43" t="n">
        <f aca="false">Tasks[[#This Row],[_Res4Work]]*Tasks[[#This Row],[_LeafProgress]]</f>
        <v>0</v>
      </c>
      <c r="EN105" s="43" t="n">
        <f aca="false">IF(ISNUMBER(Tasks[[#This Row],[% Complete]]),Tasks[[#This Row],[% Complete]],IF(Tasks[[#This Row],[Stage]]="",0,IFERROR(INDEX(stg_Pct,MATCH(Tasks[[#This Row],[Stage]],stg_Name,0)),0)))</f>
        <v>0</v>
      </c>
      <c r="EO105" s="43" t="n">
        <f aca="false">IF(NOT(Tasks[[#This Row],[_IsLeaf]]=1),0,IF(N(Tasks[[#This Row],[Actual Finish]])&gt;0,1,MIN(1,Tasks[[#This Row],[_Pct]])))</f>
        <v>0</v>
      </c>
      <c r="EP105" s="43" t="n">
        <f aca="false">IF(OR(NOT(Tasks[[#This Row],[_IsLeaf]]=1),Tasks[[#This Row],[_Res1Row]]=0),0,N(Tasks[[#This Row],[_Days]])*HoursPerDay*IF(Tasks[[#This Row],[_Units1]]="",DefaultUnits,Tasks[[#This Row],[_Units1]]))</f>
        <v>0</v>
      </c>
      <c r="EQ105" s="43" t="n">
        <f aca="false">Tasks[[#This Row],[_LeafWork]]+Tasks[[#This Row],[_Res2Work]]+Tasks[[#This Row],[_Res3Work]]+Tasks[[#This Row],[_Res4Work]]</f>
        <v>0</v>
      </c>
      <c r="ER10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5" s="43" t="n">
        <f aca="false">IF(NOT(Tasks[[#This Row],[_IsLeaf]]=1),0,MAX(_xlfn.MAXIFS(Tasks[_Row],Tasks[_Pred1UID],Tasks[[#This Row],[UID]]),_xlfn.MAXIFS(Tasks[_Row],Tasks[_Pred2UID],Tasks[[#This Row],[UID]]),_xlfn.MAXIFS(Tasks[_Row],Tasks[_Pred3UID],Tasks[[#This Row],[UID]]),_xlfn.MAXIFS(Tasks[_Row],Tasks[_Pred4UID],Tasks[[#This Row],[UID]])))</f>
        <v>0</v>
      </c>
      <c r="FA1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5" s="91" t="str">
        <f aca="false">IF(NOT(Tasks[[#This Row],[_IsLeaf]]=1),"",IF(N(Tasks[[#This Row],[_Days]])&lt;=0,Tasks[[#This Row],[_LeafLateFinish]],WORKDAY.INTL(Tasks[[#This Row],[_LeafLateFinish]],-(Tasks[[#This Row],[_Days]]-1),WorkWeek,Holidays)))</f>
        <v/>
      </c>
      <c r="FD1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5" s="90" t="b">
        <f aca="false">AND(Tasks[[#This Row],[_IsLeaf]]=1,Tasks[[#This Row],[_LeafProgress]]&lt;1,N(Tasks[[#This Row],[_LeafTotalSlack]])&lt;=CriticalSlackDays)</f>
        <v>0</v>
      </c>
      <c r="FF105" s="43" t="n">
        <f aca="false">IF(AND(Tasks[[#This Row],[_IsLeaf]]=1,Tasks[[#This Row],[_ConstraintCode]]=1,Tasks[[#This Row],[Mode]]&lt;&gt;"Manual",N(Tasks[[#This Row],[Actual Start]])=0),MAX(0,N(Tasks[[#This Row],[Free Slack]])),0)</f>
        <v>0</v>
      </c>
      <c r="FG105" s="91" t="str">
        <f aca="false">IF(NOT(Tasks[[#This Row],[_IsLeaf]]=1),"",IF(Tasks[[#This Row],[_AlapShift]]=0,Tasks[[#This Row],[_LeafCalcStart]],WORKDAY.INTL(Tasks[[#This Row],[_LeafCalcStart]],Tasks[[#This Row],[_AlapShift]],WorkWeek,Holidays)))</f>
        <v/>
      </c>
      <c r="FH105" s="91" t="str">
        <f aca="false">IF(NOT(Tasks[[#This Row],[_IsLeaf]]=1),"",IF(Tasks[[#This Row],[_AlapShift]]=0,Tasks[[#This Row],[_LeafCalcFinish]],WORKDAY.INTL(Tasks[[#This Row],[_LeafCalcFinish]],Tasks[[#This Row],[_AlapShift]],WorkWeek,Holidays)))</f>
        <v/>
      </c>
      <c r="FI105" s="91" t="str">
        <f aca="false">IF(NOT(Tasks[[#This Row],[_IsLeaf]]=1),"",IF(Tasks[[#This Row],[_AlapShift]]=0,Tasks[[#This Row],[_LeafFcstStart]],WORKDAY.INTL(Tasks[[#This Row],[_LeafFcstStart]],Tasks[[#This Row],[_AlapShift]],WorkWeek,Holidays)))</f>
        <v/>
      </c>
      <c r="FJ105" s="91" t="str">
        <f aca="false">IF(NOT(Tasks[[#This Row],[_IsLeaf]]=1),"",IF(Tasks[[#This Row],[_AlapShift]]=0,Tasks[[#This Row],[_LeafFcstFinish]],WORKDAY.INTL(Tasks[[#This Row],[_LeafFcstFinish]],Tasks[[#This Row],[_AlapShift]],WorkWeek,Holidays)))</f>
        <v/>
      </c>
      <c r="FK105" s="91" t="str">
        <f aca="false">IF(Tasks[[#This Row],[Task Name]]="","",IF(Tasks[[#This Row],[_IsSummary]],MIN(INDEX(Tasks[_ShownCalcStart],Tasks[[#This Row],[_Row]]+1):INDEX(Tasks[_ShownCalcStart],Tasks[[#This Row],[_Row]]+Tasks[[#This Row],[_Descendants]])),Tasks[[#This Row],[_ShownCalcStart]]))</f>
        <v/>
      </c>
      <c r="FL105" s="91" t="str">
        <f aca="false">IF(Tasks[[#This Row],[Task Name]]="","",IF(Tasks[[#This Row],[_IsSummary]],MAX(INDEX(Tasks[_ShownCalcFinish],Tasks[[#This Row],[_Row]]+1):INDEX(Tasks[_ShownCalcFinish],Tasks[[#This Row],[_Row]]+Tasks[[#This Row],[_Descendants]])),Tasks[[#This Row],[_ShownCalcFinish]]))</f>
        <v/>
      </c>
      <c r="FM1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5" s="43" t="n">
        <f aca="false">IF(AND(Tasks[[#This Row],[_IsLeaf]]=1,Tasks[[#This Row],[_LeafTotalWork]]&gt;0),NETWORKDAYS.INTL(ProjectStart,Tasks[[#This Row],[_ShownFcstStart]],WorkWeek,Holidays),0)</f>
        <v>0</v>
      </c>
      <c r="FZ105" s="43" t="n">
        <f aca="false">IF(AND(Tasks[[#This Row],[_IsLeaf]]=1,Tasks[[#This Row],[_LeafTotalWork]]&gt;0),MAX(Tasks[[#This Row],[_StartWorkday]],NETWORKDAYS.INTL(ProjectStart,Tasks[[#This Row],[_ShownFcstFinish]],WorkWeek,Holidays)),0)</f>
        <v>0</v>
      </c>
      <c r="GA105" s="43" t="n">
        <f aca="false">IF(AND(Tasks[[#This Row],[_IsLeaf]]=1,Tasks[[#This Row],[_LeafTotalWork]]&gt;0),Tasks[[#This Row],[_LeafWork]]/(Tasks[[#This Row],[_FinishWorkday]]-Tasks[[#This Row],[_StartWorkday]]+1),0)</f>
        <v>0</v>
      </c>
      <c r="GB105" s="43" t="n">
        <f aca="false">Tasks[[#This Row],[_WorkPerWorkday]]*(Tasks[[#This Row],[_StartWorkday]]-1)</f>
        <v>-0</v>
      </c>
      <c r="GC105" s="43" t="n">
        <f aca="false">IF(Tasks[[#This Row],[_IsLeaf]]=1,MAX(N(Tasks[[#This Row],[_Days]]),0.1),0)</f>
        <v>0</v>
      </c>
      <c r="GD105" s="43" t="n">
        <f aca="false">Tasks[[#This Row],[_WeightDur]]*Tasks[[#This Row],[_LeafProgress]]</f>
        <v>0</v>
      </c>
      <c r="GE105" s="43" t="n">
        <f aca="false">Tasks[[#This Row],[_WeightDur]]*Tasks[[#This Row],[_PlannedPct]]</f>
        <v>0</v>
      </c>
      <c r="GF1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5" s="43" t="str">
        <f aca="false">IF(AND(Tasks[[#This Row],[_IsLeaf]]=1,N(Tasks[[#This Row],[_Days]])=0,Tasks[[#This Row],[_LeafProgress]]&lt;1),Tasks[[#This Row],[_ShownFcstFinish]]+Tasks[[#This Row],[_Row]]/100000,"")</f>
        <v/>
      </c>
      <c r="GH1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5" s="43" t="str">
        <f aca="false">IF(Tasks[[#This Row],[Task Name]]="","",LEFT(Tasks[[#This Row],[WBS]],FIND(".",Tasks[[#This Row],[WBS]]&amp;".")-1))</f>
        <v/>
      </c>
      <c r="GJ105" s="43" t="str">
        <f aca="false">IF(AND(Tasks[[#This Row],[Task Name]]&lt;&gt;"",Tasks[[#This Row],[_Level]]=1),Tasks[[#This Row],[_Row]],"")</f>
        <v/>
      </c>
      <c r="GK105" s="43" t="str">
        <f aca="false">IF(AND(Tasks[[#This Row],[_IsLeaf]]=1,N(Tasks[[#This Row],[_Days]])=0),Tasks[[#This Row],[Planned Finish]]+Tasks[[#This Row],[_Row]]/100000,"")</f>
        <v/>
      </c>
      <c r="GL105" s="43" t="str">
        <f aca="false">IF(AND(Tasks[[#This Row],[_IsLeaf]]=1,Tasks[[#This Row],[_LeafProgress]]&lt;1,OR(N(Tasks[[#This Row],[Finish Var]])&gt;0,Tasks[[#This Row],[Status]]="Late Start")),MAX(0,Tasks[[#This Row],[Finish Var]])+1-Tasks[[#This Row],[_Row]]/1000000,"")</f>
        <v/>
      </c>
      <c r="GM105" s="43" t="str">
        <f aca="false">IF(AND(Tasks[[#This Row],[_IsLeaf]]=1,N(Tasks[[#This Row],[Actual Start]])=0,Tasks[[#This Row],[_ShownFcstStart]]&gt;=StatusDate,Tasks[[#This Row],[_ShownFcstStart]]&lt;=LookaheadEnd),Tasks[[#This Row],[_ShownFcstStart]]+Tasks[[#This Row],[_Row]]/100000,"")</f>
        <v/>
      </c>
      <c r="GN105" s="43" t="str">
        <f aca="false">IF(AND(Tasks[[#This Row],[_IsLeaf]]=1,Tasks[[#This Row],[_LeafProgress]]&lt;1,Tasks[[#This Row],[_ShownFcstFinish]]&gt;=StatusDate,Tasks[[#This Row],[_ShownFcstFinish]]&lt;=LookaheadEnd),Tasks[[#This Row],[_ShownFcstFinish]]+Tasks[[#This Row],[_Row]]/100000,"")</f>
        <v/>
      </c>
      <c r="GO105" s="43" t="str">
        <f aca="false">IF(Tasks[[#This Row],[_LeafCritical]],Tasks[[#This Row],[_ShownFcstStart]]+Tasks[[#This Row],[_Row]]/100000,"")</f>
        <v/>
      </c>
      <c r="GP105" s="43" t="n">
        <f aca="false">Tasks[[#This Row],[_LeafWork]]*Tasks[[#This Row],[_LeafProgress]]</f>
        <v>0</v>
      </c>
      <c r="GQ105" s="91" t="str">
        <f aca="false">IF(AND(Tasks[[#This Row],[_IsLeaf]]=1,Tasks[[#This Row],[_LeafProgress]]&gt;=1),IF(N(Tasks[[#This Row],[Actual Finish]])&gt;0,Tasks[[#This Row],[Actual Finish]],Tasks[[#This Row],[_ShownFcstFinish]]),"")</f>
        <v/>
      </c>
      <c r="GR105" s="43" t="n">
        <f aca="false">IF(Tasks[[#This Row],[_IsLeaf]]=1,N(Tasks[[#This Row],[Story Points]]),0)</f>
        <v>0</v>
      </c>
      <c r="GS105" s="43" t="str">
        <f aca="false">""</f>
        <v/>
      </c>
      <c r="GT105" s="90" t="b">
        <f aca="false">IF(Tasks[[#This Row],[Task Name]]="",FALSE(),AND(Tasks[[#This Row],[_IsLeaf]]=1,N(Tasks[[#This Row],[_Days]])=0))</f>
        <v>0</v>
      </c>
      <c r="GU105" s="91" t="n">
        <f aca="false">IF(Tasks[[#This Row],[Task Name]]="",0,IF(AND(Tasks[[#This Row],[_IsLeaf]]=1,NOT(Tasks[[#This Row],[_IsMilestone]]),N(Tasks[[#This Row],[Progress]])&gt;0),Tasks[[#This Row],[Start]],0))</f>
        <v>0</v>
      </c>
      <c r="GV105" s="91" t="n">
        <f aca="false">IF(Tasks[[#This Row],[_DoneFrom]]=0,0,IF(Tasks[[#This Row],[Progress]]&gt;=1,Tasks[[#This Row],[Finish]],MAX(Tasks[[#This Row],[_DoneFrom]],Tasks[[#This Row],[Start]]+ROUND((Tasks[[#This Row],[Finish]]-Tasks[[#This Row],[Start]]+1)*Tasks[[#This Row],[Progress]],0)-1)))</f>
        <v>0</v>
      </c>
      <c r="GW105" s="91" t="n">
        <f aca="false">IF(Tasks[[#This Row],[Task Name]]="",0,IF(OR(NOT(Tasks[[#This Row],[_IsLeaf]]=1),Tasks[[#This Row],[_IsMilestone]],N(Tasks[[#This Row],[Progress]])&gt;=1),0,IF(Tasks[[#This Row],[_DoneTo]]&gt;0,Tasks[[#This Row],[_DoneTo]]+1,Tasks[[#This Row],[Start]])))</f>
        <v>0</v>
      </c>
      <c r="GX105" s="91" t="n">
        <f aca="false">IF(Tasks[[#This Row],[_RemFrom]]=0,0,Tasks[[#This Row],[Finish]])</f>
        <v>0</v>
      </c>
      <c r="GY105" s="90" t="b">
        <f aca="false">IF(Tasks[[#This Row],[Task Name]]="",FALSE(),OR(NOT(BaselineSet),N(Tasks[[#This Row],[Baseline Start]])&gt;0))</f>
        <v>0</v>
      </c>
      <c r="GZ10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5" s="92" t="str">
        <f aca="false">IF(Tasks[[#This Row],[_IsLeaf]]=1,Tasks[[#This Row],[_Row]],"")</f>
        <v/>
      </c>
      <c r="HD105" s="92" t="str">
        <f aca="false">IFERROR(INDEX(Tasks[UID],SMALL(Tasks[_PickKey],Tasks[[#This Row],[_Row]]))&amp;" "&amp;INDEX(Tasks[Task Name],SMALL(Tasks[_PickKey],Tasks[[#This Row],[_Row]])),"")</f>
        <v/>
      </c>
      <c r="HE105" s="43" t="str">
        <f aca="false">IF(Tasks[[#This Row],[Task Name]]="","",IF(Tasks[[#This Row],[_IsSummary]],NETWORKDAYS.INTL(Tasks[[#This Row],[Start]],Tasks[[#This Row],[Finish]],WorkWeek,Holidays),N(Tasks[[#This Row],[_Days]])))</f>
        <v/>
      </c>
      <c r="HF105" s="43" t="n">
        <f aca="false">IF(Tasks[[#This Row],[Expected]]="",0,((Tasks[[#This Row],[Pessimistic]]-Tasks[[#This Row],[Optimistic]])/6)^2)</f>
        <v>0</v>
      </c>
      <c r="HG105" s="43" t="n">
        <f aca="false">IF(Tasks[[#This Row],[Expected]]="",0,Tasks[[#This Row],[Expected]]-N(Tasks[[#This Row],[_Days]]))</f>
        <v>0</v>
      </c>
    </row>
    <row r="106" customFormat="false" ht="15" hidden="false" customHeight="false" outlineLevel="0" collapsed="false">
      <c r="A106" s="21" t="str">
        <f aca="false">IF(Tasks[[#This Row],[Task Name]]="","",COUNTA(Tasks[[#Headers],[Task Name]]:Tasks[[#This Row],[Task Name]])-1)</f>
        <v/>
      </c>
      <c r="B106" s="22" t="n">
        <v>114</v>
      </c>
      <c r="C106" s="22"/>
      <c r="D106" s="23"/>
      <c r="E106" s="22"/>
      <c r="F106" s="23"/>
      <c r="G106" s="22"/>
      <c r="H106" s="22"/>
      <c r="I106" s="23"/>
      <c r="J106" s="22"/>
      <c r="K106" s="22"/>
      <c r="L106" s="23"/>
      <c r="M106" s="22"/>
      <c r="N106" s="22"/>
      <c r="O106" s="23"/>
      <c r="P106" s="22"/>
      <c r="Q106" s="22"/>
      <c r="R106" s="23"/>
      <c r="S106" s="23"/>
      <c r="T106" s="84"/>
      <c r="U106" s="23"/>
      <c r="V106" s="84"/>
      <c r="W106" s="23"/>
      <c r="X106" s="84"/>
      <c r="Y106" s="23"/>
      <c r="Z106" s="84"/>
      <c r="AA106" s="23"/>
      <c r="AB106" s="23"/>
      <c r="AC106" s="7"/>
      <c r="AD106" s="7"/>
      <c r="AE106" s="63" t="str">
        <f aca="false">IF(Tasks[[#This Row],[Task Name]]="","",IF(Tasks[[#This Row],[_IsSummary]],MIN(INDEX(Tasks[_ShownFcstStart],Tasks[[#This Row],[_Row]]+1):INDEX(Tasks[_ShownFcstStart],Tasks[[#This Row],[_Row]]+Tasks[[#This Row],[_Descendants]])),Tasks[[#This Row],[_ShownFcstStart]]))</f>
        <v/>
      </c>
      <c r="AF106" s="63" t="str">
        <f aca="false">IF(Tasks[[#This Row],[Task Name]]="","",IF(Tasks[[#This Row],[_IsSummary]],MAX(INDEX(Tasks[_ShownFcstFinish],Tasks[[#This Row],[_Row]]+1):INDEX(Tasks[_ShownFcstFinish],Tasks[[#This Row],[_Row]]+Tasks[[#This Row],[_Descendants]])),Tasks[[#This Row],[_ShownFcstFinish]]))</f>
        <v/>
      </c>
      <c r="AG106" s="21" t="str">
        <f aca="false">""</f>
        <v/>
      </c>
      <c r="AH106" s="23"/>
      <c r="AI10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6" s="7"/>
      <c r="AK106" s="22"/>
      <c r="AL106" s="23"/>
      <c r="AM106" s="7"/>
      <c r="AN106" s="47" t="str">
        <f aca="false">IF(Tasks[[#This Row],[Task Name]]="","",IF(Tasks[[#This Row],[Finish]]&gt;=Tasks[[#This Row],[Planned Finish]],NETWORKDAYS.INTL(Tasks[[#This Row],[Planned Finish]],Tasks[[#This Row],[Finish]],WorkWeek,Holidays)-1,1-NETWORKDAYS.INTL(Tasks[[#This Row],[Finish]],Tasks[[#This Row],[Planned Finish]],WorkWeek,Holidays)))</f>
        <v/>
      </c>
      <c r="AO106" s="21" t="str">
        <f aca="false">IF(Tasks[[#This Row],[Task Name]]="","",IF(Tasks[[#This Row],[Progress]]&gt;=1,"Complete",IF(OR(N(Tasks[[#This Row],[Actual Start]])&gt;0,Tasks[[#This Row],[Progress]]&gt;0),IF(Tasks[[#This Row],[Finish Var]]&gt;0,"Behind","In Progress"),IF(Tasks[[#This Row],[Planned Start]]&lt;StatusDate,"Late Start","Not Started"))))</f>
        <v/>
      </c>
      <c r="AP106" s="21" t="str">
        <f aca="false">IF(Tasks[[#This Row],[Task Name]]="","",IF(IF(Tasks[[#This Row],[_IsSummary]],COUNTIF(INDEX(Tasks[_LeafCritical],Tasks[[#This Row],[_Row]]+1):INDEX(Tasks[_LeafCritical],Tasks[[#This Row],[_Row]]+Tasks[[#This Row],[_Descendants]]),TRUE())&gt;0,Tasks[[#This Row],[_LeafCritical]]),"Yes",""))</f>
        <v/>
      </c>
      <c r="AQ106" s="63" t="str">
        <f aca="false">IF(Tasks[[#This Row],[Task Name]]="","",IF(N(Tasks[[#This Row],[Baseline Start]])&gt;0,Tasks[[#This Row],[Baseline Start]],Tasks[[#This Row],[_CalcStart]]))</f>
        <v/>
      </c>
      <c r="AR106" s="63" t="str">
        <f aca="false">IF(Tasks[[#This Row],[Task Name]]="","",IF(N(Tasks[[#This Row],[Baseline Finish]])&gt;0,Tasks[[#This Row],[Baseline Finish]],Tasks[[#This Row],[_CalcFinish]]))</f>
        <v/>
      </c>
      <c r="AS106" s="47" t="str">
        <f aca="false">IF(Tasks[[#This Row],[Task Name]]="","",IF(Tasks[[#This Row],[Start]]&gt;=Tasks[[#This Row],[Planned Start]],NETWORKDAYS.INTL(Tasks[[#This Row],[Planned Start]],Tasks[[#This Row],[Start]],WorkWeek,Holidays)-1,1-NETWORKDAYS.INTL(Tasks[[#This Row],[Start]],Tasks[[#This Row],[Planned Start]],WorkWeek,Holidays)))</f>
        <v/>
      </c>
      <c r="AT106" s="63" t="str">
        <f aca="false">IF(Tasks[[#This Row],[Task Name]]="","",IF(Tasks[[#This Row],[_IsSummary]],MIN(INDEX(Tasks[_LeafLateStart],Tasks[[#This Row],[_Row]]+1):INDEX(Tasks[_LeafLateStart],Tasks[[#This Row],[_Row]]+Tasks[[#This Row],[_Descendants]])),Tasks[[#This Row],[_LeafLateStart]]))</f>
        <v/>
      </c>
      <c r="AU106" s="63" t="str">
        <f aca="false">IF(Tasks[[#This Row],[Task Name]]="","",IF(Tasks[[#This Row],[_IsSummary]],MAX(INDEX(Tasks[_LeafLateFinish],Tasks[[#This Row],[_Row]]+1):INDEX(Tasks[_LeafLateFinish],Tasks[[#This Row],[_Row]]+Tasks[[#This Row],[_Descendants]])),Tasks[[#This Row],[_LeafLateFinish]]))</f>
        <v/>
      </c>
      <c r="AV106" s="47" t="str">
        <f aca="false">IF(Tasks[[#This Row],[Task Name]]="","",IF(Tasks[[#This Row],[_IsSummary]],MIN(INDEX(Tasks[_LeafTotalSlack],Tasks[[#This Row],[_Row]]+1):INDEX(Tasks[_LeafTotalSlack],Tasks[[#This Row],[_Row]]+Tasks[[#This Row],[_Descendants]])),Tasks[[#This Row],[_LeafTotalSlack]]))</f>
        <v/>
      </c>
      <c r="AW10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5"/>
      <c r="BA10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t="str">
        <f aca="false">IF(Tasks[[#This Row],[Task Name]]="","",IF(Tasks[[#This Row],[_Level]]&lt;=OutlineShowLevel,"Yes","No"))</f>
        <v/>
      </c>
      <c r="BE106" s="86" t="str">
        <f aca="false">IF(Tasks[[#This Row],[Task Name]]="","",IF(Tasks[[#This Row],[_IsSummary]],SUM(INDEX(Tasks[_LeafTotalWork],Tasks[[#This Row],[_Row]]+1):INDEX(Tasks[_LeafTotalWork],Tasks[[#This Row],[_Row]]+Tasks[[#This Row],[_Descendants]])),Tasks[[#This Row],[_LeafTotalWork]]))</f>
        <v/>
      </c>
      <c r="BF106" s="23"/>
      <c r="BG10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t="str">
        <f aca="false">""</f>
        <v/>
      </c>
      <c r="BI106" s="87"/>
      <c r="BJ106" s="22"/>
      <c r="BK106" s="47" t="str">
        <f aca="false">IF(OR(Tasks[[#This Row],[Task Name]]="",Tasks[[#This Row],[Baseline Duration]]=""),"",Tasks[[#This Row],[_SpanDays]]-N(Tasks[[#This Row],[Baseline Duration]]))</f>
        <v/>
      </c>
      <c r="BL106" s="86" t="str">
        <f aca="false">IF(OR(Tasks[[#This Row],[Task Name]]="",Tasks[[#This Row],[Baseline Work]]=""),"",Tasks[[#This Row],[Work]]-N(Tasks[[#This Row],[Baseline Work]]))</f>
        <v/>
      </c>
      <c r="BM106" s="63" t="str">
        <f aca="false">IF(Tasks[[#This Row],[Task Name]]="","",IF(OR(TakeBaseline="Yes",N(Tasks[[#This Row],[Baseline Start]])=0),Tasks[[#This Row],[Start]],Tasks[[#This Row],[Baseline Start]]))</f>
        <v/>
      </c>
      <c r="BN106" s="63" t="str">
        <f aca="false">IF(Tasks[[#This Row],[Task Name]]="","",IF(OR(TakeBaseline="Yes",N(Tasks[[#This Row],[Baseline Finish]])=0),Tasks[[#This Row],[Finish]],Tasks[[#This Row],[Baseline Finish]]))</f>
        <v/>
      </c>
      <c r="BO106" s="21" t="str">
        <f aca="false">IF(Tasks[[#This Row],[Task Name]]="","",IF(OR(TakeBaseline="Yes",N(Tasks[[#This Row],[Baseline Duration]])=0),Tasks[[#This Row],[_SpanDays]],Tasks[[#This Row],[Baseline Duration]]))</f>
        <v/>
      </c>
      <c r="BP106" s="86" t="str">
        <f aca="false">IF(Tasks[[#This Row],[Task Name]]="","",IF(OR(TakeBaseline="Yes",N(Tasks[[#This Row],[Baseline Work]])=0),Tasks[[#This Row],[Work]],Tasks[[#This Row],[Baseline Work]]))</f>
        <v/>
      </c>
      <c r="BQ106" s="7"/>
      <c r="BR106" s="7"/>
      <c r="BS106" s="22"/>
      <c r="BT106" s="88"/>
      <c r="BU106" s="23"/>
      <c r="BV106" s="23"/>
      <c r="BW106" s="23"/>
      <c r="BX106" s="89" t="str">
        <f aca="false">IF(AND(Tasks[[#This Row],[_IsLeaf]]=1,ISNUMBER(Tasks[[#This Row],[Optimistic]]),ISNUMBER(Tasks[[#This Row],[Pessimistic]])),ROUND((Tasks[[#This Row],[Optimistic]]+4*N(Tasks[[#This Row],[_Days]])+Tasks[[#This Row],[Pessimistic]])/6,1),"")</f>
        <v/>
      </c>
      <c r="BY106" s="87"/>
      <c r="BZ106" s="87"/>
      <c r="CA106" s="22"/>
      <c r="CB106" s="43" t="str">
        <f aca="false">IF(Tasks[[#This Row],[Task Name]]="","",MAX(1,N(Tasks[[#This Row],[Level]])))</f>
        <v/>
      </c>
      <c r="CC106" s="43" t="n">
        <f aca="false">ROW()-ROW(Tasks[[#Headers],[ID]])</f>
        <v>101</v>
      </c>
      <c r="CD106" s="43" t="n">
        <f aca="false">IF(OR(Tasks[[#This Row],[Task Name]]="",Tasks[[#This Row],[_Level]]&lt;=1),0,IFERROR(LOOKUP(2,1/(Tasks[[#Headers],[_Level]]:Tasks[[#This Row],[_Level]]=Tasks[[#This Row],[_Level]]-1),ROW(Tasks[[#Headers],[_Level]]:Tasks[[#This Row],[_Level]])),0))</f>
        <v>0</v>
      </c>
      <c r="CE106" s="43" t="n">
        <f aca="false">IFERROR(N(INDEX(Tasks[_Level],Tasks[[#This Row],[_Row]]+1)),0)</f>
        <v>0</v>
      </c>
      <c r="CF106" s="90" t="b">
        <f aca="false">AND(Tasks[[#This Row],[Task Name]]&lt;&gt;"",Tasks[[#This Row],[_NextLevel]]&gt;Tasks[[#This Row],[_Level]])</f>
        <v>0</v>
      </c>
      <c r="CG106" s="43" t="n">
        <f aca="false">IF(Tasks[[#This Row],[_IsSummary]],COUNTIF(Tasks[WBS],Tasks[[#This Row],[WBS]]&amp;".*"),0)</f>
        <v>0</v>
      </c>
      <c r="CH106" s="43" t="n">
        <f aca="false">IF(AND(Tasks[[#This Row],[Task Name]]&lt;&gt;"",NOT(Tasks[[#This Row],[_IsSummary]])),1,0)</f>
        <v>0</v>
      </c>
      <c r="CI106" s="43" t="n">
        <f aca="false">IF(N(Tasks[[#This Row],[_Pred1UID]])=0,0,IFERROR(MATCH(Tasks[[#This Row],[_Pred1UID]],Tasks[UID],0),-1))</f>
        <v>0</v>
      </c>
      <c r="CJ106" s="43" t="n">
        <f aca="false">IF(N(Tasks[[#This Row],[_Pred2UID]])=0,0,IFERROR(MATCH(Tasks[[#This Row],[_Pred2UID]],Tasks[UID],0),-1))</f>
        <v>0</v>
      </c>
      <c r="CK106" s="43" t="n">
        <f aca="false">IF(N(Tasks[[#This Row],[_Pred3UID]])=0,0,IFERROR(MATCH(Tasks[[#This Row],[_Pred3UID]],Tasks[UID],0),-1))</f>
        <v>0</v>
      </c>
      <c r="CL106" s="43" t="n">
        <f aca="false">IF(N(Tasks[[#This Row],[_Pred4UID]])=0,0,IFERROR(MATCH(Tasks[[#This Row],[_Pred4UID]],Tasks[UID],0),-1))</f>
        <v>0</v>
      </c>
      <c r="CM10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6" s="91" t="n">
        <f aca="false">IF(OR(Tasks[[#This Row],[_ConstraintCode]]=2,Tasks[[#This Row],[_ConstraintCode]]=3,Tasks[[#This Row],[_ConstraintCode]]=4,Tasks[[#This Row],[_ConstraintCode]]=6),Tasks[[#This Row],[_ConstraintStart]],0)</f>
        <v>0</v>
      </c>
      <c r="CP106" s="91" t="n">
        <f aca="false">IF(OR(Tasks[[#This Row],[_ConstraintCode]]=2,Tasks[[#This Row],[_ConstraintCode]]=3,Tasks[[#This Row],[_ConstraintCode]]=5,Tasks[[#This Row],[_ConstraintCode]]=7),Tasks[[#This Row],[_ConstraintStart]],2958465)</f>
        <v>2958465</v>
      </c>
      <c r="CQ10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6" s="91" t="str">
        <f aca="false">IF(NOT(Tasks[[#This Row],[_IsLeaf]]=1),"",IF(N(Tasks[[#This Row],[_Days]])&lt;=0,Tasks[[#This Row],[_LeafCalcStart]],WORKDAY.INTL(Tasks[[#This Row],[_LeafCalcStart]],Tasks[[#This Row],[_Days]]-1,WorkWeek,Holidays)))</f>
        <v/>
      </c>
      <c r="CS10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6" s="43" t="str">
        <f aca="false">IF(Tasks[[#This Row],[_Predecessors]]="","",TRIM(MID(SUBSTITUTE(SUBSTITUTE(SUBSTITUTE(UPPER(Tasks[[#This Row],[_Predecessors]]),";",",")," ",""),",",REPT(" ",99)),1,99)))</f>
        <v/>
      </c>
      <c r="CV106" s="43" t="str">
        <f aca="false">IF(Tasks[[#This Row],[_Pred1Text]]="","",IFERROR(VALUE(LEFT(Tasks[[#This Row],[_Pred1Text]],MIN(FIND("F",Tasks[[#This Row],[_Pred1Text]]&amp;"F"),FIND("S",Tasks[[#This Row],[_Pred1Text]]&amp;"S"),FIND("+",Tasks[[#This Row],[_Pred1Text]]&amp;"+"),FIND("-",Tasks[[#This Row],[_Pred1Text]]&amp;"-"))-1)),""))</f>
        <v/>
      </c>
      <c r="CW10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6" s="43" t="str">
        <f aca="false">IF(Tasks[[#This Row],[_Pred1Text]]="","",TRIM(MID(SUBSTITUTE(SUBSTITUTE(SUBSTITUTE(UPPER(Tasks[[#This Row],[_Predecessors]]),";",",")," ",""),",",REPT(" ",99)),100,99)))</f>
        <v/>
      </c>
      <c r="CZ106" s="43" t="str">
        <f aca="false">IF(Tasks[[#This Row],[_Pred2Text]]="","",IFERROR(VALUE(LEFT(Tasks[[#This Row],[_Pred2Text]],MIN(FIND("F",Tasks[[#This Row],[_Pred2Text]]&amp;"F"),FIND("S",Tasks[[#This Row],[_Pred2Text]]&amp;"S"),FIND("+",Tasks[[#This Row],[_Pred2Text]]&amp;"+"),FIND("-",Tasks[[#This Row],[_Pred2Text]]&amp;"-"))-1)),""))</f>
        <v/>
      </c>
      <c r="DA10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6" s="43" t="str">
        <f aca="false">IF(Tasks[[#This Row],[_Pred2Text]]="","",TRIM(MID(SUBSTITUTE(SUBSTITUTE(SUBSTITUTE(UPPER(Tasks[[#This Row],[_Predecessors]]),";",",")," ",""),",",REPT(" ",99)),199,99)))</f>
        <v/>
      </c>
      <c r="DD106" s="43" t="str">
        <f aca="false">IF(Tasks[[#This Row],[_Pred3Text]]="","",IFERROR(VALUE(LEFT(Tasks[[#This Row],[_Pred3Text]],MIN(FIND("F",Tasks[[#This Row],[_Pred3Text]]&amp;"F"),FIND("S",Tasks[[#This Row],[_Pred3Text]]&amp;"S"),FIND("+",Tasks[[#This Row],[_Pred3Text]]&amp;"+"),FIND("-",Tasks[[#This Row],[_Pred3Text]]&amp;"-"))-1)),""))</f>
        <v/>
      </c>
      <c r="DE10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6" s="43" t="str">
        <f aca="false">IF(Tasks[[#This Row],[_Pred3Text]]="","",TRIM(MID(SUBSTITUTE(SUBSTITUTE(SUBSTITUTE(UPPER(Tasks[[#This Row],[_Predecessors]]),";",",")," ",""),",",REPT(" ",99)),298,99)))</f>
        <v/>
      </c>
      <c r="DH106" s="43" t="str">
        <f aca="false">IF(Tasks[[#This Row],[_Pred4Text]]="","",IFERROR(VALUE(LEFT(Tasks[[#This Row],[_Pred4Text]],MIN(FIND("F",Tasks[[#This Row],[_Pred4Text]]&amp;"F"),FIND("S",Tasks[[#This Row],[_Pred4Text]]&amp;"S"),FIND("+",Tasks[[#This Row],[_Pred4Text]]&amp;"+"),FIND("-",Tasks[[#This Row],[_Pred4Text]]&amp;"-"))-1)),""))</f>
        <v/>
      </c>
      <c r="DI10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6" s="43" t="str">
        <f aca="false">IF(OR(Tasks[[#This Row],[Task Name]]="",Tasks[[#This Row],[_Resources]]=""),"",TRIM(MID(SUBSTITUTE(Tasks[[#This Row],[_Resources]],",",REPT(" ",99)),1,99)))</f>
        <v/>
      </c>
      <c r="DL106" s="43" t="str">
        <f aca="false">IF(Tasks[[#This Row],[_Res1Text]]="","",TRIM(MID(SUBSTITUTE(Tasks[[#This Row],[_Resources]],",",REPT(" ",99)),100,99)))</f>
        <v/>
      </c>
      <c r="DM106" s="43" t="str">
        <f aca="false">IF(Tasks[[#This Row],[_Res2Text]]="","",TRIM(MID(SUBSTITUTE(Tasks[[#This Row],[_Resources]],",",REPT(" ",99)),199,99)))</f>
        <v/>
      </c>
      <c r="DN106" s="43" t="str">
        <f aca="false">IF(Tasks[[#This Row],[_Res3Text]]="","",TRIM(MID(SUBSTITUTE(Tasks[[#This Row],[_Resources]],",",REPT(" ",99)),298,99)))</f>
        <v/>
      </c>
      <c r="DO106" s="43" t="n">
        <f aca="false">IF(Tasks[[#This Row],[_Res1Text]]="",0,IFERROR(MATCH(TRIM(LEFT(Tasks[[#This Row],[_Res1Text]],FIND("[",Tasks[[#This Row],[_Res1Text]]&amp;"[")-1)),res_Name,0),IFERROR(MATCH(TRIM(LEFT(Tasks[[#This Row],[_Res1Text]],FIND("[",Tasks[[#This Row],[_Res1Text]]&amp;"[")-1)),res_Initials,0),0)))</f>
        <v>0</v>
      </c>
      <c r="DP106" s="43" t="n">
        <f aca="false">IF(Tasks[[#This Row],[_Res2Text]]="",0,IFERROR(MATCH(TRIM(LEFT(Tasks[[#This Row],[_Res2Text]],FIND("[",Tasks[[#This Row],[_Res2Text]]&amp;"[")-1)),res_Name,0),IFERROR(MATCH(TRIM(LEFT(Tasks[[#This Row],[_Res2Text]],FIND("[",Tasks[[#This Row],[_Res2Text]]&amp;"[")-1)),res_Initials,0),0)))</f>
        <v>0</v>
      </c>
      <c r="DQ106" s="43" t="n">
        <f aca="false">IF(Tasks[[#This Row],[_Res3Text]]="",0,IFERROR(MATCH(TRIM(LEFT(Tasks[[#This Row],[_Res3Text]],FIND("[",Tasks[[#This Row],[_Res3Text]]&amp;"[")-1)),res_Name,0),IFERROR(MATCH(TRIM(LEFT(Tasks[[#This Row],[_Res3Text]],FIND("[",Tasks[[#This Row],[_Res3Text]]&amp;"[")-1)),res_Initials,0),0)))</f>
        <v>0</v>
      </c>
      <c r="DR106" s="43" t="n">
        <f aca="false">IF(Tasks[[#This Row],[_Res4Text]]="",0,IFERROR(MATCH(TRIM(LEFT(Tasks[[#This Row],[_Res4Text]],FIND("[",Tasks[[#This Row],[_Res4Text]]&amp;"[")-1)),res_Name,0),IFERROR(MATCH(TRIM(LEFT(Tasks[[#This Row],[_Res4Text]],FIND("[",Tasks[[#This Row],[_Res4Text]]&amp;"[")-1)),res_Initials,0),0)))</f>
        <v>0</v>
      </c>
      <c r="DS106" s="43" t="str">
        <f aca="false">IF(Tasks[[#This Row],[_Res1Text]]="","",IF(Tasks[[#This Row],[_Res1Row]]&gt;0,INDEX(res_Name,Tasks[[#This Row],[_Res1Row]]),TRIM(LEFT(Tasks[[#This Row],[_Res1Text]],FIND("[",Tasks[[#This Row],[_Res1Text]]&amp;"[")-1))))</f>
        <v/>
      </c>
      <c r="DT10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6" s="43" t="n">
        <f aca="false">IF(NOT(Tasks[[#This Row],[_IsLeaf]]=1),0,(Tasks[[#This Row],[_Resource1]]&lt;&gt;"")+(Tasks[[#This Row],[_Res2]]&lt;&gt;"")+(Tasks[[#This Row],[_Res3]]&lt;&gt;"")+(Tasks[[#This Row],[_Res4]]&lt;&gt;""))</f>
        <v>0</v>
      </c>
      <c r="DV106" s="43" t="str">
        <f aca="false">IF(Tasks[[#This Row],[_Res2Text]]="","",IF(Tasks[[#This Row],[_Res2Row]]&gt;0,INDEX(res_Name,Tasks[[#This Row],[_Res2Row]]),TRIM(LEFT(Tasks[[#This Row],[_Res2Text]],FIND("[",Tasks[[#This Row],[_Res2Text]]&amp;"[")-1))))</f>
        <v/>
      </c>
      <c r="DW10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6" s="43" t="n">
        <f aca="false">IF(OR(NOT(Tasks[[#This Row],[_IsLeaf]]=1),Tasks[[#This Row],[_Res2Row]]=0),0,N(Tasks[[#This Row],[_Days]])*HoursPerDay*IF(Tasks[[#This Row],[_Res2Units]]="",DefaultUnits,Tasks[[#This Row],[_Res2Units]]))</f>
        <v>0</v>
      </c>
      <c r="DY106" s="43" t="n">
        <f aca="false">IF(AND(AND(Tasks[[#This Row],[_IsLeaf]]=1,Tasks[[#This Row],[_LeafTotalWork]]&gt;0),Tasks[[#This Row],[_Res2Work]]&gt;0),Tasks[[#This Row],[_Res2Work]]/(Tasks[[#This Row],[_FinishWorkday]]-Tasks[[#This Row],[_StartWorkday]]+1),0)</f>
        <v>0</v>
      </c>
      <c r="DZ106" s="43" t="n">
        <f aca="false">Tasks[[#This Row],[_Res2WorkPerWD]]*MAX(0,Tasks[[#This Row],[_StartWorkday]]-1)</f>
        <v>0</v>
      </c>
      <c r="EA106" s="43" t="n">
        <f aca="false">Tasks[[#This Row],[_Res2Work]]*Tasks[[#This Row],[_LeafProgress]]</f>
        <v>0</v>
      </c>
      <c r="EB106" s="43" t="str">
        <f aca="false">IF(Tasks[[#This Row],[_Res3Text]]="","",IF(Tasks[[#This Row],[_Res3Row]]&gt;0,INDEX(res_Name,Tasks[[#This Row],[_Res3Row]]),TRIM(LEFT(Tasks[[#This Row],[_Res3Text]],FIND("[",Tasks[[#This Row],[_Res3Text]]&amp;"[")-1))))</f>
        <v/>
      </c>
      <c r="EC10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6" s="43" t="n">
        <f aca="false">IF(OR(NOT(Tasks[[#This Row],[_IsLeaf]]=1),Tasks[[#This Row],[_Res3Row]]=0),0,N(Tasks[[#This Row],[_Days]])*HoursPerDay*IF(Tasks[[#This Row],[_Res3Units]]="",DefaultUnits,Tasks[[#This Row],[_Res3Units]]))</f>
        <v>0</v>
      </c>
      <c r="EE106" s="43" t="n">
        <f aca="false">IF(AND(AND(Tasks[[#This Row],[_IsLeaf]]=1,Tasks[[#This Row],[_LeafTotalWork]]&gt;0),Tasks[[#This Row],[_Res3Work]]&gt;0),Tasks[[#This Row],[_Res3Work]]/(Tasks[[#This Row],[_FinishWorkday]]-Tasks[[#This Row],[_StartWorkday]]+1),0)</f>
        <v>0</v>
      </c>
      <c r="EF106" s="43" t="n">
        <f aca="false">Tasks[[#This Row],[_Res3WorkPerWD]]*MAX(0,Tasks[[#This Row],[_StartWorkday]]-1)</f>
        <v>0</v>
      </c>
      <c r="EG106" s="43" t="n">
        <f aca="false">Tasks[[#This Row],[_Res3Work]]*Tasks[[#This Row],[_LeafProgress]]</f>
        <v>0</v>
      </c>
      <c r="EH106" s="43" t="str">
        <f aca="false">IF(Tasks[[#This Row],[_Res4Text]]="","",IF(Tasks[[#This Row],[_Res4Row]]&gt;0,INDEX(res_Name,Tasks[[#This Row],[_Res4Row]]),TRIM(LEFT(Tasks[[#This Row],[_Res4Text]],FIND("[",Tasks[[#This Row],[_Res4Text]]&amp;"[")-1))))</f>
        <v/>
      </c>
      <c r="EI10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6" s="43" t="n">
        <f aca="false">IF(OR(NOT(Tasks[[#This Row],[_IsLeaf]]=1),Tasks[[#This Row],[_Res4Row]]=0),0,N(Tasks[[#This Row],[_Days]])*HoursPerDay*IF(Tasks[[#This Row],[_Res4Units]]="",DefaultUnits,Tasks[[#This Row],[_Res4Units]]))</f>
        <v>0</v>
      </c>
      <c r="EK106" s="43" t="n">
        <f aca="false">IF(AND(AND(Tasks[[#This Row],[_IsLeaf]]=1,Tasks[[#This Row],[_LeafTotalWork]]&gt;0),Tasks[[#This Row],[_Res4Work]]&gt;0),Tasks[[#This Row],[_Res4Work]]/(Tasks[[#This Row],[_FinishWorkday]]-Tasks[[#This Row],[_StartWorkday]]+1),0)</f>
        <v>0</v>
      </c>
      <c r="EL106" s="43" t="n">
        <f aca="false">Tasks[[#This Row],[_Res4WorkPerWD]]*MAX(0,Tasks[[#This Row],[_StartWorkday]]-1)</f>
        <v>0</v>
      </c>
      <c r="EM106" s="43" t="n">
        <f aca="false">Tasks[[#This Row],[_Res4Work]]*Tasks[[#This Row],[_LeafProgress]]</f>
        <v>0</v>
      </c>
      <c r="EN106" s="43" t="n">
        <f aca="false">IF(ISNUMBER(Tasks[[#This Row],[% Complete]]),Tasks[[#This Row],[% Complete]],IF(Tasks[[#This Row],[Stage]]="",0,IFERROR(INDEX(stg_Pct,MATCH(Tasks[[#This Row],[Stage]],stg_Name,0)),0)))</f>
        <v>0</v>
      </c>
      <c r="EO106" s="43" t="n">
        <f aca="false">IF(NOT(Tasks[[#This Row],[_IsLeaf]]=1),0,IF(N(Tasks[[#This Row],[Actual Finish]])&gt;0,1,MIN(1,Tasks[[#This Row],[_Pct]])))</f>
        <v>0</v>
      </c>
      <c r="EP106" s="43" t="n">
        <f aca="false">IF(OR(NOT(Tasks[[#This Row],[_IsLeaf]]=1),Tasks[[#This Row],[_Res1Row]]=0),0,N(Tasks[[#This Row],[_Days]])*HoursPerDay*IF(Tasks[[#This Row],[_Units1]]="",DefaultUnits,Tasks[[#This Row],[_Units1]]))</f>
        <v>0</v>
      </c>
      <c r="EQ106" s="43" t="n">
        <f aca="false">Tasks[[#This Row],[_LeafWork]]+Tasks[[#This Row],[_Res2Work]]+Tasks[[#This Row],[_Res3Work]]+Tasks[[#This Row],[_Res4Work]]</f>
        <v>0</v>
      </c>
      <c r="ER10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6" s="43" t="n">
        <f aca="false">IF(NOT(Tasks[[#This Row],[_IsLeaf]]=1),0,MAX(_xlfn.MAXIFS(Tasks[_Row],Tasks[_Pred1UID],Tasks[[#This Row],[UID]]),_xlfn.MAXIFS(Tasks[_Row],Tasks[_Pred2UID],Tasks[[#This Row],[UID]]),_xlfn.MAXIFS(Tasks[_Row],Tasks[_Pred3UID],Tasks[[#This Row],[UID]]),_xlfn.MAXIFS(Tasks[_Row],Tasks[_Pred4UID],Tasks[[#This Row],[UID]])))</f>
        <v>0</v>
      </c>
      <c r="FA10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6" s="91" t="str">
        <f aca="false">IF(NOT(Tasks[[#This Row],[_IsLeaf]]=1),"",IF(N(Tasks[[#This Row],[_Days]])&lt;=0,Tasks[[#This Row],[_LeafLateFinish]],WORKDAY.INTL(Tasks[[#This Row],[_LeafLateFinish]],-(Tasks[[#This Row],[_Days]]-1),WorkWeek,Holidays)))</f>
        <v/>
      </c>
      <c r="FD10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6" s="90" t="b">
        <f aca="false">AND(Tasks[[#This Row],[_IsLeaf]]=1,Tasks[[#This Row],[_LeafProgress]]&lt;1,N(Tasks[[#This Row],[_LeafTotalSlack]])&lt;=CriticalSlackDays)</f>
        <v>0</v>
      </c>
      <c r="FF106" s="43" t="n">
        <f aca="false">IF(AND(Tasks[[#This Row],[_IsLeaf]]=1,Tasks[[#This Row],[_ConstraintCode]]=1,Tasks[[#This Row],[Mode]]&lt;&gt;"Manual",N(Tasks[[#This Row],[Actual Start]])=0),MAX(0,N(Tasks[[#This Row],[Free Slack]])),0)</f>
        <v>0</v>
      </c>
      <c r="FG106" s="91" t="str">
        <f aca="false">IF(NOT(Tasks[[#This Row],[_IsLeaf]]=1),"",IF(Tasks[[#This Row],[_AlapShift]]=0,Tasks[[#This Row],[_LeafCalcStart]],WORKDAY.INTL(Tasks[[#This Row],[_LeafCalcStart]],Tasks[[#This Row],[_AlapShift]],WorkWeek,Holidays)))</f>
        <v/>
      </c>
      <c r="FH106" s="91" t="str">
        <f aca="false">IF(NOT(Tasks[[#This Row],[_IsLeaf]]=1),"",IF(Tasks[[#This Row],[_AlapShift]]=0,Tasks[[#This Row],[_LeafCalcFinish]],WORKDAY.INTL(Tasks[[#This Row],[_LeafCalcFinish]],Tasks[[#This Row],[_AlapShift]],WorkWeek,Holidays)))</f>
        <v/>
      </c>
      <c r="FI106" s="91" t="str">
        <f aca="false">IF(NOT(Tasks[[#This Row],[_IsLeaf]]=1),"",IF(Tasks[[#This Row],[_AlapShift]]=0,Tasks[[#This Row],[_LeafFcstStart]],WORKDAY.INTL(Tasks[[#This Row],[_LeafFcstStart]],Tasks[[#This Row],[_AlapShift]],WorkWeek,Holidays)))</f>
        <v/>
      </c>
      <c r="FJ106" s="91" t="str">
        <f aca="false">IF(NOT(Tasks[[#This Row],[_IsLeaf]]=1),"",IF(Tasks[[#This Row],[_AlapShift]]=0,Tasks[[#This Row],[_LeafFcstFinish]],WORKDAY.INTL(Tasks[[#This Row],[_LeafFcstFinish]],Tasks[[#This Row],[_AlapShift]],WorkWeek,Holidays)))</f>
        <v/>
      </c>
      <c r="FK106" s="91" t="str">
        <f aca="false">IF(Tasks[[#This Row],[Task Name]]="","",IF(Tasks[[#This Row],[_IsSummary]],MIN(INDEX(Tasks[_ShownCalcStart],Tasks[[#This Row],[_Row]]+1):INDEX(Tasks[_ShownCalcStart],Tasks[[#This Row],[_Row]]+Tasks[[#This Row],[_Descendants]])),Tasks[[#This Row],[_ShownCalcStart]]))</f>
        <v/>
      </c>
      <c r="FL106" s="91" t="str">
        <f aca="false">IF(Tasks[[#This Row],[Task Name]]="","",IF(Tasks[[#This Row],[_IsSummary]],MAX(INDEX(Tasks[_ShownCalcFinish],Tasks[[#This Row],[_Row]]+1):INDEX(Tasks[_ShownCalcFinish],Tasks[[#This Row],[_Row]]+Tasks[[#This Row],[_Descendants]])),Tasks[[#This Row],[_ShownCalcFinish]]))</f>
        <v/>
      </c>
      <c r="FM10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6" s="43" t="n">
        <f aca="false">IF(AND(Tasks[[#This Row],[_IsLeaf]]=1,Tasks[[#This Row],[_LeafTotalWork]]&gt;0),NETWORKDAYS.INTL(ProjectStart,Tasks[[#This Row],[_ShownFcstStart]],WorkWeek,Holidays),0)</f>
        <v>0</v>
      </c>
      <c r="FZ106" s="43" t="n">
        <f aca="false">IF(AND(Tasks[[#This Row],[_IsLeaf]]=1,Tasks[[#This Row],[_LeafTotalWork]]&gt;0),MAX(Tasks[[#This Row],[_StartWorkday]],NETWORKDAYS.INTL(ProjectStart,Tasks[[#This Row],[_ShownFcstFinish]],WorkWeek,Holidays)),0)</f>
        <v>0</v>
      </c>
      <c r="GA106" s="43" t="n">
        <f aca="false">IF(AND(Tasks[[#This Row],[_IsLeaf]]=1,Tasks[[#This Row],[_LeafTotalWork]]&gt;0),Tasks[[#This Row],[_LeafWork]]/(Tasks[[#This Row],[_FinishWorkday]]-Tasks[[#This Row],[_StartWorkday]]+1),0)</f>
        <v>0</v>
      </c>
      <c r="GB106" s="43" t="n">
        <f aca="false">Tasks[[#This Row],[_WorkPerWorkday]]*(Tasks[[#This Row],[_StartWorkday]]-1)</f>
        <v>-0</v>
      </c>
      <c r="GC106" s="43" t="n">
        <f aca="false">IF(Tasks[[#This Row],[_IsLeaf]]=1,MAX(N(Tasks[[#This Row],[_Days]]),0.1),0)</f>
        <v>0</v>
      </c>
      <c r="GD106" s="43" t="n">
        <f aca="false">Tasks[[#This Row],[_WeightDur]]*Tasks[[#This Row],[_LeafProgress]]</f>
        <v>0</v>
      </c>
      <c r="GE106" s="43" t="n">
        <f aca="false">Tasks[[#This Row],[_WeightDur]]*Tasks[[#This Row],[_PlannedPct]]</f>
        <v>0</v>
      </c>
      <c r="GF10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6" s="43" t="str">
        <f aca="false">IF(AND(Tasks[[#This Row],[_IsLeaf]]=1,N(Tasks[[#This Row],[_Days]])=0,Tasks[[#This Row],[_LeafProgress]]&lt;1),Tasks[[#This Row],[_ShownFcstFinish]]+Tasks[[#This Row],[_Row]]/100000,"")</f>
        <v/>
      </c>
      <c r="GH10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6" s="43" t="str">
        <f aca="false">IF(Tasks[[#This Row],[Task Name]]="","",LEFT(Tasks[[#This Row],[WBS]],FIND(".",Tasks[[#This Row],[WBS]]&amp;".")-1))</f>
        <v/>
      </c>
      <c r="GJ106" s="43" t="str">
        <f aca="false">IF(AND(Tasks[[#This Row],[Task Name]]&lt;&gt;"",Tasks[[#This Row],[_Level]]=1),Tasks[[#This Row],[_Row]],"")</f>
        <v/>
      </c>
      <c r="GK106" s="43" t="str">
        <f aca="false">IF(AND(Tasks[[#This Row],[_IsLeaf]]=1,N(Tasks[[#This Row],[_Days]])=0),Tasks[[#This Row],[Planned Finish]]+Tasks[[#This Row],[_Row]]/100000,"")</f>
        <v/>
      </c>
      <c r="GL106" s="43" t="str">
        <f aca="false">IF(AND(Tasks[[#This Row],[_IsLeaf]]=1,Tasks[[#This Row],[_LeafProgress]]&lt;1,OR(N(Tasks[[#This Row],[Finish Var]])&gt;0,Tasks[[#This Row],[Status]]="Late Start")),MAX(0,Tasks[[#This Row],[Finish Var]])+1-Tasks[[#This Row],[_Row]]/1000000,"")</f>
        <v/>
      </c>
      <c r="GM106" s="43" t="str">
        <f aca="false">IF(AND(Tasks[[#This Row],[_IsLeaf]]=1,N(Tasks[[#This Row],[Actual Start]])=0,Tasks[[#This Row],[_ShownFcstStart]]&gt;=StatusDate,Tasks[[#This Row],[_ShownFcstStart]]&lt;=LookaheadEnd),Tasks[[#This Row],[_ShownFcstStart]]+Tasks[[#This Row],[_Row]]/100000,"")</f>
        <v/>
      </c>
      <c r="GN106" s="43" t="str">
        <f aca="false">IF(AND(Tasks[[#This Row],[_IsLeaf]]=1,Tasks[[#This Row],[_LeafProgress]]&lt;1,Tasks[[#This Row],[_ShownFcstFinish]]&gt;=StatusDate,Tasks[[#This Row],[_ShownFcstFinish]]&lt;=LookaheadEnd),Tasks[[#This Row],[_ShownFcstFinish]]+Tasks[[#This Row],[_Row]]/100000,"")</f>
        <v/>
      </c>
      <c r="GO106" s="43" t="str">
        <f aca="false">IF(Tasks[[#This Row],[_LeafCritical]],Tasks[[#This Row],[_ShownFcstStart]]+Tasks[[#This Row],[_Row]]/100000,"")</f>
        <v/>
      </c>
      <c r="GP106" s="43" t="n">
        <f aca="false">Tasks[[#This Row],[_LeafWork]]*Tasks[[#This Row],[_LeafProgress]]</f>
        <v>0</v>
      </c>
      <c r="GQ106" s="91" t="str">
        <f aca="false">IF(AND(Tasks[[#This Row],[_IsLeaf]]=1,Tasks[[#This Row],[_LeafProgress]]&gt;=1),IF(N(Tasks[[#This Row],[Actual Finish]])&gt;0,Tasks[[#This Row],[Actual Finish]],Tasks[[#This Row],[_ShownFcstFinish]]),"")</f>
        <v/>
      </c>
      <c r="GR106" s="43" t="n">
        <f aca="false">IF(Tasks[[#This Row],[_IsLeaf]]=1,N(Tasks[[#This Row],[Story Points]]),0)</f>
        <v>0</v>
      </c>
      <c r="GS106" s="43" t="str">
        <f aca="false">""</f>
        <v/>
      </c>
      <c r="GT106" s="90" t="b">
        <f aca="false">IF(Tasks[[#This Row],[Task Name]]="",FALSE(),AND(Tasks[[#This Row],[_IsLeaf]]=1,N(Tasks[[#This Row],[_Days]])=0))</f>
        <v>0</v>
      </c>
      <c r="GU106" s="91" t="n">
        <f aca="false">IF(Tasks[[#This Row],[Task Name]]="",0,IF(AND(Tasks[[#This Row],[_IsLeaf]]=1,NOT(Tasks[[#This Row],[_IsMilestone]]),N(Tasks[[#This Row],[Progress]])&gt;0),Tasks[[#This Row],[Start]],0))</f>
        <v>0</v>
      </c>
      <c r="GV106" s="91" t="n">
        <f aca="false">IF(Tasks[[#This Row],[_DoneFrom]]=0,0,IF(Tasks[[#This Row],[Progress]]&gt;=1,Tasks[[#This Row],[Finish]],MAX(Tasks[[#This Row],[_DoneFrom]],Tasks[[#This Row],[Start]]+ROUND((Tasks[[#This Row],[Finish]]-Tasks[[#This Row],[Start]]+1)*Tasks[[#This Row],[Progress]],0)-1)))</f>
        <v>0</v>
      </c>
      <c r="GW106" s="91" t="n">
        <f aca="false">IF(Tasks[[#This Row],[Task Name]]="",0,IF(OR(NOT(Tasks[[#This Row],[_IsLeaf]]=1),Tasks[[#This Row],[_IsMilestone]],N(Tasks[[#This Row],[Progress]])&gt;=1),0,IF(Tasks[[#This Row],[_DoneTo]]&gt;0,Tasks[[#This Row],[_DoneTo]]+1,Tasks[[#This Row],[Start]])))</f>
        <v>0</v>
      </c>
      <c r="GX106" s="91" t="n">
        <f aca="false">IF(Tasks[[#This Row],[_RemFrom]]=0,0,Tasks[[#This Row],[Finish]])</f>
        <v>0</v>
      </c>
      <c r="GY106" s="90" t="b">
        <f aca="false">IF(Tasks[[#This Row],[Task Name]]="",FALSE(),OR(NOT(BaselineSet),N(Tasks[[#This Row],[Baseline Start]])&gt;0))</f>
        <v>0</v>
      </c>
      <c r="GZ10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6" s="92" t="str">
        <f aca="false">IF(Tasks[[#This Row],[_IsLeaf]]=1,Tasks[[#This Row],[_Row]],"")</f>
        <v/>
      </c>
      <c r="HD106" s="92" t="str">
        <f aca="false">IFERROR(INDEX(Tasks[UID],SMALL(Tasks[_PickKey],Tasks[[#This Row],[_Row]]))&amp;" "&amp;INDEX(Tasks[Task Name],SMALL(Tasks[_PickKey],Tasks[[#This Row],[_Row]])),"")</f>
        <v/>
      </c>
      <c r="HE106" s="43" t="str">
        <f aca="false">IF(Tasks[[#This Row],[Task Name]]="","",IF(Tasks[[#This Row],[_IsSummary]],NETWORKDAYS.INTL(Tasks[[#This Row],[Start]],Tasks[[#This Row],[Finish]],WorkWeek,Holidays),N(Tasks[[#This Row],[_Days]])))</f>
        <v/>
      </c>
      <c r="HF106" s="43" t="n">
        <f aca="false">IF(Tasks[[#This Row],[Expected]]="",0,((Tasks[[#This Row],[Pessimistic]]-Tasks[[#This Row],[Optimistic]])/6)^2)</f>
        <v>0</v>
      </c>
      <c r="HG106" s="43" t="n">
        <f aca="false">IF(Tasks[[#This Row],[Expected]]="",0,Tasks[[#This Row],[Expected]]-N(Tasks[[#This Row],[_Days]]))</f>
        <v>0</v>
      </c>
    </row>
    <row r="107" customFormat="false" ht="15" hidden="false" customHeight="false" outlineLevel="0" collapsed="false">
      <c r="A107" s="21" t="str">
        <f aca="false">IF(Tasks[[#This Row],[Task Name]]="","",COUNTA(Tasks[[#Headers],[Task Name]]:Tasks[[#This Row],[Task Name]])-1)</f>
        <v/>
      </c>
      <c r="B107" s="22" t="n">
        <v>115</v>
      </c>
      <c r="C107" s="22"/>
      <c r="D107" s="23"/>
      <c r="E107" s="22"/>
      <c r="F107" s="23"/>
      <c r="G107" s="22"/>
      <c r="H107" s="22"/>
      <c r="I107" s="23"/>
      <c r="J107" s="22"/>
      <c r="K107" s="22"/>
      <c r="L107" s="23"/>
      <c r="M107" s="22"/>
      <c r="N107" s="22"/>
      <c r="O107" s="23"/>
      <c r="P107" s="22"/>
      <c r="Q107" s="22"/>
      <c r="R107" s="23"/>
      <c r="S107" s="23"/>
      <c r="T107" s="84"/>
      <c r="U107" s="23"/>
      <c r="V107" s="84"/>
      <c r="W107" s="23"/>
      <c r="X107" s="84"/>
      <c r="Y107" s="23"/>
      <c r="Z107" s="84"/>
      <c r="AA107" s="23"/>
      <c r="AB107" s="23"/>
      <c r="AC107" s="7"/>
      <c r="AD107" s="7"/>
      <c r="AE107" s="63" t="str">
        <f aca="false">IF(Tasks[[#This Row],[Task Name]]="","",IF(Tasks[[#This Row],[_IsSummary]],MIN(INDEX(Tasks[_ShownFcstStart],Tasks[[#This Row],[_Row]]+1):INDEX(Tasks[_ShownFcstStart],Tasks[[#This Row],[_Row]]+Tasks[[#This Row],[_Descendants]])),Tasks[[#This Row],[_ShownFcstStart]]))</f>
        <v/>
      </c>
      <c r="AF107" s="63" t="str">
        <f aca="false">IF(Tasks[[#This Row],[Task Name]]="","",IF(Tasks[[#This Row],[_IsSummary]],MAX(INDEX(Tasks[_ShownFcstFinish],Tasks[[#This Row],[_Row]]+1):INDEX(Tasks[_ShownFcstFinish],Tasks[[#This Row],[_Row]]+Tasks[[#This Row],[_Descendants]])),Tasks[[#This Row],[_ShownFcstFinish]]))</f>
        <v/>
      </c>
      <c r="AG107" s="21" t="str">
        <f aca="false">""</f>
        <v/>
      </c>
      <c r="AH107" s="23"/>
      <c r="AI10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7" s="7"/>
      <c r="AK107" s="22"/>
      <c r="AL107" s="23"/>
      <c r="AM107" s="7"/>
      <c r="AN107" s="47" t="str">
        <f aca="false">IF(Tasks[[#This Row],[Task Name]]="","",IF(Tasks[[#This Row],[Finish]]&gt;=Tasks[[#This Row],[Planned Finish]],NETWORKDAYS.INTL(Tasks[[#This Row],[Planned Finish]],Tasks[[#This Row],[Finish]],WorkWeek,Holidays)-1,1-NETWORKDAYS.INTL(Tasks[[#This Row],[Finish]],Tasks[[#This Row],[Planned Finish]],WorkWeek,Holidays)))</f>
        <v/>
      </c>
      <c r="AO107" s="21" t="str">
        <f aca="false">IF(Tasks[[#This Row],[Task Name]]="","",IF(Tasks[[#This Row],[Progress]]&gt;=1,"Complete",IF(OR(N(Tasks[[#This Row],[Actual Start]])&gt;0,Tasks[[#This Row],[Progress]]&gt;0),IF(Tasks[[#This Row],[Finish Var]]&gt;0,"Behind","In Progress"),IF(Tasks[[#This Row],[Planned Start]]&lt;StatusDate,"Late Start","Not Started"))))</f>
        <v/>
      </c>
      <c r="AP107" s="21" t="str">
        <f aca="false">IF(Tasks[[#This Row],[Task Name]]="","",IF(IF(Tasks[[#This Row],[_IsSummary]],COUNTIF(INDEX(Tasks[_LeafCritical],Tasks[[#This Row],[_Row]]+1):INDEX(Tasks[_LeafCritical],Tasks[[#This Row],[_Row]]+Tasks[[#This Row],[_Descendants]]),TRUE())&gt;0,Tasks[[#This Row],[_LeafCritical]]),"Yes",""))</f>
        <v/>
      </c>
      <c r="AQ107" s="63" t="str">
        <f aca="false">IF(Tasks[[#This Row],[Task Name]]="","",IF(N(Tasks[[#This Row],[Baseline Start]])&gt;0,Tasks[[#This Row],[Baseline Start]],Tasks[[#This Row],[_CalcStart]]))</f>
        <v/>
      </c>
      <c r="AR107" s="63" t="str">
        <f aca="false">IF(Tasks[[#This Row],[Task Name]]="","",IF(N(Tasks[[#This Row],[Baseline Finish]])&gt;0,Tasks[[#This Row],[Baseline Finish]],Tasks[[#This Row],[_CalcFinish]]))</f>
        <v/>
      </c>
      <c r="AS107" s="47" t="str">
        <f aca="false">IF(Tasks[[#This Row],[Task Name]]="","",IF(Tasks[[#This Row],[Start]]&gt;=Tasks[[#This Row],[Planned Start]],NETWORKDAYS.INTL(Tasks[[#This Row],[Planned Start]],Tasks[[#This Row],[Start]],WorkWeek,Holidays)-1,1-NETWORKDAYS.INTL(Tasks[[#This Row],[Start]],Tasks[[#This Row],[Planned Start]],WorkWeek,Holidays)))</f>
        <v/>
      </c>
      <c r="AT107" s="63" t="str">
        <f aca="false">IF(Tasks[[#This Row],[Task Name]]="","",IF(Tasks[[#This Row],[_IsSummary]],MIN(INDEX(Tasks[_LeafLateStart],Tasks[[#This Row],[_Row]]+1):INDEX(Tasks[_LeafLateStart],Tasks[[#This Row],[_Row]]+Tasks[[#This Row],[_Descendants]])),Tasks[[#This Row],[_LeafLateStart]]))</f>
        <v/>
      </c>
      <c r="AU107" s="63" t="str">
        <f aca="false">IF(Tasks[[#This Row],[Task Name]]="","",IF(Tasks[[#This Row],[_IsSummary]],MAX(INDEX(Tasks[_LeafLateFinish],Tasks[[#This Row],[_Row]]+1):INDEX(Tasks[_LeafLateFinish],Tasks[[#This Row],[_Row]]+Tasks[[#This Row],[_Descendants]])),Tasks[[#This Row],[_LeafLateFinish]]))</f>
        <v/>
      </c>
      <c r="AV107" s="47" t="str">
        <f aca="false">IF(Tasks[[#This Row],[Task Name]]="","",IF(Tasks[[#This Row],[_IsSummary]],MIN(INDEX(Tasks[_LeafTotalSlack],Tasks[[#This Row],[_Row]]+1):INDEX(Tasks[_LeafTotalSlack],Tasks[[#This Row],[_Row]]+Tasks[[#This Row],[_Descendants]])),Tasks[[#This Row],[_LeafTotalSlack]]))</f>
        <v/>
      </c>
      <c r="AW10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5"/>
      <c r="BA10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t="str">
        <f aca="false">IF(Tasks[[#This Row],[Task Name]]="","",IF(Tasks[[#This Row],[_Level]]&lt;=OutlineShowLevel,"Yes","No"))</f>
        <v/>
      </c>
      <c r="BE107" s="86" t="str">
        <f aca="false">IF(Tasks[[#This Row],[Task Name]]="","",IF(Tasks[[#This Row],[_IsSummary]],SUM(INDEX(Tasks[_LeafTotalWork],Tasks[[#This Row],[_Row]]+1):INDEX(Tasks[_LeafTotalWork],Tasks[[#This Row],[_Row]]+Tasks[[#This Row],[_Descendants]])),Tasks[[#This Row],[_LeafTotalWork]]))</f>
        <v/>
      </c>
      <c r="BF107" s="23"/>
      <c r="BG10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t="str">
        <f aca="false">""</f>
        <v/>
      </c>
      <c r="BI107" s="87"/>
      <c r="BJ107" s="22"/>
      <c r="BK107" s="47" t="str">
        <f aca="false">IF(OR(Tasks[[#This Row],[Task Name]]="",Tasks[[#This Row],[Baseline Duration]]=""),"",Tasks[[#This Row],[_SpanDays]]-N(Tasks[[#This Row],[Baseline Duration]]))</f>
        <v/>
      </c>
      <c r="BL107" s="86" t="str">
        <f aca="false">IF(OR(Tasks[[#This Row],[Task Name]]="",Tasks[[#This Row],[Baseline Work]]=""),"",Tasks[[#This Row],[Work]]-N(Tasks[[#This Row],[Baseline Work]]))</f>
        <v/>
      </c>
      <c r="BM107" s="63" t="str">
        <f aca="false">IF(Tasks[[#This Row],[Task Name]]="","",IF(OR(TakeBaseline="Yes",N(Tasks[[#This Row],[Baseline Start]])=0),Tasks[[#This Row],[Start]],Tasks[[#This Row],[Baseline Start]]))</f>
        <v/>
      </c>
      <c r="BN107" s="63" t="str">
        <f aca="false">IF(Tasks[[#This Row],[Task Name]]="","",IF(OR(TakeBaseline="Yes",N(Tasks[[#This Row],[Baseline Finish]])=0),Tasks[[#This Row],[Finish]],Tasks[[#This Row],[Baseline Finish]]))</f>
        <v/>
      </c>
      <c r="BO107" s="21" t="str">
        <f aca="false">IF(Tasks[[#This Row],[Task Name]]="","",IF(OR(TakeBaseline="Yes",N(Tasks[[#This Row],[Baseline Duration]])=0),Tasks[[#This Row],[_SpanDays]],Tasks[[#This Row],[Baseline Duration]]))</f>
        <v/>
      </c>
      <c r="BP107" s="86" t="str">
        <f aca="false">IF(Tasks[[#This Row],[Task Name]]="","",IF(OR(TakeBaseline="Yes",N(Tasks[[#This Row],[Baseline Work]])=0),Tasks[[#This Row],[Work]],Tasks[[#This Row],[Baseline Work]]))</f>
        <v/>
      </c>
      <c r="BQ107" s="7"/>
      <c r="BR107" s="7"/>
      <c r="BS107" s="22"/>
      <c r="BT107" s="88"/>
      <c r="BU107" s="23"/>
      <c r="BV107" s="23"/>
      <c r="BW107" s="23"/>
      <c r="BX107" s="89" t="str">
        <f aca="false">IF(AND(Tasks[[#This Row],[_IsLeaf]]=1,ISNUMBER(Tasks[[#This Row],[Optimistic]]),ISNUMBER(Tasks[[#This Row],[Pessimistic]])),ROUND((Tasks[[#This Row],[Optimistic]]+4*N(Tasks[[#This Row],[_Days]])+Tasks[[#This Row],[Pessimistic]])/6,1),"")</f>
        <v/>
      </c>
      <c r="BY107" s="87"/>
      <c r="BZ107" s="87"/>
      <c r="CA107" s="22"/>
      <c r="CB107" s="43" t="str">
        <f aca="false">IF(Tasks[[#This Row],[Task Name]]="","",MAX(1,N(Tasks[[#This Row],[Level]])))</f>
        <v/>
      </c>
      <c r="CC107" s="43" t="n">
        <f aca="false">ROW()-ROW(Tasks[[#Headers],[ID]])</f>
        <v>102</v>
      </c>
      <c r="CD107" s="43" t="n">
        <f aca="false">IF(OR(Tasks[[#This Row],[Task Name]]="",Tasks[[#This Row],[_Level]]&lt;=1),0,IFERROR(LOOKUP(2,1/(Tasks[[#Headers],[_Level]]:Tasks[[#This Row],[_Level]]=Tasks[[#This Row],[_Level]]-1),ROW(Tasks[[#Headers],[_Level]]:Tasks[[#This Row],[_Level]])),0))</f>
        <v>0</v>
      </c>
      <c r="CE107" s="43" t="n">
        <f aca="false">IFERROR(N(INDEX(Tasks[_Level],Tasks[[#This Row],[_Row]]+1)),0)</f>
        <v>0</v>
      </c>
      <c r="CF107" s="90" t="b">
        <f aca="false">AND(Tasks[[#This Row],[Task Name]]&lt;&gt;"",Tasks[[#This Row],[_NextLevel]]&gt;Tasks[[#This Row],[_Level]])</f>
        <v>0</v>
      </c>
      <c r="CG107" s="43" t="n">
        <f aca="false">IF(Tasks[[#This Row],[_IsSummary]],COUNTIF(Tasks[WBS],Tasks[[#This Row],[WBS]]&amp;".*"),0)</f>
        <v>0</v>
      </c>
      <c r="CH107" s="43" t="n">
        <f aca="false">IF(AND(Tasks[[#This Row],[Task Name]]&lt;&gt;"",NOT(Tasks[[#This Row],[_IsSummary]])),1,0)</f>
        <v>0</v>
      </c>
      <c r="CI107" s="43" t="n">
        <f aca="false">IF(N(Tasks[[#This Row],[_Pred1UID]])=0,0,IFERROR(MATCH(Tasks[[#This Row],[_Pred1UID]],Tasks[UID],0),-1))</f>
        <v>0</v>
      </c>
      <c r="CJ107" s="43" t="n">
        <f aca="false">IF(N(Tasks[[#This Row],[_Pred2UID]])=0,0,IFERROR(MATCH(Tasks[[#This Row],[_Pred2UID]],Tasks[UID],0),-1))</f>
        <v>0</v>
      </c>
      <c r="CK107" s="43" t="n">
        <f aca="false">IF(N(Tasks[[#This Row],[_Pred3UID]])=0,0,IFERROR(MATCH(Tasks[[#This Row],[_Pred3UID]],Tasks[UID],0),-1))</f>
        <v>0</v>
      </c>
      <c r="CL107" s="43" t="n">
        <f aca="false">IF(N(Tasks[[#This Row],[_Pred4UID]])=0,0,IFERROR(MATCH(Tasks[[#This Row],[_Pred4UID]],Tasks[UID],0),-1))</f>
        <v>0</v>
      </c>
      <c r="CM10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7" s="91" t="n">
        <f aca="false">IF(OR(Tasks[[#This Row],[_ConstraintCode]]=2,Tasks[[#This Row],[_ConstraintCode]]=3,Tasks[[#This Row],[_ConstraintCode]]=4,Tasks[[#This Row],[_ConstraintCode]]=6),Tasks[[#This Row],[_ConstraintStart]],0)</f>
        <v>0</v>
      </c>
      <c r="CP107" s="91" t="n">
        <f aca="false">IF(OR(Tasks[[#This Row],[_ConstraintCode]]=2,Tasks[[#This Row],[_ConstraintCode]]=3,Tasks[[#This Row],[_ConstraintCode]]=5,Tasks[[#This Row],[_ConstraintCode]]=7),Tasks[[#This Row],[_ConstraintStart]],2958465)</f>
        <v>2958465</v>
      </c>
      <c r="CQ10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7" s="91" t="str">
        <f aca="false">IF(NOT(Tasks[[#This Row],[_IsLeaf]]=1),"",IF(N(Tasks[[#This Row],[_Days]])&lt;=0,Tasks[[#This Row],[_LeafCalcStart]],WORKDAY.INTL(Tasks[[#This Row],[_LeafCalcStart]],Tasks[[#This Row],[_Days]]-1,WorkWeek,Holidays)))</f>
        <v/>
      </c>
      <c r="CS10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7" s="43" t="str">
        <f aca="false">IF(Tasks[[#This Row],[_Predecessors]]="","",TRIM(MID(SUBSTITUTE(SUBSTITUTE(SUBSTITUTE(UPPER(Tasks[[#This Row],[_Predecessors]]),";",",")," ",""),",",REPT(" ",99)),1,99)))</f>
        <v/>
      </c>
      <c r="CV107" s="43" t="str">
        <f aca="false">IF(Tasks[[#This Row],[_Pred1Text]]="","",IFERROR(VALUE(LEFT(Tasks[[#This Row],[_Pred1Text]],MIN(FIND("F",Tasks[[#This Row],[_Pred1Text]]&amp;"F"),FIND("S",Tasks[[#This Row],[_Pred1Text]]&amp;"S"),FIND("+",Tasks[[#This Row],[_Pred1Text]]&amp;"+"),FIND("-",Tasks[[#This Row],[_Pred1Text]]&amp;"-"))-1)),""))</f>
        <v/>
      </c>
      <c r="CW10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7" s="43" t="str">
        <f aca="false">IF(Tasks[[#This Row],[_Pred1Text]]="","",TRIM(MID(SUBSTITUTE(SUBSTITUTE(SUBSTITUTE(UPPER(Tasks[[#This Row],[_Predecessors]]),";",",")," ",""),",",REPT(" ",99)),100,99)))</f>
        <v/>
      </c>
      <c r="CZ107" s="43" t="str">
        <f aca="false">IF(Tasks[[#This Row],[_Pred2Text]]="","",IFERROR(VALUE(LEFT(Tasks[[#This Row],[_Pred2Text]],MIN(FIND("F",Tasks[[#This Row],[_Pred2Text]]&amp;"F"),FIND("S",Tasks[[#This Row],[_Pred2Text]]&amp;"S"),FIND("+",Tasks[[#This Row],[_Pred2Text]]&amp;"+"),FIND("-",Tasks[[#This Row],[_Pred2Text]]&amp;"-"))-1)),""))</f>
        <v/>
      </c>
      <c r="DA10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7" s="43" t="str">
        <f aca="false">IF(Tasks[[#This Row],[_Pred2Text]]="","",TRIM(MID(SUBSTITUTE(SUBSTITUTE(SUBSTITUTE(UPPER(Tasks[[#This Row],[_Predecessors]]),";",",")," ",""),",",REPT(" ",99)),199,99)))</f>
        <v/>
      </c>
      <c r="DD107" s="43" t="str">
        <f aca="false">IF(Tasks[[#This Row],[_Pred3Text]]="","",IFERROR(VALUE(LEFT(Tasks[[#This Row],[_Pred3Text]],MIN(FIND("F",Tasks[[#This Row],[_Pred3Text]]&amp;"F"),FIND("S",Tasks[[#This Row],[_Pred3Text]]&amp;"S"),FIND("+",Tasks[[#This Row],[_Pred3Text]]&amp;"+"),FIND("-",Tasks[[#This Row],[_Pred3Text]]&amp;"-"))-1)),""))</f>
        <v/>
      </c>
      <c r="DE10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7" s="43" t="str">
        <f aca="false">IF(Tasks[[#This Row],[_Pred3Text]]="","",TRIM(MID(SUBSTITUTE(SUBSTITUTE(SUBSTITUTE(UPPER(Tasks[[#This Row],[_Predecessors]]),";",",")," ",""),",",REPT(" ",99)),298,99)))</f>
        <v/>
      </c>
      <c r="DH107" s="43" t="str">
        <f aca="false">IF(Tasks[[#This Row],[_Pred4Text]]="","",IFERROR(VALUE(LEFT(Tasks[[#This Row],[_Pred4Text]],MIN(FIND("F",Tasks[[#This Row],[_Pred4Text]]&amp;"F"),FIND("S",Tasks[[#This Row],[_Pred4Text]]&amp;"S"),FIND("+",Tasks[[#This Row],[_Pred4Text]]&amp;"+"),FIND("-",Tasks[[#This Row],[_Pred4Text]]&amp;"-"))-1)),""))</f>
        <v/>
      </c>
      <c r="DI10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7" s="43" t="str">
        <f aca="false">IF(OR(Tasks[[#This Row],[Task Name]]="",Tasks[[#This Row],[_Resources]]=""),"",TRIM(MID(SUBSTITUTE(Tasks[[#This Row],[_Resources]],",",REPT(" ",99)),1,99)))</f>
        <v/>
      </c>
      <c r="DL107" s="43" t="str">
        <f aca="false">IF(Tasks[[#This Row],[_Res1Text]]="","",TRIM(MID(SUBSTITUTE(Tasks[[#This Row],[_Resources]],",",REPT(" ",99)),100,99)))</f>
        <v/>
      </c>
      <c r="DM107" s="43" t="str">
        <f aca="false">IF(Tasks[[#This Row],[_Res2Text]]="","",TRIM(MID(SUBSTITUTE(Tasks[[#This Row],[_Resources]],",",REPT(" ",99)),199,99)))</f>
        <v/>
      </c>
      <c r="DN107" s="43" t="str">
        <f aca="false">IF(Tasks[[#This Row],[_Res3Text]]="","",TRIM(MID(SUBSTITUTE(Tasks[[#This Row],[_Resources]],",",REPT(" ",99)),298,99)))</f>
        <v/>
      </c>
      <c r="DO107" s="43" t="n">
        <f aca="false">IF(Tasks[[#This Row],[_Res1Text]]="",0,IFERROR(MATCH(TRIM(LEFT(Tasks[[#This Row],[_Res1Text]],FIND("[",Tasks[[#This Row],[_Res1Text]]&amp;"[")-1)),res_Name,0),IFERROR(MATCH(TRIM(LEFT(Tasks[[#This Row],[_Res1Text]],FIND("[",Tasks[[#This Row],[_Res1Text]]&amp;"[")-1)),res_Initials,0),0)))</f>
        <v>0</v>
      </c>
      <c r="DP107" s="43" t="n">
        <f aca="false">IF(Tasks[[#This Row],[_Res2Text]]="",0,IFERROR(MATCH(TRIM(LEFT(Tasks[[#This Row],[_Res2Text]],FIND("[",Tasks[[#This Row],[_Res2Text]]&amp;"[")-1)),res_Name,0),IFERROR(MATCH(TRIM(LEFT(Tasks[[#This Row],[_Res2Text]],FIND("[",Tasks[[#This Row],[_Res2Text]]&amp;"[")-1)),res_Initials,0),0)))</f>
        <v>0</v>
      </c>
      <c r="DQ107" s="43" t="n">
        <f aca="false">IF(Tasks[[#This Row],[_Res3Text]]="",0,IFERROR(MATCH(TRIM(LEFT(Tasks[[#This Row],[_Res3Text]],FIND("[",Tasks[[#This Row],[_Res3Text]]&amp;"[")-1)),res_Name,0),IFERROR(MATCH(TRIM(LEFT(Tasks[[#This Row],[_Res3Text]],FIND("[",Tasks[[#This Row],[_Res3Text]]&amp;"[")-1)),res_Initials,0),0)))</f>
        <v>0</v>
      </c>
      <c r="DR107" s="43" t="n">
        <f aca="false">IF(Tasks[[#This Row],[_Res4Text]]="",0,IFERROR(MATCH(TRIM(LEFT(Tasks[[#This Row],[_Res4Text]],FIND("[",Tasks[[#This Row],[_Res4Text]]&amp;"[")-1)),res_Name,0),IFERROR(MATCH(TRIM(LEFT(Tasks[[#This Row],[_Res4Text]],FIND("[",Tasks[[#This Row],[_Res4Text]]&amp;"[")-1)),res_Initials,0),0)))</f>
        <v>0</v>
      </c>
      <c r="DS107" s="43" t="str">
        <f aca="false">IF(Tasks[[#This Row],[_Res1Text]]="","",IF(Tasks[[#This Row],[_Res1Row]]&gt;0,INDEX(res_Name,Tasks[[#This Row],[_Res1Row]]),TRIM(LEFT(Tasks[[#This Row],[_Res1Text]],FIND("[",Tasks[[#This Row],[_Res1Text]]&amp;"[")-1))))</f>
        <v/>
      </c>
      <c r="DT10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7" s="43" t="n">
        <f aca="false">IF(NOT(Tasks[[#This Row],[_IsLeaf]]=1),0,(Tasks[[#This Row],[_Resource1]]&lt;&gt;"")+(Tasks[[#This Row],[_Res2]]&lt;&gt;"")+(Tasks[[#This Row],[_Res3]]&lt;&gt;"")+(Tasks[[#This Row],[_Res4]]&lt;&gt;""))</f>
        <v>0</v>
      </c>
      <c r="DV107" s="43" t="str">
        <f aca="false">IF(Tasks[[#This Row],[_Res2Text]]="","",IF(Tasks[[#This Row],[_Res2Row]]&gt;0,INDEX(res_Name,Tasks[[#This Row],[_Res2Row]]),TRIM(LEFT(Tasks[[#This Row],[_Res2Text]],FIND("[",Tasks[[#This Row],[_Res2Text]]&amp;"[")-1))))</f>
        <v/>
      </c>
      <c r="DW10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7" s="43" t="n">
        <f aca="false">IF(OR(NOT(Tasks[[#This Row],[_IsLeaf]]=1),Tasks[[#This Row],[_Res2Row]]=0),0,N(Tasks[[#This Row],[_Days]])*HoursPerDay*IF(Tasks[[#This Row],[_Res2Units]]="",DefaultUnits,Tasks[[#This Row],[_Res2Units]]))</f>
        <v>0</v>
      </c>
      <c r="DY107" s="43" t="n">
        <f aca="false">IF(AND(AND(Tasks[[#This Row],[_IsLeaf]]=1,Tasks[[#This Row],[_LeafTotalWork]]&gt;0),Tasks[[#This Row],[_Res2Work]]&gt;0),Tasks[[#This Row],[_Res2Work]]/(Tasks[[#This Row],[_FinishWorkday]]-Tasks[[#This Row],[_StartWorkday]]+1),0)</f>
        <v>0</v>
      </c>
      <c r="DZ107" s="43" t="n">
        <f aca="false">Tasks[[#This Row],[_Res2WorkPerWD]]*MAX(0,Tasks[[#This Row],[_StartWorkday]]-1)</f>
        <v>0</v>
      </c>
      <c r="EA107" s="43" t="n">
        <f aca="false">Tasks[[#This Row],[_Res2Work]]*Tasks[[#This Row],[_LeafProgress]]</f>
        <v>0</v>
      </c>
      <c r="EB107" s="43" t="str">
        <f aca="false">IF(Tasks[[#This Row],[_Res3Text]]="","",IF(Tasks[[#This Row],[_Res3Row]]&gt;0,INDEX(res_Name,Tasks[[#This Row],[_Res3Row]]),TRIM(LEFT(Tasks[[#This Row],[_Res3Text]],FIND("[",Tasks[[#This Row],[_Res3Text]]&amp;"[")-1))))</f>
        <v/>
      </c>
      <c r="EC10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7" s="43" t="n">
        <f aca="false">IF(OR(NOT(Tasks[[#This Row],[_IsLeaf]]=1),Tasks[[#This Row],[_Res3Row]]=0),0,N(Tasks[[#This Row],[_Days]])*HoursPerDay*IF(Tasks[[#This Row],[_Res3Units]]="",DefaultUnits,Tasks[[#This Row],[_Res3Units]]))</f>
        <v>0</v>
      </c>
      <c r="EE107" s="43" t="n">
        <f aca="false">IF(AND(AND(Tasks[[#This Row],[_IsLeaf]]=1,Tasks[[#This Row],[_LeafTotalWork]]&gt;0),Tasks[[#This Row],[_Res3Work]]&gt;0),Tasks[[#This Row],[_Res3Work]]/(Tasks[[#This Row],[_FinishWorkday]]-Tasks[[#This Row],[_StartWorkday]]+1),0)</f>
        <v>0</v>
      </c>
      <c r="EF107" s="43" t="n">
        <f aca="false">Tasks[[#This Row],[_Res3WorkPerWD]]*MAX(0,Tasks[[#This Row],[_StartWorkday]]-1)</f>
        <v>0</v>
      </c>
      <c r="EG107" s="43" t="n">
        <f aca="false">Tasks[[#This Row],[_Res3Work]]*Tasks[[#This Row],[_LeafProgress]]</f>
        <v>0</v>
      </c>
      <c r="EH107" s="43" t="str">
        <f aca="false">IF(Tasks[[#This Row],[_Res4Text]]="","",IF(Tasks[[#This Row],[_Res4Row]]&gt;0,INDEX(res_Name,Tasks[[#This Row],[_Res4Row]]),TRIM(LEFT(Tasks[[#This Row],[_Res4Text]],FIND("[",Tasks[[#This Row],[_Res4Text]]&amp;"[")-1))))</f>
        <v/>
      </c>
      <c r="EI10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7" s="43" t="n">
        <f aca="false">IF(OR(NOT(Tasks[[#This Row],[_IsLeaf]]=1),Tasks[[#This Row],[_Res4Row]]=0),0,N(Tasks[[#This Row],[_Days]])*HoursPerDay*IF(Tasks[[#This Row],[_Res4Units]]="",DefaultUnits,Tasks[[#This Row],[_Res4Units]]))</f>
        <v>0</v>
      </c>
      <c r="EK107" s="43" t="n">
        <f aca="false">IF(AND(AND(Tasks[[#This Row],[_IsLeaf]]=1,Tasks[[#This Row],[_LeafTotalWork]]&gt;0),Tasks[[#This Row],[_Res4Work]]&gt;0),Tasks[[#This Row],[_Res4Work]]/(Tasks[[#This Row],[_FinishWorkday]]-Tasks[[#This Row],[_StartWorkday]]+1),0)</f>
        <v>0</v>
      </c>
      <c r="EL107" s="43" t="n">
        <f aca="false">Tasks[[#This Row],[_Res4WorkPerWD]]*MAX(0,Tasks[[#This Row],[_StartWorkday]]-1)</f>
        <v>0</v>
      </c>
      <c r="EM107" s="43" t="n">
        <f aca="false">Tasks[[#This Row],[_Res4Work]]*Tasks[[#This Row],[_LeafProgress]]</f>
        <v>0</v>
      </c>
      <c r="EN107" s="43" t="n">
        <f aca="false">IF(ISNUMBER(Tasks[[#This Row],[% Complete]]),Tasks[[#This Row],[% Complete]],IF(Tasks[[#This Row],[Stage]]="",0,IFERROR(INDEX(stg_Pct,MATCH(Tasks[[#This Row],[Stage]],stg_Name,0)),0)))</f>
        <v>0</v>
      </c>
      <c r="EO107" s="43" t="n">
        <f aca="false">IF(NOT(Tasks[[#This Row],[_IsLeaf]]=1),0,IF(N(Tasks[[#This Row],[Actual Finish]])&gt;0,1,MIN(1,Tasks[[#This Row],[_Pct]])))</f>
        <v>0</v>
      </c>
      <c r="EP107" s="43" t="n">
        <f aca="false">IF(OR(NOT(Tasks[[#This Row],[_IsLeaf]]=1),Tasks[[#This Row],[_Res1Row]]=0),0,N(Tasks[[#This Row],[_Days]])*HoursPerDay*IF(Tasks[[#This Row],[_Units1]]="",DefaultUnits,Tasks[[#This Row],[_Units1]]))</f>
        <v>0</v>
      </c>
      <c r="EQ107" s="43" t="n">
        <f aca="false">Tasks[[#This Row],[_LeafWork]]+Tasks[[#This Row],[_Res2Work]]+Tasks[[#This Row],[_Res3Work]]+Tasks[[#This Row],[_Res4Work]]</f>
        <v>0</v>
      </c>
      <c r="ER10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7" s="43" t="n">
        <f aca="false">IF(NOT(Tasks[[#This Row],[_IsLeaf]]=1),0,MAX(_xlfn.MAXIFS(Tasks[_Row],Tasks[_Pred1UID],Tasks[[#This Row],[UID]]),_xlfn.MAXIFS(Tasks[_Row],Tasks[_Pred2UID],Tasks[[#This Row],[UID]]),_xlfn.MAXIFS(Tasks[_Row],Tasks[_Pred3UID],Tasks[[#This Row],[UID]]),_xlfn.MAXIFS(Tasks[_Row],Tasks[_Pred4UID],Tasks[[#This Row],[UID]])))</f>
        <v>0</v>
      </c>
      <c r="FA10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7" s="91" t="str">
        <f aca="false">IF(NOT(Tasks[[#This Row],[_IsLeaf]]=1),"",IF(N(Tasks[[#This Row],[_Days]])&lt;=0,Tasks[[#This Row],[_LeafLateFinish]],WORKDAY.INTL(Tasks[[#This Row],[_LeafLateFinish]],-(Tasks[[#This Row],[_Days]]-1),WorkWeek,Holidays)))</f>
        <v/>
      </c>
      <c r="FD10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7" s="90" t="b">
        <f aca="false">AND(Tasks[[#This Row],[_IsLeaf]]=1,Tasks[[#This Row],[_LeafProgress]]&lt;1,N(Tasks[[#This Row],[_LeafTotalSlack]])&lt;=CriticalSlackDays)</f>
        <v>0</v>
      </c>
      <c r="FF107" s="43" t="n">
        <f aca="false">IF(AND(Tasks[[#This Row],[_IsLeaf]]=1,Tasks[[#This Row],[_ConstraintCode]]=1,Tasks[[#This Row],[Mode]]&lt;&gt;"Manual",N(Tasks[[#This Row],[Actual Start]])=0),MAX(0,N(Tasks[[#This Row],[Free Slack]])),0)</f>
        <v>0</v>
      </c>
      <c r="FG107" s="91" t="str">
        <f aca="false">IF(NOT(Tasks[[#This Row],[_IsLeaf]]=1),"",IF(Tasks[[#This Row],[_AlapShift]]=0,Tasks[[#This Row],[_LeafCalcStart]],WORKDAY.INTL(Tasks[[#This Row],[_LeafCalcStart]],Tasks[[#This Row],[_AlapShift]],WorkWeek,Holidays)))</f>
        <v/>
      </c>
      <c r="FH107" s="91" t="str">
        <f aca="false">IF(NOT(Tasks[[#This Row],[_IsLeaf]]=1),"",IF(Tasks[[#This Row],[_AlapShift]]=0,Tasks[[#This Row],[_LeafCalcFinish]],WORKDAY.INTL(Tasks[[#This Row],[_LeafCalcFinish]],Tasks[[#This Row],[_AlapShift]],WorkWeek,Holidays)))</f>
        <v/>
      </c>
      <c r="FI107" s="91" t="str">
        <f aca="false">IF(NOT(Tasks[[#This Row],[_IsLeaf]]=1),"",IF(Tasks[[#This Row],[_AlapShift]]=0,Tasks[[#This Row],[_LeafFcstStart]],WORKDAY.INTL(Tasks[[#This Row],[_LeafFcstStart]],Tasks[[#This Row],[_AlapShift]],WorkWeek,Holidays)))</f>
        <v/>
      </c>
      <c r="FJ107" s="91" t="str">
        <f aca="false">IF(NOT(Tasks[[#This Row],[_IsLeaf]]=1),"",IF(Tasks[[#This Row],[_AlapShift]]=0,Tasks[[#This Row],[_LeafFcstFinish]],WORKDAY.INTL(Tasks[[#This Row],[_LeafFcstFinish]],Tasks[[#This Row],[_AlapShift]],WorkWeek,Holidays)))</f>
        <v/>
      </c>
      <c r="FK107" s="91" t="str">
        <f aca="false">IF(Tasks[[#This Row],[Task Name]]="","",IF(Tasks[[#This Row],[_IsSummary]],MIN(INDEX(Tasks[_ShownCalcStart],Tasks[[#This Row],[_Row]]+1):INDEX(Tasks[_ShownCalcStart],Tasks[[#This Row],[_Row]]+Tasks[[#This Row],[_Descendants]])),Tasks[[#This Row],[_ShownCalcStart]]))</f>
        <v/>
      </c>
      <c r="FL107" s="91" t="str">
        <f aca="false">IF(Tasks[[#This Row],[Task Name]]="","",IF(Tasks[[#This Row],[_IsSummary]],MAX(INDEX(Tasks[_ShownCalcFinish],Tasks[[#This Row],[_Row]]+1):INDEX(Tasks[_ShownCalcFinish],Tasks[[#This Row],[_Row]]+Tasks[[#This Row],[_Descendants]])),Tasks[[#This Row],[_ShownCalcFinish]]))</f>
        <v/>
      </c>
      <c r="FM10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7" s="43" t="n">
        <f aca="false">IF(AND(Tasks[[#This Row],[_IsLeaf]]=1,Tasks[[#This Row],[_LeafTotalWork]]&gt;0),NETWORKDAYS.INTL(ProjectStart,Tasks[[#This Row],[_ShownFcstStart]],WorkWeek,Holidays),0)</f>
        <v>0</v>
      </c>
      <c r="FZ107" s="43" t="n">
        <f aca="false">IF(AND(Tasks[[#This Row],[_IsLeaf]]=1,Tasks[[#This Row],[_LeafTotalWork]]&gt;0),MAX(Tasks[[#This Row],[_StartWorkday]],NETWORKDAYS.INTL(ProjectStart,Tasks[[#This Row],[_ShownFcstFinish]],WorkWeek,Holidays)),0)</f>
        <v>0</v>
      </c>
      <c r="GA107" s="43" t="n">
        <f aca="false">IF(AND(Tasks[[#This Row],[_IsLeaf]]=1,Tasks[[#This Row],[_LeafTotalWork]]&gt;0),Tasks[[#This Row],[_LeafWork]]/(Tasks[[#This Row],[_FinishWorkday]]-Tasks[[#This Row],[_StartWorkday]]+1),0)</f>
        <v>0</v>
      </c>
      <c r="GB107" s="43" t="n">
        <f aca="false">Tasks[[#This Row],[_WorkPerWorkday]]*(Tasks[[#This Row],[_StartWorkday]]-1)</f>
        <v>-0</v>
      </c>
      <c r="GC107" s="43" t="n">
        <f aca="false">IF(Tasks[[#This Row],[_IsLeaf]]=1,MAX(N(Tasks[[#This Row],[_Days]]),0.1),0)</f>
        <v>0</v>
      </c>
      <c r="GD107" s="43" t="n">
        <f aca="false">Tasks[[#This Row],[_WeightDur]]*Tasks[[#This Row],[_LeafProgress]]</f>
        <v>0</v>
      </c>
      <c r="GE107" s="43" t="n">
        <f aca="false">Tasks[[#This Row],[_WeightDur]]*Tasks[[#This Row],[_PlannedPct]]</f>
        <v>0</v>
      </c>
      <c r="GF10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7" s="43" t="str">
        <f aca="false">IF(AND(Tasks[[#This Row],[_IsLeaf]]=1,N(Tasks[[#This Row],[_Days]])=0,Tasks[[#This Row],[_LeafProgress]]&lt;1),Tasks[[#This Row],[_ShownFcstFinish]]+Tasks[[#This Row],[_Row]]/100000,"")</f>
        <v/>
      </c>
      <c r="GH10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7" s="43" t="str">
        <f aca="false">IF(Tasks[[#This Row],[Task Name]]="","",LEFT(Tasks[[#This Row],[WBS]],FIND(".",Tasks[[#This Row],[WBS]]&amp;".")-1))</f>
        <v/>
      </c>
      <c r="GJ107" s="43" t="str">
        <f aca="false">IF(AND(Tasks[[#This Row],[Task Name]]&lt;&gt;"",Tasks[[#This Row],[_Level]]=1),Tasks[[#This Row],[_Row]],"")</f>
        <v/>
      </c>
      <c r="GK107" s="43" t="str">
        <f aca="false">IF(AND(Tasks[[#This Row],[_IsLeaf]]=1,N(Tasks[[#This Row],[_Days]])=0),Tasks[[#This Row],[Planned Finish]]+Tasks[[#This Row],[_Row]]/100000,"")</f>
        <v/>
      </c>
      <c r="GL107" s="43" t="str">
        <f aca="false">IF(AND(Tasks[[#This Row],[_IsLeaf]]=1,Tasks[[#This Row],[_LeafProgress]]&lt;1,OR(N(Tasks[[#This Row],[Finish Var]])&gt;0,Tasks[[#This Row],[Status]]="Late Start")),MAX(0,Tasks[[#This Row],[Finish Var]])+1-Tasks[[#This Row],[_Row]]/1000000,"")</f>
        <v/>
      </c>
      <c r="GM107" s="43" t="str">
        <f aca="false">IF(AND(Tasks[[#This Row],[_IsLeaf]]=1,N(Tasks[[#This Row],[Actual Start]])=0,Tasks[[#This Row],[_ShownFcstStart]]&gt;=StatusDate,Tasks[[#This Row],[_ShownFcstStart]]&lt;=LookaheadEnd),Tasks[[#This Row],[_ShownFcstStart]]+Tasks[[#This Row],[_Row]]/100000,"")</f>
        <v/>
      </c>
      <c r="GN107" s="43" t="str">
        <f aca="false">IF(AND(Tasks[[#This Row],[_IsLeaf]]=1,Tasks[[#This Row],[_LeafProgress]]&lt;1,Tasks[[#This Row],[_ShownFcstFinish]]&gt;=StatusDate,Tasks[[#This Row],[_ShownFcstFinish]]&lt;=LookaheadEnd),Tasks[[#This Row],[_ShownFcstFinish]]+Tasks[[#This Row],[_Row]]/100000,"")</f>
        <v/>
      </c>
      <c r="GO107" s="43" t="str">
        <f aca="false">IF(Tasks[[#This Row],[_LeafCritical]],Tasks[[#This Row],[_ShownFcstStart]]+Tasks[[#This Row],[_Row]]/100000,"")</f>
        <v/>
      </c>
      <c r="GP107" s="43" t="n">
        <f aca="false">Tasks[[#This Row],[_LeafWork]]*Tasks[[#This Row],[_LeafProgress]]</f>
        <v>0</v>
      </c>
      <c r="GQ107" s="91" t="str">
        <f aca="false">IF(AND(Tasks[[#This Row],[_IsLeaf]]=1,Tasks[[#This Row],[_LeafProgress]]&gt;=1),IF(N(Tasks[[#This Row],[Actual Finish]])&gt;0,Tasks[[#This Row],[Actual Finish]],Tasks[[#This Row],[_ShownFcstFinish]]),"")</f>
        <v/>
      </c>
      <c r="GR107" s="43" t="n">
        <f aca="false">IF(Tasks[[#This Row],[_IsLeaf]]=1,N(Tasks[[#This Row],[Story Points]]),0)</f>
        <v>0</v>
      </c>
      <c r="GS107" s="43" t="str">
        <f aca="false">""</f>
        <v/>
      </c>
      <c r="GT107" s="90" t="b">
        <f aca="false">IF(Tasks[[#This Row],[Task Name]]="",FALSE(),AND(Tasks[[#This Row],[_IsLeaf]]=1,N(Tasks[[#This Row],[_Days]])=0))</f>
        <v>0</v>
      </c>
      <c r="GU107" s="91" t="n">
        <f aca="false">IF(Tasks[[#This Row],[Task Name]]="",0,IF(AND(Tasks[[#This Row],[_IsLeaf]]=1,NOT(Tasks[[#This Row],[_IsMilestone]]),N(Tasks[[#This Row],[Progress]])&gt;0),Tasks[[#This Row],[Start]],0))</f>
        <v>0</v>
      </c>
      <c r="GV107" s="91" t="n">
        <f aca="false">IF(Tasks[[#This Row],[_DoneFrom]]=0,0,IF(Tasks[[#This Row],[Progress]]&gt;=1,Tasks[[#This Row],[Finish]],MAX(Tasks[[#This Row],[_DoneFrom]],Tasks[[#This Row],[Start]]+ROUND((Tasks[[#This Row],[Finish]]-Tasks[[#This Row],[Start]]+1)*Tasks[[#This Row],[Progress]],0)-1)))</f>
        <v>0</v>
      </c>
      <c r="GW107" s="91" t="n">
        <f aca="false">IF(Tasks[[#This Row],[Task Name]]="",0,IF(OR(NOT(Tasks[[#This Row],[_IsLeaf]]=1),Tasks[[#This Row],[_IsMilestone]],N(Tasks[[#This Row],[Progress]])&gt;=1),0,IF(Tasks[[#This Row],[_DoneTo]]&gt;0,Tasks[[#This Row],[_DoneTo]]+1,Tasks[[#This Row],[Start]])))</f>
        <v>0</v>
      </c>
      <c r="GX107" s="91" t="n">
        <f aca="false">IF(Tasks[[#This Row],[_RemFrom]]=0,0,Tasks[[#This Row],[Finish]])</f>
        <v>0</v>
      </c>
      <c r="GY107" s="90" t="b">
        <f aca="false">IF(Tasks[[#This Row],[Task Name]]="",FALSE(),OR(NOT(BaselineSet),N(Tasks[[#This Row],[Baseline Start]])&gt;0))</f>
        <v>0</v>
      </c>
      <c r="GZ10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7" s="92" t="str">
        <f aca="false">IF(Tasks[[#This Row],[_IsLeaf]]=1,Tasks[[#This Row],[_Row]],"")</f>
        <v/>
      </c>
      <c r="HD107" s="92" t="str">
        <f aca="false">IFERROR(INDEX(Tasks[UID],SMALL(Tasks[_PickKey],Tasks[[#This Row],[_Row]]))&amp;" "&amp;INDEX(Tasks[Task Name],SMALL(Tasks[_PickKey],Tasks[[#This Row],[_Row]])),"")</f>
        <v/>
      </c>
      <c r="HE107" s="43" t="str">
        <f aca="false">IF(Tasks[[#This Row],[Task Name]]="","",IF(Tasks[[#This Row],[_IsSummary]],NETWORKDAYS.INTL(Tasks[[#This Row],[Start]],Tasks[[#This Row],[Finish]],WorkWeek,Holidays),N(Tasks[[#This Row],[_Days]])))</f>
        <v/>
      </c>
      <c r="HF107" s="43" t="n">
        <f aca="false">IF(Tasks[[#This Row],[Expected]]="",0,((Tasks[[#This Row],[Pessimistic]]-Tasks[[#This Row],[Optimistic]])/6)^2)</f>
        <v>0</v>
      </c>
      <c r="HG107" s="43" t="n">
        <f aca="false">IF(Tasks[[#This Row],[Expected]]="",0,Tasks[[#This Row],[Expected]]-N(Tasks[[#This Row],[_Days]]))</f>
        <v>0</v>
      </c>
    </row>
    <row r="108" customFormat="false" ht="15" hidden="false" customHeight="false" outlineLevel="0" collapsed="false">
      <c r="A108" s="21" t="str">
        <f aca="false">IF(Tasks[[#This Row],[Task Name]]="","",COUNTA(Tasks[[#Headers],[Task Name]]:Tasks[[#This Row],[Task Name]])-1)</f>
        <v/>
      </c>
      <c r="B108" s="22" t="n">
        <v>116</v>
      </c>
      <c r="C108" s="22"/>
      <c r="D108" s="23"/>
      <c r="E108" s="22"/>
      <c r="F108" s="23"/>
      <c r="G108" s="22"/>
      <c r="H108" s="22"/>
      <c r="I108" s="23"/>
      <c r="J108" s="22"/>
      <c r="K108" s="22"/>
      <c r="L108" s="23"/>
      <c r="M108" s="22"/>
      <c r="N108" s="22"/>
      <c r="O108" s="23"/>
      <c r="P108" s="22"/>
      <c r="Q108" s="22"/>
      <c r="R108" s="23"/>
      <c r="S108" s="23"/>
      <c r="T108" s="84"/>
      <c r="U108" s="23"/>
      <c r="V108" s="84"/>
      <c r="W108" s="23"/>
      <c r="X108" s="84"/>
      <c r="Y108" s="23"/>
      <c r="Z108" s="84"/>
      <c r="AA108" s="23"/>
      <c r="AB108" s="23"/>
      <c r="AC108" s="7"/>
      <c r="AD108" s="7"/>
      <c r="AE108" s="63" t="str">
        <f aca="false">IF(Tasks[[#This Row],[Task Name]]="","",IF(Tasks[[#This Row],[_IsSummary]],MIN(INDEX(Tasks[_ShownFcstStart],Tasks[[#This Row],[_Row]]+1):INDEX(Tasks[_ShownFcstStart],Tasks[[#This Row],[_Row]]+Tasks[[#This Row],[_Descendants]])),Tasks[[#This Row],[_ShownFcstStart]]))</f>
        <v/>
      </c>
      <c r="AF108" s="63" t="str">
        <f aca="false">IF(Tasks[[#This Row],[Task Name]]="","",IF(Tasks[[#This Row],[_IsSummary]],MAX(INDEX(Tasks[_ShownFcstFinish],Tasks[[#This Row],[_Row]]+1):INDEX(Tasks[_ShownFcstFinish],Tasks[[#This Row],[_Row]]+Tasks[[#This Row],[_Descendants]])),Tasks[[#This Row],[_ShownFcstFinish]]))</f>
        <v/>
      </c>
      <c r="AG108" s="21" t="str">
        <f aca="false">""</f>
        <v/>
      </c>
      <c r="AH108" s="23"/>
      <c r="AI10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8" s="7"/>
      <c r="AK108" s="22"/>
      <c r="AL108" s="23"/>
      <c r="AM108" s="7"/>
      <c r="AN108" s="47" t="str">
        <f aca="false">IF(Tasks[[#This Row],[Task Name]]="","",IF(Tasks[[#This Row],[Finish]]&gt;=Tasks[[#This Row],[Planned Finish]],NETWORKDAYS.INTL(Tasks[[#This Row],[Planned Finish]],Tasks[[#This Row],[Finish]],WorkWeek,Holidays)-1,1-NETWORKDAYS.INTL(Tasks[[#This Row],[Finish]],Tasks[[#This Row],[Planned Finish]],WorkWeek,Holidays)))</f>
        <v/>
      </c>
      <c r="AO108" s="21" t="str">
        <f aca="false">IF(Tasks[[#This Row],[Task Name]]="","",IF(Tasks[[#This Row],[Progress]]&gt;=1,"Complete",IF(OR(N(Tasks[[#This Row],[Actual Start]])&gt;0,Tasks[[#This Row],[Progress]]&gt;0),IF(Tasks[[#This Row],[Finish Var]]&gt;0,"Behind","In Progress"),IF(Tasks[[#This Row],[Planned Start]]&lt;StatusDate,"Late Start","Not Started"))))</f>
        <v/>
      </c>
      <c r="AP108" s="21" t="str">
        <f aca="false">IF(Tasks[[#This Row],[Task Name]]="","",IF(IF(Tasks[[#This Row],[_IsSummary]],COUNTIF(INDEX(Tasks[_LeafCritical],Tasks[[#This Row],[_Row]]+1):INDEX(Tasks[_LeafCritical],Tasks[[#This Row],[_Row]]+Tasks[[#This Row],[_Descendants]]),TRUE())&gt;0,Tasks[[#This Row],[_LeafCritical]]),"Yes",""))</f>
        <v/>
      </c>
      <c r="AQ108" s="63" t="str">
        <f aca="false">IF(Tasks[[#This Row],[Task Name]]="","",IF(N(Tasks[[#This Row],[Baseline Start]])&gt;0,Tasks[[#This Row],[Baseline Start]],Tasks[[#This Row],[_CalcStart]]))</f>
        <v/>
      </c>
      <c r="AR108" s="63" t="str">
        <f aca="false">IF(Tasks[[#This Row],[Task Name]]="","",IF(N(Tasks[[#This Row],[Baseline Finish]])&gt;0,Tasks[[#This Row],[Baseline Finish]],Tasks[[#This Row],[_CalcFinish]]))</f>
        <v/>
      </c>
      <c r="AS108" s="47" t="str">
        <f aca="false">IF(Tasks[[#This Row],[Task Name]]="","",IF(Tasks[[#This Row],[Start]]&gt;=Tasks[[#This Row],[Planned Start]],NETWORKDAYS.INTL(Tasks[[#This Row],[Planned Start]],Tasks[[#This Row],[Start]],WorkWeek,Holidays)-1,1-NETWORKDAYS.INTL(Tasks[[#This Row],[Start]],Tasks[[#This Row],[Planned Start]],WorkWeek,Holidays)))</f>
        <v/>
      </c>
      <c r="AT108" s="63" t="str">
        <f aca="false">IF(Tasks[[#This Row],[Task Name]]="","",IF(Tasks[[#This Row],[_IsSummary]],MIN(INDEX(Tasks[_LeafLateStart],Tasks[[#This Row],[_Row]]+1):INDEX(Tasks[_LeafLateStart],Tasks[[#This Row],[_Row]]+Tasks[[#This Row],[_Descendants]])),Tasks[[#This Row],[_LeafLateStart]]))</f>
        <v/>
      </c>
      <c r="AU108" s="63" t="str">
        <f aca="false">IF(Tasks[[#This Row],[Task Name]]="","",IF(Tasks[[#This Row],[_IsSummary]],MAX(INDEX(Tasks[_LeafLateFinish],Tasks[[#This Row],[_Row]]+1):INDEX(Tasks[_LeafLateFinish],Tasks[[#This Row],[_Row]]+Tasks[[#This Row],[_Descendants]])),Tasks[[#This Row],[_LeafLateFinish]]))</f>
        <v/>
      </c>
      <c r="AV108" s="47" t="str">
        <f aca="false">IF(Tasks[[#This Row],[Task Name]]="","",IF(Tasks[[#This Row],[_IsSummary]],MIN(INDEX(Tasks[_LeafTotalSlack],Tasks[[#This Row],[_Row]]+1):INDEX(Tasks[_LeafTotalSlack],Tasks[[#This Row],[_Row]]+Tasks[[#This Row],[_Descendants]])),Tasks[[#This Row],[_LeafTotalSlack]]))</f>
        <v/>
      </c>
      <c r="AW10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5"/>
      <c r="BA10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t="str">
        <f aca="false">IF(Tasks[[#This Row],[Task Name]]="","",IF(Tasks[[#This Row],[_Level]]&lt;=OutlineShowLevel,"Yes","No"))</f>
        <v/>
      </c>
      <c r="BE108" s="86" t="str">
        <f aca="false">IF(Tasks[[#This Row],[Task Name]]="","",IF(Tasks[[#This Row],[_IsSummary]],SUM(INDEX(Tasks[_LeafTotalWork],Tasks[[#This Row],[_Row]]+1):INDEX(Tasks[_LeafTotalWork],Tasks[[#This Row],[_Row]]+Tasks[[#This Row],[_Descendants]])),Tasks[[#This Row],[_LeafTotalWork]]))</f>
        <v/>
      </c>
      <c r="BF108" s="23"/>
      <c r="BG10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t="str">
        <f aca="false">""</f>
        <v/>
      </c>
      <c r="BI108" s="87"/>
      <c r="BJ108" s="22"/>
      <c r="BK108" s="47" t="str">
        <f aca="false">IF(OR(Tasks[[#This Row],[Task Name]]="",Tasks[[#This Row],[Baseline Duration]]=""),"",Tasks[[#This Row],[_SpanDays]]-N(Tasks[[#This Row],[Baseline Duration]]))</f>
        <v/>
      </c>
      <c r="BL108" s="86" t="str">
        <f aca="false">IF(OR(Tasks[[#This Row],[Task Name]]="",Tasks[[#This Row],[Baseline Work]]=""),"",Tasks[[#This Row],[Work]]-N(Tasks[[#This Row],[Baseline Work]]))</f>
        <v/>
      </c>
      <c r="BM108" s="63" t="str">
        <f aca="false">IF(Tasks[[#This Row],[Task Name]]="","",IF(OR(TakeBaseline="Yes",N(Tasks[[#This Row],[Baseline Start]])=0),Tasks[[#This Row],[Start]],Tasks[[#This Row],[Baseline Start]]))</f>
        <v/>
      </c>
      <c r="BN108" s="63" t="str">
        <f aca="false">IF(Tasks[[#This Row],[Task Name]]="","",IF(OR(TakeBaseline="Yes",N(Tasks[[#This Row],[Baseline Finish]])=0),Tasks[[#This Row],[Finish]],Tasks[[#This Row],[Baseline Finish]]))</f>
        <v/>
      </c>
      <c r="BO108" s="21" t="str">
        <f aca="false">IF(Tasks[[#This Row],[Task Name]]="","",IF(OR(TakeBaseline="Yes",N(Tasks[[#This Row],[Baseline Duration]])=0),Tasks[[#This Row],[_SpanDays]],Tasks[[#This Row],[Baseline Duration]]))</f>
        <v/>
      </c>
      <c r="BP108" s="86" t="str">
        <f aca="false">IF(Tasks[[#This Row],[Task Name]]="","",IF(OR(TakeBaseline="Yes",N(Tasks[[#This Row],[Baseline Work]])=0),Tasks[[#This Row],[Work]],Tasks[[#This Row],[Baseline Work]]))</f>
        <v/>
      </c>
      <c r="BQ108" s="7"/>
      <c r="BR108" s="7"/>
      <c r="BS108" s="22"/>
      <c r="BT108" s="88"/>
      <c r="BU108" s="23"/>
      <c r="BV108" s="23"/>
      <c r="BW108" s="23"/>
      <c r="BX108" s="89" t="str">
        <f aca="false">IF(AND(Tasks[[#This Row],[_IsLeaf]]=1,ISNUMBER(Tasks[[#This Row],[Optimistic]]),ISNUMBER(Tasks[[#This Row],[Pessimistic]])),ROUND((Tasks[[#This Row],[Optimistic]]+4*N(Tasks[[#This Row],[_Days]])+Tasks[[#This Row],[Pessimistic]])/6,1),"")</f>
        <v/>
      </c>
      <c r="BY108" s="87"/>
      <c r="BZ108" s="87"/>
      <c r="CA108" s="22"/>
      <c r="CB108" s="43" t="str">
        <f aca="false">IF(Tasks[[#This Row],[Task Name]]="","",MAX(1,N(Tasks[[#This Row],[Level]])))</f>
        <v/>
      </c>
      <c r="CC108" s="43" t="n">
        <f aca="false">ROW()-ROW(Tasks[[#Headers],[ID]])</f>
        <v>103</v>
      </c>
      <c r="CD108" s="43" t="n">
        <f aca="false">IF(OR(Tasks[[#This Row],[Task Name]]="",Tasks[[#This Row],[_Level]]&lt;=1),0,IFERROR(LOOKUP(2,1/(Tasks[[#Headers],[_Level]]:Tasks[[#This Row],[_Level]]=Tasks[[#This Row],[_Level]]-1),ROW(Tasks[[#Headers],[_Level]]:Tasks[[#This Row],[_Level]])),0))</f>
        <v>0</v>
      </c>
      <c r="CE108" s="43" t="n">
        <f aca="false">IFERROR(N(INDEX(Tasks[_Level],Tasks[[#This Row],[_Row]]+1)),0)</f>
        <v>0</v>
      </c>
      <c r="CF108" s="90" t="b">
        <f aca="false">AND(Tasks[[#This Row],[Task Name]]&lt;&gt;"",Tasks[[#This Row],[_NextLevel]]&gt;Tasks[[#This Row],[_Level]])</f>
        <v>0</v>
      </c>
      <c r="CG108" s="43" t="n">
        <f aca="false">IF(Tasks[[#This Row],[_IsSummary]],COUNTIF(Tasks[WBS],Tasks[[#This Row],[WBS]]&amp;".*"),0)</f>
        <v>0</v>
      </c>
      <c r="CH108" s="43" t="n">
        <f aca="false">IF(AND(Tasks[[#This Row],[Task Name]]&lt;&gt;"",NOT(Tasks[[#This Row],[_IsSummary]])),1,0)</f>
        <v>0</v>
      </c>
      <c r="CI108" s="43" t="n">
        <f aca="false">IF(N(Tasks[[#This Row],[_Pred1UID]])=0,0,IFERROR(MATCH(Tasks[[#This Row],[_Pred1UID]],Tasks[UID],0),-1))</f>
        <v>0</v>
      </c>
      <c r="CJ108" s="43" t="n">
        <f aca="false">IF(N(Tasks[[#This Row],[_Pred2UID]])=0,0,IFERROR(MATCH(Tasks[[#This Row],[_Pred2UID]],Tasks[UID],0),-1))</f>
        <v>0</v>
      </c>
      <c r="CK108" s="43" t="n">
        <f aca="false">IF(N(Tasks[[#This Row],[_Pred3UID]])=0,0,IFERROR(MATCH(Tasks[[#This Row],[_Pred3UID]],Tasks[UID],0),-1))</f>
        <v>0</v>
      </c>
      <c r="CL108" s="43" t="n">
        <f aca="false">IF(N(Tasks[[#This Row],[_Pred4UID]])=0,0,IFERROR(MATCH(Tasks[[#This Row],[_Pred4UID]],Tasks[UID],0),-1))</f>
        <v>0</v>
      </c>
      <c r="CM10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8" s="91" t="n">
        <f aca="false">IF(OR(Tasks[[#This Row],[_ConstraintCode]]=2,Tasks[[#This Row],[_ConstraintCode]]=3,Tasks[[#This Row],[_ConstraintCode]]=4,Tasks[[#This Row],[_ConstraintCode]]=6),Tasks[[#This Row],[_ConstraintStart]],0)</f>
        <v>0</v>
      </c>
      <c r="CP108" s="91" t="n">
        <f aca="false">IF(OR(Tasks[[#This Row],[_ConstraintCode]]=2,Tasks[[#This Row],[_ConstraintCode]]=3,Tasks[[#This Row],[_ConstraintCode]]=5,Tasks[[#This Row],[_ConstraintCode]]=7),Tasks[[#This Row],[_ConstraintStart]],2958465)</f>
        <v>2958465</v>
      </c>
      <c r="CQ10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8" s="91" t="str">
        <f aca="false">IF(NOT(Tasks[[#This Row],[_IsLeaf]]=1),"",IF(N(Tasks[[#This Row],[_Days]])&lt;=0,Tasks[[#This Row],[_LeafCalcStart]],WORKDAY.INTL(Tasks[[#This Row],[_LeafCalcStart]],Tasks[[#This Row],[_Days]]-1,WorkWeek,Holidays)))</f>
        <v/>
      </c>
      <c r="CS10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8" s="43" t="str">
        <f aca="false">IF(Tasks[[#This Row],[_Predecessors]]="","",TRIM(MID(SUBSTITUTE(SUBSTITUTE(SUBSTITUTE(UPPER(Tasks[[#This Row],[_Predecessors]]),";",",")," ",""),",",REPT(" ",99)),1,99)))</f>
        <v/>
      </c>
      <c r="CV108" s="43" t="str">
        <f aca="false">IF(Tasks[[#This Row],[_Pred1Text]]="","",IFERROR(VALUE(LEFT(Tasks[[#This Row],[_Pred1Text]],MIN(FIND("F",Tasks[[#This Row],[_Pred1Text]]&amp;"F"),FIND("S",Tasks[[#This Row],[_Pred1Text]]&amp;"S"),FIND("+",Tasks[[#This Row],[_Pred1Text]]&amp;"+"),FIND("-",Tasks[[#This Row],[_Pred1Text]]&amp;"-"))-1)),""))</f>
        <v/>
      </c>
      <c r="CW10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8" s="43" t="str">
        <f aca="false">IF(Tasks[[#This Row],[_Pred1Text]]="","",TRIM(MID(SUBSTITUTE(SUBSTITUTE(SUBSTITUTE(UPPER(Tasks[[#This Row],[_Predecessors]]),";",",")," ",""),",",REPT(" ",99)),100,99)))</f>
        <v/>
      </c>
      <c r="CZ108" s="43" t="str">
        <f aca="false">IF(Tasks[[#This Row],[_Pred2Text]]="","",IFERROR(VALUE(LEFT(Tasks[[#This Row],[_Pred2Text]],MIN(FIND("F",Tasks[[#This Row],[_Pred2Text]]&amp;"F"),FIND("S",Tasks[[#This Row],[_Pred2Text]]&amp;"S"),FIND("+",Tasks[[#This Row],[_Pred2Text]]&amp;"+"),FIND("-",Tasks[[#This Row],[_Pred2Text]]&amp;"-"))-1)),""))</f>
        <v/>
      </c>
      <c r="DA10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8" s="43" t="str">
        <f aca="false">IF(Tasks[[#This Row],[_Pred2Text]]="","",TRIM(MID(SUBSTITUTE(SUBSTITUTE(SUBSTITUTE(UPPER(Tasks[[#This Row],[_Predecessors]]),";",",")," ",""),",",REPT(" ",99)),199,99)))</f>
        <v/>
      </c>
      <c r="DD108" s="43" t="str">
        <f aca="false">IF(Tasks[[#This Row],[_Pred3Text]]="","",IFERROR(VALUE(LEFT(Tasks[[#This Row],[_Pred3Text]],MIN(FIND("F",Tasks[[#This Row],[_Pred3Text]]&amp;"F"),FIND("S",Tasks[[#This Row],[_Pred3Text]]&amp;"S"),FIND("+",Tasks[[#This Row],[_Pred3Text]]&amp;"+"),FIND("-",Tasks[[#This Row],[_Pred3Text]]&amp;"-"))-1)),""))</f>
        <v/>
      </c>
      <c r="DE10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8" s="43" t="str">
        <f aca="false">IF(Tasks[[#This Row],[_Pred3Text]]="","",TRIM(MID(SUBSTITUTE(SUBSTITUTE(SUBSTITUTE(UPPER(Tasks[[#This Row],[_Predecessors]]),";",",")," ",""),",",REPT(" ",99)),298,99)))</f>
        <v/>
      </c>
      <c r="DH108" s="43" t="str">
        <f aca="false">IF(Tasks[[#This Row],[_Pred4Text]]="","",IFERROR(VALUE(LEFT(Tasks[[#This Row],[_Pred4Text]],MIN(FIND("F",Tasks[[#This Row],[_Pred4Text]]&amp;"F"),FIND("S",Tasks[[#This Row],[_Pred4Text]]&amp;"S"),FIND("+",Tasks[[#This Row],[_Pred4Text]]&amp;"+"),FIND("-",Tasks[[#This Row],[_Pred4Text]]&amp;"-"))-1)),""))</f>
        <v/>
      </c>
      <c r="DI10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8" s="43" t="str">
        <f aca="false">IF(OR(Tasks[[#This Row],[Task Name]]="",Tasks[[#This Row],[_Resources]]=""),"",TRIM(MID(SUBSTITUTE(Tasks[[#This Row],[_Resources]],",",REPT(" ",99)),1,99)))</f>
        <v/>
      </c>
      <c r="DL108" s="43" t="str">
        <f aca="false">IF(Tasks[[#This Row],[_Res1Text]]="","",TRIM(MID(SUBSTITUTE(Tasks[[#This Row],[_Resources]],",",REPT(" ",99)),100,99)))</f>
        <v/>
      </c>
      <c r="DM108" s="43" t="str">
        <f aca="false">IF(Tasks[[#This Row],[_Res2Text]]="","",TRIM(MID(SUBSTITUTE(Tasks[[#This Row],[_Resources]],",",REPT(" ",99)),199,99)))</f>
        <v/>
      </c>
      <c r="DN108" s="43" t="str">
        <f aca="false">IF(Tasks[[#This Row],[_Res3Text]]="","",TRIM(MID(SUBSTITUTE(Tasks[[#This Row],[_Resources]],",",REPT(" ",99)),298,99)))</f>
        <v/>
      </c>
      <c r="DO108" s="43" t="n">
        <f aca="false">IF(Tasks[[#This Row],[_Res1Text]]="",0,IFERROR(MATCH(TRIM(LEFT(Tasks[[#This Row],[_Res1Text]],FIND("[",Tasks[[#This Row],[_Res1Text]]&amp;"[")-1)),res_Name,0),IFERROR(MATCH(TRIM(LEFT(Tasks[[#This Row],[_Res1Text]],FIND("[",Tasks[[#This Row],[_Res1Text]]&amp;"[")-1)),res_Initials,0),0)))</f>
        <v>0</v>
      </c>
      <c r="DP108" s="43" t="n">
        <f aca="false">IF(Tasks[[#This Row],[_Res2Text]]="",0,IFERROR(MATCH(TRIM(LEFT(Tasks[[#This Row],[_Res2Text]],FIND("[",Tasks[[#This Row],[_Res2Text]]&amp;"[")-1)),res_Name,0),IFERROR(MATCH(TRIM(LEFT(Tasks[[#This Row],[_Res2Text]],FIND("[",Tasks[[#This Row],[_Res2Text]]&amp;"[")-1)),res_Initials,0),0)))</f>
        <v>0</v>
      </c>
      <c r="DQ108" s="43" t="n">
        <f aca="false">IF(Tasks[[#This Row],[_Res3Text]]="",0,IFERROR(MATCH(TRIM(LEFT(Tasks[[#This Row],[_Res3Text]],FIND("[",Tasks[[#This Row],[_Res3Text]]&amp;"[")-1)),res_Name,0),IFERROR(MATCH(TRIM(LEFT(Tasks[[#This Row],[_Res3Text]],FIND("[",Tasks[[#This Row],[_Res3Text]]&amp;"[")-1)),res_Initials,0),0)))</f>
        <v>0</v>
      </c>
      <c r="DR108" s="43" t="n">
        <f aca="false">IF(Tasks[[#This Row],[_Res4Text]]="",0,IFERROR(MATCH(TRIM(LEFT(Tasks[[#This Row],[_Res4Text]],FIND("[",Tasks[[#This Row],[_Res4Text]]&amp;"[")-1)),res_Name,0),IFERROR(MATCH(TRIM(LEFT(Tasks[[#This Row],[_Res4Text]],FIND("[",Tasks[[#This Row],[_Res4Text]]&amp;"[")-1)),res_Initials,0),0)))</f>
        <v>0</v>
      </c>
      <c r="DS108" s="43" t="str">
        <f aca="false">IF(Tasks[[#This Row],[_Res1Text]]="","",IF(Tasks[[#This Row],[_Res1Row]]&gt;0,INDEX(res_Name,Tasks[[#This Row],[_Res1Row]]),TRIM(LEFT(Tasks[[#This Row],[_Res1Text]],FIND("[",Tasks[[#This Row],[_Res1Text]]&amp;"[")-1))))</f>
        <v/>
      </c>
      <c r="DT10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8" s="43" t="n">
        <f aca="false">IF(NOT(Tasks[[#This Row],[_IsLeaf]]=1),0,(Tasks[[#This Row],[_Resource1]]&lt;&gt;"")+(Tasks[[#This Row],[_Res2]]&lt;&gt;"")+(Tasks[[#This Row],[_Res3]]&lt;&gt;"")+(Tasks[[#This Row],[_Res4]]&lt;&gt;""))</f>
        <v>0</v>
      </c>
      <c r="DV108" s="43" t="str">
        <f aca="false">IF(Tasks[[#This Row],[_Res2Text]]="","",IF(Tasks[[#This Row],[_Res2Row]]&gt;0,INDEX(res_Name,Tasks[[#This Row],[_Res2Row]]),TRIM(LEFT(Tasks[[#This Row],[_Res2Text]],FIND("[",Tasks[[#This Row],[_Res2Text]]&amp;"[")-1))))</f>
        <v/>
      </c>
      <c r="DW10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8" s="43" t="n">
        <f aca="false">IF(OR(NOT(Tasks[[#This Row],[_IsLeaf]]=1),Tasks[[#This Row],[_Res2Row]]=0),0,N(Tasks[[#This Row],[_Days]])*HoursPerDay*IF(Tasks[[#This Row],[_Res2Units]]="",DefaultUnits,Tasks[[#This Row],[_Res2Units]]))</f>
        <v>0</v>
      </c>
      <c r="DY108" s="43" t="n">
        <f aca="false">IF(AND(AND(Tasks[[#This Row],[_IsLeaf]]=1,Tasks[[#This Row],[_LeafTotalWork]]&gt;0),Tasks[[#This Row],[_Res2Work]]&gt;0),Tasks[[#This Row],[_Res2Work]]/(Tasks[[#This Row],[_FinishWorkday]]-Tasks[[#This Row],[_StartWorkday]]+1),0)</f>
        <v>0</v>
      </c>
      <c r="DZ108" s="43" t="n">
        <f aca="false">Tasks[[#This Row],[_Res2WorkPerWD]]*MAX(0,Tasks[[#This Row],[_StartWorkday]]-1)</f>
        <v>0</v>
      </c>
      <c r="EA108" s="43" t="n">
        <f aca="false">Tasks[[#This Row],[_Res2Work]]*Tasks[[#This Row],[_LeafProgress]]</f>
        <v>0</v>
      </c>
      <c r="EB108" s="43" t="str">
        <f aca="false">IF(Tasks[[#This Row],[_Res3Text]]="","",IF(Tasks[[#This Row],[_Res3Row]]&gt;0,INDEX(res_Name,Tasks[[#This Row],[_Res3Row]]),TRIM(LEFT(Tasks[[#This Row],[_Res3Text]],FIND("[",Tasks[[#This Row],[_Res3Text]]&amp;"[")-1))))</f>
        <v/>
      </c>
      <c r="EC10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8" s="43" t="n">
        <f aca="false">IF(OR(NOT(Tasks[[#This Row],[_IsLeaf]]=1),Tasks[[#This Row],[_Res3Row]]=0),0,N(Tasks[[#This Row],[_Days]])*HoursPerDay*IF(Tasks[[#This Row],[_Res3Units]]="",DefaultUnits,Tasks[[#This Row],[_Res3Units]]))</f>
        <v>0</v>
      </c>
      <c r="EE108" s="43" t="n">
        <f aca="false">IF(AND(AND(Tasks[[#This Row],[_IsLeaf]]=1,Tasks[[#This Row],[_LeafTotalWork]]&gt;0),Tasks[[#This Row],[_Res3Work]]&gt;0),Tasks[[#This Row],[_Res3Work]]/(Tasks[[#This Row],[_FinishWorkday]]-Tasks[[#This Row],[_StartWorkday]]+1),0)</f>
        <v>0</v>
      </c>
      <c r="EF108" s="43" t="n">
        <f aca="false">Tasks[[#This Row],[_Res3WorkPerWD]]*MAX(0,Tasks[[#This Row],[_StartWorkday]]-1)</f>
        <v>0</v>
      </c>
      <c r="EG108" s="43" t="n">
        <f aca="false">Tasks[[#This Row],[_Res3Work]]*Tasks[[#This Row],[_LeafProgress]]</f>
        <v>0</v>
      </c>
      <c r="EH108" s="43" t="str">
        <f aca="false">IF(Tasks[[#This Row],[_Res4Text]]="","",IF(Tasks[[#This Row],[_Res4Row]]&gt;0,INDEX(res_Name,Tasks[[#This Row],[_Res4Row]]),TRIM(LEFT(Tasks[[#This Row],[_Res4Text]],FIND("[",Tasks[[#This Row],[_Res4Text]]&amp;"[")-1))))</f>
        <v/>
      </c>
      <c r="EI10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8" s="43" t="n">
        <f aca="false">IF(OR(NOT(Tasks[[#This Row],[_IsLeaf]]=1),Tasks[[#This Row],[_Res4Row]]=0),0,N(Tasks[[#This Row],[_Days]])*HoursPerDay*IF(Tasks[[#This Row],[_Res4Units]]="",DefaultUnits,Tasks[[#This Row],[_Res4Units]]))</f>
        <v>0</v>
      </c>
      <c r="EK108" s="43" t="n">
        <f aca="false">IF(AND(AND(Tasks[[#This Row],[_IsLeaf]]=1,Tasks[[#This Row],[_LeafTotalWork]]&gt;0),Tasks[[#This Row],[_Res4Work]]&gt;0),Tasks[[#This Row],[_Res4Work]]/(Tasks[[#This Row],[_FinishWorkday]]-Tasks[[#This Row],[_StartWorkday]]+1),0)</f>
        <v>0</v>
      </c>
      <c r="EL108" s="43" t="n">
        <f aca="false">Tasks[[#This Row],[_Res4WorkPerWD]]*MAX(0,Tasks[[#This Row],[_StartWorkday]]-1)</f>
        <v>0</v>
      </c>
      <c r="EM108" s="43" t="n">
        <f aca="false">Tasks[[#This Row],[_Res4Work]]*Tasks[[#This Row],[_LeafProgress]]</f>
        <v>0</v>
      </c>
      <c r="EN108" s="43" t="n">
        <f aca="false">IF(ISNUMBER(Tasks[[#This Row],[% Complete]]),Tasks[[#This Row],[% Complete]],IF(Tasks[[#This Row],[Stage]]="",0,IFERROR(INDEX(stg_Pct,MATCH(Tasks[[#This Row],[Stage]],stg_Name,0)),0)))</f>
        <v>0</v>
      </c>
      <c r="EO108" s="43" t="n">
        <f aca="false">IF(NOT(Tasks[[#This Row],[_IsLeaf]]=1),0,IF(N(Tasks[[#This Row],[Actual Finish]])&gt;0,1,MIN(1,Tasks[[#This Row],[_Pct]])))</f>
        <v>0</v>
      </c>
      <c r="EP108" s="43" t="n">
        <f aca="false">IF(OR(NOT(Tasks[[#This Row],[_IsLeaf]]=1),Tasks[[#This Row],[_Res1Row]]=0),0,N(Tasks[[#This Row],[_Days]])*HoursPerDay*IF(Tasks[[#This Row],[_Units1]]="",DefaultUnits,Tasks[[#This Row],[_Units1]]))</f>
        <v>0</v>
      </c>
      <c r="EQ108" s="43" t="n">
        <f aca="false">Tasks[[#This Row],[_LeafWork]]+Tasks[[#This Row],[_Res2Work]]+Tasks[[#This Row],[_Res3Work]]+Tasks[[#This Row],[_Res4Work]]</f>
        <v>0</v>
      </c>
      <c r="ER10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8" s="43" t="n">
        <f aca="false">IF(NOT(Tasks[[#This Row],[_IsLeaf]]=1),0,MAX(_xlfn.MAXIFS(Tasks[_Row],Tasks[_Pred1UID],Tasks[[#This Row],[UID]]),_xlfn.MAXIFS(Tasks[_Row],Tasks[_Pred2UID],Tasks[[#This Row],[UID]]),_xlfn.MAXIFS(Tasks[_Row],Tasks[_Pred3UID],Tasks[[#This Row],[UID]]),_xlfn.MAXIFS(Tasks[_Row],Tasks[_Pred4UID],Tasks[[#This Row],[UID]])))</f>
        <v>0</v>
      </c>
      <c r="FA10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8" s="91" t="str">
        <f aca="false">IF(NOT(Tasks[[#This Row],[_IsLeaf]]=1),"",IF(N(Tasks[[#This Row],[_Days]])&lt;=0,Tasks[[#This Row],[_LeafLateFinish]],WORKDAY.INTL(Tasks[[#This Row],[_LeafLateFinish]],-(Tasks[[#This Row],[_Days]]-1),WorkWeek,Holidays)))</f>
        <v/>
      </c>
      <c r="FD10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8" s="90" t="b">
        <f aca="false">AND(Tasks[[#This Row],[_IsLeaf]]=1,Tasks[[#This Row],[_LeafProgress]]&lt;1,N(Tasks[[#This Row],[_LeafTotalSlack]])&lt;=CriticalSlackDays)</f>
        <v>0</v>
      </c>
      <c r="FF108" s="43" t="n">
        <f aca="false">IF(AND(Tasks[[#This Row],[_IsLeaf]]=1,Tasks[[#This Row],[_ConstraintCode]]=1,Tasks[[#This Row],[Mode]]&lt;&gt;"Manual",N(Tasks[[#This Row],[Actual Start]])=0),MAX(0,N(Tasks[[#This Row],[Free Slack]])),0)</f>
        <v>0</v>
      </c>
      <c r="FG108" s="91" t="str">
        <f aca="false">IF(NOT(Tasks[[#This Row],[_IsLeaf]]=1),"",IF(Tasks[[#This Row],[_AlapShift]]=0,Tasks[[#This Row],[_LeafCalcStart]],WORKDAY.INTL(Tasks[[#This Row],[_LeafCalcStart]],Tasks[[#This Row],[_AlapShift]],WorkWeek,Holidays)))</f>
        <v/>
      </c>
      <c r="FH108" s="91" t="str">
        <f aca="false">IF(NOT(Tasks[[#This Row],[_IsLeaf]]=1),"",IF(Tasks[[#This Row],[_AlapShift]]=0,Tasks[[#This Row],[_LeafCalcFinish]],WORKDAY.INTL(Tasks[[#This Row],[_LeafCalcFinish]],Tasks[[#This Row],[_AlapShift]],WorkWeek,Holidays)))</f>
        <v/>
      </c>
      <c r="FI108" s="91" t="str">
        <f aca="false">IF(NOT(Tasks[[#This Row],[_IsLeaf]]=1),"",IF(Tasks[[#This Row],[_AlapShift]]=0,Tasks[[#This Row],[_LeafFcstStart]],WORKDAY.INTL(Tasks[[#This Row],[_LeafFcstStart]],Tasks[[#This Row],[_AlapShift]],WorkWeek,Holidays)))</f>
        <v/>
      </c>
      <c r="FJ108" s="91" t="str">
        <f aca="false">IF(NOT(Tasks[[#This Row],[_IsLeaf]]=1),"",IF(Tasks[[#This Row],[_AlapShift]]=0,Tasks[[#This Row],[_LeafFcstFinish]],WORKDAY.INTL(Tasks[[#This Row],[_LeafFcstFinish]],Tasks[[#This Row],[_AlapShift]],WorkWeek,Holidays)))</f>
        <v/>
      </c>
      <c r="FK108" s="91" t="str">
        <f aca="false">IF(Tasks[[#This Row],[Task Name]]="","",IF(Tasks[[#This Row],[_IsSummary]],MIN(INDEX(Tasks[_ShownCalcStart],Tasks[[#This Row],[_Row]]+1):INDEX(Tasks[_ShownCalcStart],Tasks[[#This Row],[_Row]]+Tasks[[#This Row],[_Descendants]])),Tasks[[#This Row],[_ShownCalcStart]]))</f>
        <v/>
      </c>
      <c r="FL108" s="91" t="str">
        <f aca="false">IF(Tasks[[#This Row],[Task Name]]="","",IF(Tasks[[#This Row],[_IsSummary]],MAX(INDEX(Tasks[_ShownCalcFinish],Tasks[[#This Row],[_Row]]+1):INDEX(Tasks[_ShownCalcFinish],Tasks[[#This Row],[_Row]]+Tasks[[#This Row],[_Descendants]])),Tasks[[#This Row],[_ShownCalcFinish]]))</f>
        <v/>
      </c>
      <c r="FM10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8" s="43" t="n">
        <f aca="false">IF(AND(Tasks[[#This Row],[_IsLeaf]]=1,Tasks[[#This Row],[_LeafTotalWork]]&gt;0),NETWORKDAYS.INTL(ProjectStart,Tasks[[#This Row],[_ShownFcstStart]],WorkWeek,Holidays),0)</f>
        <v>0</v>
      </c>
      <c r="FZ108" s="43" t="n">
        <f aca="false">IF(AND(Tasks[[#This Row],[_IsLeaf]]=1,Tasks[[#This Row],[_LeafTotalWork]]&gt;0),MAX(Tasks[[#This Row],[_StartWorkday]],NETWORKDAYS.INTL(ProjectStart,Tasks[[#This Row],[_ShownFcstFinish]],WorkWeek,Holidays)),0)</f>
        <v>0</v>
      </c>
      <c r="GA108" s="43" t="n">
        <f aca="false">IF(AND(Tasks[[#This Row],[_IsLeaf]]=1,Tasks[[#This Row],[_LeafTotalWork]]&gt;0),Tasks[[#This Row],[_LeafWork]]/(Tasks[[#This Row],[_FinishWorkday]]-Tasks[[#This Row],[_StartWorkday]]+1),0)</f>
        <v>0</v>
      </c>
      <c r="GB108" s="43" t="n">
        <f aca="false">Tasks[[#This Row],[_WorkPerWorkday]]*(Tasks[[#This Row],[_StartWorkday]]-1)</f>
        <v>-0</v>
      </c>
      <c r="GC108" s="43" t="n">
        <f aca="false">IF(Tasks[[#This Row],[_IsLeaf]]=1,MAX(N(Tasks[[#This Row],[_Days]]),0.1),0)</f>
        <v>0</v>
      </c>
      <c r="GD108" s="43" t="n">
        <f aca="false">Tasks[[#This Row],[_WeightDur]]*Tasks[[#This Row],[_LeafProgress]]</f>
        <v>0</v>
      </c>
      <c r="GE108" s="43" t="n">
        <f aca="false">Tasks[[#This Row],[_WeightDur]]*Tasks[[#This Row],[_PlannedPct]]</f>
        <v>0</v>
      </c>
      <c r="GF10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8" s="43" t="str">
        <f aca="false">IF(AND(Tasks[[#This Row],[_IsLeaf]]=1,N(Tasks[[#This Row],[_Days]])=0,Tasks[[#This Row],[_LeafProgress]]&lt;1),Tasks[[#This Row],[_ShownFcstFinish]]+Tasks[[#This Row],[_Row]]/100000,"")</f>
        <v/>
      </c>
      <c r="GH10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8" s="43" t="str">
        <f aca="false">IF(Tasks[[#This Row],[Task Name]]="","",LEFT(Tasks[[#This Row],[WBS]],FIND(".",Tasks[[#This Row],[WBS]]&amp;".")-1))</f>
        <v/>
      </c>
      <c r="GJ108" s="43" t="str">
        <f aca="false">IF(AND(Tasks[[#This Row],[Task Name]]&lt;&gt;"",Tasks[[#This Row],[_Level]]=1),Tasks[[#This Row],[_Row]],"")</f>
        <v/>
      </c>
      <c r="GK108" s="43" t="str">
        <f aca="false">IF(AND(Tasks[[#This Row],[_IsLeaf]]=1,N(Tasks[[#This Row],[_Days]])=0),Tasks[[#This Row],[Planned Finish]]+Tasks[[#This Row],[_Row]]/100000,"")</f>
        <v/>
      </c>
      <c r="GL108" s="43" t="str">
        <f aca="false">IF(AND(Tasks[[#This Row],[_IsLeaf]]=1,Tasks[[#This Row],[_LeafProgress]]&lt;1,OR(N(Tasks[[#This Row],[Finish Var]])&gt;0,Tasks[[#This Row],[Status]]="Late Start")),MAX(0,Tasks[[#This Row],[Finish Var]])+1-Tasks[[#This Row],[_Row]]/1000000,"")</f>
        <v/>
      </c>
      <c r="GM108" s="43" t="str">
        <f aca="false">IF(AND(Tasks[[#This Row],[_IsLeaf]]=1,N(Tasks[[#This Row],[Actual Start]])=0,Tasks[[#This Row],[_ShownFcstStart]]&gt;=StatusDate,Tasks[[#This Row],[_ShownFcstStart]]&lt;=LookaheadEnd),Tasks[[#This Row],[_ShownFcstStart]]+Tasks[[#This Row],[_Row]]/100000,"")</f>
        <v/>
      </c>
      <c r="GN108" s="43" t="str">
        <f aca="false">IF(AND(Tasks[[#This Row],[_IsLeaf]]=1,Tasks[[#This Row],[_LeafProgress]]&lt;1,Tasks[[#This Row],[_ShownFcstFinish]]&gt;=StatusDate,Tasks[[#This Row],[_ShownFcstFinish]]&lt;=LookaheadEnd),Tasks[[#This Row],[_ShownFcstFinish]]+Tasks[[#This Row],[_Row]]/100000,"")</f>
        <v/>
      </c>
      <c r="GO108" s="43" t="str">
        <f aca="false">IF(Tasks[[#This Row],[_LeafCritical]],Tasks[[#This Row],[_ShownFcstStart]]+Tasks[[#This Row],[_Row]]/100000,"")</f>
        <v/>
      </c>
      <c r="GP108" s="43" t="n">
        <f aca="false">Tasks[[#This Row],[_LeafWork]]*Tasks[[#This Row],[_LeafProgress]]</f>
        <v>0</v>
      </c>
      <c r="GQ108" s="91" t="str">
        <f aca="false">IF(AND(Tasks[[#This Row],[_IsLeaf]]=1,Tasks[[#This Row],[_LeafProgress]]&gt;=1),IF(N(Tasks[[#This Row],[Actual Finish]])&gt;0,Tasks[[#This Row],[Actual Finish]],Tasks[[#This Row],[_ShownFcstFinish]]),"")</f>
        <v/>
      </c>
      <c r="GR108" s="43" t="n">
        <f aca="false">IF(Tasks[[#This Row],[_IsLeaf]]=1,N(Tasks[[#This Row],[Story Points]]),0)</f>
        <v>0</v>
      </c>
      <c r="GS108" s="43" t="str">
        <f aca="false">""</f>
        <v/>
      </c>
      <c r="GT108" s="90" t="b">
        <f aca="false">IF(Tasks[[#This Row],[Task Name]]="",FALSE(),AND(Tasks[[#This Row],[_IsLeaf]]=1,N(Tasks[[#This Row],[_Days]])=0))</f>
        <v>0</v>
      </c>
      <c r="GU108" s="91" t="n">
        <f aca="false">IF(Tasks[[#This Row],[Task Name]]="",0,IF(AND(Tasks[[#This Row],[_IsLeaf]]=1,NOT(Tasks[[#This Row],[_IsMilestone]]),N(Tasks[[#This Row],[Progress]])&gt;0),Tasks[[#This Row],[Start]],0))</f>
        <v>0</v>
      </c>
      <c r="GV108" s="91" t="n">
        <f aca="false">IF(Tasks[[#This Row],[_DoneFrom]]=0,0,IF(Tasks[[#This Row],[Progress]]&gt;=1,Tasks[[#This Row],[Finish]],MAX(Tasks[[#This Row],[_DoneFrom]],Tasks[[#This Row],[Start]]+ROUND((Tasks[[#This Row],[Finish]]-Tasks[[#This Row],[Start]]+1)*Tasks[[#This Row],[Progress]],0)-1)))</f>
        <v>0</v>
      </c>
      <c r="GW108" s="91" t="n">
        <f aca="false">IF(Tasks[[#This Row],[Task Name]]="",0,IF(OR(NOT(Tasks[[#This Row],[_IsLeaf]]=1),Tasks[[#This Row],[_IsMilestone]],N(Tasks[[#This Row],[Progress]])&gt;=1),0,IF(Tasks[[#This Row],[_DoneTo]]&gt;0,Tasks[[#This Row],[_DoneTo]]+1,Tasks[[#This Row],[Start]])))</f>
        <v>0</v>
      </c>
      <c r="GX108" s="91" t="n">
        <f aca="false">IF(Tasks[[#This Row],[_RemFrom]]=0,0,Tasks[[#This Row],[Finish]])</f>
        <v>0</v>
      </c>
      <c r="GY108" s="90" t="b">
        <f aca="false">IF(Tasks[[#This Row],[Task Name]]="",FALSE(),OR(NOT(BaselineSet),N(Tasks[[#This Row],[Baseline Start]])&gt;0))</f>
        <v>0</v>
      </c>
      <c r="GZ10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8" s="92" t="str">
        <f aca="false">IF(Tasks[[#This Row],[_IsLeaf]]=1,Tasks[[#This Row],[_Row]],"")</f>
        <v/>
      </c>
      <c r="HD108" s="92" t="str">
        <f aca="false">IFERROR(INDEX(Tasks[UID],SMALL(Tasks[_PickKey],Tasks[[#This Row],[_Row]]))&amp;" "&amp;INDEX(Tasks[Task Name],SMALL(Tasks[_PickKey],Tasks[[#This Row],[_Row]])),"")</f>
        <v/>
      </c>
      <c r="HE108" s="43" t="str">
        <f aca="false">IF(Tasks[[#This Row],[Task Name]]="","",IF(Tasks[[#This Row],[_IsSummary]],NETWORKDAYS.INTL(Tasks[[#This Row],[Start]],Tasks[[#This Row],[Finish]],WorkWeek,Holidays),N(Tasks[[#This Row],[_Days]])))</f>
        <v/>
      </c>
      <c r="HF108" s="43" t="n">
        <f aca="false">IF(Tasks[[#This Row],[Expected]]="",0,((Tasks[[#This Row],[Pessimistic]]-Tasks[[#This Row],[Optimistic]])/6)^2)</f>
        <v>0</v>
      </c>
      <c r="HG108" s="43" t="n">
        <f aca="false">IF(Tasks[[#This Row],[Expected]]="",0,Tasks[[#This Row],[Expected]]-N(Tasks[[#This Row],[_Days]]))</f>
        <v>0</v>
      </c>
    </row>
    <row r="109" customFormat="false" ht="15" hidden="false" customHeight="false" outlineLevel="0" collapsed="false">
      <c r="A109" s="21" t="str">
        <f aca="false">IF(Tasks[[#This Row],[Task Name]]="","",COUNTA(Tasks[[#Headers],[Task Name]]:Tasks[[#This Row],[Task Name]])-1)</f>
        <v/>
      </c>
      <c r="B109" s="22" t="n">
        <v>117</v>
      </c>
      <c r="C109" s="22"/>
      <c r="D109" s="23"/>
      <c r="E109" s="22"/>
      <c r="F109" s="23"/>
      <c r="G109" s="22"/>
      <c r="H109" s="22"/>
      <c r="I109" s="23"/>
      <c r="J109" s="22"/>
      <c r="K109" s="22"/>
      <c r="L109" s="23"/>
      <c r="M109" s="22"/>
      <c r="N109" s="22"/>
      <c r="O109" s="23"/>
      <c r="P109" s="22"/>
      <c r="Q109" s="22"/>
      <c r="R109" s="23"/>
      <c r="S109" s="23"/>
      <c r="T109" s="84"/>
      <c r="U109" s="23"/>
      <c r="V109" s="84"/>
      <c r="W109" s="23"/>
      <c r="X109" s="84"/>
      <c r="Y109" s="23"/>
      <c r="Z109" s="84"/>
      <c r="AA109" s="23"/>
      <c r="AB109" s="23"/>
      <c r="AC109" s="7"/>
      <c r="AD109" s="7"/>
      <c r="AE109" s="63" t="str">
        <f aca="false">IF(Tasks[[#This Row],[Task Name]]="","",IF(Tasks[[#This Row],[_IsSummary]],MIN(INDEX(Tasks[_ShownFcstStart],Tasks[[#This Row],[_Row]]+1):INDEX(Tasks[_ShownFcstStart],Tasks[[#This Row],[_Row]]+Tasks[[#This Row],[_Descendants]])),Tasks[[#This Row],[_ShownFcstStart]]))</f>
        <v/>
      </c>
      <c r="AF109" s="63" t="str">
        <f aca="false">IF(Tasks[[#This Row],[Task Name]]="","",IF(Tasks[[#This Row],[_IsSummary]],MAX(INDEX(Tasks[_ShownFcstFinish],Tasks[[#This Row],[_Row]]+1):INDEX(Tasks[_ShownFcstFinish],Tasks[[#This Row],[_Row]]+Tasks[[#This Row],[_Descendants]])),Tasks[[#This Row],[_ShownFcstFinish]]))</f>
        <v/>
      </c>
      <c r="AG109" s="21" t="str">
        <f aca="false">""</f>
        <v/>
      </c>
      <c r="AH109" s="23"/>
      <c r="AI10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9" s="7"/>
      <c r="AK109" s="22"/>
      <c r="AL109" s="23"/>
      <c r="AM109" s="7"/>
      <c r="AN109" s="47" t="str">
        <f aca="false">IF(Tasks[[#This Row],[Task Name]]="","",IF(Tasks[[#This Row],[Finish]]&gt;=Tasks[[#This Row],[Planned Finish]],NETWORKDAYS.INTL(Tasks[[#This Row],[Planned Finish]],Tasks[[#This Row],[Finish]],WorkWeek,Holidays)-1,1-NETWORKDAYS.INTL(Tasks[[#This Row],[Finish]],Tasks[[#This Row],[Planned Finish]],WorkWeek,Holidays)))</f>
        <v/>
      </c>
      <c r="AO109" s="21" t="str">
        <f aca="false">IF(Tasks[[#This Row],[Task Name]]="","",IF(Tasks[[#This Row],[Progress]]&gt;=1,"Complete",IF(OR(N(Tasks[[#This Row],[Actual Start]])&gt;0,Tasks[[#This Row],[Progress]]&gt;0),IF(Tasks[[#This Row],[Finish Var]]&gt;0,"Behind","In Progress"),IF(Tasks[[#This Row],[Planned Start]]&lt;StatusDate,"Late Start","Not Started"))))</f>
        <v/>
      </c>
      <c r="AP109" s="21" t="str">
        <f aca="false">IF(Tasks[[#This Row],[Task Name]]="","",IF(IF(Tasks[[#This Row],[_IsSummary]],COUNTIF(INDEX(Tasks[_LeafCritical],Tasks[[#This Row],[_Row]]+1):INDEX(Tasks[_LeafCritical],Tasks[[#This Row],[_Row]]+Tasks[[#This Row],[_Descendants]]),TRUE())&gt;0,Tasks[[#This Row],[_LeafCritical]]),"Yes",""))</f>
        <v/>
      </c>
      <c r="AQ109" s="63" t="str">
        <f aca="false">IF(Tasks[[#This Row],[Task Name]]="","",IF(N(Tasks[[#This Row],[Baseline Start]])&gt;0,Tasks[[#This Row],[Baseline Start]],Tasks[[#This Row],[_CalcStart]]))</f>
        <v/>
      </c>
      <c r="AR109" s="63" t="str">
        <f aca="false">IF(Tasks[[#This Row],[Task Name]]="","",IF(N(Tasks[[#This Row],[Baseline Finish]])&gt;0,Tasks[[#This Row],[Baseline Finish]],Tasks[[#This Row],[_CalcFinish]]))</f>
        <v/>
      </c>
      <c r="AS109" s="47" t="str">
        <f aca="false">IF(Tasks[[#This Row],[Task Name]]="","",IF(Tasks[[#This Row],[Start]]&gt;=Tasks[[#This Row],[Planned Start]],NETWORKDAYS.INTL(Tasks[[#This Row],[Planned Start]],Tasks[[#This Row],[Start]],WorkWeek,Holidays)-1,1-NETWORKDAYS.INTL(Tasks[[#This Row],[Start]],Tasks[[#This Row],[Planned Start]],WorkWeek,Holidays)))</f>
        <v/>
      </c>
      <c r="AT109" s="63" t="str">
        <f aca="false">IF(Tasks[[#This Row],[Task Name]]="","",IF(Tasks[[#This Row],[_IsSummary]],MIN(INDEX(Tasks[_LeafLateStart],Tasks[[#This Row],[_Row]]+1):INDEX(Tasks[_LeafLateStart],Tasks[[#This Row],[_Row]]+Tasks[[#This Row],[_Descendants]])),Tasks[[#This Row],[_LeafLateStart]]))</f>
        <v/>
      </c>
      <c r="AU109" s="63" t="str">
        <f aca="false">IF(Tasks[[#This Row],[Task Name]]="","",IF(Tasks[[#This Row],[_IsSummary]],MAX(INDEX(Tasks[_LeafLateFinish],Tasks[[#This Row],[_Row]]+1):INDEX(Tasks[_LeafLateFinish],Tasks[[#This Row],[_Row]]+Tasks[[#This Row],[_Descendants]])),Tasks[[#This Row],[_LeafLateFinish]]))</f>
        <v/>
      </c>
      <c r="AV109" s="47" t="str">
        <f aca="false">IF(Tasks[[#This Row],[Task Name]]="","",IF(Tasks[[#This Row],[_IsSummary]],MIN(INDEX(Tasks[_LeafTotalSlack],Tasks[[#This Row],[_Row]]+1):INDEX(Tasks[_LeafTotalSlack],Tasks[[#This Row],[_Row]]+Tasks[[#This Row],[_Descendants]])),Tasks[[#This Row],[_LeafTotalSlack]]))</f>
        <v/>
      </c>
      <c r="AW10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5"/>
      <c r="BA10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t="str">
        <f aca="false">IF(Tasks[[#This Row],[Task Name]]="","",IF(Tasks[[#This Row],[_Level]]&lt;=OutlineShowLevel,"Yes","No"))</f>
        <v/>
      </c>
      <c r="BE109" s="86" t="str">
        <f aca="false">IF(Tasks[[#This Row],[Task Name]]="","",IF(Tasks[[#This Row],[_IsSummary]],SUM(INDEX(Tasks[_LeafTotalWork],Tasks[[#This Row],[_Row]]+1):INDEX(Tasks[_LeafTotalWork],Tasks[[#This Row],[_Row]]+Tasks[[#This Row],[_Descendants]])),Tasks[[#This Row],[_LeafTotalWork]]))</f>
        <v/>
      </c>
      <c r="BF109" s="23"/>
      <c r="BG10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t="str">
        <f aca="false">""</f>
        <v/>
      </c>
      <c r="BI109" s="87"/>
      <c r="BJ109" s="22"/>
      <c r="BK109" s="47" t="str">
        <f aca="false">IF(OR(Tasks[[#This Row],[Task Name]]="",Tasks[[#This Row],[Baseline Duration]]=""),"",Tasks[[#This Row],[_SpanDays]]-N(Tasks[[#This Row],[Baseline Duration]]))</f>
        <v/>
      </c>
      <c r="BL109" s="86" t="str">
        <f aca="false">IF(OR(Tasks[[#This Row],[Task Name]]="",Tasks[[#This Row],[Baseline Work]]=""),"",Tasks[[#This Row],[Work]]-N(Tasks[[#This Row],[Baseline Work]]))</f>
        <v/>
      </c>
      <c r="BM109" s="63" t="str">
        <f aca="false">IF(Tasks[[#This Row],[Task Name]]="","",IF(OR(TakeBaseline="Yes",N(Tasks[[#This Row],[Baseline Start]])=0),Tasks[[#This Row],[Start]],Tasks[[#This Row],[Baseline Start]]))</f>
        <v/>
      </c>
      <c r="BN109" s="63" t="str">
        <f aca="false">IF(Tasks[[#This Row],[Task Name]]="","",IF(OR(TakeBaseline="Yes",N(Tasks[[#This Row],[Baseline Finish]])=0),Tasks[[#This Row],[Finish]],Tasks[[#This Row],[Baseline Finish]]))</f>
        <v/>
      </c>
      <c r="BO109" s="21" t="str">
        <f aca="false">IF(Tasks[[#This Row],[Task Name]]="","",IF(OR(TakeBaseline="Yes",N(Tasks[[#This Row],[Baseline Duration]])=0),Tasks[[#This Row],[_SpanDays]],Tasks[[#This Row],[Baseline Duration]]))</f>
        <v/>
      </c>
      <c r="BP109" s="86" t="str">
        <f aca="false">IF(Tasks[[#This Row],[Task Name]]="","",IF(OR(TakeBaseline="Yes",N(Tasks[[#This Row],[Baseline Work]])=0),Tasks[[#This Row],[Work]],Tasks[[#This Row],[Baseline Work]]))</f>
        <v/>
      </c>
      <c r="BQ109" s="7"/>
      <c r="BR109" s="7"/>
      <c r="BS109" s="22"/>
      <c r="BT109" s="88"/>
      <c r="BU109" s="23"/>
      <c r="BV109" s="23"/>
      <c r="BW109" s="23"/>
      <c r="BX109" s="89" t="str">
        <f aca="false">IF(AND(Tasks[[#This Row],[_IsLeaf]]=1,ISNUMBER(Tasks[[#This Row],[Optimistic]]),ISNUMBER(Tasks[[#This Row],[Pessimistic]])),ROUND((Tasks[[#This Row],[Optimistic]]+4*N(Tasks[[#This Row],[_Days]])+Tasks[[#This Row],[Pessimistic]])/6,1),"")</f>
        <v/>
      </c>
      <c r="BY109" s="87"/>
      <c r="BZ109" s="87"/>
      <c r="CA109" s="22"/>
      <c r="CB109" s="43" t="str">
        <f aca="false">IF(Tasks[[#This Row],[Task Name]]="","",MAX(1,N(Tasks[[#This Row],[Level]])))</f>
        <v/>
      </c>
      <c r="CC109" s="43" t="n">
        <f aca="false">ROW()-ROW(Tasks[[#Headers],[ID]])</f>
        <v>104</v>
      </c>
      <c r="CD109" s="43" t="n">
        <f aca="false">IF(OR(Tasks[[#This Row],[Task Name]]="",Tasks[[#This Row],[_Level]]&lt;=1),0,IFERROR(LOOKUP(2,1/(Tasks[[#Headers],[_Level]]:Tasks[[#This Row],[_Level]]=Tasks[[#This Row],[_Level]]-1),ROW(Tasks[[#Headers],[_Level]]:Tasks[[#This Row],[_Level]])),0))</f>
        <v>0</v>
      </c>
      <c r="CE109" s="43" t="n">
        <f aca="false">IFERROR(N(INDEX(Tasks[_Level],Tasks[[#This Row],[_Row]]+1)),0)</f>
        <v>0</v>
      </c>
      <c r="CF109" s="90" t="b">
        <f aca="false">AND(Tasks[[#This Row],[Task Name]]&lt;&gt;"",Tasks[[#This Row],[_NextLevel]]&gt;Tasks[[#This Row],[_Level]])</f>
        <v>0</v>
      </c>
      <c r="CG109" s="43" t="n">
        <f aca="false">IF(Tasks[[#This Row],[_IsSummary]],COUNTIF(Tasks[WBS],Tasks[[#This Row],[WBS]]&amp;".*"),0)</f>
        <v>0</v>
      </c>
      <c r="CH109" s="43" t="n">
        <f aca="false">IF(AND(Tasks[[#This Row],[Task Name]]&lt;&gt;"",NOT(Tasks[[#This Row],[_IsSummary]])),1,0)</f>
        <v>0</v>
      </c>
      <c r="CI109" s="43" t="n">
        <f aca="false">IF(N(Tasks[[#This Row],[_Pred1UID]])=0,0,IFERROR(MATCH(Tasks[[#This Row],[_Pred1UID]],Tasks[UID],0),-1))</f>
        <v>0</v>
      </c>
      <c r="CJ109" s="43" t="n">
        <f aca="false">IF(N(Tasks[[#This Row],[_Pred2UID]])=0,0,IFERROR(MATCH(Tasks[[#This Row],[_Pred2UID]],Tasks[UID],0),-1))</f>
        <v>0</v>
      </c>
      <c r="CK109" s="43" t="n">
        <f aca="false">IF(N(Tasks[[#This Row],[_Pred3UID]])=0,0,IFERROR(MATCH(Tasks[[#This Row],[_Pred3UID]],Tasks[UID],0),-1))</f>
        <v>0</v>
      </c>
      <c r="CL109" s="43" t="n">
        <f aca="false">IF(N(Tasks[[#This Row],[_Pred4UID]])=0,0,IFERROR(MATCH(Tasks[[#This Row],[_Pred4UID]],Tasks[UID],0),-1))</f>
        <v>0</v>
      </c>
      <c r="CM10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9" s="91" t="n">
        <f aca="false">IF(OR(Tasks[[#This Row],[_ConstraintCode]]=2,Tasks[[#This Row],[_ConstraintCode]]=3,Tasks[[#This Row],[_ConstraintCode]]=4,Tasks[[#This Row],[_ConstraintCode]]=6),Tasks[[#This Row],[_ConstraintStart]],0)</f>
        <v>0</v>
      </c>
      <c r="CP109" s="91" t="n">
        <f aca="false">IF(OR(Tasks[[#This Row],[_ConstraintCode]]=2,Tasks[[#This Row],[_ConstraintCode]]=3,Tasks[[#This Row],[_ConstraintCode]]=5,Tasks[[#This Row],[_ConstraintCode]]=7),Tasks[[#This Row],[_ConstraintStart]],2958465)</f>
        <v>2958465</v>
      </c>
      <c r="CQ10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9" s="91" t="str">
        <f aca="false">IF(NOT(Tasks[[#This Row],[_IsLeaf]]=1),"",IF(N(Tasks[[#This Row],[_Days]])&lt;=0,Tasks[[#This Row],[_LeafCalcStart]],WORKDAY.INTL(Tasks[[#This Row],[_LeafCalcStart]],Tasks[[#This Row],[_Days]]-1,WorkWeek,Holidays)))</f>
        <v/>
      </c>
      <c r="CS10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9" s="43" t="str">
        <f aca="false">IF(Tasks[[#This Row],[_Predecessors]]="","",TRIM(MID(SUBSTITUTE(SUBSTITUTE(SUBSTITUTE(UPPER(Tasks[[#This Row],[_Predecessors]]),";",",")," ",""),",",REPT(" ",99)),1,99)))</f>
        <v/>
      </c>
      <c r="CV109" s="43" t="str">
        <f aca="false">IF(Tasks[[#This Row],[_Pred1Text]]="","",IFERROR(VALUE(LEFT(Tasks[[#This Row],[_Pred1Text]],MIN(FIND("F",Tasks[[#This Row],[_Pred1Text]]&amp;"F"),FIND("S",Tasks[[#This Row],[_Pred1Text]]&amp;"S"),FIND("+",Tasks[[#This Row],[_Pred1Text]]&amp;"+"),FIND("-",Tasks[[#This Row],[_Pred1Text]]&amp;"-"))-1)),""))</f>
        <v/>
      </c>
      <c r="CW10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9" s="43" t="str">
        <f aca="false">IF(Tasks[[#This Row],[_Pred1Text]]="","",TRIM(MID(SUBSTITUTE(SUBSTITUTE(SUBSTITUTE(UPPER(Tasks[[#This Row],[_Predecessors]]),";",",")," ",""),",",REPT(" ",99)),100,99)))</f>
        <v/>
      </c>
      <c r="CZ109" s="43" t="str">
        <f aca="false">IF(Tasks[[#This Row],[_Pred2Text]]="","",IFERROR(VALUE(LEFT(Tasks[[#This Row],[_Pred2Text]],MIN(FIND("F",Tasks[[#This Row],[_Pred2Text]]&amp;"F"),FIND("S",Tasks[[#This Row],[_Pred2Text]]&amp;"S"),FIND("+",Tasks[[#This Row],[_Pred2Text]]&amp;"+"),FIND("-",Tasks[[#This Row],[_Pred2Text]]&amp;"-"))-1)),""))</f>
        <v/>
      </c>
      <c r="DA10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9" s="43" t="str">
        <f aca="false">IF(Tasks[[#This Row],[_Pred2Text]]="","",TRIM(MID(SUBSTITUTE(SUBSTITUTE(SUBSTITUTE(UPPER(Tasks[[#This Row],[_Predecessors]]),";",",")," ",""),",",REPT(" ",99)),199,99)))</f>
        <v/>
      </c>
      <c r="DD109" s="43" t="str">
        <f aca="false">IF(Tasks[[#This Row],[_Pred3Text]]="","",IFERROR(VALUE(LEFT(Tasks[[#This Row],[_Pred3Text]],MIN(FIND("F",Tasks[[#This Row],[_Pred3Text]]&amp;"F"),FIND("S",Tasks[[#This Row],[_Pred3Text]]&amp;"S"),FIND("+",Tasks[[#This Row],[_Pred3Text]]&amp;"+"),FIND("-",Tasks[[#This Row],[_Pred3Text]]&amp;"-"))-1)),""))</f>
        <v/>
      </c>
      <c r="DE10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9" s="43" t="str">
        <f aca="false">IF(Tasks[[#This Row],[_Pred3Text]]="","",TRIM(MID(SUBSTITUTE(SUBSTITUTE(SUBSTITUTE(UPPER(Tasks[[#This Row],[_Predecessors]]),";",",")," ",""),",",REPT(" ",99)),298,99)))</f>
        <v/>
      </c>
      <c r="DH109" s="43" t="str">
        <f aca="false">IF(Tasks[[#This Row],[_Pred4Text]]="","",IFERROR(VALUE(LEFT(Tasks[[#This Row],[_Pred4Text]],MIN(FIND("F",Tasks[[#This Row],[_Pred4Text]]&amp;"F"),FIND("S",Tasks[[#This Row],[_Pred4Text]]&amp;"S"),FIND("+",Tasks[[#This Row],[_Pred4Text]]&amp;"+"),FIND("-",Tasks[[#This Row],[_Pred4Text]]&amp;"-"))-1)),""))</f>
        <v/>
      </c>
      <c r="DI10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9" s="43" t="str">
        <f aca="false">IF(OR(Tasks[[#This Row],[Task Name]]="",Tasks[[#This Row],[_Resources]]=""),"",TRIM(MID(SUBSTITUTE(Tasks[[#This Row],[_Resources]],",",REPT(" ",99)),1,99)))</f>
        <v/>
      </c>
      <c r="DL109" s="43" t="str">
        <f aca="false">IF(Tasks[[#This Row],[_Res1Text]]="","",TRIM(MID(SUBSTITUTE(Tasks[[#This Row],[_Resources]],",",REPT(" ",99)),100,99)))</f>
        <v/>
      </c>
      <c r="DM109" s="43" t="str">
        <f aca="false">IF(Tasks[[#This Row],[_Res2Text]]="","",TRIM(MID(SUBSTITUTE(Tasks[[#This Row],[_Resources]],",",REPT(" ",99)),199,99)))</f>
        <v/>
      </c>
      <c r="DN109" s="43" t="str">
        <f aca="false">IF(Tasks[[#This Row],[_Res3Text]]="","",TRIM(MID(SUBSTITUTE(Tasks[[#This Row],[_Resources]],",",REPT(" ",99)),298,99)))</f>
        <v/>
      </c>
      <c r="DO109" s="43" t="n">
        <f aca="false">IF(Tasks[[#This Row],[_Res1Text]]="",0,IFERROR(MATCH(TRIM(LEFT(Tasks[[#This Row],[_Res1Text]],FIND("[",Tasks[[#This Row],[_Res1Text]]&amp;"[")-1)),res_Name,0),IFERROR(MATCH(TRIM(LEFT(Tasks[[#This Row],[_Res1Text]],FIND("[",Tasks[[#This Row],[_Res1Text]]&amp;"[")-1)),res_Initials,0),0)))</f>
        <v>0</v>
      </c>
      <c r="DP109" s="43" t="n">
        <f aca="false">IF(Tasks[[#This Row],[_Res2Text]]="",0,IFERROR(MATCH(TRIM(LEFT(Tasks[[#This Row],[_Res2Text]],FIND("[",Tasks[[#This Row],[_Res2Text]]&amp;"[")-1)),res_Name,0),IFERROR(MATCH(TRIM(LEFT(Tasks[[#This Row],[_Res2Text]],FIND("[",Tasks[[#This Row],[_Res2Text]]&amp;"[")-1)),res_Initials,0),0)))</f>
        <v>0</v>
      </c>
      <c r="DQ109" s="43" t="n">
        <f aca="false">IF(Tasks[[#This Row],[_Res3Text]]="",0,IFERROR(MATCH(TRIM(LEFT(Tasks[[#This Row],[_Res3Text]],FIND("[",Tasks[[#This Row],[_Res3Text]]&amp;"[")-1)),res_Name,0),IFERROR(MATCH(TRIM(LEFT(Tasks[[#This Row],[_Res3Text]],FIND("[",Tasks[[#This Row],[_Res3Text]]&amp;"[")-1)),res_Initials,0),0)))</f>
        <v>0</v>
      </c>
      <c r="DR109" s="43" t="n">
        <f aca="false">IF(Tasks[[#This Row],[_Res4Text]]="",0,IFERROR(MATCH(TRIM(LEFT(Tasks[[#This Row],[_Res4Text]],FIND("[",Tasks[[#This Row],[_Res4Text]]&amp;"[")-1)),res_Name,0),IFERROR(MATCH(TRIM(LEFT(Tasks[[#This Row],[_Res4Text]],FIND("[",Tasks[[#This Row],[_Res4Text]]&amp;"[")-1)),res_Initials,0),0)))</f>
        <v>0</v>
      </c>
      <c r="DS109" s="43" t="str">
        <f aca="false">IF(Tasks[[#This Row],[_Res1Text]]="","",IF(Tasks[[#This Row],[_Res1Row]]&gt;0,INDEX(res_Name,Tasks[[#This Row],[_Res1Row]]),TRIM(LEFT(Tasks[[#This Row],[_Res1Text]],FIND("[",Tasks[[#This Row],[_Res1Text]]&amp;"[")-1))))</f>
        <v/>
      </c>
      <c r="DT10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9" s="43" t="n">
        <f aca="false">IF(NOT(Tasks[[#This Row],[_IsLeaf]]=1),0,(Tasks[[#This Row],[_Resource1]]&lt;&gt;"")+(Tasks[[#This Row],[_Res2]]&lt;&gt;"")+(Tasks[[#This Row],[_Res3]]&lt;&gt;"")+(Tasks[[#This Row],[_Res4]]&lt;&gt;""))</f>
        <v>0</v>
      </c>
      <c r="DV109" s="43" t="str">
        <f aca="false">IF(Tasks[[#This Row],[_Res2Text]]="","",IF(Tasks[[#This Row],[_Res2Row]]&gt;0,INDEX(res_Name,Tasks[[#This Row],[_Res2Row]]),TRIM(LEFT(Tasks[[#This Row],[_Res2Text]],FIND("[",Tasks[[#This Row],[_Res2Text]]&amp;"[")-1))))</f>
        <v/>
      </c>
      <c r="DW10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9" s="43" t="n">
        <f aca="false">IF(OR(NOT(Tasks[[#This Row],[_IsLeaf]]=1),Tasks[[#This Row],[_Res2Row]]=0),0,N(Tasks[[#This Row],[_Days]])*HoursPerDay*IF(Tasks[[#This Row],[_Res2Units]]="",DefaultUnits,Tasks[[#This Row],[_Res2Units]]))</f>
        <v>0</v>
      </c>
      <c r="DY109" s="43" t="n">
        <f aca="false">IF(AND(AND(Tasks[[#This Row],[_IsLeaf]]=1,Tasks[[#This Row],[_LeafTotalWork]]&gt;0),Tasks[[#This Row],[_Res2Work]]&gt;0),Tasks[[#This Row],[_Res2Work]]/(Tasks[[#This Row],[_FinishWorkday]]-Tasks[[#This Row],[_StartWorkday]]+1),0)</f>
        <v>0</v>
      </c>
      <c r="DZ109" s="43" t="n">
        <f aca="false">Tasks[[#This Row],[_Res2WorkPerWD]]*MAX(0,Tasks[[#This Row],[_StartWorkday]]-1)</f>
        <v>0</v>
      </c>
      <c r="EA109" s="43" t="n">
        <f aca="false">Tasks[[#This Row],[_Res2Work]]*Tasks[[#This Row],[_LeafProgress]]</f>
        <v>0</v>
      </c>
      <c r="EB109" s="43" t="str">
        <f aca="false">IF(Tasks[[#This Row],[_Res3Text]]="","",IF(Tasks[[#This Row],[_Res3Row]]&gt;0,INDEX(res_Name,Tasks[[#This Row],[_Res3Row]]),TRIM(LEFT(Tasks[[#This Row],[_Res3Text]],FIND("[",Tasks[[#This Row],[_Res3Text]]&amp;"[")-1))))</f>
        <v/>
      </c>
      <c r="EC10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9" s="43" t="n">
        <f aca="false">IF(OR(NOT(Tasks[[#This Row],[_IsLeaf]]=1),Tasks[[#This Row],[_Res3Row]]=0),0,N(Tasks[[#This Row],[_Days]])*HoursPerDay*IF(Tasks[[#This Row],[_Res3Units]]="",DefaultUnits,Tasks[[#This Row],[_Res3Units]]))</f>
        <v>0</v>
      </c>
      <c r="EE109" s="43" t="n">
        <f aca="false">IF(AND(AND(Tasks[[#This Row],[_IsLeaf]]=1,Tasks[[#This Row],[_LeafTotalWork]]&gt;0),Tasks[[#This Row],[_Res3Work]]&gt;0),Tasks[[#This Row],[_Res3Work]]/(Tasks[[#This Row],[_FinishWorkday]]-Tasks[[#This Row],[_StartWorkday]]+1),0)</f>
        <v>0</v>
      </c>
      <c r="EF109" s="43" t="n">
        <f aca="false">Tasks[[#This Row],[_Res3WorkPerWD]]*MAX(0,Tasks[[#This Row],[_StartWorkday]]-1)</f>
        <v>0</v>
      </c>
      <c r="EG109" s="43" t="n">
        <f aca="false">Tasks[[#This Row],[_Res3Work]]*Tasks[[#This Row],[_LeafProgress]]</f>
        <v>0</v>
      </c>
      <c r="EH109" s="43" t="str">
        <f aca="false">IF(Tasks[[#This Row],[_Res4Text]]="","",IF(Tasks[[#This Row],[_Res4Row]]&gt;0,INDEX(res_Name,Tasks[[#This Row],[_Res4Row]]),TRIM(LEFT(Tasks[[#This Row],[_Res4Text]],FIND("[",Tasks[[#This Row],[_Res4Text]]&amp;"[")-1))))</f>
        <v/>
      </c>
      <c r="EI10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9" s="43" t="n">
        <f aca="false">IF(OR(NOT(Tasks[[#This Row],[_IsLeaf]]=1),Tasks[[#This Row],[_Res4Row]]=0),0,N(Tasks[[#This Row],[_Days]])*HoursPerDay*IF(Tasks[[#This Row],[_Res4Units]]="",DefaultUnits,Tasks[[#This Row],[_Res4Units]]))</f>
        <v>0</v>
      </c>
      <c r="EK109" s="43" t="n">
        <f aca="false">IF(AND(AND(Tasks[[#This Row],[_IsLeaf]]=1,Tasks[[#This Row],[_LeafTotalWork]]&gt;0),Tasks[[#This Row],[_Res4Work]]&gt;0),Tasks[[#This Row],[_Res4Work]]/(Tasks[[#This Row],[_FinishWorkday]]-Tasks[[#This Row],[_StartWorkday]]+1),0)</f>
        <v>0</v>
      </c>
      <c r="EL109" s="43" t="n">
        <f aca="false">Tasks[[#This Row],[_Res4WorkPerWD]]*MAX(0,Tasks[[#This Row],[_StartWorkday]]-1)</f>
        <v>0</v>
      </c>
      <c r="EM109" s="43" t="n">
        <f aca="false">Tasks[[#This Row],[_Res4Work]]*Tasks[[#This Row],[_LeafProgress]]</f>
        <v>0</v>
      </c>
      <c r="EN109" s="43" t="n">
        <f aca="false">IF(ISNUMBER(Tasks[[#This Row],[% Complete]]),Tasks[[#This Row],[% Complete]],IF(Tasks[[#This Row],[Stage]]="",0,IFERROR(INDEX(stg_Pct,MATCH(Tasks[[#This Row],[Stage]],stg_Name,0)),0)))</f>
        <v>0</v>
      </c>
      <c r="EO109" s="43" t="n">
        <f aca="false">IF(NOT(Tasks[[#This Row],[_IsLeaf]]=1),0,IF(N(Tasks[[#This Row],[Actual Finish]])&gt;0,1,MIN(1,Tasks[[#This Row],[_Pct]])))</f>
        <v>0</v>
      </c>
      <c r="EP109" s="43" t="n">
        <f aca="false">IF(OR(NOT(Tasks[[#This Row],[_IsLeaf]]=1),Tasks[[#This Row],[_Res1Row]]=0),0,N(Tasks[[#This Row],[_Days]])*HoursPerDay*IF(Tasks[[#This Row],[_Units1]]="",DefaultUnits,Tasks[[#This Row],[_Units1]]))</f>
        <v>0</v>
      </c>
      <c r="EQ109" s="43" t="n">
        <f aca="false">Tasks[[#This Row],[_LeafWork]]+Tasks[[#This Row],[_Res2Work]]+Tasks[[#This Row],[_Res3Work]]+Tasks[[#This Row],[_Res4Work]]</f>
        <v>0</v>
      </c>
      <c r="ER10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9" s="43" t="n">
        <f aca="false">IF(NOT(Tasks[[#This Row],[_IsLeaf]]=1),0,MAX(_xlfn.MAXIFS(Tasks[_Row],Tasks[_Pred1UID],Tasks[[#This Row],[UID]]),_xlfn.MAXIFS(Tasks[_Row],Tasks[_Pred2UID],Tasks[[#This Row],[UID]]),_xlfn.MAXIFS(Tasks[_Row],Tasks[_Pred3UID],Tasks[[#This Row],[UID]]),_xlfn.MAXIFS(Tasks[_Row],Tasks[_Pred4UID],Tasks[[#This Row],[UID]])))</f>
        <v>0</v>
      </c>
      <c r="FA10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9" s="91" t="str">
        <f aca="false">IF(NOT(Tasks[[#This Row],[_IsLeaf]]=1),"",IF(N(Tasks[[#This Row],[_Days]])&lt;=0,Tasks[[#This Row],[_LeafLateFinish]],WORKDAY.INTL(Tasks[[#This Row],[_LeafLateFinish]],-(Tasks[[#This Row],[_Days]]-1),WorkWeek,Holidays)))</f>
        <v/>
      </c>
      <c r="FD10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9" s="90" t="b">
        <f aca="false">AND(Tasks[[#This Row],[_IsLeaf]]=1,Tasks[[#This Row],[_LeafProgress]]&lt;1,N(Tasks[[#This Row],[_LeafTotalSlack]])&lt;=CriticalSlackDays)</f>
        <v>0</v>
      </c>
      <c r="FF109" s="43" t="n">
        <f aca="false">IF(AND(Tasks[[#This Row],[_IsLeaf]]=1,Tasks[[#This Row],[_ConstraintCode]]=1,Tasks[[#This Row],[Mode]]&lt;&gt;"Manual",N(Tasks[[#This Row],[Actual Start]])=0),MAX(0,N(Tasks[[#This Row],[Free Slack]])),0)</f>
        <v>0</v>
      </c>
      <c r="FG109" s="91" t="str">
        <f aca="false">IF(NOT(Tasks[[#This Row],[_IsLeaf]]=1),"",IF(Tasks[[#This Row],[_AlapShift]]=0,Tasks[[#This Row],[_LeafCalcStart]],WORKDAY.INTL(Tasks[[#This Row],[_LeafCalcStart]],Tasks[[#This Row],[_AlapShift]],WorkWeek,Holidays)))</f>
        <v/>
      </c>
      <c r="FH109" s="91" t="str">
        <f aca="false">IF(NOT(Tasks[[#This Row],[_IsLeaf]]=1),"",IF(Tasks[[#This Row],[_AlapShift]]=0,Tasks[[#This Row],[_LeafCalcFinish]],WORKDAY.INTL(Tasks[[#This Row],[_LeafCalcFinish]],Tasks[[#This Row],[_AlapShift]],WorkWeek,Holidays)))</f>
        <v/>
      </c>
      <c r="FI109" s="91" t="str">
        <f aca="false">IF(NOT(Tasks[[#This Row],[_IsLeaf]]=1),"",IF(Tasks[[#This Row],[_AlapShift]]=0,Tasks[[#This Row],[_LeafFcstStart]],WORKDAY.INTL(Tasks[[#This Row],[_LeafFcstStart]],Tasks[[#This Row],[_AlapShift]],WorkWeek,Holidays)))</f>
        <v/>
      </c>
      <c r="FJ109" s="91" t="str">
        <f aca="false">IF(NOT(Tasks[[#This Row],[_IsLeaf]]=1),"",IF(Tasks[[#This Row],[_AlapShift]]=0,Tasks[[#This Row],[_LeafFcstFinish]],WORKDAY.INTL(Tasks[[#This Row],[_LeafFcstFinish]],Tasks[[#This Row],[_AlapShift]],WorkWeek,Holidays)))</f>
        <v/>
      </c>
      <c r="FK109" s="91" t="str">
        <f aca="false">IF(Tasks[[#This Row],[Task Name]]="","",IF(Tasks[[#This Row],[_IsSummary]],MIN(INDEX(Tasks[_ShownCalcStart],Tasks[[#This Row],[_Row]]+1):INDEX(Tasks[_ShownCalcStart],Tasks[[#This Row],[_Row]]+Tasks[[#This Row],[_Descendants]])),Tasks[[#This Row],[_ShownCalcStart]]))</f>
        <v/>
      </c>
      <c r="FL109" s="91" t="str">
        <f aca="false">IF(Tasks[[#This Row],[Task Name]]="","",IF(Tasks[[#This Row],[_IsSummary]],MAX(INDEX(Tasks[_ShownCalcFinish],Tasks[[#This Row],[_Row]]+1):INDEX(Tasks[_ShownCalcFinish],Tasks[[#This Row],[_Row]]+Tasks[[#This Row],[_Descendants]])),Tasks[[#This Row],[_ShownCalcFinish]]))</f>
        <v/>
      </c>
      <c r="FM10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9" s="43" t="n">
        <f aca="false">IF(AND(Tasks[[#This Row],[_IsLeaf]]=1,Tasks[[#This Row],[_LeafTotalWork]]&gt;0),NETWORKDAYS.INTL(ProjectStart,Tasks[[#This Row],[_ShownFcstStart]],WorkWeek,Holidays),0)</f>
        <v>0</v>
      </c>
      <c r="FZ109" s="43" t="n">
        <f aca="false">IF(AND(Tasks[[#This Row],[_IsLeaf]]=1,Tasks[[#This Row],[_LeafTotalWork]]&gt;0),MAX(Tasks[[#This Row],[_StartWorkday]],NETWORKDAYS.INTL(ProjectStart,Tasks[[#This Row],[_ShownFcstFinish]],WorkWeek,Holidays)),0)</f>
        <v>0</v>
      </c>
      <c r="GA109" s="43" t="n">
        <f aca="false">IF(AND(Tasks[[#This Row],[_IsLeaf]]=1,Tasks[[#This Row],[_LeafTotalWork]]&gt;0),Tasks[[#This Row],[_LeafWork]]/(Tasks[[#This Row],[_FinishWorkday]]-Tasks[[#This Row],[_StartWorkday]]+1),0)</f>
        <v>0</v>
      </c>
      <c r="GB109" s="43" t="n">
        <f aca="false">Tasks[[#This Row],[_WorkPerWorkday]]*(Tasks[[#This Row],[_StartWorkday]]-1)</f>
        <v>-0</v>
      </c>
      <c r="GC109" s="43" t="n">
        <f aca="false">IF(Tasks[[#This Row],[_IsLeaf]]=1,MAX(N(Tasks[[#This Row],[_Days]]),0.1),0)</f>
        <v>0</v>
      </c>
      <c r="GD109" s="43" t="n">
        <f aca="false">Tasks[[#This Row],[_WeightDur]]*Tasks[[#This Row],[_LeafProgress]]</f>
        <v>0</v>
      </c>
      <c r="GE109" s="43" t="n">
        <f aca="false">Tasks[[#This Row],[_WeightDur]]*Tasks[[#This Row],[_PlannedPct]]</f>
        <v>0</v>
      </c>
      <c r="GF10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9" s="43" t="str">
        <f aca="false">IF(AND(Tasks[[#This Row],[_IsLeaf]]=1,N(Tasks[[#This Row],[_Days]])=0,Tasks[[#This Row],[_LeafProgress]]&lt;1),Tasks[[#This Row],[_ShownFcstFinish]]+Tasks[[#This Row],[_Row]]/100000,"")</f>
        <v/>
      </c>
      <c r="GH10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9" s="43" t="str">
        <f aca="false">IF(Tasks[[#This Row],[Task Name]]="","",LEFT(Tasks[[#This Row],[WBS]],FIND(".",Tasks[[#This Row],[WBS]]&amp;".")-1))</f>
        <v/>
      </c>
      <c r="GJ109" s="43" t="str">
        <f aca="false">IF(AND(Tasks[[#This Row],[Task Name]]&lt;&gt;"",Tasks[[#This Row],[_Level]]=1),Tasks[[#This Row],[_Row]],"")</f>
        <v/>
      </c>
      <c r="GK109" s="43" t="str">
        <f aca="false">IF(AND(Tasks[[#This Row],[_IsLeaf]]=1,N(Tasks[[#This Row],[_Days]])=0),Tasks[[#This Row],[Planned Finish]]+Tasks[[#This Row],[_Row]]/100000,"")</f>
        <v/>
      </c>
      <c r="GL109" s="43" t="str">
        <f aca="false">IF(AND(Tasks[[#This Row],[_IsLeaf]]=1,Tasks[[#This Row],[_LeafProgress]]&lt;1,OR(N(Tasks[[#This Row],[Finish Var]])&gt;0,Tasks[[#This Row],[Status]]="Late Start")),MAX(0,Tasks[[#This Row],[Finish Var]])+1-Tasks[[#This Row],[_Row]]/1000000,"")</f>
        <v/>
      </c>
      <c r="GM109" s="43" t="str">
        <f aca="false">IF(AND(Tasks[[#This Row],[_IsLeaf]]=1,N(Tasks[[#This Row],[Actual Start]])=0,Tasks[[#This Row],[_ShownFcstStart]]&gt;=StatusDate,Tasks[[#This Row],[_ShownFcstStart]]&lt;=LookaheadEnd),Tasks[[#This Row],[_ShownFcstStart]]+Tasks[[#This Row],[_Row]]/100000,"")</f>
        <v/>
      </c>
      <c r="GN109" s="43" t="str">
        <f aca="false">IF(AND(Tasks[[#This Row],[_IsLeaf]]=1,Tasks[[#This Row],[_LeafProgress]]&lt;1,Tasks[[#This Row],[_ShownFcstFinish]]&gt;=StatusDate,Tasks[[#This Row],[_ShownFcstFinish]]&lt;=LookaheadEnd),Tasks[[#This Row],[_ShownFcstFinish]]+Tasks[[#This Row],[_Row]]/100000,"")</f>
        <v/>
      </c>
      <c r="GO109" s="43" t="str">
        <f aca="false">IF(Tasks[[#This Row],[_LeafCritical]],Tasks[[#This Row],[_ShownFcstStart]]+Tasks[[#This Row],[_Row]]/100000,"")</f>
        <v/>
      </c>
      <c r="GP109" s="43" t="n">
        <f aca="false">Tasks[[#This Row],[_LeafWork]]*Tasks[[#This Row],[_LeafProgress]]</f>
        <v>0</v>
      </c>
      <c r="GQ109" s="91" t="str">
        <f aca="false">IF(AND(Tasks[[#This Row],[_IsLeaf]]=1,Tasks[[#This Row],[_LeafProgress]]&gt;=1),IF(N(Tasks[[#This Row],[Actual Finish]])&gt;0,Tasks[[#This Row],[Actual Finish]],Tasks[[#This Row],[_ShownFcstFinish]]),"")</f>
        <v/>
      </c>
      <c r="GR109" s="43" t="n">
        <f aca="false">IF(Tasks[[#This Row],[_IsLeaf]]=1,N(Tasks[[#This Row],[Story Points]]),0)</f>
        <v>0</v>
      </c>
      <c r="GS109" s="43" t="str">
        <f aca="false">""</f>
        <v/>
      </c>
      <c r="GT109" s="90" t="b">
        <f aca="false">IF(Tasks[[#This Row],[Task Name]]="",FALSE(),AND(Tasks[[#This Row],[_IsLeaf]]=1,N(Tasks[[#This Row],[_Days]])=0))</f>
        <v>0</v>
      </c>
      <c r="GU109" s="91" t="n">
        <f aca="false">IF(Tasks[[#This Row],[Task Name]]="",0,IF(AND(Tasks[[#This Row],[_IsLeaf]]=1,NOT(Tasks[[#This Row],[_IsMilestone]]),N(Tasks[[#This Row],[Progress]])&gt;0),Tasks[[#This Row],[Start]],0))</f>
        <v>0</v>
      </c>
      <c r="GV109" s="91" t="n">
        <f aca="false">IF(Tasks[[#This Row],[_DoneFrom]]=0,0,IF(Tasks[[#This Row],[Progress]]&gt;=1,Tasks[[#This Row],[Finish]],MAX(Tasks[[#This Row],[_DoneFrom]],Tasks[[#This Row],[Start]]+ROUND((Tasks[[#This Row],[Finish]]-Tasks[[#This Row],[Start]]+1)*Tasks[[#This Row],[Progress]],0)-1)))</f>
        <v>0</v>
      </c>
      <c r="GW109" s="91" t="n">
        <f aca="false">IF(Tasks[[#This Row],[Task Name]]="",0,IF(OR(NOT(Tasks[[#This Row],[_IsLeaf]]=1),Tasks[[#This Row],[_IsMilestone]],N(Tasks[[#This Row],[Progress]])&gt;=1),0,IF(Tasks[[#This Row],[_DoneTo]]&gt;0,Tasks[[#This Row],[_DoneTo]]+1,Tasks[[#This Row],[Start]])))</f>
        <v>0</v>
      </c>
      <c r="GX109" s="91" t="n">
        <f aca="false">IF(Tasks[[#This Row],[_RemFrom]]=0,0,Tasks[[#This Row],[Finish]])</f>
        <v>0</v>
      </c>
      <c r="GY109" s="90" t="b">
        <f aca="false">IF(Tasks[[#This Row],[Task Name]]="",FALSE(),OR(NOT(BaselineSet),N(Tasks[[#This Row],[Baseline Start]])&gt;0))</f>
        <v>0</v>
      </c>
      <c r="GZ10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9" s="92" t="str">
        <f aca="false">IF(Tasks[[#This Row],[_IsLeaf]]=1,Tasks[[#This Row],[_Row]],"")</f>
        <v/>
      </c>
      <c r="HD109" s="92" t="str">
        <f aca="false">IFERROR(INDEX(Tasks[UID],SMALL(Tasks[_PickKey],Tasks[[#This Row],[_Row]]))&amp;" "&amp;INDEX(Tasks[Task Name],SMALL(Tasks[_PickKey],Tasks[[#This Row],[_Row]])),"")</f>
        <v/>
      </c>
      <c r="HE109" s="43" t="str">
        <f aca="false">IF(Tasks[[#This Row],[Task Name]]="","",IF(Tasks[[#This Row],[_IsSummary]],NETWORKDAYS.INTL(Tasks[[#This Row],[Start]],Tasks[[#This Row],[Finish]],WorkWeek,Holidays),N(Tasks[[#This Row],[_Days]])))</f>
        <v/>
      </c>
      <c r="HF109" s="43" t="n">
        <f aca="false">IF(Tasks[[#This Row],[Expected]]="",0,((Tasks[[#This Row],[Pessimistic]]-Tasks[[#This Row],[Optimistic]])/6)^2)</f>
        <v>0</v>
      </c>
      <c r="HG109" s="43" t="n">
        <f aca="false">IF(Tasks[[#This Row],[Expected]]="",0,Tasks[[#This Row],[Expected]]-N(Tasks[[#This Row],[_Days]]))</f>
        <v>0</v>
      </c>
    </row>
    <row r="110" customFormat="false" ht="15" hidden="false" customHeight="false" outlineLevel="0" collapsed="false">
      <c r="A110" s="21" t="str">
        <f aca="false">IF(Tasks[[#This Row],[Task Name]]="","",COUNTA(Tasks[[#Headers],[Task Name]]:Tasks[[#This Row],[Task Name]])-1)</f>
        <v/>
      </c>
      <c r="B110" s="22" t="n">
        <v>118</v>
      </c>
      <c r="C110" s="22"/>
      <c r="D110" s="23"/>
      <c r="E110" s="22"/>
      <c r="F110" s="23"/>
      <c r="G110" s="22"/>
      <c r="H110" s="22"/>
      <c r="I110" s="23"/>
      <c r="J110" s="22"/>
      <c r="K110" s="22"/>
      <c r="L110" s="23"/>
      <c r="M110" s="22"/>
      <c r="N110" s="22"/>
      <c r="O110" s="23"/>
      <c r="P110" s="22"/>
      <c r="Q110" s="22"/>
      <c r="R110" s="23"/>
      <c r="S110" s="23"/>
      <c r="T110" s="84"/>
      <c r="U110" s="23"/>
      <c r="V110" s="84"/>
      <c r="W110" s="23"/>
      <c r="X110" s="84"/>
      <c r="Y110" s="23"/>
      <c r="Z110" s="84"/>
      <c r="AA110" s="23"/>
      <c r="AB110" s="23"/>
      <c r="AC110" s="7"/>
      <c r="AD110" s="7"/>
      <c r="AE110" s="63" t="str">
        <f aca="false">IF(Tasks[[#This Row],[Task Name]]="","",IF(Tasks[[#This Row],[_IsSummary]],MIN(INDEX(Tasks[_ShownFcstStart],Tasks[[#This Row],[_Row]]+1):INDEX(Tasks[_ShownFcstStart],Tasks[[#This Row],[_Row]]+Tasks[[#This Row],[_Descendants]])),Tasks[[#This Row],[_ShownFcstStart]]))</f>
        <v/>
      </c>
      <c r="AF110" s="63" t="str">
        <f aca="false">IF(Tasks[[#This Row],[Task Name]]="","",IF(Tasks[[#This Row],[_IsSummary]],MAX(INDEX(Tasks[_ShownFcstFinish],Tasks[[#This Row],[_Row]]+1):INDEX(Tasks[_ShownFcstFinish],Tasks[[#This Row],[_Row]]+Tasks[[#This Row],[_Descendants]])),Tasks[[#This Row],[_ShownFcstFinish]]))</f>
        <v/>
      </c>
      <c r="AG110" s="21" t="str">
        <f aca="false">""</f>
        <v/>
      </c>
      <c r="AH110" s="23"/>
      <c r="AI1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0" s="7"/>
      <c r="AK110" s="22"/>
      <c r="AL110" s="23"/>
      <c r="AM110" s="7"/>
      <c r="AN110" s="47" t="str">
        <f aca="false">IF(Tasks[[#This Row],[Task Name]]="","",IF(Tasks[[#This Row],[Finish]]&gt;=Tasks[[#This Row],[Planned Finish]],NETWORKDAYS.INTL(Tasks[[#This Row],[Planned Finish]],Tasks[[#This Row],[Finish]],WorkWeek,Holidays)-1,1-NETWORKDAYS.INTL(Tasks[[#This Row],[Finish]],Tasks[[#This Row],[Planned Finish]],WorkWeek,Holidays)))</f>
        <v/>
      </c>
      <c r="AO110" s="21" t="str">
        <f aca="false">IF(Tasks[[#This Row],[Task Name]]="","",IF(Tasks[[#This Row],[Progress]]&gt;=1,"Complete",IF(OR(N(Tasks[[#This Row],[Actual Start]])&gt;0,Tasks[[#This Row],[Progress]]&gt;0),IF(Tasks[[#This Row],[Finish Var]]&gt;0,"Behind","In Progress"),IF(Tasks[[#This Row],[Planned Start]]&lt;StatusDate,"Late Start","Not Started"))))</f>
        <v/>
      </c>
      <c r="AP110" s="21" t="str">
        <f aca="false">IF(Tasks[[#This Row],[Task Name]]="","",IF(IF(Tasks[[#This Row],[_IsSummary]],COUNTIF(INDEX(Tasks[_LeafCritical],Tasks[[#This Row],[_Row]]+1):INDEX(Tasks[_LeafCritical],Tasks[[#This Row],[_Row]]+Tasks[[#This Row],[_Descendants]]),TRUE())&gt;0,Tasks[[#This Row],[_LeafCritical]]),"Yes",""))</f>
        <v/>
      </c>
      <c r="AQ110" s="63" t="str">
        <f aca="false">IF(Tasks[[#This Row],[Task Name]]="","",IF(N(Tasks[[#This Row],[Baseline Start]])&gt;0,Tasks[[#This Row],[Baseline Start]],Tasks[[#This Row],[_CalcStart]]))</f>
        <v/>
      </c>
      <c r="AR110" s="63" t="str">
        <f aca="false">IF(Tasks[[#This Row],[Task Name]]="","",IF(N(Tasks[[#This Row],[Baseline Finish]])&gt;0,Tasks[[#This Row],[Baseline Finish]],Tasks[[#This Row],[_CalcFinish]]))</f>
        <v/>
      </c>
      <c r="AS110" s="47" t="str">
        <f aca="false">IF(Tasks[[#This Row],[Task Name]]="","",IF(Tasks[[#This Row],[Start]]&gt;=Tasks[[#This Row],[Planned Start]],NETWORKDAYS.INTL(Tasks[[#This Row],[Planned Start]],Tasks[[#This Row],[Start]],WorkWeek,Holidays)-1,1-NETWORKDAYS.INTL(Tasks[[#This Row],[Start]],Tasks[[#This Row],[Planned Start]],WorkWeek,Holidays)))</f>
        <v/>
      </c>
      <c r="AT110" s="63" t="str">
        <f aca="false">IF(Tasks[[#This Row],[Task Name]]="","",IF(Tasks[[#This Row],[_IsSummary]],MIN(INDEX(Tasks[_LeafLateStart],Tasks[[#This Row],[_Row]]+1):INDEX(Tasks[_LeafLateStart],Tasks[[#This Row],[_Row]]+Tasks[[#This Row],[_Descendants]])),Tasks[[#This Row],[_LeafLateStart]]))</f>
        <v/>
      </c>
      <c r="AU110" s="63" t="str">
        <f aca="false">IF(Tasks[[#This Row],[Task Name]]="","",IF(Tasks[[#This Row],[_IsSummary]],MAX(INDEX(Tasks[_LeafLateFinish],Tasks[[#This Row],[_Row]]+1):INDEX(Tasks[_LeafLateFinish],Tasks[[#This Row],[_Row]]+Tasks[[#This Row],[_Descendants]])),Tasks[[#This Row],[_LeafLateFinish]]))</f>
        <v/>
      </c>
      <c r="AV110" s="47" t="str">
        <f aca="false">IF(Tasks[[#This Row],[Task Name]]="","",IF(Tasks[[#This Row],[_IsSummary]],MIN(INDEX(Tasks[_LeafTotalSlack],Tasks[[#This Row],[_Row]]+1):INDEX(Tasks[_LeafTotalSlack],Tasks[[#This Row],[_Row]]+Tasks[[#This Row],[_Descendants]])),Tasks[[#This Row],[_LeafTotalSlack]]))</f>
        <v/>
      </c>
      <c r="AW1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5"/>
      <c r="BA11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t="str">
        <f aca="false">IF(Tasks[[#This Row],[Task Name]]="","",IF(Tasks[[#This Row],[_Level]]&lt;=OutlineShowLevel,"Yes","No"))</f>
        <v/>
      </c>
      <c r="BE110" s="86" t="str">
        <f aca="false">IF(Tasks[[#This Row],[Task Name]]="","",IF(Tasks[[#This Row],[_IsSummary]],SUM(INDEX(Tasks[_LeafTotalWork],Tasks[[#This Row],[_Row]]+1):INDEX(Tasks[_LeafTotalWork],Tasks[[#This Row],[_Row]]+Tasks[[#This Row],[_Descendants]])),Tasks[[#This Row],[_LeafTotalWork]]))</f>
        <v/>
      </c>
      <c r="BF110" s="23"/>
      <c r="BG1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t="str">
        <f aca="false">""</f>
        <v/>
      </c>
      <c r="BI110" s="87"/>
      <c r="BJ110" s="22"/>
      <c r="BK110" s="47" t="str">
        <f aca="false">IF(OR(Tasks[[#This Row],[Task Name]]="",Tasks[[#This Row],[Baseline Duration]]=""),"",Tasks[[#This Row],[_SpanDays]]-N(Tasks[[#This Row],[Baseline Duration]]))</f>
        <v/>
      </c>
      <c r="BL110" s="86" t="str">
        <f aca="false">IF(OR(Tasks[[#This Row],[Task Name]]="",Tasks[[#This Row],[Baseline Work]]=""),"",Tasks[[#This Row],[Work]]-N(Tasks[[#This Row],[Baseline Work]]))</f>
        <v/>
      </c>
      <c r="BM110" s="63" t="str">
        <f aca="false">IF(Tasks[[#This Row],[Task Name]]="","",IF(OR(TakeBaseline="Yes",N(Tasks[[#This Row],[Baseline Start]])=0),Tasks[[#This Row],[Start]],Tasks[[#This Row],[Baseline Start]]))</f>
        <v/>
      </c>
      <c r="BN110" s="63" t="str">
        <f aca="false">IF(Tasks[[#This Row],[Task Name]]="","",IF(OR(TakeBaseline="Yes",N(Tasks[[#This Row],[Baseline Finish]])=0),Tasks[[#This Row],[Finish]],Tasks[[#This Row],[Baseline Finish]]))</f>
        <v/>
      </c>
      <c r="BO110" s="21" t="str">
        <f aca="false">IF(Tasks[[#This Row],[Task Name]]="","",IF(OR(TakeBaseline="Yes",N(Tasks[[#This Row],[Baseline Duration]])=0),Tasks[[#This Row],[_SpanDays]],Tasks[[#This Row],[Baseline Duration]]))</f>
        <v/>
      </c>
      <c r="BP110" s="86" t="str">
        <f aca="false">IF(Tasks[[#This Row],[Task Name]]="","",IF(OR(TakeBaseline="Yes",N(Tasks[[#This Row],[Baseline Work]])=0),Tasks[[#This Row],[Work]],Tasks[[#This Row],[Baseline Work]]))</f>
        <v/>
      </c>
      <c r="BQ110" s="7"/>
      <c r="BR110" s="7"/>
      <c r="BS110" s="22"/>
      <c r="BT110" s="88"/>
      <c r="BU110" s="23"/>
      <c r="BV110" s="23"/>
      <c r="BW110" s="23"/>
      <c r="BX110" s="89" t="str">
        <f aca="false">IF(AND(Tasks[[#This Row],[_IsLeaf]]=1,ISNUMBER(Tasks[[#This Row],[Optimistic]]),ISNUMBER(Tasks[[#This Row],[Pessimistic]])),ROUND((Tasks[[#This Row],[Optimistic]]+4*N(Tasks[[#This Row],[_Days]])+Tasks[[#This Row],[Pessimistic]])/6,1),"")</f>
        <v/>
      </c>
      <c r="BY110" s="87"/>
      <c r="BZ110" s="87"/>
      <c r="CA110" s="22"/>
      <c r="CB110" s="43" t="str">
        <f aca="false">IF(Tasks[[#This Row],[Task Name]]="","",MAX(1,N(Tasks[[#This Row],[Level]])))</f>
        <v/>
      </c>
      <c r="CC110" s="43" t="n">
        <f aca="false">ROW()-ROW(Tasks[[#Headers],[ID]])</f>
        <v>105</v>
      </c>
      <c r="CD110" s="43" t="n">
        <f aca="false">IF(OR(Tasks[[#This Row],[Task Name]]="",Tasks[[#This Row],[_Level]]&lt;=1),0,IFERROR(LOOKUP(2,1/(Tasks[[#Headers],[_Level]]:Tasks[[#This Row],[_Level]]=Tasks[[#This Row],[_Level]]-1),ROW(Tasks[[#Headers],[_Level]]:Tasks[[#This Row],[_Level]])),0))</f>
        <v>0</v>
      </c>
      <c r="CE110" s="43" t="n">
        <f aca="false">IFERROR(N(INDEX(Tasks[_Level],Tasks[[#This Row],[_Row]]+1)),0)</f>
        <v>0</v>
      </c>
      <c r="CF110" s="90" t="b">
        <f aca="false">AND(Tasks[[#This Row],[Task Name]]&lt;&gt;"",Tasks[[#This Row],[_NextLevel]]&gt;Tasks[[#This Row],[_Level]])</f>
        <v>0</v>
      </c>
      <c r="CG110" s="43" t="n">
        <f aca="false">IF(Tasks[[#This Row],[_IsSummary]],COUNTIF(Tasks[WBS],Tasks[[#This Row],[WBS]]&amp;".*"),0)</f>
        <v>0</v>
      </c>
      <c r="CH110" s="43" t="n">
        <f aca="false">IF(AND(Tasks[[#This Row],[Task Name]]&lt;&gt;"",NOT(Tasks[[#This Row],[_IsSummary]])),1,0)</f>
        <v>0</v>
      </c>
      <c r="CI110" s="43" t="n">
        <f aca="false">IF(N(Tasks[[#This Row],[_Pred1UID]])=0,0,IFERROR(MATCH(Tasks[[#This Row],[_Pred1UID]],Tasks[UID],0),-1))</f>
        <v>0</v>
      </c>
      <c r="CJ110" s="43" t="n">
        <f aca="false">IF(N(Tasks[[#This Row],[_Pred2UID]])=0,0,IFERROR(MATCH(Tasks[[#This Row],[_Pred2UID]],Tasks[UID],0),-1))</f>
        <v>0</v>
      </c>
      <c r="CK110" s="43" t="n">
        <f aca="false">IF(N(Tasks[[#This Row],[_Pred3UID]])=0,0,IFERROR(MATCH(Tasks[[#This Row],[_Pred3UID]],Tasks[UID],0),-1))</f>
        <v>0</v>
      </c>
      <c r="CL110" s="43" t="n">
        <f aca="false">IF(N(Tasks[[#This Row],[_Pred4UID]])=0,0,IFERROR(MATCH(Tasks[[#This Row],[_Pred4UID]],Tasks[UID],0),-1))</f>
        <v>0</v>
      </c>
      <c r="CM1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0" s="91" t="n">
        <f aca="false">IF(OR(Tasks[[#This Row],[_ConstraintCode]]=2,Tasks[[#This Row],[_ConstraintCode]]=3,Tasks[[#This Row],[_ConstraintCode]]=4,Tasks[[#This Row],[_ConstraintCode]]=6),Tasks[[#This Row],[_ConstraintStart]],0)</f>
        <v>0</v>
      </c>
      <c r="CP110" s="91" t="n">
        <f aca="false">IF(OR(Tasks[[#This Row],[_ConstraintCode]]=2,Tasks[[#This Row],[_ConstraintCode]]=3,Tasks[[#This Row],[_ConstraintCode]]=5,Tasks[[#This Row],[_ConstraintCode]]=7),Tasks[[#This Row],[_ConstraintStart]],2958465)</f>
        <v>2958465</v>
      </c>
      <c r="CQ1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0" s="91" t="str">
        <f aca="false">IF(NOT(Tasks[[#This Row],[_IsLeaf]]=1),"",IF(N(Tasks[[#This Row],[_Days]])&lt;=0,Tasks[[#This Row],[_LeafCalcStart]],WORKDAY.INTL(Tasks[[#This Row],[_LeafCalcStart]],Tasks[[#This Row],[_Days]]-1,WorkWeek,Holidays)))</f>
        <v/>
      </c>
      <c r="CS1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0" s="43" t="str">
        <f aca="false">IF(Tasks[[#This Row],[_Predecessors]]="","",TRIM(MID(SUBSTITUTE(SUBSTITUTE(SUBSTITUTE(UPPER(Tasks[[#This Row],[_Predecessors]]),";",",")," ",""),",",REPT(" ",99)),1,99)))</f>
        <v/>
      </c>
      <c r="CV110" s="43" t="str">
        <f aca="false">IF(Tasks[[#This Row],[_Pred1Text]]="","",IFERROR(VALUE(LEFT(Tasks[[#This Row],[_Pred1Text]],MIN(FIND("F",Tasks[[#This Row],[_Pred1Text]]&amp;"F"),FIND("S",Tasks[[#This Row],[_Pred1Text]]&amp;"S"),FIND("+",Tasks[[#This Row],[_Pred1Text]]&amp;"+"),FIND("-",Tasks[[#This Row],[_Pred1Text]]&amp;"-"))-1)),""))</f>
        <v/>
      </c>
      <c r="CW1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0" s="43" t="str">
        <f aca="false">IF(Tasks[[#This Row],[_Pred1Text]]="","",TRIM(MID(SUBSTITUTE(SUBSTITUTE(SUBSTITUTE(UPPER(Tasks[[#This Row],[_Predecessors]]),";",",")," ",""),",",REPT(" ",99)),100,99)))</f>
        <v/>
      </c>
      <c r="CZ110" s="43" t="str">
        <f aca="false">IF(Tasks[[#This Row],[_Pred2Text]]="","",IFERROR(VALUE(LEFT(Tasks[[#This Row],[_Pred2Text]],MIN(FIND("F",Tasks[[#This Row],[_Pred2Text]]&amp;"F"),FIND("S",Tasks[[#This Row],[_Pred2Text]]&amp;"S"),FIND("+",Tasks[[#This Row],[_Pred2Text]]&amp;"+"),FIND("-",Tasks[[#This Row],[_Pred2Text]]&amp;"-"))-1)),""))</f>
        <v/>
      </c>
      <c r="DA1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0" s="43" t="str">
        <f aca="false">IF(Tasks[[#This Row],[_Pred2Text]]="","",TRIM(MID(SUBSTITUTE(SUBSTITUTE(SUBSTITUTE(UPPER(Tasks[[#This Row],[_Predecessors]]),";",",")," ",""),",",REPT(" ",99)),199,99)))</f>
        <v/>
      </c>
      <c r="DD110" s="43" t="str">
        <f aca="false">IF(Tasks[[#This Row],[_Pred3Text]]="","",IFERROR(VALUE(LEFT(Tasks[[#This Row],[_Pred3Text]],MIN(FIND("F",Tasks[[#This Row],[_Pred3Text]]&amp;"F"),FIND("S",Tasks[[#This Row],[_Pred3Text]]&amp;"S"),FIND("+",Tasks[[#This Row],[_Pred3Text]]&amp;"+"),FIND("-",Tasks[[#This Row],[_Pred3Text]]&amp;"-"))-1)),""))</f>
        <v/>
      </c>
      <c r="DE1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0" s="43" t="str">
        <f aca="false">IF(Tasks[[#This Row],[_Pred3Text]]="","",TRIM(MID(SUBSTITUTE(SUBSTITUTE(SUBSTITUTE(UPPER(Tasks[[#This Row],[_Predecessors]]),";",",")," ",""),",",REPT(" ",99)),298,99)))</f>
        <v/>
      </c>
      <c r="DH110" s="43" t="str">
        <f aca="false">IF(Tasks[[#This Row],[_Pred4Text]]="","",IFERROR(VALUE(LEFT(Tasks[[#This Row],[_Pred4Text]],MIN(FIND("F",Tasks[[#This Row],[_Pred4Text]]&amp;"F"),FIND("S",Tasks[[#This Row],[_Pred4Text]]&amp;"S"),FIND("+",Tasks[[#This Row],[_Pred4Text]]&amp;"+"),FIND("-",Tasks[[#This Row],[_Pred4Text]]&amp;"-"))-1)),""))</f>
        <v/>
      </c>
      <c r="DI1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0" s="43" t="str">
        <f aca="false">IF(OR(Tasks[[#This Row],[Task Name]]="",Tasks[[#This Row],[_Resources]]=""),"",TRIM(MID(SUBSTITUTE(Tasks[[#This Row],[_Resources]],",",REPT(" ",99)),1,99)))</f>
        <v/>
      </c>
      <c r="DL110" s="43" t="str">
        <f aca="false">IF(Tasks[[#This Row],[_Res1Text]]="","",TRIM(MID(SUBSTITUTE(Tasks[[#This Row],[_Resources]],",",REPT(" ",99)),100,99)))</f>
        <v/>
      </c>
      <c r="DM110" s="43" t="str">
        <f aca="false">IF(Tasks[[#This Row],[_Res2Text]]="","",TRIM(MID(SUBSTITUTE(Tasks[[#This Row],[_Resources]],",",REPT(" ",99)),199,99)))</f>
        <v/>
      </c>
      <c r="DN110" s="43" t="str">
        <f aca="false">IF(Tasks[[#This Row],[_Res3Text]]="","",TRIM(MID(SUBSTITUTE(Tasks[[#This Row],[_Resources]],",",REPT(" ",99)),298,99)))</f>
        <v/>
      </c>
      <c r="DO110" s="43" t="n">
        <f aca="false">IF(Tasks[[#This Row],[_Res1Text]]="",0,IFERROR(MATCH(TRIM(LEFT(Tasks[[#This Row],[_Res1Text]],FIND("[",Tasks[[#This Row],[_Res1Text]]&amp;"[")-1)),res_Name,0),IFERROR(MATCH(TRIM(LEFT(Tasks[[#This Row],[_Res1Text]],FIND("[",Tasks[[#This Row],[_Res1Text]]&amp;"[")-1)),res_Initials,0),0)))</f>
        <v>0</v>
      </c>
      <c r="DP110" s="43" t="n">
        <f aca="false">IF(Tasks[[#This Row],[_Res2Text]]="",0,IFERROR(MATCH(TRIM(LEFT(Tasks[[#This Row],[_Res2Text]],FIND("[",Tasks[[#This Row],[_Res2Text]]&amp;"[")-1)),res_Name,0),IFERROR(MATCH(TRIM(LEFT(Tasks[[#This Row],[_Res2Text]],FIND("[",Tasks[[#This Row],[_Res2Text]]&amp;"[")-1)),res_Initials,0),0)))</f>
        <v>0</v>
      </c>
      <c r="DQ110" s="43" t="n">
        <f aca="false">IF(Tasks[[#This Row],[_Res3Text]]="",0,IFERROR(MATCH(TRIM(LEFT(Tasks[[#This Row],[_Res3Text]],FIND("[",Tasks[[#This Row],[_Res3Text]]&amp;"[")-1)),res_Name,0),IFERROR(MATCH(TRIM(LEFT(Tasks[[#This Row],[_Res3Text]],FIND("[",Tasks[[#This Row],[_Res3Text]]&amp;"[")-1)),res_Initials,0),0)))</f>
        <v>0</v>
      </c>
      <c r="DR110" s="43" t="n">
        <f aca="false">IF(Tasks[[#This Row],[_Res4Text]]="",0,IFERROR(MATCH(TRIM(LEFT(Tasks[[#This Row],[_Res4Text]],FIND("[",Tasks[[#This Row],[_Res4Text]]&amp;"[")-1)),res_Name,0),IFERROR(MATCH(TRIM(LEFT(Tasks[[#This Row],[_Res4Text]],FIND("[",Tasks[[#This Row],[_Res4Text]]&amp;"[")-1)),res_Initials,0),0)))</f>
        <v>0</v>
      </c>
      <c r="DS110" s="43" t="str">
        <f aca="false">IF(Tasks[[#This Row],[_Res1Text]]="","",IF(Tasks[[#This Row],[_Res1Row]]&gt;0,INDEX(res_Name,Tasks[[#This Row],[_Res1Row]]),TRIM(LEFT(Tasks[[#This Row],[_Res1Text]],FIND("[",Tasks[[#This Row],[_Res1Text]]&amp;"[")-1))))</f>
        <v/>
      </c>
      <c r="DT1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0" s="43" t="n">
        <f aca="false">IF(NOT(Tasks[[#This Row],[_IsLeaf]]=1),0,(Tasks[[#This Row],[_Resource1]]&lt;&gt;"")+(Tasks[[#This Row],[_Res2]]&lt;&gt;"")+(Tasks[[#This Row],[_Res3]]&lt;&gt;"")+(Tasks[[#This Row],[_Res4]]&lt;&gt;""))</f>
        <v>0</v>
      </c>
      <c r="DV110" s="43" t="str">
        <f aca="false">IF(Tasks[[#This Row],[_Res2Text]]="","",IF(Tasks[[#This Row],[_Res2Row]]&gt;0,INDEX(res_Name,Tasks[[#This Row],[_Res2Row]]),TRIM(LEFT(Tasks[[#This Row],[_Res2Text]],FIND("[",Tasks[[#This Row],[_Res2Text]]&amp;"[")-1))))</f>
        <v/>
      </c>
      <c r="DW1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0" s="43" t="n">
        <f aca="false">IF(OR(NOT(Tasks[[#This Row],[_IsLeaf]]=1),Tasks[[#This Row],[_Res2Row]]=0),0,N(Tasks[[#This Row],[_Days]])*HoursPerDay*IF(Tasks[[#This Row],[_Res2Units]]="",DefaultUnits,Tasks[[#This Row],[_Res2Units]]))</f>
        <v>0</v>
      </c>
      <c r="DY110" s="43" t="n">
        <f aca="false">IF(AND(AND(Tasks[[#This Row],[_IsLeaf]]=1,Tasks[[#This Row],[_LeafTotalWork]]&gt;0),Tasks[[#This Row],[_Res2Work]]&gt;0),Tasks[[#This Row],[_Res2Work]]/(Tasks[[#This Row],[_FinishWorkday]]-Tasks[[#This Row],[_StartWorkday]]+1),0)</f>
        <v>0</v>
      </c>
      <c r="DZ110" s="43" t="n">
        <f aca="false">Tasks[[#This Row],[_Res2WorkPerWD]]*MAX(0,Tasks[[#This Row],[_StartWorkday]]-1)</f>
        <v>0</v>
      </c>
      <c r="EA110" s="43" t="n">
        <f aca="false">Tasks[[#This Row],[_Res2Work]]*Tasks[[#This Row],[_LeafProgress]]</f>
        <v>0</v>
      </c>
      <c r="EB110" s="43" t="str">
        <f aca="false">IF(Tasks[[#This Row],[_Res3Text]]="","",IF(Tasks[[#This Row],[_Res3Row]]&gt;0,INDEX(res_Name,Tasks[[#This Row],[_Res3Row]]),TRIM(LEFT(Tasks[[#This Row],[_Res3Text]],FIND("[",Tasks[[#This Row],[_Res3Text]]&amp;"[")-1))))</f>
        <v/>
      </c>
      <c r="EC1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0" s="43" t="n">
        <f aca="false">IF(OR(NOT(Tasks[[#This Row],[_IsLeaf]]=1),Tasks[[#This Row],[_Res3Row]]=0),0,N(Tasks[[#This Row],[_Days]])*HoursPerDay*IF(Tasks[[#This Row],[_Res3Units]]="",DefaultUnits,Tasks[[#This Row],[_Res3Units]]))</f>
        <v>0</v>
      </c>
      <c r="EE110" s="43" t="n">
        <f aca="false">IF(AND(AND(Tasks[[#This Row],[_IsLeaf]]=1,Tasks[[#This Row],[_LeafTotalWork]]&gt;0),Tasks[[#This Row],[_Res3Work]]&gt;0),Tasks[[#This Row],[_Res3Work]]/(Tasks[[#This Row],[_FinishWorkday]]-Tasks[[#This Row],[_StartWorkday]]+1),0)</f>
        <v>0</v>
      </c>
      <c r="EF110" s="43" t="n">
        <f aca="false">Tasks[[#This Row],[_Res3WorkPerWD]]*MAX(0,Tasks[[#This Row],[_StartWorkday]]-1)</f>
        <v>0</v>
      </c>
      <c r="EG110" s="43" t="n">
        <f aca="false">Tasks[[#This Row],[_Res3Work]]*Tasks[[#This Row],[_LeafProgress]]</f>
        <v>0</v>
      </c>
      <c r="EH110" s="43" t="str">
        <f aca="false">IF(Tasks[[#This Row],[_Res4Text]]="","",IF(Tasks[[#This Row],[_Res4Row]]&gt;0,INDEX(res_Name,Tasks[[#This Row],[_Res4Row]]),TRIM(LEFT(Tasks[[#This Row],[_Res4Text]],FIND("[",Tasks[[#This Row],[_Res4Text]]&amp;"[")-1))))</f>
        <v/>
      </c>
      <c r="EI1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0" s="43" t="n">
        <f aca="false">IF(OR(NOT(Tasks[[#This Row],[_IsLeaf]]=1),Tasks[[#This Row],[_Res4Row]]=0),0,N(Tasks[[#This Row],[_Days]])*HoursPerDay*IF(Tasks[[#This Row],[_Res4Units]]="",DefaultUnits,Tasks[[#This Row],[_Res4Units]]))</f>
        <v>0</v>
      </c>
      <c r="EK110" s="43" t="n">
        <f aca="false">IF(AND(AND(Tasks[[#This Row],[_IsLeaf]]=1,Tasks[[#This Row],[_LeafTotalWork]]&gt;0),Tasks[[#This Row],[_Res4Work]]&gt;0),Tasks[[#This Row],[_Res4Work]]/(Tasks[[#This Row],[_FinishWorkday]]-Tasks[[#This Row],[_StartWorkday]]+1),0)</f>
        <v>0</v>
      </c>
      <c r="EL110" s="43" t="n">
        <f aca="false">Tasks[[#This Row],[_Res4WorkPerWD]]*MAX(0,Tasks[[#This Row],[_StartWorkday]]-1)</f>
        <v>0</v>
      </c>
      <c r="EM110" s="43" t="n">
        <f aca="false">Tasks[[#This Row],[_Res4Work]]*Tasks[[#This Row],[_LeafProgress]]</f>
        <v>0</v>
      </c>
      <c r="EN110" s="43" t="n">
        <f aca="false">IF(ISNUMBER(Tasks[[#This Row],[% Complete]]),Tasks[[#This Row],[% Complete]],IF(Tasks[[#This Row],[Stage]]="",0,IFERROR(INDEX(stg_Pct,MATCH(Tasks[[#This Row],[Stage]],stg_Name,0)),0)))</f>
        <v>0</v>
      </c>
      <c r="EO110" s="43" t="n">
        <f aca="false">IF(NOT(Tasks[[#This Row],[_IsLeaf]]=1),0,IF(N(Tasks[[#This Row],[Actual Finish]])&gt;0,1,MIN(1,Tasks[[#This Row],[_Pct]])))</f>
        <v>0</v>
      </c>
      <c r="EP110" s="43" t="n">
        <f aca="false">IF(OR(NOT(Tasks[[#This Row],[_IsLeaf]]=1),Tasks[[#This Row],[_Res1Row]]=0),0,N(Tasks[[#This Row],[_Days]])*HoursPerDay*IF(Tasks[[#This Row],[_Units1]]="",DefaultUnits,Tasks[[#This Row],[_Units1]]))</f>
        <v>0</v>
      </c>
      <c r="EQ110" s="43" t="n">
        <f aca="false">Tasks[[#This Row],[_LeafWork]]+Tasks[[#This Row],[_Res2Work]]+Tasks[[#This Row],[_Res3Work]]+Tasks[[#This Row],[_Res4Work]]</f>
        <v>0</v>
      </c>
      <c r="ER11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0" s="43" t="n">
        <f aca="false">IF(NOT(Tasks[[#This Row],[_IsLeaf]]=1),0,MAX(_xlfn.MAXIFS(Tasks[_Row],Tasks[_Pred1UID],Tasks[[#This Row],[UID]]),_xlfn.MAXIFS(Tasks[_Row],Tasks[_Pred2UID],Tasks[[#This Row],[UID]]),_xlfn.MAXIFS(Tasks[_Row],Tasks[_Pred3UID],Tasks[[#This Row],[UID]]),_xlfn.MAXIFS(Tasks[_Row],Tasks[_Pred4UID],Tasks[[#This Row],[UID]])))</f>
        <v>0</v>
      </c>
      <c r="FA1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0" s="91" t="str">
        <f aca="false">IF(NOT(Tasks[[#This Row],[_IsLeaf]]=1),"",IF(N(Tasks[[#This Row],[_Days]])&lt;=0,Tasks[[#This Row],[_LeafLateFinish]],WORKDAY.INTL(Tasks[[#This Row],[_LeafLateFinish]],-(Tasks[[#This Row],[_Days]]-1),WorkWeek,Holidays)))</f>
        <v/>
      </c>
      <c r="FD1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0" s="90" t="b">
        <f aca="false">AND(Tasks[[#This Row],[_IsLeaf]]=1,Tasks[[#This Row],[_LeafProgress]]&lt;1,N(Tasks[[#This Row],[_LeafTotalSlack]])&lt;=CriticalSlackDays)</f>
        <v>0</v>
      </c>
      <c r="FF110" s="43" t="n">
        <f aca="false">IF(AND(Tasks[[#This Row],[_IsLeaf]]=1,Tasks[[#This Row],[_ConstraintCode]]=1,Tasks[[#This Row],[Mode]]&lt;&gt;"Manual",N(Tasks[[#This Row],[Actual Start]])=0),MAX(0,N(Tasks[[#This Row],[Free Slack]])),0)</f>
        <v>0</v>
      </c>
      <c r="FG110" s="91" t="str">
        <f aca="false">IF(NOT(Tasks[[#This Row],[_IsLeaf]]=1),"",IF(Tasks[[#This Row],[_AlapShift]]=0,Tasks[[#This Row],[_LeafCalcStart]],WORKDAY.INTL(Tasks[[#This Row],[_LeafCalcStart]],Tasks[[#This Row],[_AlapShift]],WorkWeek,Holidays)))</f>
        <v/>
      </c>
      <c r="FH110" s="91" t="str">
        <f aca="false">IF(NOT(Tasks[[#This Row],[_IsLeaf]]=1),"",IF(Tasks[[#This Row],[_AlapShift]]=0,Tasks[[#This Row],[_LeafCalcFinish]],WORKDAY.INTL(Tasks[[#This Row],[_LeafCalcFinish]],Tasks[[#This Row],[_AlapShift]],WorkWeek,Holidays)))</f>
        <v/>
      </c>
      <c r="FI110" s="91" t="str">
        <f aca="false">IF(NOT(Tasks[[#This Row],[_IsLeaf]]=1),"",IF(Tasks[[#This Row],[_AlapShift]]=0,Tasks[[#This Row],[_LeafFcstStart]],WORKDAY.INTL(Tasks[[#This Row],[_LeafFcstStart]],Tasks[[#This Row],[_AlapShift]],WorkWeek,Holidays)))</f>
        <v/>
      </c>
      <c r="FJ110" s="91" t="str">
        <f aca="false">IF(NOT(Tasks[[#This Row],[_IsLeaf]]=1),"",IF(Tasks[[#This Row],[_AlapShift]]=0,Tasks[[#This Row],[_LeafFcstFinish]],WORKDAY.INTL(Tasks[[#This Row],[_LeafFcstFinish]],Tasks[[#This Row],[_AlapShift]],WorkWeek,Holidays)))</f>
        <v/>
      </c>
      <c r="FK110" s="91" t="str">
        <f aca="false">IF(Tasks[[#This Row],[Task Name]]="","",IF(Tasks[[#This Row],[_IsSummary]],MIN(INDEX(Tasks[_ShownCalcStart],Tasks[[#This Row],[_Row]]+1):INDEX(Tasks[_ShownCalcStart],Tasks[[#This Row],[_Row]]+Tasks[[#This Row],[_Descendants]])),Tasks[[#This Row],[_ShownCalcStart]]))</f>
        <v/>
      </c>
      <c r="FL110" s="91" t="str">
        <f aca="false">IF(Tasks[[#This Row],[Task Name]]="","",IF(Tasks[[#This Row],[_IsSummary]],MAX(INDEX(Tasks[_ShownCalcFinish],Tasks[[#This Row],[_Row]]+1):INDEX(Tasks[_ShownCalcFinish],Tasks[[#This Row],[_Row]]+Tasks[[#This Row],[_Descendants]])),Tasks[[#This Row],[_ShownCalcFinish]]))</f>
        <v/>
      </c>
      <c r="FM1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0" s="43" t="n">
        <f aca="false">IF(AND(Tasks[[#This Row],[_IsLeaf]]=1,Tasks[[#This Row],[_LeafTotalWork]]&gt;0),NETWORKDAYS.INTL(ProjectStart,Tasks[[#This Row],[_ShownFcstStart]],WorkWeek,Holidays),0)</f>
        <v>0</v>
      </c>
      <c r="FZ110" s="43" t="n">
        <f aca="false">IF(AND(Tasks[[#This Row],[_IsLeaf]]=1,Tasks[[#This Row],[_LeafTotalWork]]&gt;0),MAX(Tasks[[#This Row],[_StartWorkday]],NETWORKDAYS.INTL(ProjectStart,Tasks[[#This Row],[_ShownFcstFinish]],WorkWeek,Holidays)),0)</f>
        <v>0</v>
      </c>
      <c r="GA110" s="43" t="n">
        <f aca="false">IF(AND(Tasks[[#This Row],[_IsLeaf]]=1,Tasks[[#This Row],[_LeafTotalWork]]&gt;0),Tasks[[#This Row],[_LeafWork]]/(Tasks[[#This Row],[_FinishWorkday]]-Tasks[[#This Row],[_StartWorkday]]+1),0)</f>
        <v>0</v>
      </c>
      <c r="GB110" s="43" t="n">
        <f aca="false">Tasks[[#This Row],[_WorkPerWorkday]]*(Tasks[[#This Row],[_StartWorkday]]-1)</f>
        <v>-0</v>
      </c>
      <c r="GC110" s="43" t="n">
        <f aca="false">IF(Tasks[[#This Row],[_IsLeaf]]=1,MAX(N(Tasks[[#This Row],[_Days]]),0.1),0)</f>
        <v>0</v>
      </c>
      <c r="GD110" s="43" t="n">
        <f aca="false">Tasks[[#This Row],[_WeightDur]]*Tasks[[#This Row],[_LeafProgress]]</f>
        <v>0</v>
      </c>
      <c r="GE110" s="43" t="n">
        <f aca="false">Tasks[[#This Row],[_WeightDur]]*Tasks[[#This Row],[_PlannedPct]]</f>
        <v>0</v>
      </c>
      <c r="GF1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0" s="43" t="str">
        <f aca="false">IF(AND(Tasks[[#This Row],[_IsLeaf]]=1,N(Tasks[[#This Row],[_Days]])=0,Tasks[[#This Row],[_LeafProgress]]&lt;1),Tasks[[#This Row],[_ShownFcstFinish]]+Tasks[[#This Row],[_Row]]/100000,"")</f>
        <v/>
      </c>
      <c r="GH1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0" s="43" t="str">
        <f aca="false">IF(Tasks[[#This Row],[Task Name]]="","",LEFT(Tasks[[#This Row],[WBS]],FIND(".",Tasks[[#This Row],[WBS]]&amp;".")-1))</f>
        <v/>
      </c>
      <c r="GJ110" s="43" t="str">
        <f aca="false">IF(AND(Tasks[[#This Row],[Task Name]]&lt;&gt;"",Tasks[[#This Row],[_Level]]=1),Tasks[[#This Row],[_Row]],"")</f>
        <v/>
      </c>
      <c r="GK110" s="43" t="str">
        <f aca="false">IF(AND(Tasks[[#This Row],[_IsLeaf]]=1,N(Tasks[[#This Row],[_Days]])=0),Tasks[[#This Row],[Planned Finish]]+Tasks[[#This Row],[_Row]]/100000,"")</f>
        <v/>
      </c>
      <c r="GL110" s="43" t="str">
        <f aca="false">IF(AND(Tasks[[#This Row],[_IsLeaf]]=1,Tasks[[#This Row],[_LeafProgress]]&lt;1,OR(N(Tasks[[#This Row],[Finish Var]])&gt;0,Tasks[[#This Row],[Status]]="Late Start")),MAX(0,Tasks[[#This Row],[Finish Var]])+1-Tasks[[#This Row],[_Row]]/1000000,"")</f>
        <v/>
      </c>
      <c r="GM110" s="43" t="str">
        <f aca="false">IF(AND(Tasks[[#This Row],[_IsLeaf]]=1,N(Tasks[[#This Row],[Actual Start]])=0,Tasks[[#This Row],[_ShownFcstStart]]&gt;=StatusDate,Tasks[[#This Row],[_ShownFcstStart]]&lt;=LookaheadEnd),Tasks[[#This Row],[_ShownFcstStart]]+Tasks[[#This Row],[_Row]]/100000,"")</f>
        <v/>
      </c>
      <c r="GN110" s="43" t="str">
        <f aca="false">IF(AND(Tasks[[#This Row],[_IsLeaf]]=1,Tasks[[#This Row],[_LeafProgress]]&lt;1,Tasks[[#This Row],[_ShownFcstFinish]]&gt;=StatusDate,Tasks[[#This Row],[_ShownFcstFinish]]&lt;=LookaheadEnd),Tasks[[#This Row],[_ShownFcstFinish]]+Tasks[[#This Row],[_Row]]/100000,"")</f>
        <v/>
      </c>
      <c r="GO110" s="43" t="str">
        <f aca="false">IF(Tasks[[#This Row],[_LeafCritical]],Tasks[[#This Row],[_ShownFcstStart]]+Tasks[[#This Row],[_Row]]/100000,"")</f>
        <v/>
      </c>
      <c r="GP110" s="43" t="n">
        <f aca="false">Tasks[[#This Row],[_LeafWork]]*Tasks[[#This Row],[_LeafProgress]]</f>
        <v>0</v>
      </c>
      <c r="GQ110" s="91" t="str">
        <f aca="false">IF(AND(Tasks[[#This Row],[_IsLeaf]]=1,Tasks[[#This Row],[_LeafProgress]]&gt;=1),IF(N(Tasks[[#This Row],[Actual Finish]])&gt;0,Tasks[[#This Row],[Actual Finish]],Tasks[[#This Row],[_ShownFcstFinish]]),"")</f>
        <v/>
      </c>
      <c r="GR110" s="43" t="n">
        <f aca="false">IF(Tasks[[#This Row],[_IsLeaf]]=1,N(Tasks[[#This Row],[Story Points]]),0)</f>
        <v>0</v>
      </c>
      <c r="GS110" s="43" t="str">
        <f aca="false">""</f>
        <v/>
      </c>
      <c r="GT110" s="90" t="b">
        <f aca="false">IF(Tasks[[#This Row],[Task Name]]="",FALSE(),AND(Tasks[[#This Row],[_IsLeaf]]=1,N(Tasks[[#This Row],[_Days]])=0))</f>
        <v>0</v>
      </c>
      <c r="GU110" s="91" t="n">
        <f aca="false">IF(Tasks[[#This Row],[Task Name]]="",0,IF(AND(Tasks[[#This Row],[_IsLeaf]]=1,NOT(Tasks[[#This Row],[_IsMilestone]]),N(Tasks[[#This Row],[Progress]])&gt;0),Tasks[[#This Row],[Start]],0))</f>
        <v>0</v>
      </c>
      <c r="GV110" s="91" t="n">
        <f aca="false">IF(Tasks[[#This Row],[_DoneFrom]]=0,0,IF(Tasks[[#This Row],[Progress]]&gt;=1,Tasks[[#This Row],[Finish]],MAX(Tasks[[#This Row],[_DoneFrom]],Tasks[[#This Row],[Start]]+ROUND((Tasks[[#This Row],[Finish]]-Tasks[[#This Row],[Start]]+1)*Tasks[[#This Row],[Progress]],0)-1)))</f>
        <v>0</v>
      </c>
      <c r="GW110" s="91" t="n">
        <f aca="false">IF(Tasks[[#This Row],[Task Name]]="",0,IF(OR(NOT(Tasks[[#This Row],[_IsLeaf]]=1),Tasks[[#This Row],[_IsMilestone]],N(Tasks[[#This Row],[Progress]])&gt;=1),0,IF(Tasks[[#This Row],[_DoneTo]]&gt;0,Tasks[[#This Row],[_DoneTo]]+1,Tasks[[#This Row],[Start]])))</f>
        <v>0</v>
      </c>
      <c r="GX110" s="91" t="n">
        <f aca="false">IF(Tasks[[#This Row],[_RemFrom]]=0,0,Tasks[[#This Row],[Finish]])</f>
        <v>0</v>
      </c>
      <c r="GY110" s="90" t="b">
        <f aca="false">IF(Tasks[[#This Row],[Task Name]]="",FALSE(),OR(NOT(BaselineSet),N(Tasks[[#This Row],[Baseline Start]])&gt;0))</f>
        <v>0</v>
      </c>
      <c r="GZ11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0" s="92" t="str">
        <f aca="false">IF(Tasks[[#This Row],[_IsLeaf]]=1,Tasks[[#This Row],[_Row]],"")</f>
        <v/>
      </c>
      <c r="HD110" s="92" t="str">
        <f aca="false">IFERROR(INDEX(Tasks[UID],SMALL(Tasks[_PickKey],Tasks[[#This Row],[_Row]]))&amp;" "&amp;INDEX(Tasks[Task Name],SMALL(Tasks[_PickKey],Tasks[[#This Row],[_Row]])),"")</f>
        <v/>
      </c>
      <c r="HE110" s="43" t="str">
        <f aca="false">IF(Tasks[[#This Row],[Task Name]]="","",IF(Tasks[[#This Row],[_IsSummary]],NETWORKDAYS.INTL(Tasks[[#This Row],[Start]],Tasks[[#This Row],[Finish]],WorkWeek,Holidays),N(Tasks[[#This Row],[_Days]])))</f>
        <v/>
      </c>
      <c r="HF110" s="43" t="n">
        <f aca="false">IF(Tasks[[#This Row],[Expected]]="",0,((Tasks[[#This Row],[Pessimistic]]-Tasks[[#This Row],[Optimistic]])/6)^2)</f>
        <v>0</v>
      </c>
      <c r="HG110" s="43" t="n">
        <f aca="false">IF(Tasks[[#This Row],[Expected]]="",0,Tasks[[#This Row],[Expected]]-N(Tasks[[#This Row],[_Days]]))</f>
        <v>0</v>
      </c>
    </row>
    <row r="111" customFormat="false" ht="15" hidden="false" customHeight="false" outlineLevel="0" collapsed="false">
      <c r="A111" s="21" t="str">
        <f aca="false">IF(Tasks[[#This Row],[Task Name]]="","",COUNTA(Tasks[[#Headers],[Task Name]]:Tasks[[#This Row],[Task Name]])-1)</f>
        <v/>
      </c>
      <c r="B111" s="22" t="n">
        <v>119</v>
      </c>
      <c r="C111" s="22"/>
      <c r="D111" s="23"/>
      <c r="E111" s="22"/>
      <c r="F111" s="23"/>
      <c r="G111" s="22"/>
      <c r="H111" s="22"/>
      <c r="I111" s="23"/>
      <c r="J111" s="22"/>
      <c r="K111" s="22"/>
      <c r="L111" s="23"/>
      <c r="M111" s="22"/>
      <c r="N111" s="22"/>
      <c r="O111" s="23"/>
      <c r="P111" s="22"/>
      <c r="Q111" s="22"/>
      <c r="R111" s="23"/>
      <c r="S111" s="23"/>
      <c r="T111" s="84"/>
      <c r="U111" s="23"/>
      <c r="V111" s="84"/>
      <c r="W111" s="23"/>
      <c r="X111" s="84"/>
      <c r="Y111" s="23"/>
      <c r="Z111" s="84"/>
      <c r="AA111" s="23"/>
      <c r="AB111" s="23"/>
      <c r="AC111" s="7"/>
      <c r="AD111" s="7"/>
      <c r="AE111" s="63" t="str">
        <f aca="false">IF(Tasks[[#This Row],[Task Name]]="","",IF(Tasks[[#This Row],[_IsSummary]],MIN(INDEX(Tasks[_ShownFcstStart],Tasks[[#This Row],[_Row]]+1):INDEX(Tasks[_ShownFcstStart],Tasks[[#This Row],[_Row]]+Tasks[[#This Row],[_Descendants]])),Tasks[[#This Row],[_ShownFcstStart]]))</f>
        <v/>
      </c>
      <c r="AF111" s="63" t="str">
        <f aca="false">IF(Tasks[[#This Row],[Task Name]]="","",IF(Tasks[[#This Row],[_IsSummary]],MAX(INDEX(Tasks[_ShownFcstFinish],Tasks[[#This Row],[_Row]]+1):INDEX(Tasks[_ShownFcstFinish],Tasks[[#This Row],[_Row]]+Tasks[[#This Row],[_Descendants]])),Tasks[[#This Row],[_ShownFcstFinish]]))</f>
        <v/>
      </c>
      <c r="AG111" s="21" t="str">
        <f aca="false">""</f>
        <v/>
      </c>
      <c r="AH111" s="23"/>
      <c r="AI1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1" s="7"/>
      <c r="AK111" s="22"/>
      <c r="AL111" s="23"/>
      <c r="AM111" s="7"/>
      <c r="AN111" s="47" t="str">
        <f aca="false">IF(Tasks[[#This Row],[Task Name]]="","",IF(Tasks[[#This Row],[Finish]]&gt;=Tasks[[#This Row],[Planned Finish]],NETWORKDAYS.INTL(Tasks[[#This Row],[Planned Finish]],Tasks[[#This Row],[Finish]],WorkWeek,Holidays)-1,1-NETWORKDAYS.INTL(Tasks[[#This Row],[Finish]],Tasks[[#This Row],[Planned Finish]],WorkWeek,Holidays)))</f>
        <v/>
      </c>
      <c r="AO111" s="21" t="str">
        <f aca="false">IF(Tasks[[#This Row],[Task Name]]="","",IF(Tasks[[#This Row],[Progress]]&gt;=1,"Complete",IF(OR(N(Tasks[[#This Row],[Actual Start]])&gt;0,Tasks[[#This Row],[Progress]]&gt;0),IF(Tasks[[#This Row],[Finish Var]]&gt;0,"Behind","In Progress"),IF(Tasks[[#This Row],[Planned Start]]&lt;StatusDate,"Late Start","Not Started"))))</f>
        <v/>
      </c>
      <c r="AP111" s="21" t="str">
        <f aca="false">IF(Tasks[[#This Row],[Task Name]]="","",IF(IF(Tasks[[#This Row],[_IsSummary]],COUNTIF(INDEX(Tasks[_LeafCritical],Tasks[[#This Row],[_Row]]+1):INDEX(Tasks[_LeafCritical],Tasks[[#This Row],[_Row]]+Tasks[[#This Row],[_Descendants]]),TRUE())&gt;0,Tasks[[#This Row],[_LeafCritical]]),"Yes",""))</f>
        <v/>
      </c>
      <c r="AQ111" s="63" t="str">
        <f aca="false">IF(Tasks[[#This Row],[Task Name]]="","",IF(N(Tasks[[#This Row],[Baseline Start]])&gt;0,Tasks[[#This Row],[Baseline Start]],Tasks[[#This Row],[_CalcStart]]))</f>
        <v/>
      </c>
      <c r="AR111" s="63" t="str">
        <f aca="false">IF(Tasks[[#This Row],[Task Name]]="","",IF(N(Tasks[[#This Row],[Baseline Finish]])&gt;0,Tasks[[#This Row],[Baseline Finish]],Tasks[[#This Row],[_CalcFinish]]))</f>
        <v/>
      </c>
      <c r="AS111" s="47" t="str">
        <f aca="false">IF(Tasks[[#This Row],[Task Name]]="","",IF(Tasks[[#This Row],[Start]]&gt;=Tasks[[#This Row],[Planned Start]],NETWORKDAYS.INTL(Tasks[[#This Row],[Planned Start]],Tasks[[#This Row],[Start]],WorkWeek,Holidays)-1,1-NETWORKDAYS.INTL(Tasks[[#This Row],[Start]],Tasks[[#This Row],[Planned Start]],WorkWeek,Holidays)))</f>
        <v/>
      </c>
      <c r="AT111" s="63" t="str">
        <f aca="false">IF(Tasks[[#This Row],[Task Name]]="","",IF(Tasks[[#This Row],[_IsSummary]],MIN(INDEX(Tasks[_LeafLateStart],Tasks[[#This Row],[_Row]]+1):INDEX(Tasks[_LeafLateStart],Tasks[[#This Row],[_Row]]+Tasks[[#This Row],[_Descendants]])),Tasks[[#This Row],[_LeafLateStart]]))</f>
        <v/>
      </c>
      <c r="AU111" s="63" t="str">
        <f aca="false">IF(Tasks[[#This Row],[Task Name]]="","",IF(Tasks[[#This Row],[_IsSummary]],MAX(INDEX(Tasks[_LeafLateFinish],Tasks[[#This Row],[_Row]]+1):INDEX(Tasks[_LeafLateFinish],Tasks[[#This Row],[_Row]]+Tasks[[#This Row],[_Descendants]])),Tasks[[#This Row],[_LeafLateFinish]]))</f>
        <v/>
      </c>
      <c r="AV111" s="47" t="str">
        <f aca="false">IF(Tasks[[#This Row],[Task Name]]="","",IF(Tasks[[#This Row],[_IsSummary]],MIN(INDEX(Tasks[_LeafTotalSlack],Tasks[[#This Row],[_Row]]+1):INDEX(Tasks[_LeafTotalSlack],Tasks[[#This Row],[_Row]]+Tasks[[#This Row],[_Descendants]])),Tasks[[#This Row],[_LeafTotalSlack]]))</f>
        <v/>
      </c>
      <c r="AW11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5"/>
      <c r="BA11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t="str">
        <f aca="false">IF(Tasks[[#This Row],[Task Name]]="","",IF(Tasks[[#This Row],[_Level]]&lt;=OutlineShowLevel,"Yes","No"))</f>
        <v/>
      </c>
      <c r="BE111" s="86" t="str">
        <f aca="false">IF(Tasks[[#This Row],[Task Name]]="","",IF(Tasks[[#This Row],[_IsSummary]],SUM(INDEX(Tasks[_LeafTotalWork],Tasks[[#This Row],[_Row]]+1):INDEX(Tasks[_LeafTotalWork],Tasks[[#This Row],[_Row]]+Tasks[[#This Row],[_Descendants]])),Tasks[[#This Row],[_LeafTotalWork]]))</f>
        <v/>
      </c>
      <c r="BF111" s="23"/>
      <c r="BG1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t="str">
        <f aca="false">""</f>
        <v/>
      </c>
      <c r="BI111" s="87"/>
      <c r="BJ111" s="22"/>
      <c r="BK111" s="47" t="str">
        <f aca="false">IF(OR(Tasks[[#This Row],[Task Name]]="",Tasks[[#This Row],[Baseline Duration]]=""),"",Tasks[[#This Row],[_SpanDays]]-N(Tasks[[#This Row],[Baseline Duration]]))</f>
        <v/>
      </c>
      <c r="BL111" s="86" t="str">
        <f aca="false">IF(OR(Tasks[[#This Row],[Task Name]]="",Tasks[[#This Row],[Baseline Work]]=""),"",Tasks[[#This Row],[Work]]-N(Tasks[[#This Row],[Baseline Work]]))</f>
        <v/>
      </c>
      <c r="BM111" s="63" t="str">
        <f aca="false">IF(Tasks[[#This Row],[Task Name]]="","",IF(OR(TakeBaseline="Yes",N(Tasks[[#This Row],[Baseline Start]])=0),Tasks[[#This Row],[Start]],Tasks[[#This Row],[Baseline Start]]))</f>
        <v/>
      </c>
      <c r="BN111" s="63" t="str">
        <f aca="false">IF(Tasks[[#This Row],[Task Name]]="","",IF(OR(TakeBaseline="Yes",N(Tasks[[#This Row],[Baseline Finish]])=0),Tasks[[#This Row],[Finish]],Tasks[[#This Row],[Baseline Finish]]))</f>
        <v/>
      </c>
      <c r="BO111" s="21" t="str">
        <f aca="false">IF(Tasks[[#This Row],[Task Name]]="","",IF(OR(TakeBaseline="Yes",N(Tasks[[#This Row],[Baseline Duration]])=0),Tasks[[#This Row],[_SpanDays]],Tasks[[#This Row],[Baseline Duration]]))</f>
        <v/>
      </c>
      <c r="BP111" s="86" t="str">
        <f aca="false">IF(Tasks[[#This Row],[Task Name]]="","",IF(OR(TakeBaseline="Yes",N(Tasks[[#This Row],[Baseline Work]])=0),Tasks[[#This Row],[Work]],Tasks[[#This Row],[Baseline Work]]))</f>
        <v/>
      </c>
      <c r="BQ111" s="7"/>
      <c r="BR111" s="7"/>
      <c r="BS111" s="22"/>
      <c r="BT111" s="88"/>
      <c r="BU111" s="23"/>
      <c r="BV111" s="23"/>
      <c r="BW111" s="23"/>
      <c r="BX111" s="89" t="str">
        <f aca="false">IF(AND(Tasks[[#This Row],[_IsLeaf]]=1,ISNUMBER(Tasks[[#This Row],[Optimistic]]),ISNUMBER(Tasks[[#This Row],[Pessimistic]])),ROUND((Tasks[[#This Row],[Optimistic]]+4*N(Tasks[[#This Row],[_Days]])+Tasks[[#This Row],[Pessimistic]])/6,1),"")</f>
        <v/>
      </c>
      <c r="BY111" s="87"/>
      <c r="BZ111" s="87"/>
      <c r="CA111" s="22"/>
      <c r="CB111" s="43" t="str">
        <f aca="false">IF(Tasks[[#This Row],[Task Name]]="","",MAX(1,N(Tasks[[#This Row],[Level]])))</f>
        <v/>
      </c>
      <c r="CC111" s="43" t="n">
        <f aca="false">ROW()-ROW(Tasks[[#Headers],[ID]])</f>
        <v>106</v>
      </c>
      <c r="CD111" s="43" t="n">
        <f aca="false">IF(OR(Tasks[[#This Row],[Task Name]]="",Tasks[[#This Row],[_Level]]&lt;=1),0,IFERROR(LOOKUP(2,1/(Tasks[[#Headers],[_Level]]:Tasks[[#This Row],[_Level]]=Tasks[[#This Row],[_Level]]-1),ROW(Tasks[[#Headers],[_Level]]:Tasks[[#This Row],[_Level]])),0))</f>
        <v>0</v>
      </c>
      <c r="CE111" s="43" t="n">
        <f aca="false">IFERROR(N(INDEX(Tasks[_Level],Tasks[[#This Row],[_Row]]+1)),0)</f>
        <v>0</v>
      </c>
      <c r="CF111" s="90" t="b">
        <f aca="false">AND(Tasks[[#This Row],[Task Name]]&lt;&gt;"",Tasks[[#This Row],[_NextLevel]]&gt;Tasks[[#This Row],[_Level]])</f>
        <v>0</v>
      </c>
      <c r="CG111" s="43" t="n">
        <f aca="false">IF(Tasks[[#This Row],[_IsSummary]],COUNTIF(Tasks[WBS],Tasks[[#This Row],[WBS]]&amp;".*"),0)</f>
        <v>0</v>
      </c>
      <c r="CH111" s="43" t="n">
        <f aca="false">IF(AND(Tasks[[#This Row],[Task Name]]&lt;&gt;"",NOT(Tasks[[#This Row],[_IsSummary]])),1,0)</f>
        <v>0</v>
      </c>
      <c r="CI111" s="43" t="n">
        <f aca="false">IF(N(Tasks[[#This Row],[_Pred1UID]])=0,0,IFERROR(MATCH(Tasks[[#This Row],[_Pred1UID]],Tasks[UID],0),-1))</f>
        <v>0</v>
      </c>
      <c r="CJ111" s="43" t="n">
        <f aca="false">IF(N(Tasks[[#This Row],[_Pred2UID]])=0,0,IFERROR(MATCH(Tasks[[#This Row],[_Pred2UID]],Tasks[UID],0),-1))</f>
        <v>0</v>
      </c>
      <c r="CK111" s="43" t="n">
        <f aca="false">IF(N(Tasks[[#This Row],[_Pred3UID]])=0,0,IFERROR(MATCH(Tasks[[#This Row],[_Pred3UID]],Tasks[UID],0),-1))</f>
        <v>0</v>
      </c>
      <c r="CL111" s="43" t="n">
        <f aca="false">IF(N(Tasks[[#This Row],[_Pred4UID]])=0,0,IFERROR(MATCH(Tasks[[#This Row],[_Pred4UID]],Tasks[UID],0),-1))</f>
        <v>0</v>
      </c>
      <c r="CM11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1" s="91" t="n">
        <f aca="false">IF(OR(Tasks[[#This Row],[_ConstraintCode]]=2,Tasks[[#This Row],[_ConstraintCode]]=3,Tasks[[#This Row],[_ConstraintCode]]=4,Tasks[[#This Row],[_ConstraintCode]]=6),Tasks[[#This Row],[_ConstraintStart]],0)</f>
        <v>0</v>
      </c>
      <c r="CP111" s="91" t="n">
        <f aca="false">IF(OR(Tasks[[#This Row],[_ConstraintCode]]=2,Tasks[[#This Row],[_ConstraintCode]]=3,Tasks[[#This Row],[_ConstraintCode]]=5,Tasks[[#This Row],[_ConstraintCode]]=7),Tasks[[#This Row],[_ConstraintStart]],2958465)</f>
        <v>2958465</v>
      </c>
      <c r="CQ11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1" s="91" t="str">
        <f aca="false">IF(NOT(Tasks[[#This Row],[_IsLeaf]]=1),"",IF(N(Tasks[[#This Row],[_Days]])&lt;=0,Tasks[[#This Row],[_LeafCalcStart]],WORKDAY.INTL(Tasks[[#This Row],[_LeafCalcStart]],Tasks[[#This Row],[_Days]]-1,WorkWeek,Holidays)))</f>
        <v/>
      </c>
      <c r="CS11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1" s="43" t="str">
        <f aca="false">IF(Tasks[[#This Row],[_Predecessors]]="","",TRIM(MID(SUBSTITUTE(SUBSTITUTE(SUBSTITUTE(UPPER(Tasks[[#This Row],[_Predecessors]]),";",",")," ",""),",",REPT(" ",99)),1,99)))</f>
        <v/>
      </c>
      <c r="CV111" s="43" t="str">
        <f aca="false">IF(Tasks[[#This Row],[_Pred1Text]]="","",IFERROR(VALUE(LEFT(Tasks[[#This Row],[_Pred1Text]],MIN(FIND("F",Tasks[[#This Row],[_Pred1Text]]&amp;"F"),FIND("S",Tasks[[#This Row],[_Pred1Text]]&amp;"S"),FIND("+",Tasks[[#This Row],[_Pred1Text]]&amp;"+"),FIND("-",Tasks[[#This Row],[_Pred1Text]]&amp;"-"))-1)),""))</f>
        <v/>
      </c>
      <c r="CW1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1" s="43" t="str">
        <f aca="false">IF(Tasks[[#This Row],[_Pred1Text]]="","",TRIM(MID(SUBSTITUTE(SUBSTITUTE(SUBSTITUTE(UPPER(Tasks[[#This Row],[_Predecessors]]),";",",")," ",""),",",REPT(" ",99)),100,99)))</f>
        <v/>
      </c>
      <c r="CZ111" s="43" t="str">
        <f aca="false">IF(Tasks[[#This Row],[_Pred2Text]]="","",IFERROR(VALUE(LEFT(Tasks[[#This Row],[_Pred2Text]],MIN(FIND("F",Tasks[[#This Row],[_Pred2Text]]&amp;"F"),FIND("S",Tasks[[#This Row],[_Pred2Text]]&amp;"S"),FIND("+",Tasks[[#This Row],[_Pred2Text]]&amp;"+"),FIND("-",Tasks[[#This Row],[_Pred2Text]]&amp;"-"))-1)),""))</f>
        <v/>
      </c>
      <c r="DA1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1" s="43" t="str">
        <f aca="false">IF(Tasks[[#This Row],[_Pred2Text]]="","",TRIM(MID(SUBSTITUTE(SUBSTITUTE(SUBSTITUTE(UPPER(Tasks[[#This Row],[_Predecessors]]),";",",")," ",""),",",REPT(" ",99)),199,99)))</f>
        <v/>
      </c>
      <c r="DD111" s="43" t="str">
        <f aca="false">IF(Tasks[[#This Row],[_Pred3Text]]="","",IFERROR(VALUE(LEFT(Tasks[[#This Row],[_Pred3Text]],MIN(FIND("F",Tasks[[#This Row],[_Pred3Text]]&amp;"F"),FIND("S",Tasks[[#This Row],[_Pred3Text]]&amp;"S"),FIND("+",Tasks[[#This Row],[_Pred3Text]]&amp;"+"),FIND("-",Tasks[[#This Row],[_Pred3Text]]&amp;"-"))-1)),""))</f>
        <v/>
      </c>
      <c r="DE1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1" s="43" t="str">
        <f aca="false">IF(Tasks[[#This Row],[_Pred3Text]]="","",TRIM(MID(SUBSTITUTE(SUBSTITUTE(SUBSTITUTE(UPPER(Tasks[[#This Row],[_Predecessors]]),";",",")," ",""),",",REPT(" ",99)),298,99)))</f>
        <v/>
      </c>
      <c r="DH111" s="43" t="str">
        <f aca="false">IF(Tasks[[#This Row],[_Pred4Text]]="","",IFERROR(VALUE(LEFT(Tasks[[#This Row],[_Pred4Text]],MIN(FIND("F",Tasks[[#This Row],[_Pred4Text]]&amp;"F"),FIND("S",Tasks[[#This Row],[_Pred4Text]]&amp;"S"),FIND("+",Tasks[[#This Row],[_Pred4Text]]&amp;"+"),FIND("-",Tasks[[#This Row],[_Pred4Text]]&amp;"-"))-1)),""))</f>
        <v/>
      </c>
      <c r="DI1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1" s="43" t="str">
        <f aca="false">IF(OR(Tasks[[#This Row],[Task Name]]="",Tasks[[#This Row],[_Resources]]=""),"",TRIM(MID(SUBSTITUTE(Tasks[[#This Row],[_Resources]],",",REPT(" ",99)),1,99)))</f>
        <v/>
      </c>
      <c r="DL111" s="43" t="str">
        <f aca="false">IF(Tasks[[#This Row],[_Res1Text]]="","",TRIM(MID(SUBSTITUTE(Tasks[[#This Row],[_Resources]],",",REPT(" ",99)),100,99)))</f>
        <v/>
      </c>
      <c r="DM111" s="43" t="str">
        <f aca="false">IF(Tasks[[#This Row],[_Res2Text]]="","",TRIM(MID(SUBSTITUTE(Tasks[[#This Row],[_Resources]],",",REPT(" ",99)),199,99)))</f>
        <v/>
      </c>
      <c r="DN111" s="43" t="str">
        <f aca="false">IF(Tasks[[#This Row],[_Res3Text]]="","",TRIM(MID(SUBSTITUTE(Tasks[[#This Row],[_Resources]],",",REPT(" ",99)),298,99)))</f>
        <v/>
      </c>
      <c r="DO111" s="43" t="n">
        <f aca="false">IF(Tasks[[#This Row],[_Res1Text]]="",0,IFERROR(MATCH(TRIM(LEFT(Tasks[[#This Row],[_Res1Text]],FIND("[",Tasks[[#This Row],[_Res1Text]]&amp;"[")-1)),res_Name,0),IFERROR(MATCH(TRIM(LEFT(Tasks[[#This Row],[_Res1Text]],FIND("[",Tasks[[#This Row],[_Res1Text]]&amp;"[")-1)),res_Initials,0),0)))</f>
        <v>0</v>
      </c>
      <c r="DP111" s="43" t="n">
        <f aca="false">IF(Tasks[[#This Row],[_Res2Text]]="",0,IFERROR(MATCH(TRIM(LEFT(Tasks[[#This Row],[_Res2Text]],FIND("[",Tasks[[#This Row],[_Res2Text]]&amp;"[")-1)),res_Name,0),IFERROR(MATCH(TRIM(LEFT(Tasks[[#This Row],[_Res2Text]],FIND("[",Tasks[[#This Row],[_Res2Text]]&amp;"[")-1)),res_Initials,0),0)))</f>
        <v>0</v>
      </c>
      <c r="DQ111" s="43" t="n">
        <f aca="false">IF(Tasks[[#This Row],[_Res3Text]]="",0,IFERROR(MATCH(TRIM(LEFT(Tasks[[#This Row],[_Res3Text]],FIND("[",Tasks[[#This Row],[_Res3Text]]&amp;"[")-1)),res_Name,0),IFERROR(MATCH(TRIM(LEFT(Tasks[[#This Row],[_Res3Text]],FIND("[",Tasks[[#This Row],[_Res3Text]]&amp;"[")-1)),res_Initials,0),0)))</f>
        <v>0</v>
      </c>
      <c r="DR111" s="43" t="n">
        <f aca="false">IF(Tasks[[#This Row],[_Res4Text]]="",0,IFERROR(MATCH(TRIM(LEFT(Tasks[[#This Row],[_Res4Text]],FIND("[",Tasks[[#This Row],[_Res4Text]]&amp;"[")-1)),res_Name,0),IFERROR(MATCH(TRIM(LEFT(Tasks[[#This Row],[_Res4Text]],FIND("[",Tasks[[#This Row],[_Res4Text]]&amp;"[")-1)),res_Initials,0),0)))</f>
        <v>0</v>
      </c>
      <c r="DS111" s="43" t="str">
        <f aca="false">IF(Tasks[[#This Row],[_Res1Text]]="","",IF(Tasks[[#This Row],[_Res1Row]]&gt;0,INDEX(res_Name,Tasks[[#This Row],[_Res1Row]]),TRIM(LEFT(Tasks[[#This Row],[_Res1Text]],FIND("[",Tasks[[#This Row],[_Res1Text]]&amp;"[")-1))))</f>
        <v/>
      </c>
      <c r="DT1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1" s="43" t="n">
        <f aca="false">IF(NOT(Tasks[[#This Row],[_IsLeaf]]=1),0,(Tasks[[#This Row],[_Resource1]]&lt;&gt;"")+(Tasks[[#This Row],[_Res2]]&lt;&gt;"")+(Tasks[[#This Row],[_Res3]]&lt;&gt;"")+(Tasks[[#This Row],[_Res4]]&lt;&gt;""))</f>
        <v>0</v>
      </c>
      <c r="DV111" s="43" t="str">
        <f aca="false">IF(Tasks[[#This Row],[_Res2Text]]="","",IF(Tasks[[#This Row],[_Res2Row]]&gt;0,INDEX(res_Name,Tasks[[#This Row],[_Res2Row]]),TRIM(LEFT(Tasks[[#This Row],[_Res2Text]],FIND("[",Tasks[[#This Row],[_Res2Text]]&amp;"[")-1))))</f>
        <v/>
      </c>
      <c r="DW1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1" s="43" t="n">
        <f aca="false">IF(OR(NOT(Tasks[[#This Row],[_IsLeaf]]=1),Tasks[[#This Row],[_Res2Row]]=0),0,N(Tasks[[#This Row],[_Days]])*HoursPerDay*IF(Tasks[[#This Row],[_Res2Units]]="",DefaultUnits,Tasks[[#This Row],[_Res2Units]]))</f>
        <v>0</v>
      </c>
      <c r="DY111" s="43" t="n">
        <f aca="false">IF(AND(AND(Tasks[[#This Row],[_IsLeaf]]=1,Tasks[[#This Row],[_LeafTotalWork]]&gt;0),Tasks[[#This Row],[_Res2Work]]&gt;0),Tasks[[#This Row],[_Res2Work]]/(Tasks[[#This Row],[_FinishWorkday]]-Tasks[[#This Row],[_StartWorkday]]+1),0)</f>
        <v>0</v>
      </c>
      <c r="DZ111" s="43" t="n">
        <f aca="false">Tasks[[#This Row],[_Res2WorkPerWD]]*MAX(0,Tasks[[#This Row],[_StartWorkday]]-1)</f>
        <v>0</v>
      </c>
      <c r="EA111" s="43" t="n">
        <f aca="false">Tasks[[#This Row],[_Res2Work]]*Tasks[[#This Row],[_LeafProgress]]</f>
        <v>0</v>
      </c>
      <c r="EB111" s="43" t="str">
        <f aca="false">IF(Tasks[[#This Row],[_Res3Text]]="","",IF(Tasks[[#This Row],[_Res3Row]]&gt;0,INDEX(res_Name,Tasks[[#This Row],[_Res3Row]]),TRIM(LEFT(Tasks[[#This Row],[_Res3Text]],FIND("[",Tasks[[#This Row],[_Res3Text]]&amp;"[")-1))))</f>
        <v/>
      </c>
      <c r="EC1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1" s="43" t="n">
        <f aca="false">IF(OR(NOT(Tasks[[#This Row],[_IsLeaf]]=1),Tasks[[#This Row],[_Res3Row]]=0),0,N(Tasks[[#This Row],[_Days]])*HoursPerDay*IF(Tasks[[#This Row],[_Res3Units]]="",DefaultUnits,Tasks[[#This Row],[_Res3Units]]))</f>
        <v>0</v>
      </c>
      <c r="EE111" s="43" t="n">
        <f aca="false">IF(AND(AND(Tasks[[#This Row],[_IsLeaf]]=1,Tasks[[#This Row],[_LeafTotalWork]]&gt;0),Tasks[[#This Row],[_Res3Work]]&gt;0),Tasks[[#This Row],[_Res3Work]]/(Tasks[[#This Row],[_FinishWorkday]]-Tasks[[#This Row],[_StartWorkday]]+1),0)</f>
        <v>0</v>
      </c>
      <c r="EF111" s="43" t="n">
        <f aca="false">Tasks[[#This Row],[_Res3WorkPerWD]]*MAX(0,Tasks[[#This Row],[_StartWorkday]]-1)</f>
        <v>0</v>
      </c>
      <c r="EG111" s="43" t="n">
        <f aca="false">Tasks[[#This Row],[_Res3Work]]*Tasks[[#This Row],[_LeafProgress]]</f>
        <v>0</v>
      </c>
      <c r="EH111" s="43" t="str">
        <f aca="false">IF(Tasks[[#This Row],[_Res4Text]]="","",IF(Tasks[[#This Row],[_Res4Row]]&gt;0,INDEX(res_Name,Tasks[[#This Row],[_Res4Row]]),TRIM(LEFT(Tasks[[#This Row],[_Res4Text]],FIND("[",Tasks[[#This Row],[_Res4Text]]&amp;"[")-1))))</f>
        <v/>
      </c>
      <c r="EI1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1" s="43" t="n">
        <f aca="false">IF(OR(NOT(Tasks[[#This Row],[_IsLeaf]]=1),Tasks[[#This Row],[_Res4Row]]=0),0,N(Tasks[[#This Row],[_Days]])*HoursPerDay*IF(Tasks[[#This Row],[_Res4Units]]="",DefaultUnits,Tasks[[#This Row],[_Res4Units]]))</f>
        <v>0</v>
      </c>
      <c r="EK111" s="43" t="n">
        <f aca="false">IF(AND(AND(Tasks[[#This Row],[_IsLeaf]]=1,Tasks[[#This Row],[_LeafTotalWork]]&gt;0),Tasks[[#This Row],[_Res4Work]]&gt;0),Tasks[[#This Row],[_Res4Work]]/(Tasks[[#This Row],[_FinishWorkday]]-Tasks[[#This Row],[_StartWorkday]]+1),0)</f>
        <v>0</v>
      </c>
      <c r="EL111" s="43" t="n">
        <f aca="false">Tasks[[#This Row],[_Res4WorkPerWD]]*MAX(0,Tasks[[#This Row],[_StartWorkday]]-1)</f>
        <v>0</v>
      </c>
      <c r="EM111" s="43" t="n">
        <f aca="false">Tasks[[#This Row],[_Res4Work]]*Tasks[[#This Row],[_LeafProgress]]</f>
        <v>0</v>
      </c>
      <c r="EN111" s="43" t="n">
        <f aca="false">IF(ISNUMBER(Tasks[[#This Row],[% Complete]]),Tasks[[#This Row],[% Complete]],IF(Tasks[[#This Row],[Stage]]="",0,IFERROR(INDEX(stg_Pct,MATCH(Tasks[[#This Row],[Stage]],stg_Name,0)),0)))</f>
        <v>0</v>
      </c>
      <c r="EO111" s="43" t="n">
        <f aca="false">IF(NOT(Tasks[[#This Row],[_IsLeaf]]=1),0,IF(N(Tasks[[#This Row],[Actual Finish]])&gt;0,1,MIN(1,Tasks[[#This Row],[_Pct]])))</f>
        <v>0</v>
      </c>
      <c r="EP111" s="43" t="n">
        <f aca="false">IF(OR(NOT(Tasks[[#This Row],[_IsLeaf]]=1),Tasks[[#This Row],[_Res1Row]]=0),0,N(Tasks[[#This Row],[_Days]])*HoursPerDay*IF(Tasks[[#This Row],[_Units1]]="",DefaultUnits,Tasks[[#This Row],[_Units1]]))</f>
        <v>0</v>
      </c>
      <c r="EQ111" s="43" t="n">
        <f aca="false">Tasks[[#This Row],[_LeafWork]]+Tasks[[#This Row],[_Res2Work]]+Tasks[[#This Row],[_Res3Work]]+Tasks[[#This Row],[_Res4Work]]</f>
        <v>0</v>
      </c>
      <c r="ER11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1" s="43" t="n">
        <f aca="false">IF(NOT(Tasks[[#This Row],[_IsLeaf]]=1),0,MAX(_xlfn.MAXIFS(Tasks[_Row],Tasks[_Pred1UID],Tasks[[#This Row],[UID]]),_xlfn.MAXIFS(Tasks[_Row],Tasks[_Pred2UID],Tasks[[#This Row],[UID]]),_xlfn.MAXIFS(Tasks[_Row],Tasks[_Pred3UID],Tasks[[#This Row],[UID]]),_xlfn.MAXIFS(Tasks[_Row],Tasks[_Pred4UID],Tasks[[#This Row],[UID]])))</f>
        <v>0</v>
      </c>
      <c r="FA11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1" s="91" t="str">
        <f aca="false">IF(NOT(Tasks[[#This Row],[_IsLeaf]]=1),"",IF(N(Tasks[[#This Row],[_Days]])&lt;=0,Tasks[[#This Row],[_LeafLateFinish]],WORKDAY.INTL(Tasks[[#This Row],[_LeafLateFinish]],-(Tasks[[#This Row],[_Days]]-1),WorkWeek,Holidays)))</f>
        <v/>
      </c>
      <c r="FD11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1" s="90" t="b">
        <f aca="false">AND(Tasks[[#This Row],[_IsLeaf]]=1,Tasks[[#This Row],[_LeafProgress]]&lt;1,N(Tasks[[#This Row],[_LeafTotalSlack]])&lt;=CriticalSlackDays)</f>
        <v>0</v>
      </c>
      <c r="FF111" s="43" t="n">
        <f aca="false">IF(AND(Tasks[[#This Row],[_IsLeaf]]=1,Tasks[[#This Row],[_ConstraintCode]]=1,Tasks[[#This Row],[Mode]]&lt;&gt;"Manual",N(Tasks[[#This Row],[Actual Start]])=0),MAX(0,N(Tasks[[#This Row],[Free Slack]])),0)</f>
        <v>0</v>
      </c>
      <c r="FG111" s="91" t="str">
        <f aca="false">IF(NOT(Tasks[[#This Row],[_IsLeaf]]=1),"",IF(Tasks[[#This Row],[_AlapShift]]=0,Tasks[[#This Row],[_LeafCalcStart]],WORKDAY.INTL(Tasks[[#This Row],[_LeafCalcStart]],Tasks[[#This Row],[_AlapShift]],WorkWeek,Holidays)))</f>
        <v/>
      </c>
      <c r="FH111" s="91" t="str">
        <f aca="false">IF(NOT(Tasks[[#This Row],[_IsLeaf]]=1),"",IF(Tasks[[#This Row],[_AlapShift]]=0,Tasks[[#This Row],[_LeafCalcFinish]],WORKDAY.INTL(Tasks[[#This Row],[_LeafCalcFinish]],Tasks[[#This Row],[_AlapShift]],WorkWeek,Holidays)))</f>
        <v/>
      </c>
      <c r="FI111" s="91" t="str">
        <f aca="false">IF(NOT(Tasks[[#This Row],[_IsLeaf]]=1),"",IF(Tasks[[#This Row],[_AlapShift]]=0,Tasks[[#This Row],[_LeafFcstStart]],WORKDAY.INTL(Tasks[[#This Row],[_LeafFcstStart]],Tasks[[#This Row],[_AlapShift]],WorkWeek,Holidays)))</f>
        <v/>
      </c>
      <c r="FJ111" s="91" t="str">
        <f aca="false">IF(NOT(Tasks[[#This Row],[_IsLeaf]]=1),"",IF(Tasks[[#This Row],[_AlapShift]]=0,Tasks[[#This Row],[_LeafFcstFinish]],WORKDAY.INTL(Tasks[[#This Row],[_LeafFcstFinish]],Tasks[[#This Row],[_AlapShift]],WorkWeek,Holidays)))</f>
        <v/>
      </c>
      <c r="FK111" s="91" t="str">
        <f aca="false">IF(Tasks[[#This Row],[Task Name]]="","",IF(Tasks[[#This Row],[_IsSummary]],MIN(INDEX(Tasks[_ShownCalcStart],Tasks[[#This Row],[_Row]]+1):INDEX(Tasks[_ShownCalcStart],Tasks[[#This Row],[_Row]]+Tasks[[#This Row],[_Descendants]])),Tasks[[#This Row],[_ShownCalcStart]]))</f>
        <v/>
      </c>
      <c r="FL111" s="91" t="str">
        <f aca="false">IF(Tasks[[#This Row],[Task Name]]="","",IF(Tasks[[#This Row],[_IsSummary]],MAX(INDEX(Tasks[_ShownCalcFinish],Tasks[[#This Row],[_Row]]+1):INDEX(Tasks[_ShownCalcFinish],Tasks[[#This Row],[_Row]]+Tasks[[#This Row],[_Descendants]])),Tasks[[#This Row],[_ShownCalcFinish]]))</f>
        <v/>
      </c>
      <c r="FM1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1" s="43" t="n">
        <f aca="false">IF(AND(Tasks[[#This Row],[_IsLeaf]]=1,Tasks[[#This Row],[_LeafTotalWork]]&gt;0),NETWORKDAYS.INTL(ProjectStart,Tasks[[#This Row],[_ShownFcstStart]],WorkWeek,Holidays),0)</f>
        <v>0</v>
      </c>
      <c r="FZ111" s="43" t="n">
        <f aca="false">IF(AND(Tasks[[#This Row],[_IsLeaf]]=1,Tasks[[#This Row],[_LeafTotalWork]]&gt;0),MAX(Tasks[[#This Row],[_StartWorkday]],NETWORKDAYS.INTL(ProjectStart,Tasks[[#This Row],[_ShownFcstFinish]],WorkWeek,Holidays)),0)</f>
        <v>0</v>
      </c>
      <c r="GA111" s="43" t="n">
        <f aca="false">IF(AND(Tasks[[#This Row],[_IsLeaf]]=1,Tasks[[#This Row],[_LeafTotalWork]]&gt;0),Tasks[[#This Row],[_LeafWork]]/(Tasks[[#This Row],[_FinishWorkday]]-Tasks[[#This Row],[_StartWorkday]]+1),0)</f>
        <v>0</v>
      </c>
      <c r="GB111" s="43" t="n">
        <f aca="false">Tasks[[#This Row],[_WorkPerWorkday]]*(Tasks[[#This Row],[_StartWorkday]]-1)</f>
        <v>-0</v>
      </c>
      <c r="GC111" s="43" t="n">
        <f aca="false">IF(Tasks[[#This Row],[_IsLeaf]]=1,MAX(N(Tasks[[#This Row],[_Days]]),0.1),0)</f>
        <v>0</v>
      </c>
      <c r="GD111" s="43" t="n">
        <f aca="false">Tasks[[#This Row],[_WeightDur]]*Tasks[[#This Row],[_LeafProgress]]</f>
        <v>0</v>
      </c>
      <c r="GE111" s="43" t="n">
        <f aca="false">Tasks[[#This Row],[_WeightDur]]*Tasks[[#This Row],[_PlannedPct]]</f>
        <v>0</v>
      </c>
      <c r="GF1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1" s="43" t="str">
        <f aca="false">IF(AND(Tasks[[#This Row],[_IsLeaf]]=1,N(Tasks[[#This Row],[_Days]])=0,Tasks[[#This Row],[_LeafProgress]]&lt;1),Tasks[[#This Row],[_ShownFcstFinish]]+Tasks[[#This Row],[_Row]]/100000,"")</f>
        <v/>
      </c>
      <c r="GH1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1" s="43" t="str">
        <f aca="false">IF(Tasks[[#This Row],[Task Name]]="","",LEFT(Tasks[[#This Row],[WBS]],FIND(".",Tasks[[#This Row],[WBS]]&amp;".")-1))</f>
        <v/>
      </c>
      <c r="GJ111" s="43" t="str">
        <f aca="false">IF(AND(Tasks[[#This Row],[Task Name]]&lt;&gt;"",Tasks[[#This Row],[_Level]]=1),Tasks[[#This Row],[_Row]],"")</f>
        <v/>
      </c>
      <c r="GK111" s="43" t="str">
        <f aca="false">IF(AND(Tasks[[#This Row],[_IsLeaf]]=1,N(Tasks[[#This Row],[_Days]])=0),Tasks[[#This Row],[Planned Finish]]+Tasks[[#This Row],[_Row]]/100000,"")</f>
        <v/>
      </c>
      <c r="GL111" s="43" t="str">
        <f aca="false">IF(AND(Tasks[[#This Row],[_IsLeaf]]=1,Tasks[[#This Row],[_LeafProgress]]&lt;1,OR(N(Tasks[[#This Row],[Finish Var]])&gt;0,Tasks[[#This Row],[Status]]="Late Start")),MAX(0,Tasks[[#This Row],[Finish Var]])+1-Tasks[[#This Row],[_Row]]/1000000,"")</f>
        <v/>
      </c>
      <c r="GM111" s="43" t="str">
        <f aca="false">IF(AND(Tasks[[#This Row],[_IsLeaf]]=1,N(Tasks[[#This Row],[Actual Start]])=0,Tasks[[#This Row],[_ShownFcstStart]]&gt;=StatusDate,Tasks[[#This Row],[_ShownFcstStart]]&lt;=LookaheadEnd),Tasks[[#This Row],[_ShownFcstStart]]+Tasks[[#This Row],[_Row]]/100000,"")</f>
        <v/>
      </c>
      <c r="GN111" s="43" t="str">
        <f aca="false">IF(AND(Tasks[[#This Row],[_IsLeaf]]=1,Tasks[[#This Row],[_LeafProgress]]&lt;1,Tasks[[#This Row],[_ShownFcstFinish]]&gt;=StatusDate,Tasks[[#This Row],[_ShownFcstFinish]]&lt;=LookaheadEnd),Tasks[[#This Row],[_ShownFcstFinish]]+Tasks[[#This Row],[_Row]]/100000,"")</f>
        <v/>
      </c>
      <c r="GO111" s="43" t="str">
        <f aca="false">IF(Tasks[[#This Row],[_LeafCritical]],Tasks[[#This Row],[_ShownFcstStart]]+Tasks[[#This Row],[_Row]]/100000,"")</f>
        <v/>
      </c>
      <c r="GP111" s="43" t="n">
        <f aca="false">Tasks[[#This Row],[_LeafWork]]*Tasks[[#This Row],[_LeafProgress]]</f>
        <v>0</v>
      </c>
      <c r="GQ111" s="91" t="str">
        <f aca="false">IF(AND(Tasks[[#This Row],[_IsLeaf]]=1,Tasks[[#This Row],[_LeafProgress]]&gt;=1),IF(N(Tasks[[#This Row],[Actual Finish]])&gt;0,Tasks[[#This Row],[Actual Finish]],Tasks[[#This Row],[_ShownFcstFinish]]),"")</f>
        <v/>
      </c>
      <c r="GR111" s="43" t="n">
        <f aca="false">IF(Tasks[[#This Row],[_IsLeaf]]=1,N(Tasks[[#This Row],[Story Points]]),0)</f>
        <v>0</v>
      </c>
      <c r="GS111" s="43" t="str">
        <f aca="false">""</f>
        <v/>
      </c>
      <c r="GT111" s="90" t="b">
        <f aca="false">IF(Tasks[[#This Row],[Task Name]]="",FALSE(),AND(Tasks[[#This Row],[_IsLeaf]]=1,N(Tasks[[#This Row],[_Days]])=0))</f>
        <v>0</v>
      </c>
      <c r="GU111" s="91" t="n">
        <f aca="false">IF(Tasks[[#This Row],[Task Name]]="",0,IF(AND(Tasks[[#This Row],[_IsLeaf]]=1,NOT(Tasks[[#This Row],[_IsMilestone]]),N(Tasks[[#This Row],[Progress]])&gt;0),Tasks[[#This Row],[Start]],0))</f>
        <v>0</v>
      </c>
      <c r="GV111" s="91" t="n">
        <f aca="false">IF(Tasks[[#This Row],[_DoneFrom]]=0,0,IF(Tasks[[#This Row],[Progress]]&gt;=1,Tasks[[#This Row],[Finish]],MAX(Tasks[[#This Row],[_DoneFrom]],Tasks[[#This Row],[Start]]+ROUND((Tasks[[#This Row],[Finish]]-Tasks[[#This Row],[Start]]+1)*Tasks[[#This Row],[Progress]],0)-1)))</f>
        <v>0</v>
      </c>
      <c r="GW111" s="91" t="n">
        <f aca="false">IF(Tasks[[#This Row],[Task Name]]="",0,IF(OR(NOT(Tasks[[#This Row],[_IsLeaf]]=1),Tasks[[#This Row],[_IsMilestone]],N(Tasks[[#This Row],[Progress]])&gt;=1),0,IF(Tasks[[#This Row],[_DoneTo]]&gt;0,Tasks[[#This Row],[_DoneTo]]+1,Tasks[[#This Row],[Start]])))</f>
        <v>0</v>
      </c>
      <c r="GX111" s="91" t="n">
        <f aca="false">IF(Tasks[[#This Row],[_RemFrom]]=0,0,Tasks[[#This Row],[Finish]])</f>
        <v>0</v>
      </c>
      <c r="GY111" s="90" t="b">
        <f aca="false">IF(Tasks[[#This Row],[Task Name]]="",FALSE(),OR(NOT(BaselineSet),N(Tasks[[#This Row],[Baseline Start]])&gt;0))</f>
        <v>0</v>
      </c>
      <c r="GZ11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1" s="92" t="str">
        <f aca="false">IF(Tasks[[#This Row],[_IsLeaf]]=1,Tasks[[#This Row],[_Row]],"")</f>
        <v/>
      </c>
      <c r="HD111" s="92" t="str">
        <f aca="false">IFERROR(INDEX(Tasks[UID],SMALL(Tasks[_PickKey],Tasks[[#This Row],[_Row]]))&amp;" "&amp;INDEX(Tasks[Task Name],SMALL(Tasks[_PickKey],Tasks[[#This Row],[_Row]])),"")</f>
        <v/>
      </c>
      <c r="HE111" s="43" t="str">
        <f aca="false">IF(Tasks[[#This Row],[Task Name]]="","",IF(Tasks[[#This Row],[_IsSummary]],NETWORKDAYS.INTL(Tasks[[#This Row],[Start]],Tasks[[#This Row],[Finish]],WorkWeek,Holidays),N(Tasks[[#This Row],[_Days]])))</f>
        <v/>
      </c>
      <c r="HF111" s="43" t="n">
        <f aca="false">IF(Tasks[[#This Row],[Expected]]="",0,((Tasks[[#This Row],[Pessimistic]]-Tasks[[#This Row],[Optimistic]])/6)^2)</f>
        <v>0</v>
      </c>
      <c r="HG111" s="43" t="n">
        <f aca="false">IF(Tasks[[#This Row],[Expected]]="",0,Tasks[[#This Row],[Expected]]-N(Tasks[[#This Row],[_Days]]))</f>
        <v>0</v>
      </c>
    </row>
    <row r="112" customFormat="false" ht="15" hidden="false" customHeight="false" outlineLevel="0" collapsed="false">
      <c r="A112" s="21" t="str">
        <f aca="false">IF(Tasks[[#This Row],[Task Name]]="","",COUNTA(Tasks[[#Headers],[Task Name]]:Tasks[[#This Row],[Task Name]])-1)</f>
        <v/>
      </c>
      <c r="B112" s="22" t="n">
        <v>120</v>
      </c>
      <c r="C112" s="22"/>
      <c r="D112" s="23"/>
      <c r="E112" s="22"/>
      <c r="F112" s="23"/>
      <c r="G112" s="22"/>
      <c r="H112" s="22"/>
      <c r="I112" s="23"/>
      <c r="J112" s="22"/>
      <c r="K112" s="22"/>
      <c r="L112" s="23"/>
      <c r="M112" s="22"/>
      <c r="N112" s="22"/>
      <c r="O112" s="23"/>
      <c r="P112" s="22"/>
      <c r="Q112" s="22"/>
      <c r="R112" s="23"/>
      <c r="S112" s="23"/>
      <c r="T112" s="84"/>
      <c r="U112" s="23"/>
      <c r="V112" s="84"/>
      <c r="W112" s="23"/>
      <c r="X112" s="84"/>
      <c r="Y112" s="23"/>
      <c r="Z112" s="84"/>
      <c r="AA112" s="23"/>
      <c r="AB112" s="23"/>
      <c r="AC112" s="7"/>
      <c r="AD112" s="7"/>
      <c r="AE112" s="63" t="str">
        <f aca="false">IF(Tasks[[#This Row],[Task Name]]="","",IF(Tasks[[#This Row],[_IsSummary]],MIN(INDEX(Tasks[_ShownFcstStart],Tasks[[#This Row],[_Row]]+1):INDEX(Tasks[_ShownFcstStart],Tasks[[#This Row],[_Row]]+Tasks[[#This Row],[_Descendants]])),Tasks[[#This Row],[_ShownFcstStart]]))</f>
        <v/>
      </c>
      <c r="AF112" s="63" t="str">
        <f aca="false">IF(Tasks[[#This Row],[Task Name]]="","",IF(Tasks[[#This Row],[_IsSummary]],MAX(INDEX(Tasks[_ShownFcstFinish],Tasks[[#This Row],[_Row]]+1):INDEX(Tasks[_ShownFcstFinish],Tasks[[#This Row],[_Row]]+Tasks[[#This Row],[_Descendants]])),Tasks[[#This Row],[_ShownFcstFinish]]))</f>
        <v/>
      </c>
      <c r="AG112" s="21" t="str">
        <f aca="false">""</f>
        <v/>
      </c>
      <c r="AH112" s="23"/>
      <c r="AI1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2" s="7"/>
      <c r="AK112" s="22"/>
      <c r="AL112" s="23"/>
      <c r="AM112" s="7"/>
      <c r="AN112" s="47" t="str">
        <f aca="false">IF(Tasks[[#This Row],[Task Name]]="","",IF(Tasks[[#This Row],[Finish]]&gt;=Tasks[[#This Row],[Planned Finish]],NETWORKDAYS.INTL(Tasks[[#This Row],[Planned Finish]],Tasks[[#This Row],[Finish]],WorkWeek,Holidays)-1,1-NETWORKDAYS.INTL(Tasks[[#This Row],[Finish]],Tasks[[#This Row],[Planned Finish]],WorkWeek,Holidays)))</f>
        <v/>
      </c>
      <c r="AO112" s="21" t="str">
        <f aca="false">IF(Tasks[[#This Row],[Task Name]]="","",IF(Tasks[[#This Row],[Progress]]&gt;=1,"Complete",IF(OR(N(Tasks[[#This Row],[Actual Start]])&gt;0,Tasks[[#This Row],[Progress]]&gt;0),IF(Tasks[[#This Row],[Finish Var]]&gt;0,"Behind","In Progress"),IF(Tasks[[#This Row],[Planned Start]]&lt;StatusDate,"Late Start","Not Started"))))</f>
        <v/>
      </c>
      <c r="AP112" s="21" t="str">
        <f aca="false">IF(Tasks[[#This Row],[Task Name]]="","",IF(IF(Tasks[[#This Row],[_IsSummary]],COUNTIF(INDEX(Tasks[_LeafCritical],Tasks[[#This Row],[_Row]]+1):INDEX(Tasks[_LeafCritical],Tasks[[#This Row],[_Row]]+Tasks[[#This Row],[_Descendants]]),TRUE())&gt;0,Tasks[[#This Row],[_LeafCritical]]),"Yes",""))</f>
        <v/>
      </c>
      <c r="AQ112" s="63" t="str">
        <f aca="false">IF(Tasks[[#This Row],[Task Name]]="","",IF(N(Tasks[[#This Row],[Baseline Start]])&gt;0,Tasks[[#This Row],[Baseline Start]],Tasks[[#This Row],[_CalcStart]]))</f>
        <v/>
      </c>
      <c r="AR112" s="63" t="str">
        <f aca="false">IF(Tasks[[#This Row],[Task Name]]="","",IF(N(Tasks[[#This Row],[Baseline Finish]])&gt;0,Tasks[[#This Row],[Baseline Finish]],Tasks[[#This Row],[_CalcFinish]]))</f>
        <v/>
      </c>
      <c r="AS112" s="47" t="str">
        <f aca="false">IF(Tasks[[#This Row],[Task Name]]="","",IF(Tasks[[#This Row],[Start]]&gt;=Tasks[[#This Row],[Planned Start]],NETWORKDAYS.INTL(Tasks[[#This Row],[Planned Start]],Tasks[[#This Row],[Start]],WorkWeek,Holidays)-1,1-NETWORKDAYS.INTL(Tasks[[#This Row],[Start]],Tasks[[#This Row],[Planned Start]],WorkWeek,Holidays)))</f>
        <v/>
      </c>
      <c r="AT112" s="63" t="str">
        <f aca="false">IF(Tasks[[#This Row],[Task Name]]="","",IF(Tasks[[#This Row],[_IsSummary]],MIN(INDEX(Tasks[_LeafLateStart],Tasks[[#This Row],[_Row]]+1):INDEX(Tasks[_LeafLateStart],Tasks[[#This Row],[_Row]]+Tasks[[#This Row],[_Descendants]])),Tasks[[#This Row],[_LeafLateStart]]))</f>
        <v/>
      </c>
      <c r="AU112" s="63" t="str">
        <f aca="false">IF(Tasks[[#This Row],[Task Name]]="","",IF(Tasks[[#This Row],[_IsSummary]],MAX(INDEX(Tasks[_LeafLateFinish],Tasks[[#This Row],[_Row]]+1):INDEX(Tasks[_LeafLateFinish],Tasks[[#This Row],[_Row]]+Tasks[[#This Row],[_Descendants]])),Tasks[[#This Row],[_LeafLateFinish]]))</f>
        <v/>
      </c>
      <c r="AV112" s="47" t="str">
        <f aca="false">IF(Tasks[[#This Row],[Task Name]]="","",IF(Tasks[[#This Row],[_IsSummary]],MIN(INDEX(Tasks[_LeafTotalSlack],Tasks[[#This Row],[_Row]]+1):INDEX(Tasks[_LeafTotalSlack],Tasks[[#This Row],[_Row]]+Tasks[[#This Row],[_Descendants]])),Tasks[[#This Row],[_LeafTotalSlack]]))</f>
        <v/>
      </c>
      <c r="AW11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5"/>
      <c r="BA11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t="str">
        <f aca="false">IF(Tasks[[#This Row],[Task Name]]="","",IF(Tasks[[#This Row],[_Level]]&lt;=OutlineShowLevel,"Yes","No"))</f>
        <v/>
      </c>
      <c r="BE112" s="86" t="str">
        <f aca="false">IF(Tasks[[#This Row],[Task Name]]="","",IF(Tasks[[#This Row],[_IsSummary]],SUM(INDEX(Tasks[_LeafTotalWork],Tasks[[#This Row],[_Row]]+1):INDEX(Tasks[_LeafTotalWork],Tasks[[#This Row],[_Row]]+Tasks[[#This Row],[_Descendants]])),Tasks[[#This Row],[_LeafTotalWork]]))</f>
        <v/>
      </c>
      <c r="BF112" s="23"/>
      <c r="BG1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t="str">
        <f aca="false">""</f>
        <v/>
      </c>
      <c r="BI112" s="87"/>
      <c r="BJ112" s="22"/>
      <c r="BK112" s="47" t="str">
        <f aca="false">IF(OR(Tasks[[#This Row],[Task Name]]="",Tasks[[#This Row],[Baseline Duration]]=""),"",Tasks[[#This Row],[_SpanDays]]-N(Tasks[[#This Row],[Baseline Duration]]))</f>
        <v/>
      </c>
      <c r="BL112" s="86" t="str">
        <f aca="false">IF(OR(Tasks[[#This Row],[Task Name]]="",Tasks[[#This Row],[Baseline Work]]=""),"",Tasks[[#This Row],[Work]]-N(Tasks[[#This Row],[Baseline Work]]))</f>
        <v/>
      </c>
      <c r="BM112" s="63" t="str">
        <f aca="false">IF(Tasks[[#This Row],[Task Name]]="","",IF(OR(TakeBaseline="Yes",N(Tasks[[#This Row],[Baseline Start]])=0),Tasks[[#This Row],[Start]],Tasks[[#This Row],[Baseline Start]]))</f>
        <v/>
      </c>
      <c r="BN112" s="63" t="str">
        <f aca="false">IF(Tasks[[#This Row],[Task Name]]="","",IF(OR(TakeBaseline="Yes",N(Tasks[[#This Row],[Baseline Finish]])=0),Tasks[[#This Row],[Finish]],Tasks[[#This Row],[Baseline Finish]]))</f>
        <v/>
      </c>
      <c r="BO112" s="21" t="str">
        <f aca="false">IF(Tasks[[#This Row],[Task Name]]="","",IF(OR(TakeBaseline="Yes",N(Tasks[[#This Row],[Baseline Duration]])=0),Tasks[[#This Row],[_SpanDays]],Tasks[[#This Row],[Baseline Duration]]))</f>
        <v/>
      </c>
      <c r="BP112" s="86" t="str">
        <f aca="false">IF(Tasks[[#This Row],[Task Name]]="","",IF(OR(TakeBaseline="Yes",N(Tasks[[#This Row],[Baseline Work]])=0),Tasks[[#This Row],[Work]],Tasks[[#This Row],[Baseline Work]]))</f>
        <v/>
      </c>
      <c r="BQ112" s="7"/>
      <c r="BR112" s="7"/>
      <c r="BS112" s="22"/>
      <c r="BT112" s="88"/>
      <c r="BU112" s="23"/>
      <c r="BV112" s="23"/>
      <c r="BW112" s="23"/>
      <c r="BX112" s="89" t="str">
        <f aca="false">IF(AND(Tasks[[#This Row],[_IsLeaf]]=1,ISNUMBER(Tasks[[#This Row],[Optimistic]]),ISNUMBER(Tasks[[#This Row],[Pessimistic]])),ROUND((Tasks[[#This Row],[Optimistic]]+4*N(Tasks[[#This Row],[_Days]])+Tasks[[#This Row],[Pessimistic]])/6,1),"")</f>
        <v/>
      </c>
      <c r="BY112" s="87"/>
      <c r="BZ112" s="87"/>
      <c r="CA112" s="22"/>
      <c r="CB112" s="43" t="str">
        <f aca="false">IF(Tasks[[#This Row],[Task Name]]="","",MAX(1,N(Tasks[[#This Row],[Level]])))</f>
        <v/>
      </c>
      <c r="CC112" s="43" t="n">
        <f aca="false">ROW()-ROW(Tasks[[#Headers],[ID]])</f>
        <v>107</v>
      </c>
      <c r="CD112" s="43" t="n">
        <f aca="false">IF(OR(Tasks[[#This Row],[Task Name]]="",Tasks[[#This Row],[_Level]]&lt;=1),0,IFERROR(LOOKUP(2,1/(Tasks[[#Headers],[_Level]]:Tasks[[#This Row],[_Level]]=Tasks[[#This Row],[_Level]]-1),ROW(Tasks[[#Headers],[_Level]]:Tasks[[#This Row],[_Level]])),0))</f>
        <v>0</v>
      </c>
      <c r="CE112" s="43" t="n">
        <f aca="false">IFERROR(N(INDEX(Tasks[_Level],Tasks[[#This Row],[_Row]]+1)),0)</f>
        <v>0</v>
      </c>
      <c r="CF112" s="90" t="b">
        <f aca="false">AND(Tasks[[#This Row],[Task Name]]&lt;&gt;"",Tasks[[#This Row],[_NextLevel]]&gt;Tasks[[#This Row],[_Level]])</f>
        <v>0</v>
      </c>
      <c r="CG112" s="43" t="n">
        <f aca="false">IF(Tasks[[#This Row],[_IsSummary]],COUNTIF(Tasks[WBS],Tasks[[#This Row],[WBS]]&amp;".*"),0)</f>
        <v>0</v>
      </c>
      <c r="CH112" s="43" t="n">
        <f aca="false">IF(AND(Tasks[[#This Row],[Task Name]]&lt;&gt;"",NOT(Tasks[[#This Row],[_IsSummary]])),1,0)</f>
        <v>0</v>
      </c>
      <c r="CI112" s="43" t="n">
        <f aca="false">IF(N(Tasks[[#This Row],[_Pred1UID]])=0,0,IFERROR(MATCH(Tasks[[#This Row],[_Pred1UID]],Tasks[UID],0),-1))</f>
        <v>0</v>
      </c>
      <c r="CJ112" s="43" t="n">
        <f aca="false">IF(N(Tasks[[#This Row],[_Pred2UID]])=0,0,IFERROR(MATCH(Tasks[[#This Row],[_Pred2UID]],Tasks[UID],0),-1))</f>
        <v>0</v>
      </c>
      <c r="CK112" s="43" t="n">
        <f aca="false">IF(N(Tasks[[#This Row],[_Pred3UID]])=0,0,IFERROR(MATCH(Tasks[[#This Row],[_Pred3UID]],Tasks[UID],0),-1))</f>
        <v>0</v>
      </c>
      <c r="CL112" s="43" t="n">
        <f aca="false">IF(N(Tasks[[#This Row],[_Pred4UID]])=0,0,IFERROR(MATCH(Tasks[[#This Row],[_Pred4UID]],Tasks[UID],0),-1))</f>
        <v>0</v>
      </c>
      <c r="CM11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2" s="91" t="n">
        <f aca="false">IF(OR(Tasks[[#This Row],[_ConstraintCode]]=2,Tasks[[#This Row],[_ConstraintCode]]=3,Tasks[[#This Row],[_ConstraintCode]]=4,Tasks[[#This Row],[_ConstraintCode]]=6),Tasks[[#This Row],[_ConstraintStart]],0)</f>
        <v>0</v>
      </c>
      <c r="CP112" s="91" t="n">
        <f aca="false">IF(OR(Tasks[[#This Row],[_ConstraintCode]]=2,Tasks[[#This Row],[_ConstraintCode]]=3,Tasks[[#This Row],[_ConstraintCode]]=5,Tasks[[#This Row],[_ConstraintCode]]=7),Tasks[[#This Row],[_ConstraintStart]],2958465)</f>
        <v>2958465</v>
      </c>
      <c r="CQ11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2" s="91" t="str">
        <f aca="false">IF(NOT(Tasks[[#This Row],[_IsLeaf]]=1),"",IF(N(Tasks[[#This Row],[_Days]])&lt;=0,Tasks[[#This Row],[_LeafCalcStart]],WORKDAY.INTL(Tasks[[#This Row],[_LeafCalcStart]],Tasks[[#This Row],[_Days]]-1,WorkWeek,Holidays)))</f>
        <v/>
      </c>
      <c r="CS11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2" s="43" t="str">
        <f aca="false">IF(Tasks[[#This Row],[_Predecessors]]="","",TRIM(MID(SUBSTITUTE(SUBSTITUTE(SUBSTITUTE(UPPER(Tasks[[#This Row],[_Predecessors]]),";",",")," ",""),",",REPT(" ",99)),1,99)))</f>
        <v/>
      </c>
      <c r="CV112" s="43" t="str">
        <f aca="false">IF(Tasks[[#This Row],[_Pred1Text]]="","",IFERROR(VALUE(LEFT(Tasks[[#This Row],[_Pred1Text]],MIN(FIND("F",Tasks[[#This Row],[_Pred1Text]]&amp;"F"),FIND("S",Tasks[[#This Row],[_Pred1Text]]&amp;"S"),FIND("+",Tasks[[#This Row],[_Pred1Text]]&amp;"+"),FIND("-",Tasks[[#This Row],[_Pred1Text]]&amp;"-"))-1)),""))</f>
        <v/>
      </c>
      <c r="CW1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2" s="43" t="str">
        <f aca="false">IF(Tasks[[#This Row],[_Pred1Text]]="","",TRIM(MID(SUBSTITUTE(SUBSTITUTE(SUBSTITUTE(UPPER(Tasks[[#This Row],[_Predecessors]]),";",",")," ",""),",",REPT(" ",99)),100,99)))</f>
        <v/>
      </c>
      <c r="CZ112" s="43" t="str">
        <f aca="false">IF(Tasks[[#This Row],[_Pred2Text]]="","",IFERROR(VALUE(LEFT(Tasks[[#This Row],[_Pred2Text]],MIN(FIND("F",Tasks[[#This Row],[_Pred2Text]]&amp;"F"),FIND("S",Tasks[[#This Row],[_Pred2Text]]&amp;"S"),FIND("+",Tasks[[#This Row],[_Pred2Text]]&amp;"+"),FIND("-",Tasks[[#This Row],[_Pred2Text]]&amp;"-"))-1)),""))</f>
        <v/>
      </c>
      <c r="DA1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2" s="43" t="str">
        <f aca="false">IF(Tasks[[#This Row],[_Pred2Text]]="","",TRIM(MID(SUBSTITUTE(SUBSTITUTE(SUBSTITUTE(UPPER(Tasks[[#This Row],[_Predecessors]]),";",",")," ",""),",",REPT(" ",99)),199,99)))</f>
        <v/>
      </c>
      <c r="DD112" s="43" t="str">
        <f aca="false">IF(Tasks[[#This Row],[_Pred3Text]]="","",IFERROR(VALUE(LEFT(Tasks[[#This Row],[_Pred3Text]],MIN(FIND("F",Tasks[[#This Row],[_Pred3Text]]&amp;"F"),FIND("S",Tasks[[#This Row],[_Pred3Text]]&amp;"S"),FIND("+",Tasks[[#This Row],[_Pred3Text]]&amp;"+"),FIND("-",Tasks[[#This Row],[_Pred3Text]]&amp;"-"))-1)),""))</f>
        <v/>
      </c>
      <c r="DE1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2" s="43" t="str">
        <f aca="false">IF(Tasks[[#This Row],[_Pred3Text]]="","",TRIM(MID(SUBSTITUTE(SUBSTITUTE(SUBSTITUTE(UPPER(Tasks[[#This Row],[_Predecessors]]),";",",")," ",""),",",REPT(" ",99)),298,99)))</f>
        <v/>
      </c>
      <c r="DH112" s="43" t="str">
        <f aca="false">IF(Tasks[[#This Row],[_Pred4Text]]="","",IFERROR(VALUE(LEFT(Tasks[[#This Row],[_Pred4Text]],MIN(FIND("F",Tasks[[#This Row],[_Pred4Text]]&amp;"F"),FIND("S",Tasks[[#This Row],[_Pred4Text]]&amp;"S"),FIND("+",Tasks[[#This Row],[_Pred4Text]]&amp;"+"),FIND("-",Tasks[[#This Row],[_Pred4Text]]&amp;"-"))-1)),""))</f>
        <v/>
      </c>
      <c r="DI1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2" s="43" t="str">
        <f aca="false">IF(OR(Tasks[[#This Row],[Task Name]]="",Tasks[[#This Row],[_Resources]]=""),"",TRIM(MID(SUBSTITUTE(Tasks[[#This Row],[_Resources]],",",REPT(" ",99)),1,99)))</f>
        <v/>
      </c>
      <c r="DL112" s="43" t="str">
        <f aca="false">IF(Tasks[[#This Row],[_Res1Text]]="","",TRIM(MID(SUBSTITUTE(Tasks[[#This Row],[_Resources]],",",REPT(" ",99)),100,99)))</f>
        <v/>
      </c>
      <c r="DM112" s="43" t="str">
        <f aca="false">IF(Tasks[[#This Row],[_Res2Text]]="","",TRIM(MID(SUBSTITUTE(Tasks[[#This Row],[_Resources]],",",REPT(" ",99)),199,99)))</f>
        <v/>
      </c>
      <c r="DN112" s="43" t="str">
        <f aca="false">IF(Tasks[[#This Row],[_Res3Text]]="","",TRIM(MID(SUBSTITUTE(Tasks[[#This Row],[_Resources]],",",REPT(" ",99)),298,99)))</f>
        <v/>
      </c>
      <c r="DO112" s="43" t="n">
        <f aca="false">IF(Tasks[[#This Row],[_Res1Text]]="",0,IFERROR(MATCH(TRIM(LEFT(Tasks[[#This Row],[_Res1Text]],FIND("[",Tasks[[#This Row],[_Res1Text]]&amp;"[")-1)),res_Name,0),IFERROR(MATCH(TRIM(LEFT(Tasks[[#This Row],[_Res1Text]],FIND("[",Tasks[[#This Row],[_Res1Text]]&amp;"[")-1)),res_Initials,0),0)))</f>
        <v>0</v>
      </c>
      <c r="DP112" s="43" t="n">
        <f aca="false">IF(Tasks[[#This Row],[_Res2Text]]="",0,IFERROR(MATCH(TRIM(LEFT(Tasks[[#This Row],[_Res2Text]],FIND("[",Tasks[[#This Row],[_Res2Text]]&amp;"[")-1)),res_Name,0),IFERROR(MATCH(TRIM(LEFT(Tasks[[#This Row],[_Res2Text]],FIND("[",Tasks[[#This Row],[_Res2Text]]&amp;"[")-1)),res_Initials,0),0)))</f>
        <v>0</v>
      </c>
      <c r="DQ112" s="43" t="n">
        <f aca="false">IF(Tasks[[#This Row],[_Res3Text]]="",0,IFERROR(MATCH(TRIM(LEFT(Tasks[[#This Row],[_Res3Text]],FIND("[",Tasks[[#This Row],[_Res3Text]]&amp;"[")-1)),res_Name,0),IFERROR(MATCH(TRIM(LEFT(Tasks[[#This Row],[_Res3Text]],FIND("[",Tasks[[#This Row],[_Res3Text]]&amp;"[")-1)),res_Initials,0),0)))</f>
        <v>0</v>
      </c>
      <c r="DR112" s="43" t="n">
        <f aca="false">IF(Tasks[[#This Row],[_Res4Text]]="",0,IFERROR(MATCH(TRIM(LEFT(Tasks[[#This Row],[_Res4Text]],FIND("[",Tasks[[#This Row],[_Res4Text]]&amp;"[")-1)),res_Name,0),IFERROR(MATCH(TRIM(LEFT(Tasks[[#This Row],[_Res4Text]],FIND("[",Tasks[[#This Row],[_Res4Text]]&amp;"[")-1)),res_Initials,0),0)))</f>
        <v>0</v>
      </c>
      <c r="DS112" s="43" t="str">
        <f aca="false">IF(Tasks[[#This Row],[_Res1Text]]="","",IF(Tasks[[#This Row],[_Res1Row]]&gt;0,INDEX(res_Name,Tasks[[#This Row],[_Res1Row]]),TRIM(LEFT(Tasks[[#This Row],[_Res1Text]],FIND("[",Tasks[[#This Row],[_Res1Text]]&amp;"[")-1))))</f>
        <v/>
      </c>
      <c r="DT1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2" s="43" t="n">
        <f aca="false">IF(NOT(Tasks[[#This Row],[_IsLeaf]]=1),0,(Tasks[[#This Row],[_Resource1]]&lt;&gt;"")+(Tasks[[#This Row],[_Res2]]&lt;&gt;"")+(Tasks[[#This Row],[_Res3]]&lt;&gt;"")+(Tasks[[#This Row],[_Res4]]&lt;&gt;""))</f>
        <v>0</v>
      </c>
      <c r="DV112" s="43" t="str">
        <f aca="false">IF(Tasks[[#This Row],[_Res2Text]]="","",IF(Tasks[[#This Row],[_Res2Row]]&gt;0,INDEX(res_Name,Tasks[[#This Row],[_Res2Row]]),TRIM(LEFT(Tasks[[#This Row],[_Res2Text]],FIND("[",Tasks[[#This Row],[_Res2Text]]&amp;"[")-1))))</f>
        <v/>
      </c>
      <c r="DW11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2" s="43" t="n">
        <f aca="false">IF(OR(NOT(Tasks[[#This Row],[_IsLeaf]]=1),Tasks[[#This Row],[_Res2Row]]=0),0,N(Tasks[[#This Row],[_Days]])*HoursPerDay*IF(Tasks[[#This Row],[_Res2Units]]="",DefaultUnits,Tasks[[#This Row],[_Res2Units]]))</f>
        <v>0</v>
      </c>
      <c r="DY112" s="43" t="n">
        <f aca="false">IF(AND(AND(Tasks[[#This Row],[_IsLeaf]]=1,Tasks[[#This Row],[_LeafTotalWork]]&gt;0),Tasks[[#This Row],[_Res2Work]]&gt;0),Tasks[[#This Row],[_Res2Work]]/(Tasks[[#This Row],[_FinishWorkday]]-Tasks[[#This Row],[_StartWorkday]]+1),0)</f>
        <v>0</v>
      </c>
      <c r="DZ112" s="43" t="n">
        <f aca="false">Tasks[[#This Row],[_Res2WorkPerWD]]*MAX(0,Tasks[[#This Row],[_StartWorkday]]-1)</f>
        <v>0</v>
      </c>
      <c r="EA112" s="43" t="n">
        <f aca="false">Tasks[[#This Row],[_Res2Work]]*Tasks[[#This Row],[_LeafProgress]]</f>
        <v>0</v>
      </c>
      <c r="EB112" s="43" t="str">
        <f aca="false">IF(Tasks[[#This Row],[_Res3Text]]="","",IF(Tasks[[#This Row],[_Res3Row]]&gt;0,INDEX(res_Name,Tasks[[#This Row],[_Res3Row]]),TRIM(LEFT(Tasks[[#This Row],[_Res3Text]],FIND("[",Tasks[[#This Row],[_Res3Text]]&amp;"[")-1))))</f>
        <v/>
      </c>
      <c r="EC1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2" s="43" t="n">
        <f aca="false">IF(OR(NOT(Tasks[[#This Row],[_IsLeaf]]=1),Tasks[[#This Row],[_Res3Row]]=0),0,N(Tasks[[#This Row],[_Days]])*HoursPerDay*IF(Tasks[[#This Row],[_Res3Units]]="",DefaultUnits,Tasks[[#This Row],[_Res3Units]]))</f>
        <v>0</v>
      </c>
      <c r="EE112" s="43" t="n">
        <f aca="false">IF(AND(AND(Tasks[[#This Row],[_IsLeaf]]=1,Tasks[[#This Row],[_LeafTotalWork]]&gt;0),Tasks[[#This Row],[_Res3Work]]&gt;0),Tasks[[#This Row],[_Res3Work]]/(Tasks[[#This Row],[_FinishWorkday]]-Tasks[[#This Row],[_StartWorkday]]+1),0)</f>
        <v>0</v>
      </c>
      <c r="EF112" s="43" t="n">
        <f aca="false">Tasks[[#This Row],[_Res3WorkPerWD]]*MAX(0,Tasks[[#This Row],[_StartWorkday]]-1)</f>
        <v>0</v>
      </c>
      <c r="EG112" s="43" t="n">
        <f aca="false">Tasks[[#This Row],[_Res3Work]]*Tasks[[#This Row],[_LeafProgress]]</f>
        <v>0</v>
      </c>
      <c r="EH112" s="43" t="str">
        <f aca="false">IF(Tasks[[#This Row],[_Res4Text]]="","",IF(Tasks[[#This Row],[_Res4Row]]&gt;0,INDEX(res_Name,Tasks[[#This Row],[_Res4Row]]),TRIM(LEFT(Tasks[[#This Row],[_Res4Text]],FIND("[",Tasks[[#This Row],[_Res4Text]]&amp;"[")-1))))</f>
        <v/>
      </c>
      <c r="EI1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2" s="43" t="n">
        <f aca="false">IF(OR(NOT(Tasks[[#This Row],[_IsLeaf]]=1),Tasks[[#This Row],[_Res4Row]]=0),0,N(Tasks[[#This Row],[_Days]])*HoursPerDay*IF(Tasks[[#This Row],[_Res4Units]]="",DefaultUnits,Tasks[[#This Row],[_Res4Units]]))</f>
        <v>0</v>
      </c>
      <c r="EK112" s="43" t="n">
        <f aca="false">IF(AND(AND(Tasks[[#This Row],[_IsLeaf]]=1,Tasks[[#This Row],[_LeafTotalWork]]&gt;0),Tasks[[#This Row],[_Res4Work]]&gt;0),Tasks[[#This Row],[_Res4Work]]/(Tasks[[#This Row],[_FinishWorkday]]-Tasks[[#This Row],[_StartWorkday]]+1),0)</f>
        <v>0</v>
      </c>
      <c r="EL112" s="43" t="n">
        <f aca="false">Tasks[[#This Row],[_Res4WorkPerWD]]*MAX(0,Tasks[[#This Row],[_StartWorkday]]-1)</f>
        <v>0</v>
      </c>
      <c r="EM112" s="43" t="n">
        <f aca="false">Tasks[[#This Row],[_Res4Work]]*Tasks[[#This Row],[_LeafProgress]]</f>
        <v>0</v>
      </c>
      <c r="EN112" s="43" t="n">
        <f aca="false">IF(ISNUMBER(Tasks[[#This Row],[% Complete]]),Tasks[[#This Row],[% Complete]],IF(Tasks[[#This Row],[Stage]]="",0,IFERROR(INDEX(stg_Pct,MATCH(Tasks[[#This Row],[Stage]],stg_Name,0)),0)))</f>
        <v>0</v>
      </c>
      <c r="EO112" s="43" t="n">
        <f aca="false">IF(NOT(Tasks[[#This Row],[_IsLeaf]]=1),0,IF(N(Tasks[[#This Row],[Actual Finish]])&gt;0,1,MIN(1,Tasks[[#This Row],[_Pct]])))</f>
        <v>0</v>
      </c>
      <c r="EP112" s="43" t="n">
        <f aca="false">IF(OR(NOT(Tasks[[#This Row],[_IsLeaf]]=1),Tasks[[#This Row],[_Res1Row]]=0),0,N(Tasks[[#This Row],[_Days]])*HoursPerDay*IF(Tasks[[#This Row],[_Units1]]="",DefaultUnits,Tasks[[#This Row],[_Units1]]))</f>
        <v>0</v>
      </c>
      <c r="EQ112" s="43" t="n">
        <f aca="false">Tasks[[#This Row],[_LeafWork]]+Tasks[[#This Row],[_Res2Work]]+Tasks[[#This Row],[_Res3Work]]+Tasks[[#This Row],[_Res4Work]]</f>
        <v>0</v>
      </c>
      <c r="ER11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2" s="43" t="n">
        <f aca="false">IF(NOT(Tasks[[#This Row],[_IsLeaf]]=1),0,MAX(_xlfn.MAXIFS(Tasks[_Row],Tasks[_Pred1UID],Tasks[[#This Row],[UID]]),_xlfn.MAXIFS(Tasks[_Row],Tasks[_Pred2UID],Tasks[[#This Row],[UID]]),_xlfn.MAXIFS(Tasks[_Row],Tasks[_Pred3UID],Tasks[[#This Row],[UID]]),_xlfn.MAXIFS(Tasks[_Row],Tasks[_Pred4UID],Tasks[[#This Row],[UID]])))</f>
        <v>0</v>
      </c>
      <c r="FA11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2" s="91" t="str">
        <f aca="false">IF(NOT(Tasks[[#This Row],[_IsLeaf]]=1),"",IF(N(Tasks[[#This Row],[_Days]])&lt;=0,Tasks[[#This Row],[_LeafLateFinish]],WORKDAY.INTL(Tasks[[#This Row],[_LeafLateFinish]],-(Tasks[[#This Row],[_Days]]-1),WorkWeek,Holidays)))</f>
        <v/>
      </c>
      <c r="FD11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2" s="90" t="b">
        <f aca="false">AND(Tasks[[#This Row],[_IsLeaf]]=1,Tasks[[#This Row],[_LeafProgress]]&lt;1,N(Tasks[[#This Row],[_LeafTotalSlack]])&lt;=CriticalSlackDays)</f>
        <v>0</v>
      </c>
      <c r="FF112" s="43" t="n">
        <f aca="false">IF(AND(Tasks[[#This Row],[_IsLeaf]]=1,Tasks[[#This Row],[_ConstraintCode]]=1,Tasks[[#This Row],[Mode]]&lt;&gt;"Manual",N(Tasks[[#This Row],[Actual Start]])=0),MAX(0,N(Tasks[[#This Row],[Free Slack]])),0)</f>
        <v>0</v>
      </c>
      <c r="FG112" s="91" t="str">
        <f aca="false">IF(NOT(Tasks[[#This Row],[_IsLeaf]]=1),"",IF(Tasks[[#This Row],[_AlapShift]]=0,Tasks[[#This Row],[_LeafCalcStart]],WORKDAY.INTL(Tasks[[#This Row],[_LeafCalcStart]],Tasks[[#This Row],[_AlapShift]],WorkWeek,Holidays)))</f>
        <v/>
      </c>
      <c r="FH112" s="91" t="str">
        <f aca="false">IF(NOT(Tasks[[#This Row],[_IsLeaf]]=1),"",IF(Tasks[[#This Row],[_AlapShift]]=0,Tasks[[#This Row],[_LeafCalcFinish]],WORKDAY.INTL(Tasks[[#This Row],[_LeafCalcFinish]],Tasks[[#This Row],[_AlapShift]],WorkWeek,Holidays)))</f>
        <v/>
      </c>
      <c r="FI112" s="91" t="str">
        <f aca="false">IF(NOT(Tasks[[#This Row],[_IsLeaf]]=1),"",IF(Tasks[[#This Row],[_AlapShift]]=0,Tasks[[#This Row],[_LeafFcstStart]],WORKDAY.INTL(Tasks[[#This Row],[_LeafFcstStart]],Tasks[[#This Row],[_AlapShift]],WorkWeek,Holidays)))</f>
        <v/>
      </c>
      <c r="FJ112" s="91" t="str">
        <f aca="false">IF(NOT(Tasks[[#This Row],[_IsLeaf]]=1),"",IF(Tasks[[#This Row],[_AlapShift]]=0,Tasks[[#This Row],[_LeafFcstFinish]],WORKDAY.INTL(Tasks[[#This Row],[_LeafFcstFinish]],Tasks[[#This Row],[_AlapShift]],WorkWeek,Holidays)))</f>
        <v/>
      </c>
      <c r="FK112" s="91" t="str">
        <f aca="false">IF(Tasks[[#This Row],[Task Name]]="","",IF(Tasks[[#This Row],[_IsSummary]],MIN(INDEX(Tasks[_ShownCalcStart],Tasks[[#This Row],[_Row]]+1):INDEX(Tasks[_ShownCalcStart],Tasks[[#This Row],[_Row]]+Tasks[[#This Row],[_Descendants]])),Tasks[[#This Row],[_ShownCalcStart]]))</f>
        <v/>
      </c>
      <c r="FL112" s="91" t="str">
        <f aca="false">IF(Tasks[[#This Row],[Task Name]]="","",IF(Tasks[[#This Row],[_IsSummary]],MAX(INDEX(Tasks[_ShownCalcFinish],Tasks[[#This Row],[_Row]]+1):INDEX(Tasks[_ShownCalcFinish],Tasks[[#This Row],[_Row]]+Tasks[[#This Row],[_Descendants]])),Tasks[[#This Row],[_ShownCalcFinish]]))</f>
        <v/>
      </c>
      <c r="FM1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2" s="43" t="n">
        <f aca="false">IF(AND(Tasks[[#This Row],[_IsLeaf]]=1,Tasks[[#This Row],[_LeafTotalWork]]&gt;0),NETWORKDAYS.INTL(ProjectStart,Tasks[[#This Row],[_ShownFcstStart]],WorkWeek,Holidays),0)</f>
        <v>0</v>
      </c>
      <c r="FZ112" s="43" t="n">
        <f aca="false">IF(AND(Tasks[[#This Row],[_IsLeaf]]=1,Tasks[[#This Row],[_LeafTotalWork]]&gt;0),MAX(Tasks[[#This Row],[_StartWorkday]],NETWORKDAYS.INTL(ProjectStart,Tasks[[#This Row],[_ShownFcstFinish]],WorkWeek,Holidays)),0)</f>
        <v>0</v>
      </c>
      <c r="GA112" s="43" t="n">
        <f aca="false">IF(AND(Tasks[[#This Row],[_IsLeaf]]=1,Tasks[[#This Row],[_LeafTotalWork]]&gt;0),Tasks[[#This Row],[_LeafWork]]/(Tasks[[#This Row],[_FinishWorkday]]-Tasks[[#This Row],[_StartWorkday]]+1),0)</f>
        <v>0</v>
      </c>
      <c r="GB112" s="43" t="n">
        <f aca="false">Tasks[[#This Row],[_WorkPerWorkday]]*(Tasks[[#This Row],[_StartWorkday]]-1)</f>
        <v>-0</v>
      </c>
      <c r="GC112" s="43" t="n">
        <f aca="false">IF(Tasks[[#This Row],[_IsLeaf]]=1,MAX(N(Tasks[[#This Row],[_Days]]),0.1),0)</f>
        <v>0</v>
      </c>
      <c r="GD112" s="43" t="n">
        <f aca="false">Tasks[[#This Row],[_WeightDur]]*Tasks[[#This Row],[_LeafProgress]]</f>
        <v>0</v>
      </c>
      <c r="GE112" s="43" t="n">
        <f aca="false">Tasks[[#This Row],[_WeightDur]]*Tasks[[#This Row],[_PlannedPct]]</f>
        <v>0</v>
      </c>
      <c r="GF1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2" s="43" t="str">
        <f aca="false">IF(AND(Tasks[[#This Row],[_IsLeaf]]=1,N(Tasks[[#This Row],[_Days]])=0,Tasks[[#This Row],[_LeafProgress]]&lt;1),Tasks[[#This Row],[_ShownFcstFinish]]+Tasks[[#This Row],[_Row]]/100000,"")</f>
        <v/>
      </c>
      <c r="GH1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2" s="43" t="str">
        <f aca="false">IF(Tasks[[#This Row],[Task Name]]="","",LEFT(Tasks[[#This Row],[WBS]],FIND(".",Tasks[[#This Row],[WBS]]&amp;".")-1))</f>
        <v/>
      </c>
      <c r="GJ112" s="43" t="str">
        <f aca="false">IF(AND(Tasks[[#This Row],[Task Name]]&lt;&gt;"",Tasks[[#This Row],[_Level]]=1),Tasks[[#This Row],[_Row]],"")</f>
        <v/>
      </c>
      <c r="GK112" s="43" t="str">
        <f aca="false">IF(AND(Tasks[[#This Row],[_IsLeaf]]=1,N(Tasks[[#This Row],[_Days]])=0),Tasks[[#This Row],[Planned Finish]]+Tasks[[#This Row],[_Row]]/100000,"")</f>
        <v/>
      </c>
      <c r="GL112" s="43" t="str">
        <f aca="false">IF(AND(Tasks[[#This Row],[_IsLeaf]]=1,Tasks[[#This Row],[_LeafProgress]]&lt;1,OR(N(Tasks[[#This Row],[Finish Var]])&gt;0,Tasks[[#This Row],[Status]]="Late Start")),MAX(0,Tasks[[#This Row],[Finish Var]])+1-Tasks[[#This Row],[_Row]]/1000000,"")</f>
        <v/>
      </c>
      <c r="GM112" s="43" t="str">
        <f aca="false">IF(AND(Tasks[[#This Row],[_IsLeaf]]=1,N(Tasks[[#This Row],[Actual Start]])=0,Tasks[[#This Row],[_ShownFcstStart]]&gt;=StatusDate,Tasks[[#This Row],[_ShownFcstStart]]&lt;=LookaheadEnd),Tasks[[#This Row],[_ShownFcstStart]]+Tasks[[#This Row],[_Row]]/100000,"")</f>
        <v/>
      </c>
      <c r="GN112" s="43" t="str">
        <f aca="false">IF(AND(Tasks[[#This Row],[_IsLeaf]]=1,Tasks[[#This Row],[_LeafProgress]]&lt;1,Tasks[[#This Row],[_ShownFcstFinish]]&gt;=StatusDate,Tasks[[#This Row],[_ShownFcstFinish]]&lt;=LookaheadEnd),Tasks[[#This Row],[_ShownFcstFinish]]+Tasks[[#This Row],[_Row]]/100000,"")</f>
        <v/>
      </c>
      <c r="GO112" s="43" t="str">
        <f aca="false">IF(Tasks[[#This Row],[_LeafCritical]],Tasks[[#This Row],[_ShownFcstStart]]+Tasks[[#This Row],[_Row]]/100000,"")</f>
        <v/>
      </c>
      <c r="GP112" s="43" t="n">
        <f aca="false">Tasks[[#This Row],[_LeafWork]]*Tasks[[#This Row],[_LeafProgress]]</f>
        <v>0</v>
      </c>
      <c r="GQ112" s="91" t="str">
        <f aca="false">IF(AND(Tasks[[#This Row],[_IsLeaf]]=1,Tasks[[#This Row],[_LeafProgress]]&gt;=1),IF(N(Tasks[[#This Row],[Actual Finish]])&gt;0,Tasks[[#This Row],[Actual Finish]],Tasks[[#This Row],[_ShownFcstFinish]]),"")</f>
        <v/>
      </c>
      <c r="GR112" s="43" t="n">
        <f aca="false">IF(Tasks[[#This Row],[_IsLeaf]]=1,N(Tasks[[#This Row],[Story Points]]),0)</f>
        <v>0</v>
      </c>
      <c r="GS112" s="43" t="str">
        <f aca="false">""</f>
        <v/>
      </c>
      <c r="GT112" s="90" t="b">
        <f aca="false">IF(Tasks[[#This Row],[Task Name]]="",FALSE(),AND(Tasks[[#This Row],[_IsLeaf]]=1,N(Tasks[[#This Row],[_Days]])=0))</f>
        <v>0</v>
      </c>
      <c r="GU112" s="91" t="n">
        <f aca="false">IF(Tasks[[#This Row],[Task Name]]="",0,IF(AND(Tasks[[#This Row],[_IsLeaf]]=1,NOT(Tasks[[#This Row],[_IsMilestone]]),N(Tasks[[#This Row],[Progress]])&gt;0),Tasks[[#This Row],[Start]],0))</f>
        <v>0</v>
      </c>
      <c r="GV112" s="91" t="n">
        <f aca="false">IF(Tasks[[#This Row],[_DoneFrom]]=0,0,IF(Tasks[[#This Row],[Progress]]&gt;=1,Tasks[[#This Row],[Finish]],MAX(Tasks[[#This Row],[_DoneFrom]],Tasks[[#This Row],[Start]]+ROUND((Tasks[[#This Row],[Finish]]-Tasks[[#This Row],[Start]]+1)*Tasks[[#This Row],[Progress]],0)-1)))</f>
        <v>0</v>
      </c>
      <c r="GW112" s="91" t="n">
        <f aca="false">IF(Tasks[[#This Row],[Task Name]]="",0,IF(OR(NOT(Tasks[[#This Row],[_IsLeaf]]=1),Tasks[[#This Row],[_IsMilestone]],N(Tasks[[#This Row],[Progress]])&gt;=1),0,IF(Tasks[[#This Row],[_DoneTo]]&gt;0,Tasks[[#This Row],[_DoneTo]]+1,Tasks[[#This Row],[Start]])))</f>
        <v>0</v>
      </c>
      <c r="GX112" s="91" t="n">
        <f aca="false">IF(Tasks[[#This Row],[_RemFrom]]=0,0,Tasks[[#This Row],[Finish]])</f>
        <v>0</v>
      </c>
      <c r="GY112" s="90" t="b">
        <f aca="false">IF(Tasks[[#This Row],[Task Name]]="",FALSE(),OR(NOT(BaselineSet),N(Tasks[[#This Row],[Baseline Start]])&gt;0))</f>
        <v>0</v>
      </c>
      <c r="GZ11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2" s="92" t="str">
        <f aca="false">IF(Tasks[[#This Row],[_IsLeaf]]=1,Tasks[[#This Row],[_Row]],"")</f>
        <v/>
      </c>
      <c r="HD112" s="92" t="str">
        <f aca="false">IFERROR(INDEX(Tasks[UID],SMALL(Tasks[_PickKey],Tasks[[#This Row],[_Row]]))&amp;" "&amp;INDEX(Tasks[Task Name],SMALL(Tasks[_PickKey],Tasks[[#This Row],[_Row]])),"")</f>
        <v/>
      </c>
      <c r="HE112" s="43" t="str">
        <f aca="false">IF(Tasks[[#This Row],[Task Name]]="","",IF(Tasks[[#This Row],[_IsSummary]],NETWORKDAYS.INTL(Tasks[[#This Row],[Start]],Tasks[[#This Row],[Finish]],WorkWeek,Holidays),N(Tasks[[#This Row],[_Days]])))</f>
        <v/>
      </c>
      <c r="HF112" s="43" t="n">
        <f aca="false">IF(Tasks[[#This Row],[Expected]]="",0,((Tasks[[#This Row],[Pessimistic]]-Tasks[[#This Row],[Optimistic]])/6)^2)</f>
        <v>0</v>
      </c>
      <c r="HG112" s="43" t="n">
        <f aca="false">IF(Tasks[[#This Row],[Expected]]="",0,Tasks[[#This Row],[Expected]]-N(Tasks[[#This Row],[_Days]]))</f>
        <v>0</v>
      </c>
    </row>
    <row r="113" customFormat="false" ht="15" hidden="false" customHeight="false" outlineLevel="0" collapsed="false">
      <c r="A113" s="21" t="str">
        <f aca="false">IF(Tasks[[#This Row],[Task Name]]="","",COUNTA(Tasks[[#Headers],[Task Name]]:Tasks[[#This Row],[Task Name]])-1)</f>
        <v/>
      </c>
      <c r="B113" s="22" t="n">
        <v>121</v>
      </c>
      <c r="C113" s="22"/>
      <c r="D113" s="23"/>
      <c r="E113" s="22"/>
      <c r="F113" s="23"/>
      <c r="G113" s="22"/>
      <c r="H113" s="22"/>
      <c r="I113" s="23"/>
      <c r="J113" s="22"/>
      <c r="K113" s="22"/>
      <c r="L113" s="23"/>
      <c r="M113" s="22"/>
      <c r="N113" s="22"/>
      <c r="O113" s="23"/>
      <c r="P113" s="22"/>
      <c r="Q113" s="22"/>
      <c r="R113" s="23"/>
      <c r="S113" s="23"/>
      <c r="T113" s="84"/>
      <c r="U113" s="23"/>
      <c r="V113" s="84"/>
      <c r="W113" s="23"/>
      <c r="X113" s="84"/>
      <c r="Y113" s="23"/>
      <c r="Z113" s="84"/>
      <c r="AA113" s="23"/>
      <c r="AB113" s="23"/>
      <c r="AC113" s="7"/>
      <c r="AD113" s="7"/>
      <c r="AE113" s="63" t="str">
        <f aca="false">IF(Tasks[[#This Row],[Task Name]]="","",IF(Tasks[[#This Row],[_IsSummary]],MIN(INDEX(Tasks[_ShownFcstStart],Tasks[[#This Row],[_Row]]+1):INDEX(Tasks[_ShownFcstStart],Tasks[[#This Row],[_Row]]+Tasks[[#This Row],[_Descendants]])),Tasks[[#This Row],[_ShownFcstStart]]))</f>
        <v/>
      </c>
      <c r="AF113" s="63" t="str">
        <f aca="false">IF(Tasks[[#This Row],[Task Name]]="","",IF(Tasks[[#This Row],[_IsSummary]],MAX(INDEX(Tasks[_ShownFcstFinish],Tasks[[#This Row],[_Row]]+1):INDEX(Tasks[_ShownFcstFinish],Tasks[[#This Row],[_Row]]+Tasks[[#This Row],[_Descendants]])),Tasks[[#This Row],[_ShownFcstFinish]]))</f>
        <v/>
      </c>
      <c r="AG113" s="21" t="str">
        <f aca="false">""</f>
        <v/>
      </c>
      <c r="AH113" s="23"/>
      <c r="AI1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3" s="7"/>
      <c r="AK113" s="22"/>
      <c r="AL113" s="23"/>
      <c r="AM113" s="7"/>
      <c r="AN113" s="47" t="str">
        <f aca="false">IF(Tasks[[#This Row],[Task Name]]="","",IF(Tasks[[#This Row],[Finish]]&gt;=Tasks[[#This Row],[Planned Finish]],NETWORKDAYS.INTL(Tasks[[#This Row],[Planned Finish]],Tasks[[#This Row],[Finish]],WorkWeek,Holidays)-1,1-NETWORKDAYS.INTL(Tasks[[#This Row],[Finish]],Tasks[[#This Row],[Planned Finish]],WorkWeek,Holidays)))</f>
        <v/>
      </c>
      <c r="AO113" s="21" t="str">
        <f aca="false">IF(Tasks[[#This Row],[Task Name]]="","",IF(Tasks[[#This Row],[Progress]]&gt;=1,"Complete",IF(OR(N(Tasks[[#This Row],[Actual Start]])&gt;0,Tasks[[#This Row],[Progress]]&gt;0),IF(Tasks[[#This Row],[Finish Var]]&gt;0,"Behind","In Progress"),IF(Tasks[[#This Row],[Planned Start]]&lt;StatusDate,"Late Start","Not Started"))))</f>
        <v/>
      </c>
      <c r="AP113" s="21" t="str">
        <f aca="false">IF(Tasks[[#This Row],[Task Name]]="","",IF(IF(Tasks[[#This Row],[_IsSummary]],COUNTIF(INDEX(Tasks[_LeafCritical],Tasks[[#This Row],[_Row]]+1):INDEX(Tasks[_LeafCritical],Tasks[[#This Row],[_Row]]+Tasks[[#This Row],[_Descendants]]),TRUE())&gt;0,Tasks[[#This Row],[_LeafCritical]]),"Yes",""))</f>
        <v/>
      </c>
      <c r="AQ113" s="63" t="str">
        <f aca="false">IF(Tasks[[#This Row],[Task Name]]="","",IF(N(Tasks[[#This Row],[Baseline Start]])&gt;0,Tasks[[#This Row],[Baseline Start]],Tasks[[#This Row],[_CalcStart]]))</f>
        <v/>
      </c>
      <c r="AR113" s="63" t="str">
        <f aca="false">IF(Tasks[[#This Row],[Task Name]]="","",IF(N(Tasks[[#This Row],[Baseline Finish]])&gt;0,Tasks[[#This Row],[Baseline Finish]],Tasks[[#This Row],[_CalcFinish]]))</f>
        <v/>
      </c>
      <c r="AS113" s="47" t="str">
        <f aca="false">IF(Tasks[[#This Row],[Task Name]]="","",IF(Tasks[[#This Row],[Start]]&gt;=Tasks[[#This Row],[Planned Start]],NETWORKDAYS.INTL(Tasks[[#This Row],[Planned Start]],Tasks[[#This Row],[Start]],WorkWeek,Holidays)-1,1-NETWORKDAYS.INTL(Tasks[[#This Row],[Start]],Tasks[[#This Row],[Planned Start]],WorkWeek,Holidays)))</f>
        <v/>
      </c>
      <c r="AT113" s="63" t="str">
        <f aca="false">IF(Tasks[[#This Row],[Task Name]]="","",IF(Tasks[[#This Row],[_IsSummary]],MIN(INDEX(Tasks[_LeafLateStart],Tasks[[#This Row],[_Row]]+1):INDEX(Tasks[_LeafLateStart],Tasks[[#This Row],[_Row]]+Tasks[[#This Row],[_Descendants]])),Tasks[[#This Row],[_LeafLateStart]]))</f>
        <v/>
      </c>
      <c r="AU113" s="63" t="str">
        <f aca="false">IF(Tasks[[#This Row],[Task Name]]="","",IF(Tasks[[#This Row],[_IsSummary]],MAX(INDEX(Tasks[_LeafLateFinish],Tasks[[#This Row],[_Row]]+1):INDEX(Tasks[_LeafLateFinish],Tasks[[#This Row],[_Row]]+Tasks[[#This Row],[_Descendants]])),Tasks[[#This Row],[_LeafLateFinish]]))</f>
        <v/>
      </c>
      <c r="AV113" s="47" t="str">
        <f aca="false">IF(Tasks[[#This Row],[Task Name]]="","",IF(Tasks[[#This Row],[_IsSummary]],MIN(INDEX(Tasks[_LeafTotalSlack],Tasks[[#This Row],[_Row]]+1):INDEX(Tasks[_LeafTotalSlack],Tasks[[#This Row],[_Row]]+Tasks[[#This Row],[_Descendants]])),Tasks[[#This Row],[_LeafTotalSlack]]))</f>
        <v/>
      </c>
      <c r="AW11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5"/>
      <c r="BA11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t="str">
        <f aca="false">IF(Tasks[[#This Row],[Task Name]]="","",IF(Tasks[[#This Row],[_Level]]&lt;=OutlineShowLevel,"Yes","No"))</f>
        <v/>
      </c>
      <c r="BE113" s="86" t="str">
        <f aca="false">IF(Tasks[[#This Row],[Task Name]]="","",IF(Tasks[[#This Row],[_IsSummary]],SUM(INDEX(Tasks[_LeafTotalWork],Tasks[[#This Row],[_Row]]+1):INDEX(Tasks[_LeafTotalWork],Tasks[[#This Row],[_Row]]+Tasks[[#This Row],[_Descendants]])),Tasks[[#This Row],[_LeafTotalWork]]))</f>
        <v/>
      </c>
      <c r="BF113" s="23"/>
      <c r="BG1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t="str">
        <f aca="false">""</f>
        <v/>
      </c>
      <c r="BI113" s="87"/>
      <c r="BJ113" s="22"/>
      <c r="BK113" s="47" t="str">
        <f aca="false">IF(OR(Tasks[[#This Row],[Task Name]]="",Tasks[[#This Row],[Baseline Duration]]=""),"",Tasks[[#This Row],[_SpanDays]]-N(Tasks[[#This Row],[Baseline Duration]]))</f>
        <v/>
      </c>
      <c r="BL113" s="86" t="str">
        <f aca="false">IF(OR(Tasks[[#This Row],[Task Name]]="",Tasks[[#This Row],[Baseline Work]]=""),"",Tasks[[#This Row],[Work]]-N(Tasks[[#This Row],[Baseline Work]]))</f>
        <v/>
      </c>
      <c r="BM113" s="63" t="str">
        <f aca="false">IF(Tasks[[#This Row],[Task Name]]="","",IF(OR(TakeBaseline="Yes",N(Tasks[[#This Row],[Baseline Start]])=0),Tasks[[#This Row],[Start]],Tasks[[#This Row],[Baseline Start]]))</f>
        <v/>
      </c>
      <c r="BN113" s="63" t="str">
        <f aca="false">IF(Tasks[[#This Row],[Task Name]]="","",IF(OR(TakeBaseline="Yes",N(Tasks[[#This Row],[Baseline Finish]])=0),Tasks[[#This Row],[Finish]],Tasks[[#This Row],[Baseline Finish]]))</f>
        <v/>
      </c>
      <c r="BO113" s="21" t="str">
        <f aca="false">IF(Tasks[[#This Row],[Task Name]]="","",IF(OR(TakeBaseline="Yes",N(Tasks[[#This Row],[Baseline Duration]])=0),Tasks[[#This Row],[_SpanDays]],Tasks[[#This Row],[Baseline Duration]]))</f>
        <v/>
      </c>
      <c r="BP113" s="86" t="str">
        <f aca="false">IF(Tasks[[#This Row],[Task Name]]="","",IF(OR(TakeBaseline="Yes",N(Tasks[[#This Row],[Baseline Work]])=0),Tasks[[#This Row],[Work]],Tasks[[#This Row],[Baseline Work]]))</f>
        <v/>
      </c>
      <c r="BQ113" s="7"/>
      <c r="BR113" s="7"/>
      <c r="BS113" s="22"/>
      <c r="BT113" s="88"/>
      <c r="BU113" s="23"/>
      <c r="BV113" s="23"/>
      <c r="BW113" s="23"/>
      <c r="BX113" s="89" t="str">
        <f aca="false">IF(AND(Tasks[[#This Row],[_IsLeaf]]=1,ISNUMBER(Tasks[[#This Row],[Optimistic]]),ISNUMBER(Tasks[[#This Row],[Pessimistic]])),ROUND((Tasks[[#This Row],[Optimistic]]+4*N(Tasks[[#This Row],[_Days]])+Tasks[[#This Row],[Pessimistic]])/6,1),"")</f>
        <v/>
      </c>
      <c r="BY113" s="87"/>
      <c r="BZ113" s="87"/>
      <c r="CA113" s="22"/>
      <c r="CB113" s="43" t="str">
        <f aca="false">IF(Tasks[[#This Row],[Task Name]]="","",MAX(1,N(Tasks[[#This Row],[Level]])))</f>
        <v/>
      </c>
      <c r="CC113" s="43" t="n">
        <f aca="false">ROW()-ROW(Tasks[[#Headers],[ID]])</f>
        <v>108</v>
      </c>
      <c r="CD113" s="43" t="n">
        <f aca="false">IF(OR(Tasks[[#This Row],[Task Name]]="",Tasks[[#This Row],[_Level]]&lt;=1),0,IFERROR(LOOKUP(2,1/(Tasks[[#Headers],[_Level]]:Tasks[[#This Row],[_Level]]=Tasks[[#This Row],[_Level]]-1),ROW(Tasks[[#Headers],[_Level]]:Tasks[[#This Row],[_Level]])),0))</f>
        <v>0</v>
      </c>
      <c r="CE113" s="43" t="n">
        <f aca="false">IFERROR(N(INDEX(Tasks[_Level],Tasks[[#This Row],[_Row]]+1)),0)</f>
        <v>0</v>
      </c>
      <c r="CF113" s="90" t="b">
        <f aca="false">AND(Tasks[[#This Row],[Task Name]]&lt;&gt;"",Tasks[[#This Row],[_NextLevel]]&gt;Tasks[[#This Row],[_Level]])</f>
        <v>0</v>
      </c>
      <c r="CG113" s="43" t="n">
        <f aca="false">IF(Tasks[[#This Row],[_IsSummary]],COUNTIF(Tasks[WBS],Tasks[[#This Row],[WBS]]&amp;".*"),0)</f>
        <v>0</v>
      </c>
      <c r="CH113" s="43" t="n">
        <f aca="false">IF(AND(Tasks[[#This Row],[Task Name]]&lt;&gt;"",NOT(Tasks[[#This Row],[_IsSummary]])),1,0)</f>
        <v>0</v>
      </c>
      <c r="CI113" s="43" t="n">
        <f aca="false">IF(N(Tasks[[#This Row],[_Pred1UID]])=0,0,IFERROR(MATCH(Tasks[[#This Row],[_Pred1UID]],Tasks[UID],0),-1))</f>
        <v>0</v>
      </c>
      <c r="CJ113" s="43" t="n">
        <f aca="false">IF(N(Tasks[[#This Row],[_Pred2UID]])=0,0,IFERROR(MATCH(Tasks[[#This Row],[_Pred2UID]],Tasks[UID],0),-1))</f>
        <v>0</v>
      </c>
      <c r="CK113" s="43" t="n">
        <f aca="false">IF(N(Tasks[[#This Row],[_Pred3UID]])=0,0,IFERROR(MATCH(Tasks[[#This Row],[_Pred3UID]],Tasks[UID],0),-1))</f>
        <v>0</v>
      </c>
      <c r="CL113" s="43" t="n">
        <f aca="false">IF(N(Tasks[[#This Row],[_Pred4UID]])=0,0,IFERROR(MATCH(Tasks[[#This Row],[_Pred4UID]],Tasks[UID],0),-1))</f>
        <v>0</v>
      </c>
      <c r="CM11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3" s="91" t="n">
        <f aca="false">IF(OR(Tasks[[#This Row],[_ConstraintCode]]=2,Tasks[[#This Row],[_ConstraintCode]]=3,Tasks[[#This Row],[_ConstraintCode]]=4,Tasks[[#This Row],[_ConstraintCode]]=6),Tasks[[#This Row],[_ConstraintStart]],0)</f>
        <v>0</v>
      </c>
      <c r="CP113" s="91" t="n">
        <f aca="false">IF(OR(Tasks[[#This Row],[_ConstraintCode]]=2,Tasks[[#This Row],[_ConstraintCode]]=3,Tasks[[#This Row],[_ConstraintCode]]=5,Tasks[[#This Row],[_ConstraintCode]]=7),Tasks[[#This Row],[_ConstraintStart]],2958465)</f>
        <v>2958465</v>
      </c>
      <c r="CQ11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3" s="91" t="str">
        <f aca="false">IF(NOT(Tasks[[#This Row],[_IsLeaf]]=1),"",IF(N(Tasks[[#This Row],[_Days]])&lt;=0,Tasks[[#This Row],[_LeafCalcStart]],WORKDAY.INTL(Tasks[[#This Row],[_LeafCalcStart]],Tasks[[#This Row],[_Days]]-1,WorkWeek,Holidays)))</f>
        <v/>
      </c>
      <c r="CS11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3" s="43" t="str">
        <f aca="false">IF(Tasks[[#This Row],[_Predecessors]]="","",TRIM(MID(SUBSTITUTE(SUBSTITUTE(SUBSTITUTE(UPPER(Tasks[[#This Row],[_Predecessors]]),";",",")," ",""),",",REPT(" ",99)),1,99)))</f>
        <v/>
      </c>
      <c r="CV113" s="43" t="str">
        <f aca="false">IF(Tasks[[#This Row],[_Pred1Text]]="","",IFERROR(VALUE(LEFT(Tasks[[#This Row],[_Pred1Text]],MIN(FIND("F",Tasks[[#This Row],[_Pred1Text]]&amp;"F"),FIND("S",Tasks[[#This Row],[_Pred1Text]]&amp;"S"),FIND("+",Tasks[[#This Row],[_Pred1Text]]&amp;"+"),FIND("-",Tasks[[#This Row],[_Pred1Text]]&amp;"-"))-1)),""))</f>
        <v/>
      </c>
      <c r="CW1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3" s="43" t="str">
        <f aca="false">IF(Tasks[[#This Row],[_Pred1Text]]="","",TRIM(MID(SUBSTITUTE(SUBSTITUTE(SUBSTITUTE(UPPER(Tasks[[#This Row],[_Predecessors]]),";",",")," ",""),",",REPT(" ",99)),100,99)))</f>
        <v/>
      </c>
      <c r="CZ113" s="43" t="str">
        <f aca="false">IF(Tasks[[#This Row],[_Pred2Text]]="","",IFERROR(VALUE(LEFT(Tasks[[#This Row],[_Pred2Text]],MIN(FIND("F",Tasks[[#This Row],[_Pred2Text]]&amp;"F"),FIND("S",Tasks[[#This Row],[_Pred2Text]]&amp;"S"),FIND("+",Tasks[[#This Row],[_Pred2Text]]&amp;"+"),FIND("-",Tasks[[#This Row],[_Pred2Text]]&amp;"-"))-1)),""))</f>
        <v/>
      </c>
      <c r="DA1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3" s="43" t="str">
        <f aca="false">IF(Tasks[[#This Row],[_Pred2Text]]="","",TRIM(MID(SUBSTITUTE(SUBSTITUTE(SUBSTITUTE(UPPER(Tasks[[#This Row],[_Predecessors]]),";",",")," ",""),",",REPT(" ",99)),199,99)))</f>
        <v/>
      </c>
      <c r="DD113" s="43" t="str">
        <f aca="false">IF(Tasks[[#This Row],[_Pred3Text]]="","",IFERROR(VALUE(LEFT(Tasks[[#This Row],[_Pred3Text]],MIN(FIND("F",Tasks[[#This Row],[_Pred3Text]]&amp;"F"),FIND("S",Tasks[[#This Row],[_Pred3Text]]&amp;"S"),FIND("+",Tasks[[#This Row],[_Pred3Text]]&amp;"+"),FIND("-",Tasks[[#This Row],[_Pred3Text]]&amp;"-"))-1)),""))</f>
        <v/>
      </c>
      <c r="DE1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3" s="43" t="str">
        <f aca="false">IF(Tasks[[#This Row],[_Pred3Text]]="","",TRIM(MID(SUBSTITUTE(SUBSTITUTE(SUBSTITUTE(UPPER(Tasks[[#This Row],[_Predecessors]]),";",",")," ",""),",",REPT(" ",99)),298,99)))</f>
        <v/>
      </c>
      <c r="DH113" s="43" t="str">
        <f aca="false">IF(Tasks[[#This Row],[_Pred4Text]]="","",IFERROR(VALUE(LEFT(Tasks[[#This Row],[_Pred4Text]],MIN(FIND("F",Tasks[[#This Row],[_Pred4Text]]&amp;"F"),FIND("S",Tasks[[#This Row],[_Pred4Text]]&amp;"S"),FIND("+",Tasks[[#This Row],[_Pred4Text]]&amp;"+"),FIND("-",Tasks[[#This Row],[_Pred4Text]]&amp;"-"))-1)),""))</f>
        <v/>
      </c>
      <c r="DI1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3" s="43" t="str">
        <f aca="false">IF(OR(Tasks[[#This Row],[Task Name]]="",Tasks[[#This Row],[_Resources]]=""),"",TRIM(MID(SUBSTITUTE(Tasks[[#This Row],[_Resources]],",",REPT(" ",99)),1,99)))</f>
        <v/>
      </c>
      <c r="DL113" s="43" t="str">
        <f aca="false">IF(Tasks[[#This Row],[_Res1Text]]="","",TRIM(MID(SUBSTITUTE(Tasks[[#This Row],[_Resources]],",",REPT(" ",99)),100,99)))</f>
        <v/>
      </c>
      <c r="DM113" s="43" t="str">
        <f aca="false">IF(Tasks[[#This Row],[_Res2Text]]="","",TRIM(MID(SUBSTITUTE(Tasks[[#This Row],[_Resources]],",",REPT(" ",99)),199,99)))</f>
        <v/>
      </c>
      <c r="DN113" s="43" t="str">
        <f aca="false">IF(Tasks[[#This Row],[_Res3Text]]="","",TRIM(MID(SUBSTITUTE(Tasks[[#This Row],[_Resources]],",",REPT(" ",99)),298,99)))</f>
        <v/>
      </c>
      <c r="DO113" s="43" t="n">
        <f aca="false">IF(Tasks[[#This Row],[_Res1Text]]="",0,IFERROR(MATCH(TRIM(LEFT(Tasks[[#This Row],[_Res1Text]],FIND("[",Tasks[[#This Row],[_Res1Text]]&amp;"[")-1)),res_Name,0),IFERROR(MATCH(TRIM(LEFT(Tasks[[#This Row],[_Res1Text]],FIND("[",Tasks[[#This Row],[_Res1Text]]&amp;"[")-1)),res_Initials,0),0)))</f>
        <v>0</v>
      </c>
      <c r="DP113" s="43" t="n">
        <f aca="false">IF(Tasks[[#This Row],[_Res2Text]]="",0,IFERROR(MATCH(TRIM(LEFT(Tasks[[#This Row],[_Res2Text]],FIND("[",Tasks[[#This Row],[_Res2Text]]&amp;"[")-1)),res_Name,0),IFERROR(MATCH(TRIM(LEFT(Tasks[[#This Row],[_Res2Text]],FIND("[",Tasks[[#This Row],[_Res2Text]]&amp;"[")-1)),res_Initials,0),0)))</f>
        <v>0</v>
      </c>
      <c r="DQ113" s="43" t="n">
        <f aca="false">IF(Tasks[[#This Row],[_Res3Text]]="",0,IFERROR(MATCH(TRIM(LEFT(Tasks[[#This Row],[_Res3Text]],FIND("[",Tasks[[#This Row],[_Res3Text]]&amp;"[")-1)),res_Name,0),IFERROR(MATCH(TRIM(LEFT(Tasks[[#This Row],[_Res3Text]],FIND("[",Tasks[[#This Row],[_Res3Text]]&amp;"[")-1)),res_Initials,0),0)))</f>
        <v>0</v>
      </c>
      <c r="DR113" s="43" t="n">
        <f aca="false">IF(Tasks[[#This Row],[_Res4Text]]="",0,IFERROR(MATCH(TRIM(LEFT(Tasks[[#This Row],[_Res4Text]],FIND("[",Tasks[[#This Row],[_Res4Text]]&amp;"[")-1)),res_Name,0),IFERROR(MATCH(TRIM(LEFT(Tasks[[#This Row],[_Res4Text]],FIND("[",Tasks[[#This Row],[_Res4Text]]&amp;"[")-1)),res_Initials,0),0)))</f>
        <v>0</v>
      </c>
      <c r="DS113" s="43" t="str">
        <f aca="false">IF(Tasks[[#This Row],[_Res1Text]]="","",IF(Tasks[[#This Row],[_Res1Row]]&gt;0,INDEX(res_Name,Tasks[[#This Row],[_Res1Row]]),TRIM(LEFT(Tasks[[#This Row],[_Res1Text]],FIND("[",Tasks[[#This Row],[_Res1Text]]&amp;"[")-1))))</f>
        <v/>
      </c>
      <c r="DT1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3" s="43" t="n">
        <f aca="false">IF(NOT(Tasks[[#This Row],[_IsLeaf]]=1),0,(Tasks[[#This Row],[_Resource1]]&lt;&gt;"")+(Tasks[[#This Row],[_Res2]]&lt;&gt;"")+(Tasks[[#This Row],[_Res3]]&lt;&gt;"")+(Tasks[[#This Row],[_Res4]]&lt;&gt;""))</f>
        <v>0</v>
      </c>
      <c r="DV113" s="43" t="str">
        <f aca="false">IF(Tasks[[#This Row],[_Res2Text]]="","",IF(Tasks[[#This Row],[_Res2Row]]&gt;0,INDEX(res_Name,Tasks[[#This Row],[_Res2Row]]),TRIM(LEFT(Tasks[[#This Row],[_Res2Text]],FIND("[",Tasks[[#This Row],[_Res2Text]]&amp;"[")-1))))</f>
        <v/>
      </c>
      <c r="DW1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3" s="43" t="n">
        <f aca="false">IF(OR(NOT(Tasks[[#This Row],[_IsLeaf]]=1),Tasks[[#This Row],[_Res2Row]]=0),0,N(Tasks[[#This Row],[_Days]])*HoursPerDay*IF(Tasks[[#This Row],[_Res2Units]]="",DefaultUnits,Tasks[[#This Row],[_Res2Units]]))</f>
        <v>0</v>
      </c>
      <c r="DY113" s="43" t="n">
        <f aca="false">IF(AND(AND(Tasks[[#This Row],[_IsLeaf]]=1,Tasks[[#This Row],[_LeafTotalWork]]&gt;0),Tasks[[#This Row],[_Res2Work]]&gt;0),Tasks[[#This Row],[_Res2Work]]/(Tasks[[#This Row],[_FinishWorkday]]-Tasks[[#This Row],[_StartWorkday]]+1),0)</f>
        <v>0</v>
      </c>
      <c r="DZ113" s="43" t="n">
        <f aca="false">Tasks[[#This Row],[_Res2WorkPerWD]]*MAX(0,Tasks[[#This Row],[_StartWorkday]]-1)</f>
        <v>0</v>
      </c>
      <c r="EA113" s="43" t="n">
        <f aca="false">Tasks[[#This Row],[_Res2Work]]*Tasks[[#This Row],[_LeafProgress]]</f>
        <v>0</v>
      </c>
      <c r="EB113" s="43" t="str">
        <f aca="false">IF(Tasks[[#This Row],[_Res3Text]]="","",IF(Tasks[[#This Row],[_Res3Row]]&gt;0,INDEX(res_Name,Tasks[[#This Row],[_Res3Row]]),TRIM(LEFT(Tasks[[#This Row],[_Res3Text]],FIND("[",Tasks[[#This Row],[_Res3Text]]&amp;"[")-1))))</f>
        <v/>
      </c>
      <c r="EC1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3" s="43" t="n">
        <f aca="false">IF(OR(NOT(Tasks[[#This Row],[_IsLeaf]]=1),Tasks[[#This Row],[_Res3Row]]=0),0,N(Tasks[[#This Row],[_Days]])*HoursPerDay*IF(Tasks[[#This Row],[_Res3Units]]="",DefaultUnits,Tasks[[#This Row],[_Res3Units]]))</f>
        <v>0</v>
      </c>
      <c r="EE113" s="43" t="n">
        <f aca="false">IF(AND(AND(Tasks[[#This Row],[_IsLeaf]]=1,Tasks[[#This Row],[_LeafTotalWork]]&gt;0),Tasks[[#This Row],[_Res3Work]]&gt;0),Tasks[[#This Row],[_Res3Work]]/(Tasks[[#This Row],[_FinishWorkday]]-Tasks[[#This Row],[_StartWorkday]]+1),0)</f>
        <v>0</v>
      </c>
      <c r="EF113" s="43" t="n">
        <f aca="false">Tasks[[#This Row],[_Res3WorkPerWD]]*MAX(0,Tasks[[#This Row],[_StartWorkday]]-1)</f>
        <v>0</v>
      </c>
      <c r="EG113" s="43" t="n">
        <f aca="false">Tasks[[#This Row],[_Res3Work]]*Tasks[[#This Row],[_LeafProgress]]</f>
        <v>0</v>
      </c>
      <c r="EH113" s="43" t="str">
        <f aca="false">IF(Tasks[[#This Row],[_Res4Text]]="","",IF(Tasks[[#This Row],[_Res4Row]]&gt;0,INDEX(res_Name,Tasks[[#This Row],[_Res4Row]]),TRIM(LEFT(Tasks[[#This Row],[_Res4Text]],FIND("[",Tasks[[#This Row],[_Res4Text]]&amp;"[")-1))))</f>
        <v/>
      </c>
      <c r="EI1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3" s="43" t="n">
        <f aca="false">IF(OR(NOT(Tasks[[#This Row],[_IsLeaf]]=1),Tasks[[#This Row],[_Res4Row]]=0),0,N(Tasks[[#This Row],[_Days]])*HoursPerDay*IF(Tasks[[#This Row],[_Res4Units]]="",DefaultUnits,Tasks[[#This Row],[_Res4Units]]))</f>
        <v>0</v>
      </c>
      <c r="EK113" s="43" t="n">
        <f aca="false">IF(AND(AND(Tasks[[#This Row],[_IsLeaf]]=1,Tasks[[#This Row],[_LeafTotalWork]]&gt;0),Tasks[[#This Row],[_Res4Work]]&gt;0),Tasks[[#This Row],[_Res4Work]]/(Tasks[[#This Row],[_FinishWorkday]]-Tasks[[#This Row],[_StartWorkday]]+1),0)</f>
        <v>0</v>
      </c>
      <c r="EL113" s="43" t="n">
        <f aca="false">Tasks[[#This Row],[_Res4WorkPerWD]]*MAX(0,Tasks[[#This Row],[_StartWorkday]]-1)</f>
        <v>0</v>
      </c>
      <c r="EM113" s="43" t="n">
        <f aca="false">Tasks[[#This Row],[_Res4Work]]*Tasks[[#This Row],[_LeafProgress]]</f>
        <v>0</v>
      </c>
      <c r="EN113" s="43" t="n">
        <f aca="false">IF(ISNUMBER(Tasks[[#This Row],[% Complete]]),Tasks[[#This Row],[% Complete]],IF(Tasks[[#This Row],[Stage]]="",0,IFERROR(INDEX(stg_Pct,MATCH(Tasks[[#This Row],[Stage]],stg_Name,0)),0)))</f>
        <v>0</v>
      </c>
      <c r="EO113" s="43" t="n">
        <f aca="false">IF(NOT(Tasks[[#This Row],[_IsLeaf]]=1),0,IF(N(Tasks[[#This Row],[Actual Finish]])&gt;0,1,MIN(1,Tasks[[#This Row],[_Pct]])))</f>
        <v>0</v>
      </c>
      <c r="EP113" s="43" t="n">
        <f aca="false">IF(OR(NOT(Tasks[[#This Row],[_IsLeaf]]=1),Tasks[[#This Row],[_Res1Row]]=0),0,N(Tasks[[#This Row],[_Days]])*HoursPerDay*IF(Tasks[[#This Row],[_Units1]]="",DefaultUnits,Tasks[[#This Row],[_Units1]]))</f>
        <v>0</v>
      </c>
      <c r="EQ113" s="43" t="n">
        <f aca="false">Tasks[[#This Row],[_LeafWork]]+Tasks[[#This Row],[_Res2Work]]+Tasks[[#This Row],[_Res3Work]]+Tasks[[#This Row],[_Res4Work]]</f>
        <v>0</v>
      </c>
      <c r="ER11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3" s="43" t="n">
        <f aca="false">IF(NOT(Tasks[[#This Row],[_IsLeaf]]=1),0,MAX(_xlfn.MAXIFS(Tasks[_Row],Tasks[_Pred1UID],Tasks[[#This Row],[UID]]),_xlfn.MAXIFS(Tasks[_Row],Tasks[_Pred2UID],Tasks[[#This Row],[UID]]),_xlfn.MAXIFS(Tasks[_Row],Tasks[_Pred3UID],Tasks[[#This Row],[UID]]),_xlfn.MAXIFS(Tasks[_Row],Tasks[_Pred4UID],Tasks[[#This Row],[UID]])))</f>
        <v>0</v>
      </c>
      <c r="FA11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3" s="91" t="str">
        <f aca="false">IF(NOT(Tasks[[#This Row],[_IsLeaf]]=1),"",IF(N(Tasks[[#This Row],[_Days]])&lt;=0,Tasks[[#This Row],[_LeafLateFinish]],WORKDAY.INTL(Tasks[[#This Row],[_LeafLateFinish]],-(Tasks[[#This Row],[_Days]]-1),WorkWeek,Holidays)))</f>
        <v/>
      </c>
      <c r="FD11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3" s="90" t="b">
        <f aca="false">AND(Tasks[[#This Row],[_IsLeaf]]=1,Tasks[[#This Row],[_LeafProgress]]&lt;1,N(Tasks[[#This Row],[_LeafTotalSlack]])&lt;=CriticalSlackDays)</f>
        <v>0</v>
      </c>
      <c r="FF113" s="43" t="n">
        <f aca="false">IF(AND(Tasks[[#This Row],[_IsLeaf]]=1,Tasks[[#This Row],[_ConstraintCode]]=1,Tasks[[#This Row],[Mode]]&lt;&gt;"Manual",N(Tasks[[#This Row],[Actual Start]])=0),MAX(0,N(Tasks[[#This Row],[Free Slack]])),0)</f>
        <v>0</v>
      </c>
      <c r="FG113" s="91" t="str">
        <f aca="false">IF(NOT(Tasks[[#This Row],[_IsLeaf]]=1),"",IF(Tasks[[#This Row],[_AlapShift]]=0,Tasks[[#This Row],[_LeafCalcStart]],WORKDAY.INTL(Tasks[[#This Row],[_LeafCalcStart]],Tasks[[#This Row],[_AlapShift]],WorkWeek,Holidays)))</f>
        <v/>
      </c>
      <c r="FH113" s="91" t="str">
        <f aca="false">IF(NOT(Tasks[[#This Row],[_IsLeaf]]=1),"",IF(Tasks[[#This Row],[_AlapShift]]=0,Tasks[[#This Row],[_LeafCalcFinish]],WORKDAY.INTL(Tasks[[#This Row],[_LeafCalcFinish]],Tasks[[#This Row],[_AlapShift]],WorkWeek,Holidays)))</f>
        <v/>
      </c>
      <c r="FI113" s="91" t="str">
        <f aca="false">IF(NOT(Tasks[[#This Row],[_IsLeaf]]=1),"",IF(Tasks[[#This Row],[_AlapShift]]=0,Tasks[[#This Row],[_LeafFcstStart]],WORKDAY.INTL(Tasks[[#This Row],[_LeafFcstStart]],Tasks[[#This Row],[_AlapShift]],WorkWeek,Holidays)))</f>
        <v/>
      </c>
      <c r="FJ113" s="91" t="str">
        <f aca="false">IF(NOT(Tasks[[#This Row],[_IsLeaf]]=1),"",IF(Tasks[[#This Row],[_AlapShift]]=0,Tasks[[#This Row],[_LeafFcstFinish]],WORKDAY.INTL(Tasks[[#This Row],[_LeafFcstFinish]],Tasks[[#This Row],[_AlapShift]],WorkWeek,Holidays)))</f>
        <v/>
      </c>
      <c r="FK113" s="91" t="str">
        <f aca="false">IF(Tasks[[#This Row],[Task Name]]="","",IF(Tasks[[#This Row],[_IsSummary]],MIN(INDEX(Tasks[_ShownCalcStart],Tasks[[#This Row],[_Row]]+1):INDEX(Tasks[_ShownCalcStart],Tasks[[#This Row],[_Row]]+Tasks[[#This Row],[_Descendants]])),Tasks[[#This Row],[_ShownCalcStart]]))</f>
        <v/>
      </c>
      <c r="FL113" s="91" t="str">
        <f aca="false">IF(Tasks[[#This Row],[Task Name]]="","",IF(Tasks[[#This Row],[_IsSummary]],MAX(INDEX(Tasks[_ShownCalcFinish],Tasks[[#This Row],[_Row]]+1):INDEX(Tasks[_ShownCalcFinish],Tasks[[#This Row],[_Row]]+Tasks[[#This Row],[_Descendants]])),Tasks[[#This Row],[_ShownCalcFinish]]))</f>
        <v/>
      </c>
      <c r="FM1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3" s="43" t="n">
        <f aca="false">IF(AND(Tasks[[#This Row],[_IsLeaf]]=1,Tasks[[#This Row],[_LeafTotalWork]]&gt;0),NETWORKDAYS.INTL(ProjectStart,Tasks[[#This Row],[_ShownFcstStart]],WorkWeek,Holidays),0)</f>
        <v>0</v>
      </c>
      <c r="FZ113" s="43" t="n">
        <f aca="false">IF(AND(Tasks[[#This Row],[_IsLeaf]]=1,Tasks[[#This Row],[_LeafTotalWork]]&gt;0),MAX(Tasks[[#This Row],[_StartWorkday]],NETWORKDAYS.INTL(ProjectStart,Tasks[[#This Row],[_ShownFcstFinish]],WorkWeek,Holidays)),0)</f>
        <v>0</v>
      </c>
      <c r="GA113" s="43" t="n">
        <f aca="false">IF(AND(Tasks[[#This Row],[_IsLeaf]]=1,Tasks[[#This Row],[_LeafTotalWork]]&gt;0),Tasks[[#This Row],[_LeafWork]]/(Tasks[[#This Row],[_FinishWorkday]]-Tasks[[#This Row],[_StartWorkday]]+1),0)</f>
        <v>0</v>
      </c>
      <c r="GB113" s="43" t="n">
        <f aca="false">Tasks[[#This Row],[_WorkPerWorkday]]*(Tasks[[#This Row],[_StartWorkday]]-1)</f>
        <v>-0</v>
      </c>
      <c r="GC113" s="43" t="n">
        <f aca="false">IF(Tasks[[#This Row],[_IsLeaf]]=1,MAX(N(Tasks[[#This Row],[_Days]]),0.1),0)</f>
        <v>0</v>
      </c>
      <c r="GD113" s="43" t="n">
        <f aca="false">Tasks[[#This Row],[_WeightDur]]*Tasks[[#This Row],[_LeafProgress]]</f>
        <v>0</v>
      </c>
      <c r="GE113" s="43" t="n">
        <f aca="false">Tasks[[#This Row],[_WeightDur]]*Tasks[[#This Row],[_PlannedPct]]</f>
        <v>0</v>
      </c>
      <c r="GF1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3" s="43" t="str">
        <f aca="false">IF(AND(Tasks[[#This Row],[_IsLeaf]]=1,N(Tasks[[#This Row],[_Days]])=0,Tasks[[#This Row],[_LeafProgress]]&lt;1),Tasks[[#This Row],[_ShownFcstFinish]]+Tasks[[#This Row],[_Row]]/100000,"")</f>
        <v/>
      </c>
      <c r="GH1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3" s="43" t="str">
        <f aca="false">IF(Tasks[[#This Row],[Task Name]]="","",LEFT(Tasks[[#This Row],[WBS]],FIND(".",Tasks[[#This Row],[WBS]]&amp;".")-1))</f>
        <v/>
      </c>
      <c r="GJ113" s="43" t="str">
        <f aca="false">IF(AND(Tasks[[#This Row],[Task Name]]&lt;&gt;"",Tasks[[#This Row],[_Level]]=1),Tasks[[#This Row],[_Row]],"")</f>
        <v/>
      </c>
      <c r="GK113" s="43" t="str">
        <f aca="false">IF(AND(Tasks[[#This Row],[_IsLeaf]]=1,N(Tasks[[#This Row],[_Days]])=0),Tasks[[#This Row],[Planned Finish]]+Tasks[[#This Row],[_Row]]/100000,"")</f>
        <v/>
      </c>
      <c r="GL113" s="43" t="str">
        <f aca="false">IF(AND(Tasks[[#This Row],[_IsLeaf]]=1,Tasks[[#This Row],[_LeafProgress]]&lt;1,OR(N(Tasks[[#This Row],[Finish Var]])&gt;0,Tasks[[#This Row],[Status]]="Late Start")),MAX(0,Tasks[[#This Row],[Finish Var]])+1-Tasks[[#This Row],[_Row]]/1000000,"")</f>
        <v/>
      </c>
      <c r="GM113" s="43" t="str">
        <f aca="false">IF(AND(Tasks[[#This Row],[_IsLeaf]]=1,N(Tasks[[#This Row],[Actual Start]])=0,Tasks[[#This Row],[_ShownFcstStart]]&gt;=StatusDate,Tasks[[#This Row],[_ShownFcstStart]]&lt;=LookaheadEnd),Tasks[[#This Row],[_ShownFcstStart]]+Tasks[[#This Row],[_Row]]/100000,"")</f>
        <v/>
      </c>
      <c r="GN113" s="43" t="str">
        <f aca="false">IF(AND(Tasks[[#This Row],[_IsLeaf]]=1,Tasks[[#This Row],[_LeafProgress]]&lt;1,Tasks[[#This Row],[_ShownFcstFinish]]&gt;=StatusDate,Tasks[[#This Row],[_ShownFcstFinish]]&lt;=LookaheadEnd),Tasks[[#This Row],[_ShownFcstFinish]]+Tasks[[#This Row],[_Row]]/100000,"")</f>
        <v/>
      </c>
      <c r="GO113" s="43" t="str">
        <f aca="false">IF(Tasks[[#This Row],[_LeafCritical]],Tasks[[#This Row],[_ShownFcstStart]]+Tasks[[#This Row],[_Row]]/100000,"")</f>
        <v/>
      </c>
      <c r="GP113" s="43" t="n">
        <f aca="false">Tasks[[#This Row],[_LeafWork]]*Tasks[[#This Row],[_LeafProgress]]</f>
        <v>0</v>
      </c>
      <c r="GQ113" s="91" t="str">
        <f aca="false">IF(AND(Tasks[[#This Row],[_IsLeaf]]=1,Tasks[[#This Row],[_LeafProgress]]&gt;=1),IF(N(Tasks[[#This Row],[Actual Finish]])&gt;0,Tasks[[#This Row],[Actual Finish]],Tasks[[#This Row],[_ShownFcstFinish]]),"")</f>
        <v/>
      </c>
      <c r="GR113" s="43" t="n">
        <f aca="false">IF(Tasks[[#This Row],[_IsLeaf]]=1,N(Tasks[[#This Row],[Story Points]]),0)</f>
        <v>0</v>
      </c>
      <c r="GS113" s="43" t="str">
        <f aca="false">""</f>
        <v/>
      </c>
      <c r="GT113" s="90" t="b">
        <f aca="false">IF(Tasks[[#This Row],[Task Name]]="",FALSE(),AND(Tasks[[#This Row],[_IsLeaf]]=1,N(Tasks[[#This Row],[_Days]])=0))</f>
        <v>0</v>
      </c>
      <c r="GU113" s="91" t="n">
        <f aca="false">IF(Tasks[[#This Row],[Task Name]]="",0,IF(AND(Tasks[[#This Row],[_IsLeaf]]=1,NOT(Tasks[[#This Row],[_IsMilestone]]),N(Tasks[[#This Row],[Progress]])&gt;0),Tasks[[#This Row],[Start]],0))</f>
        <v>0</v>
      </c>
      <c r="GV113" s="91" t="n">
        <f aca="false">IF(Tasks[[#This Row],[_DoneFrom]]=0,0,IF(Tasks[[#This Row],[Progress]]&gt;=1,Tasks[[#This Row],[Finish]],MAX(Tasks[[#This Row],[_DoneFrom]],Tasks[[#This Row],[Start]]+ROUND((Tasks[[#This Row],[Finish]]-Tasks[[#This Row],[Start]]+1)*Tasks[[#This Row],[Progress]],0)-1)))</f>
        <v>0</v>
      </c>
      <c r="GW113" s="91" t="n">
        <f aca="false">IF(Tasks[[#This Row],[Task Name]]="",0,IF(OR(NOT(Tasks[[#This Row],[_IsLeaf]]=1),Tasks[[#This Row],[_IsMilestone]],N(Tasks[[#This Row],[Progress]])&gt;=1),0,IF(Tasks[[#This Row],[_DoneTo]]&gt;0,Tasks[[#This Row],[_DoneTo]]+1,Tasks[[#This Row],[Start]])))</f>
        <v>0</v>
      </c>
      <c r="GX113" s="91" t="n">
        <f aca="false">IF(Tasks[[#This Row],[_RemFrom]]=0,0,Tasks[[#This Row],[Finish]])</f>
        <v>0</v>
      </c>
      <c r="GY113" s="90" t="b">
        <f aca="false">IF(Tasks[[#This Row],[Task Name]]="",FALSE(),OR(NOT(BaselineSet),N(Tasks[[#This Row],[Baseline Start]])&gt;0))</f>
        <v>0</v>
      </c>
      <c r="GZ11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3" s="92" t="str">
        <f aca="false">IF(Tasks[[#This Row],[_IsLeaf]]=1,Tasks[[#This Row],[_Row]],"")</f>
        <v/>
      </c>
      <c r="HD113" s="92" t="str">
        <f aca="false">IFERROR(INDEX(Tasks[UID],SMALL(Tasks[_PickKey],Tasks[[#This Row],[_Row]]))&amp;" "&amp;INDEX(Tasks[Task Name],SMALL(Tasks[_PickKey],Tasks[[#This Row],[_Row]])),"")</f>
        <v/>
      </c>
      <c r="HE113" s="43" t="str">
        <f aca="false">IF(Tasks[[#This Row],[Task Name]]="","",IF(Tasks[[#This Row],[_IsSummary]],NETWORKDAYS.INTL(Tasks[[#This Row],[Start]],Tasks[[#This Row],[Finish]],WorkWeek,Holidays),N(Tasks[[#This Row],[_Days]])))</f>
        <v/>
      </c>
      <c r="HF113" s="43" t="n">
        <f aca="false">IF(Tasks[[#This Row],[Expected]]="",0,((Tasks[[#This Row],[Pessimistic]]-Tasks[[#This Row],[Optimistic]])/6)^2)</f>
        <v>0</v>
      </c>
      <c r="HG113" s="43" t="n">
        <f aca="false">IF(Tasks[[#This Row],[Expected]]="",0,Tasks[[#This Row],[Expected]]-N(Tasks[[#This Row],[_Days]]))</f>
        <v>0</v>
      </c>
    </row>
    <row r="114" customFormat="false" ht="15" hidden="false" customHeight="false" outlineLevel="0" collapsed="false">
      <c r="A114" s="21" t="str">
        <f aca="false">IF(Tasks[[#This Row],[Task Name]]="","",COUNTA(Tasks[[#Headers],[Task Name]]:Tasks[[#This Row],[Task Name]])-1)</f>
        <v/>
      </c>
      <c r="B114" s="22" t="n">
        <v>122</v>
      </c>
      <c r="C114" s="22"/>
      <c r="D114" s="23"/>
      <c r="E114" s="22"/>
      <c r="F114" s="23"/>
      <c r="G114" s="22"/>
      <c r="H114" s="22"/>
      <c r="I114" s="23"/>
      <c r="J114" s="22"/>
      <c r="K114" s="22"/>
      <c r="L114" s="23"/>
      <c r="M114" s="22"/>
      <c r="N114" s="22"/>
      <c r="O114" s="23"/>
      <c r="P114" s="22"/>
      <c r="Q114" s="22"/>
      <c r="R114" s="23"/>
      <c r="S114" s="23"/>
      <c r="T114" s="84"/>
      <c r="U114" s="23"/>
      <c r="V114" s="84"/>
      <c r="W114" s="23"/>
      <c r="X114" s="84"/>
      <c r="Y114" s="23"/>
      <c r="Z114" s="84"/>
      <c r="AA114" s="23"/>
      <c r="AB114" s="23"/>
      <c r="AC114" s="7"/>
      <c r="AD114" s="7"/>
      <c r="AE114" s="63" t="str">
        <f aca="false">IF(Tasks[[#This Row],[Task Name]]="","",IF(Tasks[[#This Row],[_IsSummary]],MIN(INDEX(Tasks[_ShownFcstStart],Tasks[[#This Row],[_Row]]+1):INDEX(Tasks[_ShownFcstStart],Tasks[[#This Row],[_Row]]+Tasks[[#This Row],[_Descendants]])),Tasks[[#This Row],[_ShownFcstStart]]))</f>
        <v/>
      </c>
      <c r="AF114" s="63" t="str">
        <f aca="false">IF(Tasks[[#This Row],[Task Name]]="","",IF(Tasks[[#This Row],[_IsSummary]],MAX(INDEX(Tasks[_ShownFcstFinish],Tasks[[#This Row],[_Row]]+1):INDEX(Tasks[_ShownFcstFinish],Tasks[[#This Row],[_Row]]+Tasks[[#This Row],[_Descendants]])),Tasks[[#This Row],[_ShownFcstFinish]]))</f>
        <v/>
      </c>
      <c r="AG114" s="21" t="str">
        <f aca="false">""</f>
        <v/>
      </c>
      <c r="AH114" s="23"/>
      <c r="AI1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4" s="7"/>
      <c r="AK114" s="22"/>
      <c r="AL114" s="23"/>
      <c r="AM114" s="7"/>
      <c r="AN114" s="47" t="str">
        <f aca="false">IF(Tasks[[#This Row],[Task Name]]="","",IF(Tasks[[#This Row],[Finish]]&gt;=Tasks[[#This Row],[Planned Finish]],NETWORKDAYS.INTL(Tasks[[#This Row],[Planned Finish]],Tasks[[#This Row],[Finish]],WorkWeek,Holidays)-1,1-NETWORKDAYS.INTL(Tasks[[#This Row],[Finish]],Tasks[[#This Row],[Planned Finish]],WorkWeek,Holidays)))</f>
        <v/>
      </c>
      <c r="AO114" s="21" t="str">
        <f aca="false">IF(Tasks[[#This Row],[Task Name]]="","",IF(Tasks[[#This Row],[Progress]]&gt;=1,"Complete",IF(OR(N(Tasks[[#This Row],[Actual Start]])&gt;0,Tasks[[#This Row],[Progress]]&gt;0),IF(Tasks[[#This Row],[Finish Var]]&gt;0,"Behind","In Progress"),IF(Tasks[[#This Row],[Planned Start]]&lt;StatusDate,"Late Start","Not Started"))))</f>
        <v/>
      </c>
      <c r="AP114" s="21" t="str">
        <f aca="false">IF(Tasks[[#This Row],[Task Name]]="","",IF(IF(Tasks[[#This Row],[_IsSummary]],COUNTIF(INDEX(Tasks[_LeafCritical],Tasks[[#This Row],[_Row]]+1):INDEX(Tasks[_LeafCritical],Tasks[[#This Row],[_Row]]+Tasks[[#This Row],[_Descendants]]),TRUE())&gt;0,Tasks[[#This Row],[_LeafCritical]]),"Yes",""))</f>
        <v/>
      </c>
      <c r="AQ114" s="63" t="str">
        <f aca="false">IF(Tasks[[#This Row],[Task Name]]="","",IF(N(Tasks[[#This Row],[Baseline Start]])&gt;0,Tasks[[#This Row],[Baseline Start]],Tasks[[#This Row],[_CalcStart]]))</f>
        <v/>
      </c>
      <c r="AR114" s="63" t="str">
        <f aca="false">IF(Tasks[[#This Row],[Task Name]]="","",IF(N(Tasks[[#This Row],[Baseline Finish]])&gt;0,Tasks[[#This Row],[Baseline Finish]],Tasks[[#This Row],[_CalcFinish]]))</f>
        <v/>
      </c>
      <c r="AS114" s="47" t="str">
        <f aca="false">IF(Tasks[[#This Row],[Task Name]]="","",IF(Tasks[[#This Row],[Start]]&gt;=Tasks[[#This Row],[Planned Start]],NETWORKDAYS.INTL(Tasks[[#This Row],[Planned Start]],Tasks[[#This Row],[Start]],WorkWeek,Holidays)-1,1-NETWORKDAYS.INTL(Tasks[[#This Row],[Start]],Tasks[[#This Row],[Planned Start]],WorkWeek,Holidays)))</f>
        <v/>
      </c>
      <c r="AT114" s="63" t="str">
        <f aca="false">IF(Tasks[[#This Row],[Task Name]]="","",IF(Tasks[[#This Row],[_IsSummary]],MIN(INDEX(Tasks[_LeafLateStart],Tasks[[#This Row],[_Row]]+1):INDEX(Tasks[_LeafLateStart],Tasks[[#This Row],[_Row]]+Tasks[[#This Row],[_Descendants]])),Tasks[[#This Row],[_LeafLateStart]]))</f>
        <v/>
      </c>
      <c r="AU114" s="63" t="str">
        <f aca="false">IF(Tasks[[#This Row],[Task Name]]="","",IF(Tasks[[#This Row],[_IsSummary]],MAX(INDEX(Tasks[_LeafLateFinish],Tasks[[#This Row],[_Row]]+1):INDEX(Tasks[_LeafLateFinish],Tasks[[#This Row],[_Row]]+Tasks[[#This Row],[_Descendants]])),Tasks[[#This Row],[_LeafLateFinish]]))</f>
        <v/>
      </c>
      <c r="AV114" s="47" t="str">
        <f aca="false">IF(Tasks[[#This Row],[Task Name]]="","",IF(Tasks[[#This Row],[_IsSummary]],MIN(INDEX(Tasks[_LeafTotalSlack],Tasks[[#This Row],[_Row]]+1):INDEX(Tasks[_LeafTotalSlack],Tasks[[#This Row],[_Row]]+Tasks[[#This Row],[_Descendants]])),Tasks[[#This Row],[_LeafTotalSlack]]))</f>
        <v/>
      </c>
      <c r="AW1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5"/>
      <c r="BA11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t="str">
        <f aca="false">IF(Tasks[[#This Row],[Task Name]]="","",IF(Tasks[[#This Row],[_Level]]&lt;=OutlineShowLevel,"Yes","No"))</f>
        <v/>
      </c>
      <c r="BE114" s="86" t="str">
        <f aca="false">IF(Tasks[[#This Row],[Task Name]]="","",IF(Tasks[[#This Row],[_IsSummary]],SUM(INDEX(Tasks[_LeafTotalWork],Tasks[[#This Row],[_Row]]+1):INDEX(Tasks[_LeafTotalWork],Tasks[[#This Row],[_Row]]+Tasks[[#This Row],[_Descendants]])),Tasks[[#This Row],[_LeafTotalWork]]))</f>
        <v/>
      </c>
      <c r="BF114" s="23"/>
      <c r="BG1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t="str">
        <f aca="false">""</f>
        <v/>
      </c>
      <c r="BI114" s="87"/>
      <c r="BJ114" s="22"/>
      <c r="BK114" s="47" t="str">
        <f aca="false">IF(OR(Tasks[[#This Row],[Task Name]]="",Tasks[[#This Row],[Baseline Duration]]=""),"",Tasks[[#This Row],[_SpanDays]]-N(Tasks[[#This Row],[Baseline Duration]]))</f>
        <v/>
      </c>
      <c r="BL114" s="86" t="str">
        <f aca="false">IF(OR(Tasks[[#This Row],[Task Name]]="",Tasks[[#This Row],[Baseline Work]]=""),"",Tasks[[#This Row],[Work]]-N(Tasks[[#This Row],[Baseline Work]]))</f>
        <v/>
      </c>
      <c r="BM114" s="63" t="str">
        <f aca="false">IF(Tasks[[#This Row],[Task Name]]="","",IF(OR(TakeBaseline="Yes",N(Tasks[[#This Row],[Baseline Start]])=0),Tasks[[#This Row],[Start]],Tasks[[#This Row],[Baseline Start]]))</f>
        <v/>
      </c>
      <c r="BN114" s="63" t="str">
        <f aca="false">IF(Tasks[[#This Row],[Task Name]]="","",IF(OR(TakeBaseline="Yes",N(Tasks[[#This Row],[Baseline Finish]])=0),Tasks[[#This Row],[Finish]],Tasks[[#This Row],[Baseline Finish]]))</f>
        <v/>
      </c>
      <c r="BO114" s="21" t="str">
        <f aca="false">IF(Tasks[[#This Row],[Task Name]]="","",IF(OR(TakeBaseline="Yes",N(Tasks[[#This Row],[Baseline Duration]])=0),Tasks[[#This Row],[_SpanDays]],Tasks[[#This Row],[Baseline Duration]]))</f>
        <v/>
      </c>
      <c r="BP114" s="86" t="str">
        <f aca="false">IF(Tasks[[#This Row],[Task Name]]="","",IF(OR(TakeBaseline="Yes",N(Tasks[[#This Row],[Baseline Work]])=0),Tasks[[#This Row],[Work]],Tasks[[#This Row],[Baseline Work]]))</f>
        <v/>
      </c>
      <c r="BQ114" s="7"/>
      <c r="BR114" s="7"/>
      <c r="BS114" s="22"/>
      <c r="BT114" s="88"/>
      <c r="BU114" s="23"/>
      <c r="BV114" s="23"/>
      <c r="BW114" s="23"/>
      <c r="BX114" s="89" t="str">
        <f aca="false">IF(AND(Tasks[[#This Row],[_IsLeaf]]=1,ISNUMBER(Tasks[[#This Row],[Optimistic]]),ISNUMBER(Tasks[[#This Row],[Pessimistic]])),ROUND((Tasks[[#This Row],[Optimistic]]+4*N(Tasks[[#This Row],[_Days]])+Tasks[[#This Row],[Pessimistic]])/6,1),"")</f>
        <v/>
      </c>
      <c r="BY114" s="87"/>
      <c r="BZ114" s="87"/>
      <c r="CA114" s="22"/>
      <c r="CB114" s="43" t="str">
        <f aca="false">IF(Tasks[[#This Row],[Task Name]]="","",MAX(1,N(Tasks[[#This Row],[Level]])))</f>
        <v/>
      </c>
      <c r="CC114" s="43" t="n">
        <f aca="false">ROW()-ROW(Tasks[[#Headers],[ID]])</f>
        <v>109</v>
      </c>
      <c r="CD114" s="43" t="n">
        <f aca="false">IF(OR(Tasks[[#This Row],[Task Name]]="",Tasks[[#This Row],[_Level]]&lt;=1),0,IFERROR(LOOKUP(2,1/(Tasks[[#Headers],[_Level]]:Tasks[[#This Row],[_Level]]=Tasks[[#This Row],[_Level]]-1),ROW(Tasks[[#Headers],[_Level]]:Tasks[[#This Row],[_Level]])),0))</f>
        <v>0</v>
      </c>
      <c r="CE114" s="43" t="n">
        <f aca="false">IFERROR(N(INDEX(Tasks[_Level],Tasks[[#This Row],[_Row]]+1)),0)</f>
        <v>0</v>
      </c>
      <c r="CF114" s="90" t="b">
        <f aca="false">AND(Tasks[[#This Row],[Task Name]]&lt;&gt;"",Tasks[[#This Row],[_NextLevel]]&gt;Tasks[[#This Row],[_Level]])</f>
        <v>0</v>
      </c>
      <c r="CG114" s="43" t="n">
        <f aca="false">IF(Tasks[[#This Row],[_IsSummary]],COUNTIF(Tasks[WBS],Tasks[[#This Row],[WBS]]&amp;".*"),0)</f>
        <v>0</v>
      </c>
      <c r="CH114" s="43" t="n">
        <f aca="false">IF(AND(Tasks[[#This Row],[Task Name]]&lt;&gt;"",NOT(Tasks[[#This Row],[_IsSummary]])),1,0)</f>
        <v>0</v>
      </c>
      <c r="CI114" s="43" t="n">
        <f aca="false">IF(N(Tasks[[#This Row],[_Pred1UID]])=0,0,IFERROR(MATCH(Tasks[[#This Row],[_Pred1UID]],Tasks[UID],0),-1))</f>
        <v>0</v>
      </c>
      <c r="CJ114" s="43" t="n">
        <f aca="false">IF(N(Tasks[[#This Row],[_Pred2UID]])=0,0,IFERROR(MATCH(Tasks[[#This Row],[_Pred2UID]],Tasks[UID],0),-1))</f>
        <v>0</v>
      </c>
      <c r="CK114" s="43" t="n">
        <f aca="false">IF(N(Tasks[[#This Row],[_Pred3UID]])=0,0,IFERROR(MATCH(Tasks[[#This Row],[_Pred3UID]],Tasks[UID],0),-1))</f>
        <v>0</v>
      </c>
      <c r="CL114" s="43" t="n">
        <f aca="false">IF(N(Tasks[[#This Row],[_Pred4UID]])=0,0,IFERROR(MATCH(Tasks[[#This Row],[_Pred4UID]],Tasks[UID],0),-1))</f>
        <v>0</v>
      </c>
      <c r="CM11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4" s="91" t="n">
        <f aca="false">IF(OR(Tasks[[#This Row],[_ConstraintCode]]=2,Tasks[[#This Row],[_ConstraintCode]]=3,Tasks[[#This Row],[_ConstraintCode]]=4,Tasks[[#This Row],[_ConstraintCode]]=6),Tasks[[#This Row],[_ConstraintStart]],0)</f>
        <v>0</v>
      </c>
      <c r="CP114" s="91" t="n">
        <f aca="false">IF(OR(Tasks[[#This Row],[_ConstraintCode]]=2,Tasks[[#This Row],[_ConstraintCode]]=3,Tasks[[#This Row],[_ConstraintCode]]=5,Tasks[[#This Row],[_ConstraintCode]]=7),Tasks[[#This Row],[_ConstraintStart]],2958465)</f>
        <v>2958465</v>
      </c>
      <c r="CQ11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4" s="91" t="str">
        <f aca="false">IF(NOT(Tasks[[#This Row],[_IsLeaf]]=1),"",IF(N(Tasks[[#This Row],[_Days]])&lt;=0,Tasks[[#This Row],[_LeafCalcStart]],WORKDAY.INTL(Tasks[[#This Row],[_LeafCalcStart]],Tasks[[#This Row],[_Days]]-1,WorkWeek,Holidays)))</f>
        <v/>
      </c>
      <c r="CS11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4" s="43" t="str">
        <f aca="false">IF(Tasks[[#This Row],[_Predecessors]]="","",TRIM(MID(SUBSTITUTE(SUBSTITUTE(SUBSTITUTE(UPPER(Tasks[[#This Row],[_Predecessors]]),";",",")," ",""),",",REPT(" ",99)),1,99)))</f>
        <v/>
      </c>
      <c r="CV114" s="43" t="str">
        <f aca="false">IF(Tasks[[#This Row],[_Pred1Text]]="","",IFERROR(VALUE(LEFT(Tasks[[#This Row],[_Pred1Text]],MIN(FIND("F",Tasks[[#This Row],[_Pred1Text]]&amp;"F"),FIND("S",Tasks[[#This Row],[_Pred1Text]]&amp;"S"),FIND("+",Tasks[[#This Row],[_Pred1Text]]&amp;"+"),FIND("-",Tasks[[#This Row],[_Pred1Text]]&amp;"-"))-1)),""))</f>
        <v/>
      </c>
      <c r="CW1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4" s="43" t="str">
        <f aca="false">IF(Tasks[[#This Row],[_Pred1Text]]="","",TRIM(MID(SUBSTITUTE(SUBSTITUTE(SUBSTITUTE(UPPER(Tasks[[#This Row],[_Predecessors]]),";",",")," ",""),",",REPT(" ",99)),100,99)))</f>
        <v/>
      </c>
      <c r="CZ114" s="43" t="str">
        <f aca="false">IF(Tasks[[#This Row],[_Pred2Text]]="","",IFERROR(VALUE(LEFT(Tasks[[#This Row],[_Pred2Text]],MIN(FIND("F",Tasks[[#This Row],[_Pred2Text]]&amp;"F"),FIND("S",Tasks[[#This Row],[_Pred2Text]]&amp;"S"),FIND("+",Tasks[[#This Row],[_Pred2Text]]&amp;"+"),FIND("-",Tasks[[#This Row],[_Pred2Text]]&amp;"-"))-1)),""))</f>
        <v/>
      </c>
      <c r="DA1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4" s="43" t="str">
        <f aca="false">IF(Tasks[[#This Row],[_Pred2Text]]="","",TRIM(MID(SUBSTITUTE(SUBSTITUTE(SUBSTITUTE(UPPER(Tasks[[#This Row],[_Predecessors]]),";",",")," ",""),",",REPT(" ",99)),199,99)))</f>
        <v/>
      </c>
      <c r="DD114" s="43" t="str">
        <f aca="false">IF(Tasks[[#This Row],[_Pred3Text]]="","",IFERROR(VALUE(LEFT(Tasks[[#This Row],[_Pred3Text]],MIN(FIND("F",Tasks[[#This Row],[_Pred3Text]]&amp;"F"),FIND("S",Tasks[[#This Row],[_Pred3Text]]&amp;"S"),FIND("+",Tasks[[#This Row],[_Pred3Text]]&amp;"+"),FIND("-",Tasks[[#This Row],[_Pred3Text]]&amp;"-"))-1)),""))</f>
        <v/>
      </c>
      <c r="DE1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4" s="43" t="str">
        <f aca="false">IF(Tasks[[#This Row],[_Pred3Text]]="","",TRIM(MID(SUBSTITUTE(SUBSTITUTE(SUBSTITUTE(UPPER(Tasks[[#This Row],[_Predecessors]]),";",",")," ",""),",",REPT(" ",99)),298,99)))</f>
        <v/>
      </c>
      <c r="DH114" s="43" t="str">
        <f aca="false">IF(Tasks[[#This Row],[_Pred4Text]]="","",IFERROR(VALUE(LEFT(Tasks[[#This Row],[_Pred4Text]],MIN(FIND("F",Tasks[[#This Row],[_Pred4Text]]&amp;"F"),FIND("S",Tasks[[#This Row],[_Pred4Text]]&amp;"S"),FIND("+",Tasks[[#This Row],[_Pred4Text]]&amp;"+"),FIND("-",Tasks[[#This Row],[_Pred4Text]]&amp;"-"))-1)),""))</f>
        <v/>
      </c>
      <c r="DI1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4" s="43" t="str">
        <f aca="false">IF(OR(Tasks[[#This Row],[Task Name]]="",Tasks[[#This Row],[_Resources]]=""),"",TRIM(MID(SUBSTITUTE(Tasks[[#This Row],[_Resources]],",",REPT(" ",99)),1,99)))</f>
        <v/>
      </c>
      <c r="DL114" s="43" t="str">
        <f aca="false">IF(Tasks[[#This Row],[_Res1Text]]="","",TRIM(MID(SUBSTITUTE(Tasks[[#This Row],[_Resources]],",",REPT(" ",99)),100,99)))</f>
        <v/>
      </c>
      <c r="DM114" s="43" t="str">
        <f aca="false">IF(Tasks[[#This Row],[_Res2Text]]="","",TRIM(MID(SUBSTITUTE(Tasks[[#This Row],[_Resources]],",",REPT(" ",99)),199,99)))</f>
        <v/>
      </c>
      <c r="DN114" s="43" t="str">
        <f aca="false">IF(Tasks[[#This Row],[_Res3Text]]="","",TRIM(MID(SUBSTITUTE(Tasks[[#This Row],[_Resources]],",",REPT(" ",99)),298,99)))</f>
        <v/>
      </c>
      <c r="DO114" s="43" t="n">
        <f aca="false">IF(Tasks[[#This Row],[_Res1Text]]="",0,IFERROR(MATCH(TRIM(LEFT(Tasks[[#This Row],[_Res1Text]],FIND("[",Tasks[[#This Row],[_Res1Text]]&amp;"[")-1)),res_Name,0),IFERROR(MATCH(TRIM(LEFT(Tasks[[#This Row],[_Res1Text]],FIND("[",Tasks[[#This Row],[_Res1Text]]&amp;"[")-1)),res_Initials,0),0)))</f>
        <v>0</v>
      </c>
      <c r="DP114" s="43" t="n">
        <f aca="false">IF(Tasks[[#This Row],[_Res2Text]]="",0,IFERROR(MATCH(TRIM(LEFT(Tasks[[#This Row],[_Res2Text]],FIND("[",Tasks[[#This Row],[_Res2Text]]&amp;"[")-1)),res_Name,0),IFERROR(MATCH(TRIM(LEFT(Tasks[[#This Row],[_Res2Text]],FIND("[",Tasks[[#This Row],[_Res2Text]]&amp;"[")-1)),res_Initials,0),0)))</f>
        <v>0</v>
      </c>
      <c r="DQ114" s="43" t="n">
        <f aca="false">IF(Tasks[[#This Row],[_Res3Text]]="",0,IFERROR(MATCH(TRIM(LEFT(Tasks[[#This Row],[_Res3Text]],FIND("[",Tasks[[#This Row],[_Res3Text]]&amp;"[")-1)),res_Name,0),IFERROR(MATCH(TRIM(LEFT(Tasks[[#This Row],[_Res3Text]],FIND("[",Tasks[[#This Row],[_Res3Text]]&amp;"[")-1)),res_Initials,0),0)))</f>
        <v>0</v>
      </c>
      <c r="DR114" s="43" t="n">
        <f aca="false">IF(Tasks[[#This Row],[_Res4Text]]="",0,IFERROR(MATCH(TRIM(LEFT(Tasks[[#This Row],[_Res4Text]],FIND("[",Tasks[[#This Row],[_Res4Text]]&amp;"[")-1)),res_Name,0),IFERROR(MATCH(TRIM(LEFT(Tasks[[#This Row],[_Res4Text]],FIND("[",Tasks[[#This Row],[_Res4Text]]&amp;"[")-1)),res_Initials,0),0)))</f>
        <v>0</v>
      </c>
      <c r="DS114" s="43" t="str">
        <f aca="false">IF(Tasks[[#This Row],[_Res1Text]]="","",IF(Tasks[[#This Row],[_Res1Row]]&gt;0,INDEX(res_Name,Tasks[[#This Row],[_Res1Row]]),TRIM(LEFT(Tasks[[#This Row],[_Res1Text]],FIND("[",Tasks[[#This Row],[_Res1Text]]&amp;"[")-1))))</f>
        <v/>
      </c>
      <c r="DT1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4" s="43" t="n">
        <f aca="false">IF(NOT(Tasks[[#This Row],[_IsLeaf]]=1),0,(Tasks[[#This Row],[_Resource1]]&lt;&gt;"")+(Tasks[[#This Row],[_Res2]]&lt;&gt;"")+(Tasks[[#This Row],[_Res3]]&lt;&gt;"")+(Tasks[[#This Row],[_Res4]]&lt;&gt;""))</f>
        <v>0</v>
      </c>
      <c r="DV114" s="43" t="str">
        <f aca="false">IF(Tasks[[#This Row],[_Res2Text]]="","",IF(Tasks[[#This Row],[_Res2Row]]&gt;0,INDEX(res_Name,Tasks[[#This Row],[_Res2Row]]),TRIM(LEFT(Tasks[[#This Row],[_Res2Text]],FIND("[",Tasks[[#This Row],[_Res2Text]]&amp;"[")-1))))</f>
        <v/>
      </c>
      <c r="DW1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4" s="43" t="n">
        <f aca="false">IF(OR(NOT(Tasks[[#This Row],[_IsLeaf]]=1),Tasks[[#This Row],[_Res2Row]]=0),0,N(Tasks[[#This Row],[_Days]])*HoursPerDay*IF(Tasks[[#This Row],[_Res2Units]]="",DefaultUnits,Tasks[[#This Row],[_Res2Units]]))</f>
        <v>0</v>
      </c>
      <c r="DY114" s="43" t="n">
        <f aca="false">IF(AND(AND(Tasks[[#This Row],[_IsLeaf]]=1,Tasks[[#This Row],[_LeafTotalWork]]&gt;0),Tasks[[#This Row],[_Res2Work]]&gt;0),Tasks[[#This Row],[_Res2Work]]/(Tasks[[#This Row],[_FinishWorkday]]-Tasks[[#This Row],[_StartWorkday]]+1),0)</f>
        <v>0</v>
      </c>
      <c r="DZ114" s="43" t="n">
        <f aca="false">Tasks[[#This Row],[_Res2WorkPerWD]]*MAX(0,Tasks[[#This Row],[_StartWorkday]]-1)</f>
        <v>0</v>
      </c>
      <c r="EA114" s="43" t="n">
        <f aca="false">Tasks[[#This Row],[_Res2Work]]*Tasks[[#This Row],[_LeafProgress]]</f>
        <v>0</v>
      </c>
      <c r="EB114" s="43" t="str">
        <f aca="false">IF(Tasks[[#This Row],[_Res3Text]]="","",IF(Tasks[[#This Row],[_Res3Row]]&gt;0,INDEX(res_Name,Tasks[[#This Row],[_Res3Row]]),TRIM(LEFT(Tasks[[#This Row],[_Res3Text]],FIND("[",Tasks[[#This Row],[_Res3Text]]&amp;"[")-1))))</f>
        <v/>
      </c>
      <c r="EC1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4" s="43" t="n">
        <f aca="false">IF(OR(NOT(Tasks[[#This Row],[_IsLeaf]]=1),Tasks[[#This Row],[_Res3Row]]=0),0,N(Tasks[[#This Row],[_Days]])*HoursPerDay*IF(Tasks[[#This Row],[_Res3Units]]="",DefaultUnits,Tasks[[#This Row],[_Res3Units]]))</f>
        <v>0</v>
      </c>
      <c r="EE114" s="43" t="n">
        <f aca="false">IF(AND(AND(Tasks[[#This Row],[_IsLeaf]]=1,Tasks[[#This Row],[_LeafTotalWork]]&gt;0),Tasks[[#This Row],[_Res3Work]]&gt;0),Tasks[[#This Row],[_Res3Work]]/(Tasks[[#This Row],[_FinishWorkday]]-Tasks[[#This Row],[_StartWorkday]]+1),0)</f>
        <v>0</v>
      </c>
      <c r="EF114" s="43" t="n">
        <f aca="false">Tasks[[#This Row],[_Res3WorkPerWD]]*MAX(0,Tasks[[#This Row],[_StartWorkday]]-1)</f>
        <v>0</v>
      </c>
      <c r="EG114" s="43" t="n">
        <f aca="false">Tasks[[#This Row],[_Res3Work]]*Tasks[[#This Row],[_LeafProgress]]</f>
        <v>0</v>
      </c>
      <c r="EH114" s="43" t="str">
        <f aca="false">IF(Tasks[[#This Row],[_Res4Text]]="","",IF(Tasks[[#This Row],[_Res4Row]]&gt;0,INDEX(res_Name,Tasks[[#This Row],[_Res4Row]]),TRIM(LEFT(Tasks[[#This Row],[_Res4Text]],FIND("[",Tasks[[#This Row],[_Res4Text]]&amp;"[")-1))))</f>
        <v/>
      </c>
      <c r="EI1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4" s="43" t="n">
        <f aca="false">IF(OR(NOT(Tasks[[#This Row],[_IsLeaf]]=1),Tasks[[#This Row],[_Res4Row]]=0),0,N(Tasks[[#This Row],[_Days]])*HoursPerDay*IF(Tasks[[#This Row],[_Res4Units]]="",DefaultUnits,Tasks[[#This Row],[_Res4Units]]))</f>
        <v>0</v>
      </c>
      <c r="EK114" s="43" t="n">
        <f aca="false">IF(AND(AND(Tasks[[#This Row],[_IsLeaf]]=1,Tasks[[#This Row],[_LeafTotalWork]]&gt;0),Tasks[[#This Row],[_Res4Work]]&gt;0),Tasks[[#This Row],[_Res4Work]]/(Tasks[[#This Row],[_FinishWorkday]]-Tasks[[#This Row],[_StartWorkday]]+1),0)</f>
        <v>0</v>
      </c>
      <c r="EL114" s="43" t="n">
        <f aca="false">Tasks[[#This Row],[_Res4WorkPerWD]]*MAX(0,Tasks[[#This Row],[_StartWorkday]]-1)</f>
        <v>0</v>
      </c>
      <c r="EM114" s="43" t="n">
        <f aca="false">Tasks[[#This Row],[_Res4Work]]*Tasks[[#This Row],[_LeafProgress]]</f>
        <v>0</v>
      </c>
      <c r="EN114" s="43" t="n">
        <f aca="false">IF(ISNUMBER(Tasks[[#This Row],[% Complete]]),Tasks[[#This Row],[% Complete]],IF(Tasks[[#This Row],[Stage]]="",0,IFERROR(INDEX(stg_Pct,MATCH(Tasks[[#This Row],[Stage]],stg_Name,0)),0)))</f>
        <v>0</v>
      </c>
      <c r="EO114" s="43" t="n">
        <f aca="false">IF(NOT(Tasks[[#This Row],[_IsLeaf]]=1),0,IF(N(Tasks[[#This Row],[Actual Finish]])&gt;0,1,MIN(1,Tasks[[#This Row],[_Pct]])))</f>
        <v>0</v>
      </c>
      <c r="EP114" s="43" t="n">
        <f aca="false">IF(OR(NOT(Tasks[[#This Row],[_IsLeaf]]=1),Tasks[[#This Row],[_Res1Row]]=0),0,N(Tasks[[#This Row],[_Days]])*HoursPerDay*IF(Tasks[[#This Row],[_Units1]]="",DefaultUnits,Tasks[[#This Row],[_Units1]]))</f>
        <v>0</v>
      </c>
      <c r="EQ114" s="43" t="n">
        <f aca="false">Tasks[[#This Row],[_LeafWork]]+Tasks[[#This Row],[_Res2Work]]+Tasks[[#This Row],[_Res3Work]]+Tasks[[#This Row],[_Res4Work]]</f>
        <v>0</v>
      </c>
      <c r="ER11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4" s="43" t="n">
        <f aca="false">IF(NOT(Tasks[[#This Row],[_IsLeaf]]=1),0,MAX(_xlfn.MAXIFS(Tasks[_Row],Tasks[_Pred1UID],Tasks[[#This Row],[UID]]),_xlfn.MAXIFS(Tasks[_Row],Tasks[_Pred2UID],Tasks[[#This Row],[UID]]),_xlfn.MAXIFS(Tasks[_Row],Tasks[_Pred3UID],Tasks[[#This Row],[UID]]),_xlfn.MAXIFS(Tasks[_Row],Tasks[_Pred4UID],Tasks[[#This Row],[UID]])))</f>
        <v>0</v>
      </c>
      <c r="FA11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4" s="91" t="str">
        <f aca="false">IF(NOT(Tasks[[#This Row],[_IsLeaf]]=1),"",IF(N(Tasks[[#This Row],[_Days]])&lt;=0,Tasks[[#This Row],[_LeafLateFinish]],WORKDAY.INTL(Tasks[[#This Row],[_LeafLateFinish]],-(Tasks[[#This Row],[_Days]]-1),WorkWeek,Holidays)))</f>
        <v/>
      </c>
      <c r="FD11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4" s="90" t="b">
        <f aca="false">AND(Tasks[[#This Row],[_IsLeaf]]=1,Tasks[[#This Row],[_LeafProgress]]&lt;1,N(Tasks[[#This Row],[_LeafTotalSlack]])&lt;=CriticalSlackDays)</f>
        <v>0</v>
      </c>
      <c r="FF114" s="43" t="n">
        <f aca="false">IF(AND(Tasks[[#This Row],[_IsLeaf]]=1,Tasks[[#This Row],[_ConstraintCode]]=1,Tasks[[#This Row],[Mode]]&lt;&gt;"Manual",N(Tasks[[#This Row],[Actual Start]])=0),MAX(0,N(Tasks[[#This Row],[Free Slack]])),0)</f>
        <v>0</v>
      </c>
      <c r="FG114" s="91" t="str">
        <f aca="false">IF(NOT(Tasks[[#This Row],[_IsLeaf]]=1),"",IF(Tasks[[#This Row],[_AlapShift]]=0,Tasks[[#This Row],[_LeafCalcStart]],WORKDAY.INTL(Tasks[[#This Row],[_LeafCalcStart]],Tasks[[#This Row],[_AlapShift]],WorkWeek,Holidays)))</f>
        <v/>
      </c>
      <c r="FH114" s="91" t="str">
        <f aca="false">IF(NOT(Tasks[[#This Row],[_IsLeaf]]=1),"",IF(Tasks[[#This Row],[_AlapShift]]=0,Tasks[[#This Row],[_LeafCalcFinish]],WORKDAY.INTL(Tasks[[#This Row],[_LeafCalcFinish]],Tasks[[#This Row],[_AlapShift]],WorkWeek,Holidays)))</f>
        <v/>
      </c>
      <c r="FI114" s="91" t="str">
        <f aca="false">IF(NOT(Tasks[[#This Row],[_IsLeaf]]=1),"",IF(Tasks[[#This Row],[_AlapShift]]=0,Tasks[[#This Row],[_LeafFcstStart]],WORKDAY.INTL(Tasks[[#This Row],[_LeafFcstStart]],Tasks[[#This Row],[_AlapShift]],WorkWeek,Holidays)))</f>
        <v/>
      </c>
      <c r="FJ114" s="91" t="str">
        <f aca="false">IF(NOT(Tasks[[#This Row],[_IsLeaf]]=1),"",IF(Tasks[[#This Row],[_AlapShift]]=0,Tasks[[#This Row],[_LeafFcstFinish]],WORKDAY.INTL(Tasks[[#This Row],[_LeafFcstFinish]],Tasks[[#This Row],[_AlapShift]],WorkWeek,Holidays)))</f>
        <v/>
      </c>
      <c r="FK114" s="91" t="str">
        <f aca="false">IF(Tasks[[#This Row],[Task Name]]="","",IF(Tasks[[#This Row],[_IsSummary]],MIN(INDEX(Tasks[_ShownCalcStart],Tasks[[#This Row],[_Row]]+1):INDEX(Tasks[_ShownCalcStart],Tasks[[#This Row],[_Row]]+Tasks[[#This Row],[_Descendants]])),Tasks[[#This Row],[_ShownCalcStart]]))</f>
        <v/>
      </c>
      <c r="FL114" s="91" t="str">
        <f aca="false">IF(Tasks[[#This Row],[Task Name]]="","",IF(Tasks[[#This Row],[_IsSummary]],MAX(INDEX(Tasks[_ShownCalcFinish],Tasks[[#This Row],[_Row]]+1):INDEX(Tasks[_ShownCalcFinish],Tasks[[#This Row],[_Row]]+Tasks[[#This Row],[_Descendants]])),Tasks[[#This Row],[_ShownCalcFinish]]))</f>
        <v/>
      </c>
      <c r="FM1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4" s="43" t="n">
        <f aca="false">IF(AND(Tasks[[#This Row],[_IsLeaf]]=1,Tasks[[#This Row],[_LeafTotalWork]]&gt;0),NETWORKDAYS.INTL(ProjectStart,Tasks[[#This Row],[_ShownFcstStart]],WorkWeek,Holidays),0)</f>
        <v>0</v>
      </c>
      <c r="FZ114" s="43" t="n">
        <f aca="false">IF(AND(Tasks[[#This Row],[_IsLeaf]]=1,Tasks[[#This Row],[_LeafTotalWork]]&gt;0),MAX(Tasks[[#This Row],[_StartWorkday]],NETWORKDAYS.INTL(ProjectStart,Tasks[[#This Row],[_ShownFcstFinish]],WorkWeek,Holidays)),0)</f>
        <v>0</v>
      </c>
      <c r="GA114" s="43" t="n">
        <f aca="false">IF(AND(Tasks[[#This Row],[_IsLeaf]]=1,Tasks[[#This Row],[_LeafTotalWork]]&gt;0),Tasks[[#This Row],[_LeafWork]]/(Tasks[[#This Row],[_FinishWorkday]]-Tasks[[#This Row],[_StartWorkday]]+1),0)</f>
        <v>0</v>
      </c>
      <c r="GB114" s="43" t="n">
        <f aca="false">Tasks[[#This Row],[_WorkPerWorkday]]*(Tasks[[#This Row],[_StartWorkday]]-1)</f>
        <v>-0</v>
      </c>
      <c r="GC114" s="43" t="n">
        <f aca="false">IF(Tasks[[#This Row],[_IsLeaf]]=1,MAX(N(Tasks[[#This Row],[_Days]]),0.1),0)</f>
        <v>0</v>
      </c>
      <c r="GD114" s="43" t="n">
        <f aca="false">Tasks[[#This Row],[_WeightDur]]*Tasks[[#This Row],[_LeafProgress]]</f>
        <v>0</v>
      </c>
      <c r="GE114" s="43" t="n">
        <f aca="false">Tasks[[#This Row],[_WeightDur]]*Tasks[[#This Row],[_PlannedPct]]</f>
        <v>0</v>
      </c>
      <c r="GF1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4" s="43" t="str">
        <f aca="false">IF(AND(Tasks[[#This Row],[_IsLeaf]]=1,N(Tasks[[#This Row],[_Days]])=0,Tasks[[#This Row],[_LeafProgress]]&lt;1),Tasks[[#This Row],[_ShownFcstFinish]]+Tasks[[#This Row],[_Row]]/100000,"")</f>
        <v/>
      </c>
      <c r="GH1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4" s="43" t="str">
        <f aca="false">IF(Tasks[[#This Row],[Task Name]]="","",LEFT(Tasks[[#This Row],[WBS]],FIND(".",Tasks[[#This Row],[WBS]]&amp;".")-1))</f>
        <v/>
      </c>
      <c r="GJ114" s="43" t="str">
        <f aca="false">IF(AND(Tasks[[#This Row],[Task Name]]&lt;&gt;"",Tasks[[#This Row],[_Level]]=1),Tasks[[#This Row],[_Row]],"")</f>
        <v/>
      </c>
      <c r="GK114" s="43" t="str">
        <f aca="false">IF(AND(Tasks[[#This Row],[_IsLeaf]]=1,N(Tasks[[#This Row],[_Days]])=0),Tasks[[#This Row],[Planned Finish]]+Tasks[[#This Row],[_Row]]/100000,"")</f>
        <v/>
      </c>
      <c r="GL114" s="43" t="str">
        <f aca="false">IF(AND(Tasks[[#This Row],[_IsLeaf]]=1,Tasks[[#This Row],[_LeafProgress]]&lt;1,OR(N(Tasks[[#This Row],[Finish Var]])&gt;0,Tasks[[#This Row],[Status]]="Late Start")),MAX(0,Tasks[[#This Row],[Finish Var]])+1-Tasks[[#This Row],[_Row]]/1000000,"")</f>
        <v/>
      </c>
      <c r="GM114" s="43" t="str">
        <f aca="false">IF(AND(Tasks[[#This Row],[_IsLeaf]]=1,N(Tasks[[#This Row],[Actual Start]])=0,Tasks[[#This Row],[_ShownFcstStart]]&gt;=StatusDate,Tasks[[#This Row],[_ShownFcstStart]]&lt;=LookaheadEnd),Tasks[[#This Row],[_ShownFcstStart]]+Tasks[[#This Row],[_Row]]/100000,"")</f>
        <v/>
      </c>
      <c r="GN114" s="43" t="str">
        <f aca="false">IF(AND(Tasks[[#This Row],[_IsLeaf]]=1,Tasks[[#This Row],[_LeafProgress]]&lt;1,Tasks[[#This Row],[_ShownFcstFinish]]&gt;=StatusDate,Tasks[[#This Row],[_ShownFcstFinish]]&lt;=LookaheadEnd),Tasks[[#This Row],[_ShownFcstFinish]]+Tasks[[#This Row],[_Row]]/100000,"")</f>
        <v/>
      </c>
      <c r="GO114" s="43" t="str">
        <f aca="false">IF(Tasks[[#This Row],[_LeafCritical]],Tasks[[#This Row],[_ShownFcstStart]]+Tasks[[#This Row],[_Row]]/100000,"")</f>
        <v/>
      </c>
      <c r="GP114" s="43" t="n">
        <f aca="false">Tasks[[#This Row],[_LeafWork]]*Tasks[[#This Row],[_LeafProgress]]</f>
        <v>0</v>
      </c>
      <c r="GQ114" s="91" t="str">
        <f aca="false">IF(AND(Tasks[[#This Row],[_IsLeaf]]=1,Tasks[[#This Row],[_LeafProgress]]&gt;=1),IF(N(Tasks[[#This Row],[Actual Finish]])&gt;0,Tasks[[#This Row],[Actual Finish]],Tasks[[#This Row],[_ShownFcstFinish]]),"")</f>
        <v/>
      </c>
      <c r="GR114" s="43" t="n">
        <f aca="false">IF(Tasks[[#This Row],[_IsLeaf]]=1,N(Tasks[[#This Row],[Story Points]]),0)</f>
        <v>0</v>
      </c>
      <c r="GS114" s="43" t="str">
        <f aca="false">""</f>
        <v/>
      </c>
      <c r="GT114" s="90" t="b">
        <f aca="false">IF(Tasks[[#This Row],[Task Name]]="",FALSE(),AND(Tasks[[#This Row],[_IsLeaf]]=1,N(Tasks[[#This Row],[_Days]])=0))</f>
        <v>0</v>
      </c>
      <c r="GU114" s="91" t="n">
        <f aca="false">IF(Tasks[[#This Row],[Task Name]]="",0,IF(AND(Tasks[[#This Row],[_IsLeaf]]=1,NOT(Tasks[[#This Row],[_IsMilestone]]),N(Tasks[[#This Row],[Progress]])&gt;0),Tasks[[#This Row],[Start]],0))</f>
        <v>0</v>
      </c>
      <c r="GV114" s="91" t="n">
        <f aca="false">IF(Tasks[[#This Row],[_DoneFrom]]=0,0,IF(Tasks[[#This Row],[Progress]]&gt;=1,Tasks[[#This Row],[Finish]],MAX(Tasks[[#This Row],[_DoneFrom]],Tasks[[#This Row],[Start]]+ROUND((Tasks[[#This Row],[Finish]]-Tasks[[#This Row],[Start]]+1)*Tasks[[#This Row],[Progress]],0)-1)))</f>
        <v>0</v>
      </c>
      <c r="GW114" s="91" t="n">
        <f aca="false">IF(Tasks[[#This Row],[Task Name]]="",0,IF(OR(NOT(Tasks[[#This Row],[_IsLeaf]]=1),Tasks[[#This Row],[_IsMilestone]],N(Tasks[[#This Row],[Progress]])&gt;=1),0,IF(Tasks[[#This Row],[_DoneTo]]&gt;0,Tasks[[#This Row],[_DoneTo]]+1,Tasks[[#This Row],[Start]])))</f>
        <v>0</v>
      </c>
      <c r="GX114" s="91" t="n">
        <f aca="false">IF(Tasks[[#This Row],[_RemFrom]]=0,0,Tasks[[#This Row],[Finish]])</f>
        <v>0</v>
      </c>
      <c r="GY114" s="90" t="b">
        <f aca="false">IF(Tasks[[#This Row],[Task Name]]="",FALSE(),OR(NOT(BaselineSet),N(Tasks[[#This Row],[Baseline Start]])&gt;0))</f>
        <v>0</v>
      </c>
      <c r="GZ11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4" s="92" t="str">
        <f aca="false">IF(Tasks[[#This Row],[_IsLeaf]]=1,Tasks[[#This Row],[_Row]],"")</f>
        <v/>
      </c>
      <c r="HD114" s="92" t="str">
        <f aca="false">IFERROR(INDEX(Tasks[UID],SMALL(Tasks[_PickKey],Tasks[[#This Row],[_Row]]))&amp;" "&amp;INDEX(Tasks[Task Name],SMALL(Tasks[_PickKey],Tasks[[#This Row],[_Row]])),"")</f>
        <v/>
      </c>
      <c r="HE114" s="43" t="str">
        <f aca="false">IF(Tasks[[#This Row],[Task Name]]="","",IF(Tasks[[#This Row],[_IsSummary]],NETWORKDAYS.INTL(Tasks[[#This Row],[Start]],Tasks[[#This Row],[Finish]],WorkWeek,Holidays),N(Tasks[[#This Row],[_Days]])))</f>
        <v/>
      </c>
      <c r="HF114" s="43" t="n">
        <f aca="false">IF(Tasks[[#This Row],[Expected]]="",0,((Tasks[[#This Row],[Pessimistic]]-Tasks[[#This Row],[Optimistic]])/6)^2)</f>
        <v>0</v>
      </c>
      <c r="HG114" s="43" t="n">
        <f aca="false">IF(Tasks[[#This Row],[Expected]]="",0,Tasks[[#This Row],[Expected]]-N(Tasks[[#This Row],[_Days]]))</f>
        <v>0</v>
      </c>
    </row>
    <row r="115" customFormat="false" ht="15" hidden="false" customHeight="false" outlineLevel="0" collapsed="false">
      <c r="A115" s="21" t="str">
        <f aca="false">IF(Tasks[[#This Row],[Task Name]]="","",COUNTA(Tasks[[#Headers],[Task Name]]:Tasks[[#This Row],[Task Name]])-1)</f>
        <v/>
      </c>
      <c r="B115" s="22" t="n">
        <v>123</v>
      </c>
      <c r="C115" s="22"/>
      <c r="D115" s="23"/>
      <c r="E115" s="22"/>
      <c r="F115" s="23"/>
      <c r="G115" s="22"/>
      <c r="H115" s="22"/>
      <c r="I115" s="23"/>
      <c r="J115" s="22"/>
      <c r="K115" s="22"/>
      <c r="L115" s="23"/>
      <c r="M115" s="22"/>
      <c r="N115" s="22"/>
      <c r="O115" s="23"/>
      <c r="P115" s="22"/>
      <c r="Q115" s="22"/>
      <c r="R115" s="23"/>
      <c r="S115" s="23"/>
      <c r="T115" s="84"/>
      <c r="U115" s="23"/>
      <c r="V115" s="84"/>
      <c r="W115" s="23"/>
      <c r="X115" s="84"/>
      <c r="Y115" s="23"/>
      <c r="Z115" s="84"/>
      <c r="AA115" s="23"/>
      <c r="AB115" s="23"/>
      <c r="AC115" s="7"/>
      <c r="AD115" s="7"/>
      <c r="AE115" s="63" t="str">
        <f aca="false">IF(Tasks[[#This Row],[Task Name]]="","",IF(Tasks[[#This Row],[_IsSummary]],MIN(INDEX(Tasks[_ShownFcstStart],Tasks[[#This Row],[_Row]]+1):INDEX(Tasks[_ShownFcstStart],Tasks[[#This Row],[_Row]]+Tasks[[#This Row],[_Descendants]])),Tasks[[#This Row],[_ShownFcstStart]]))</f>
        <v/>
      </c>
      <c r="AF115" s="63" t="str">
        <f aca="false">IF(Tasks[[#This Row],[Task Name]]="","",IF(Tasks[[#This Row],[_IsSummary]],MAX(INDEX(Tasks[_ShownFcstFinish],Tasks[[#This Row],[_Row]]+1):INDEX(Tasks[_ShownFcstFinish],Tasks[[#This Row],[_Row]]+Tasks[[#This Row],[_Descendants]])),Tasks[[#This Row],[_ShownFcstFinish]]))</f>
        <v/>
      </c>
      <c r="AG115" s="21" t="str">
        <f aca="false">""</f>
        <v/>
      </c>
      <c r="AH115" s="23"/>
      <c r="AI1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5" s="7"/>
      <c r="AK115" s="22"/>
      <c r="AL115" s="23"/>
      <c r="AM115" s="7"/>
      <c r="AN115" s="47" t="str">
        <f aca="false">IF(Tasks[[#This Row],[Task Name]]="","",IF(Tasks[[#This Row],[Finish]]&gt;=Tasks[[#This Row],[Planned Finish]],NETWORKDAYS.INTL(Tasks[[#This Row],[Planned Finish]],Tasks[[#This Row],[Finish]],WorkWeek,Holidays)-1,1-NETWORKDAYS.INTL(Tasks[[#This Row],[Finish]],Tasks[[#This Row],[Planned Finish]],WorkWeek,Holidays)))</f>
        <v/>
      </c>
      <c r="AO115" s="21" t="str">
        <f aca="false">IF(Tasks[[#This Row],[Task Name]]="","",IF(Tasks[[#This Row],[Progress]]&gt;=1,"Complete",IF(OR(N(Tasks[[#This Row],[Actual Start]])&gt;0,Tasks[[#This Row],[Progress]]&gt;0),IF(Tasks[[#This Row],[Finish Var]]&gt;0,"Behind","In Progress"),IF(Tasks[[#This Row],[Planned Start]]&lt;StatusDate,"Late Start","Not Started"))))</f>
        <v/>
      </c>
      <c r="AP115" s="21" t="str">
        <f aca="false">IF(Tasks[[#This Row],[Task Name]]="","",IF(IF(Tasks[[#This Row],[_IsSummary]],COUNTIF(INDEX(Tasks[_LeafCritical],Tasks[[#This Row],[_Row]]+1):INDEX(Tasks[_LeafCritical],Tasks[[#This Row],[_Row]]+Tasks[[#This Row],[_Descendants]]),TRUE())&gt;0,Tasks[[#This Row],[_LeafCritical]]),"Yes",""))</f>
        <v/>
      </c>
      <c r="AQ115" s="63" t="str">
        <f aca="false">IF(Tasks[[#This Row],[Task Name]]="","",IF(N(Tasks[[#This Row],[Baseline Start]])&gt;0,Tasks[[#This Row],[Baseline Start]],Tasks[[#This Row],[_CalcStart]]))</f>
        <v/>
      </c>
      <c r="AR115" s="63" t="str">
        <f aca="false">IF(Tasks[[#This Row],[Task Name]]="","",IF(N(Tasks[[#This Row],[Baseline Finish]])&gt;0,Tasks[[#This Row],[Baseline Finish]],Tasks[[#This Row],[_CalcFinish]]))</f>
        <v/>
      </c>
      <c r="AS115" s="47" t="str">
        <f aca="false">IF(Tasks[[#This Row],[Task Name]]="","",IF(Tasks[[#This Row],[Start]]&gt;=Tasks[[#This Row],[Planned Start]],NETWORKDAYS.INTL(Tasks[[#This Row],[Planned Start]],Tasks[[#This Row],[Start]],WorkWeek,Holidays)-1,1-NETWORKDAYS.INTL(Tasks[[#This Row],[Start]],Tasks[[#This Row],[Planned Start]],WorkWeek,Holidays)))</f>
        <v/>
      </c>
      <c r="AT115" s="63" t="str">
        <f aca="false">IF(Tasks[[#This Row],[Task Name]]="","",IF(Tasks[[#This Row],[_IsSummary]],MIN(INDEX(Tasks[_LeafLateStart],Tasks[[#This Row],[_Row]]+1):INDEX(Tasks[_LeafLateStart],Tasks[[#This Row],[_Row]]+Tasks[[#This Row],[_Descendants]])),Tasks[[#This Row],[_LeafLateStart]]))</f>
        <v/>
      </c>
      <c r="AU115" s="63" t="str">
        <f aca="false">IF(Tasks[[#This Row],[Task Name]]="","",IF(Tasks[[#This Row],[_IsSummary]],MAX(INDEX(Tasks[_LeafLateFinish],Tasks[[#This Row],[_Row]]+1):INDEX(Tasks[_LeafLateFinish],Tasks[[#This Row],[_Row]]+Tasks[[#This Row],[_Descendants]])),Tasks[[#This Row],[_LeafLateFinish]]))</f>
        <v/>
      </c>
      <c r="AV115" s="47" t="str">
        <f aca="false">IF(Tasks[[#This Row],[Task Name]]="","",IF(Tasks[[#This Row],[_IsSummary]],MIN(INDEX(Tasks[_LeafTotalSlack],Tasks[[#This Row],[_Row]]+1):INDEX(Tasks[_LeafTotalSlack],Tasks[[#This Row],[_Row]]+Tasks[[#This Row],[_Descendants]])),Tasks[[#This Row],[_LeafTotalSlack]]))</f>
        <v/>
      </c>
      <c r="AW11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5"/>
      <c r="BA11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t="str">
        <f aca="false">IF(Tasks[[#This Row],[Task Name]]="","",IF(Tasks[[#This Row],[_Level]]&lt;=OutlineShowLevel,"Yes","No"))</f>
        <v/>
      </c>
      <c r="BE115" s="86" t="str">
        <f aca="false">IF(Tasks[[#This Row],[Task Name]]="","",IF(Tasks[[#This Row],[_IsSummary]],SUM(INDEX(Tasks[_LeafTotalWork],Tasks[[#This Row],[_Row]]+1):INDEX(Tasks[_LeafTotalWork],Tasks[[#This Row],[_Row]]+Tasks[[#This Row],[_Descendants]])),Tasks[[#This Row],[_LeafTotalWork]]))</f>
        <v/>
      </c>
      <c r="BF115" s="23"/>
      <c r="BG1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t="str">
        <f aca="false">""</f>
        <v/>
      </c>
      <c r="BI115" s="87"/>
      <c r="BJ115" s="22"/>
      <c r="BK115" s="47" t="str">
        <f aca="false">IF(OR(Tasks[[#This Row],[Task Name]]="",Tasks[[#This Row],[Baseline Duration]]=""),"",Tasks[[#This Row],[_SpanDays]]-N(Tasks[[#This Row],[Baseline Duration]]))</f>
        <v/>
      </c>
      <c r="BL115" s="86" t="str">
        <f aca="false">IF(OR(Tasks[[#This Row],[Task Name]]="",Tasks[[#This Row],[Baseline Work]]=""),"",Tasks[[#This Row],[Work]]-N(Tasks[[#This Row],[Baseline Work]]))</f>
        <v/>
      </c>
      <c r="BM115" s="63" t="str">
        <f aca="false">IF(Tasks[[#This Row],[Task Name]]="","",IF(OR(TakeBaseline="Yes",N(Tasks[[#This Row],[Baseline Start]])=0),Tasks[[#This Row],[Start]],Tasks[[#This Row],[Baseline Start]]))</f>
        <v/>
      </c>
      <c r="BN115" s="63" t="str">
        <f aca="false">IF(Tasks[[#This Row],[Task Name]]="","",IF(OR(TakeBaseline="Yes",N(Tasks[[#This Row],[Baseline Finish]])=0),Tasks[[#This Row],[Finish]],Tasks[[#This Row],[Baseline Finish]]))</f>
        <v/>
      </c>
      <c r="BO115" s="21" t="str">
        <f aca="false">IF(Tasks[[#This Row],[Task Name]]="","",IF(OR(TakeBaseline="Yes",N(Tasks[[#This Row],[Baseline Duration]])=0),Tasks[[#This Row],[_SpanDays]],Tasks[[#This Row],[Baseline Duration]]))</f>
        <v/>
      </c>
      <c r="BP115" s="86" t="str">
        <f aca="false">IF(Tasks[[#This Row],[Task Name]]="","",IF(OR(TakeBaseline="Yes",N(Tasks[[#This Row],[Baseline Work]])=0),Tasks[[#This Row],[Work]],Tasks[[#This Row],[Baseline Work]]))</f>
        <v/>
      </c>
      <c r="BQ115" s="7"/>
      <c r="BR115" s="7"/>
      <c r="BS115" s="22"/>
      <c r="BT115" s="88"/>
      <c r="BU115" s="23"/>
      <c r="BV115" s="23"/>
      <c r="BW115" s="23"/>
      <c r="BX115" s="89" t="str">
        <f aca="false">IF(AND(Tasks[[#This Row],[_IsLeaf]]=1,ISNUMBER(Tasks[[#This Row],[Optimistic]]),ISNUMBER(Tasks[[#This Row],[Pessimistic]])),ROUND((Tasks[[#This Row],[Optimistic]]+4*N(Tasks[[#This Row],[_Days]])+Tasks[[#This Row],[Pessimistic]])/6,1),"")</f>
        <v/>
      </c>
      <c r="BY115" s="87"/>
      <c r="BZ115" s="87"/>
      <c r="CA115" s="22"/>
      <c r="CB115" s="43" t="str">
        <f aca="false">IF(Tasks[[#This Row],[Task Name]]="","",MAX(1,N(Tasks[[#This Row],[Level]])))</f>
        <v/>
      </c>
      <c r="CC115" s="43" t="n">
        <f aca="false">ROW()-ROW(Tasks[[#Headers],[ID]])</f>
        <v>110</v>
      </c>
      <c r="CD115" s="43" t="n">
        <f aca="false">IF(OR(Tasks[[#This Row],[Task Name]]="",Tasks[[#This Row],[_Level]]&lt;=1),0,IFERROR(LOOKUP(2,1/(Tasks[[#Headers],[_Level]]:Tasks[[#This Row],[_Level]]=Tasks[[#This Row],[_Level]]-1),ROW(Tasks[[#Headers],[_Level]]:Tasks[[#This Row],[_Level]])),0))</f>
        <v>0</v>
      </c>
      <c r="CE115" s="43" t="n">
        <f aca="false">IFERROR(N(INDEX(Tasks[_Level],Tasks[[#This Row],[_Row]]+1)),0)</f>
        <v>0</v>
      </c>
      <c r="CF115" s="90" t="b">
        <f aca="false">AND(Tasks[[#This Row],[Task Name]]&lt;&gt;"",Tasks[[#This Row],[_NextLevel]]&gt;Tasks[[#This Row],[_Level]])</f>
        <v>0</v>
      </c>
      <c r="CG115" s="43" t="n">
        <f aca="false">IF(Tasks[[#This Row],[_IsSummary]],COUNTIF(Tasks[WBS],Tasks[[#This Row],[WBS]]&amp;".*"),0)</f>
        <v>0</v>
      </c>
      <c r="CH115" s="43" t="n">
        <f aca="false">IF(AND(Tasks[[#This Row],[Task Name]]&lt;&gt;"",NOT(Tasks[[#This Row],[_IsSummary]])),1,0)</f>
        <v>0</v>
      </c>
      <c r="CI115" s="43" t="n">
        <f aca="false">IF(N(Tasks[[#This Row],[_Pred1UID]])=0,0,IFERROR(MATCH(Tasks[[#This Row],[_Pred1UID]],Tasks[UID],0),-1))</f>
        <v>0</v>
      </c>
      <c r="CJ115" s="43" t="n">
        <f aca="false">IF(N(Tasks[[#This Row],[_Pred2UID]])=0,0,IFERROR(MATCH(Tasks[[#This Row],[_Pred2UID]],Tasks[UID],0),-1))</f>
        <v>0</v>
      </c>
      <c r="CK115" s="43" t="n">
        <f aca="false">IF(N(Tasks[[#This Row],[_Pred3UID]])=0,0,IFERROR(MATCH(Tasks[[#This Row],[_Pred3UID]],Tasks[UID],0),-1))</f>
        <v>0</v>
      </c>
      <c r="CL115" s="43" t="n">
        <f aca="false">IF(N(Tasks[[#This Row],[_Pred4UID]])=0,0,IFERROR(MATCH(Tasks[[#This Row],[_Pred4UID]],Tasks[UID],0),-1))</f>
        <v>0</v>
      </c>
      <c r="CM11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5" s="91" t="n">
        <f aca="false">IF(OR(Tasks[[#This Row],[_ConstraintCode]]=2,Tasks[[#This Row],[_ConstraintCode]]=3,Tasks[[#This Row],[_ConstraintCode]]=4,Tasks[[#This Row],[_ConstraintCode]]=6),Tasks[[#This Row],[_ConstraintStart]],0)</f>
        <v>0</v>
      </c>
      <c r="CP115" s="91" t="n">
        <f aca="false">IF(OR(Tasks[[#This Row],[_ConstraintCode]]=2,Tasks[[#This Row],[_ConstraintCode]]=3,Tasks[[#This Row],[_ConstraintCode]]=5,Tasks[[#This Row],[_ConstraintCode]]=7),Tasks[[#This Row],[_ConstraintStart]],2958465)</f>
        <v>2958465</v>
      </c>
      <c r="CQ11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5" s="91" t="str">
        <f aca="false">IF(NOT(Tasks[[#This Row],[_IsLeaf]]=1),"",IF(N(Tasks[[#This Row],[_Days]])&lt;=0,Tasks[[#This Row],[_LeafCalcStart]],WORKDAY.INTL(Tasks[[#This Row],[_LeafCalcStart]],Tasks[[#This Row],[_Days]]-1,WorkWeek,Holidays)))</f>
        <v/>
      </c>
      <c r="CS11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5" s="43" t="str">
        <f aca="false">IF(Tasks[[#This Row],[_Predecessors]]="","",TRIM(MID(SUBSTITUTE(SUBSTITUTE(SUBSTITUTE(UPPER(Tasks[[#This Row],[_Predecessors]]),";",",")," ",""),",",REPT(" ",99)),1,99)))</f>
        <v/>
      </c>
      <c r="CV115" s="43" t="str">
        <f aca="false">IF(Tasks[[#This Row],[_Pred1Text]]="","",IFERROR(VALUE(LEFT(Tasks[[#This Row],[_Pred1Text]],MIN(FIND("F",Tasks[[#This Row],[_Pred1Text]]&amp;"F"),FIND("S",Tasks[[#This Row],[_Pred1Text]]&amp;"S"),FIND("+",Tasks[[#This Row],[_Pred1Text]]&amp;"+"),FIND("-",Tasks[[#This Row],[_Pred1Text]]&amp;"-"))-1)),""))</f>
        <v/>
      </c>
      <c r="CW1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5" s="43" t="str">
        <f aca="false">IF(Tasks[[#This Row],[_Pred1Text]]="","",TRIM(MID(SUBSTITUTE(SUBSTITUTE(SUBSTITUTE(UPPER(Tasks[[#This Row],[_Predecessors]]),";",",")," ",""),",",REPT(" ",99)),100,99)))</f>
        <v/>
      </c>
      <c r="CZ115" s="43" t="str">
        <f aca="false">IF(Tasks[[#This Row],[_Pred2Text]]="","",IFERROR(VALUE(LEFT(Tasks[[#This Row],[_Pred2Text]],MIN(FIND("F",Tasks[[#This Row],[_Pred2Text]]&amp;"F"),FIND("S",Tasks[[#This Row],[_Pred2Text]]&amp;"S"),FIND("+",Tasks[[#This Row],[_Pred2Text]]&amp;"+"),FIND("-",Tasks[[#This Row],[_Pred2Text]]&amp;"-"))-1)),""))</f>
        <v/>
      </c>
      <c r="DA1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5" s="43" t="str">
        <f aca="false">IF(Tasks[[#This Row],[_Pred2Text]]="","",TRIM(MID(SUBSTITUTE(SUBSTITUTE(SUBSTITUTE(UPPER(Tasks[[#This Row],[_Predecessors]]),";",",")," ",""),",",REPT(" ",99)),199,99)))</f>
        <v/>
      </c>
      <c r="DD115" s="43" t="str">
        <f aca="false">IF(Tasks[[#This Row],[_Pred3Text]]="","",IFERROR(VALUE(LEFT(Tasks[[#This Row],[_Pred3Text]],MIN(FIND("F",Tasks[[#This Row],[_Pred3Text]]&amp;"F"),FIND("S",Tasks[[#This Row],[_Pred3Text]]&amp;"S"),FIND("+",Tasks[[#This Row],[_Pred3Text]]&amp;"+"),FIND("-",Tasks[[#This Row],[_Pred3Text]]&amp;"-"))-1)),""))</f>
        <v/>
      </c>
      <c r="DE1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5" s="43" t="str">
        <f aca="false">IF(Tasks[[#This Row],[_Pred3Text]]="","",TRIM(MID(SUBSTITUTE(SUBSTITUTE(SUBSTITUTE(UPPER(Tasks[[#This Row],[_Predecessors]]),";",",")," ",""),",",REPT(" ",99)),298,99)))</f>
        <v/>
      </c>
      <c r="DH115" s="43" t="str">
        <f aca="false">IF(Tasks[[#This Row],[_Pred4Text]]="","",IFERROR(VALUE(LEFT(Tasks[[#This Row],[_Pred4Text]],MIN(FIND("F",Tasks[[#This Row],[_Pred4Text]]&amp;"F"),FIND("S",Tasks[[#This Row],[_Pred4Text]]&amp;"S"),FIND("+",Tasks[[#This Row],[_Pred4Text]]&amp;"+"),FIND("-",Tasks[[#This Row],[_Pred4Text]]&amp;"-"))-1)),""))</f>
        <v/>
      </c>
      <c r="DI1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5" s="43" t="str">
        <f aca="false">IF(OR(Tasks[[#This Row],[Task Name]]="",Tasks[[#This Row],[_Resources]]=""),"",TRIM(MID(SUBSTITUTE(Tasks[[#This Row],[_Resources]],",",REPT(" ",99)),1,99)))</f>
        <v/>
      </c>
      <c r="DL115" s="43" t="str">
        <f aca="false">IF(Tasks[[#This Row],[_Res1Text]]="","",TRIM(MID(SUBSTITUTE(Tasks[[#This Row],[_Resources]],",",REPT(" ",99)),100,99)))</f>
        <v/>
      </c>
      <c r="DM115" s="43" t="str">
        <f aca="false">IF(Tasks[[#This Row],[_Res2Text]]="","",TRIM(MID(SUBSTITUTE(Tasks[[#This Row],[_Resources]],",",REPT(" ",99)),199,99)))</f>
        <v/>
      </c>
      <c r="DN115" s="43" t="str">
        <f aca="false">IF(Tasks[[#This Row],[_Res3Text]]="","",TRIM(MID(SUBSTITUTE(Tasks[[#This Row],[_Resources]],",",REPT(" ",99)),298,99)))</f>
        <v/>
      </c>
      <c r="DO115" s="43" t="n">
        <f aca="false">IF(Tasks[[#This Row],[_Res1Text]]="",0,IFERROR(MATCH(TRIM(LEFT(Tasks[[#This Row],[_Res1Text]],FIND("[",Tasks[[#This Row],[_Res1Text]]&amp;"[")-1)),res_Name,0),IFERROR(MATCH(TRIM(LEFT(Tasks[[#This Row],[_Res1Text]],FIND("[",Tasks[[#This Row],[_Res1Text]]&amp;"[")-1)),res_Initials,0),0)))</f>
        <v>0</v>
      </c>
      <c r="DP115" s="43" t="n">
        <f aca="false">IF(Tasks[[#This Row],[_Res2Text]]="",0,IFERROR(MATCH(TRIM(LEFT(Tasks[[#This Row],[_Res2Text]],FIND("[",Tasks[[#This Row],[_Res2Text]]&amp;"[")-1)),res_Name,0),IFERROR(MATCH(TRIM(LEFT(Tasks[[#This Row],[_Res2Text]],FIND("[",Tasks[[#This Row],[_Res2Text]]&amp;"[")-1)),res_Initials,0),0)))</f>
        <v>0</v>
      </c>
      <c r="DQ115" s="43" t="n">
        <f aca="false">IF(Tasks[[#This Row],[_Res3Text]]="",0,IFERROR(MATCH(TRIM(LEFT(Tasks[[#This Row],[_Res3Text]],FIND("[",Tasks[[#This Row],[_Res3Text]]&amp;"[")-1)),res_Name,0),IFERROR(MATCH(TRIM(LEFT(Tasks[[#This Row],[_Res3Text]],FIND("[",Tasks[[#This Row],[_Res3Text]]&amp;"[")-1)),res_Initials,0),0)))</f>
        <v>0</v>
      </c>
      <c r="DR115" s="43" t="n">
        <f aca="false">IF(Tasks[[#This Row],[_Res4Text]]="",0,IFERROR(MATCH(TRIM(LEFT(Tasks[[#This Row],[_Res4Text]],FIND("[",Tasks[[#This Row],[_Res4Text]]&amp;"[")-1)),res_Name,0),IFERROR(MATCH(TRIM(LEFT(Tasks[[#This Row],[_Res4Text]],FIND("[",Tasks[[#This Row],[_Res4Text]]&amp;"[")-1)),res_Initials,0),0)))</f>
        <v>0</v>
      </c>
      <c r="DS115" s="43" t="str">
        <f aca="false">IF(Tasks[[#This Row],[_Res1Text]]="","",IF(Tasks[[#This Row],[_Res1Row]]&gt;0,INDEX(res_Name,Tasks[[#This Row],[_Res1Row]]),TRIM(LEFT(Tasks[[#This Row],[_Res1Text]],FIND("[",Tasks[[#This Row],[_Res1Text]]&amp;"[")-1))))</f>
        <v/>
      </c>
      <c r="DT1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5" s="43" t="n">
        <f aca="false">IF(NOT(Tasks[[#This Row],[_IsLeaf]]=1),0,(Tasks[[#This Row],[_Resource1]]&lt;&gt;"")+(Tasks[[#This Row],[_Res2]]&lt;&gt;"")+(Tasks[[#This Row],[_Res3]]&lt;&gt;"")+(Tasks[[#This Row],[_Res4]]&lt;&gt;""))</f>
        <v>0</v>
      </c>
      <c r="DV115" s="43" t="str">
        <f aca="false">IF(Tasks[[#This Row],[_Res2Text]]="","",IF(Tasks[[#This Row],[_Res2Row]]&gt;0,INDEX(res_Name,Tasks[[#This Row],[_Res2Row]]),TRIM(LEFT(Tasks[[#This Row],[_Res2Text]],FIND("[",Tasks[[#This Row],[_Res2Text]]&amp;"[")-1))))</f>
        <v/>
      </c>
      <c r="DW11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5" s="43" t="n">
        <f aca="false">IF(OR(NOT(Tasks[[#This Row],[_IsLeaf]]=1),Tasks[[#This Row],[_Res2Row]]=0),0,N(Tasks[[#This Row],[_Days]])*HoursPerDay*IF(Tasks[[#This Row],[_Res2Units]]="",DefaultUnits,Tasks[[#This Row],[_Res2Units]]))</f>
        <v>0</v>
      </c>
      <c r="DY115" s="43" t="n">
        <f aca="false">IF(AND(AND(Tasks[[#This Row],[_IsLeaf]]=1,Tasks[[#This Row],[_LeafTotalWork]]&gt;0),Tasks[[#This Row],[_Res2Work]]&gt;0),Tasks[[#This Row],[_Res2Work]]/(Tasks[[#This Row],[_FinishWorkday]]-Tasks[[#This Row],[_StartWorkday]]+1),0)</f>
        <v>0</v>
      </c>
      <c r="DZ115" s="43" t="n">
        <f aca="false">Tasks[[#This Row],[_Res2WorkPerWD]]*MAX(0,Tasks[[#This Row],[_StartWorkday]]-1)</f>
        <v>0</v>
      </c>
      <c r="EA115" s="43" t="n">
        <f aca="false">Tasks[[#This Row],[_Res2Work]]*Tasks[[#This Row],[_LeafProgress]]</f>
        <v>0</v>
      </c>
      <c r="EB115" s="43" t="str">
        <f aca="false">IF(Tasks[[#This Row],[_Res3Text]]="","",IF(Tasks[[#This Row],[_Res3Row]]&gt;0,INDEX(res_Name,Tasks[[#This Row],[_Res3Row]]),TRIM(LEFT(Tasks[[#This Row],[_Res3Text]],FIND("[",Tasks[[#This Row],[_Res3Text]]&amp;"[")-1))))</f>
        <v/>
      </c>
      <c r="EC1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5" s="43" t="n">
        <f aca="false">IF(OR(NOT(Tasks[[#This Row],[_IsLeaf]]=1),Tasks[[#This Row],[_Res3Row]]=0),0,N(Tasks[[#This Row],[_Days]])*HoursPerDay*IF(Tasks[[#This Row],[_Res3Units]]="",DefaultUnits,Tasks[[#This Row],[_Res3Units]]))</f>
        <v>0</v>
      </c>
      <c r="EE115" s="43" t="n">
        <f aca="false">IF(AND(AND(Tasks[[#This Row],[_IsLeaf]]=1,Tasks[[#This Row],[_LeafTotalWork]]&gt;0),Tasks[[#This Row],[_Res3Work]]&gt;0),Tasks[[#This Row],[_Res3Work]]/(Tasks[[#This Row],[_FinishWorkday]]-Tasks[[#This Row],[_StartWorkday]]+1),0)</f>
        <v>0</v>
      </c>
      <c r="EF115" s="43" t="n">
        <f aca="false">Tasks[[#This Row],[_Res3WorkPerWD]]*MAX(0,Tasks[[#This Row],[_StartWorkday]]-1)</f>
        <v>0</v>
      </c>
      <c r="EG115" s="43" t="n">
        <f aca="false">Tasks[[#This Row],[_Res3Work]]*Tasks[[#This Row],[_LeafProgress]]</f>
        <v>0</v>
      </c>
      <c r="EH115" s="43" t="str">
        <f aca="false">IF(Tasks[[#This Row],[_Res4Text]]="","",IF(Tasks[[#This Row],[_Res4Row]]&gt;0,INDEX(res_Name,Tasks[[#This Row],[_Res4Row]]),TRIM(LEFT(Tasks[[#This Row],[_Res4Text]],FIND("[",Tasks[[#This Row],[_Res4Text]]&amp;"[")-1))))</f>
        <v/>
      </c>
      <c r="EI1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5" s="43" t="n">
        <f aca="false">IF(OR(NOT(Tasks[[#This Row],[_IsLeaf]]=1),Tasks[[#This Row],[_Res4Row]]=0),0,N(Tasks[[#This Row],[_Days]])*HoursPerDay*IF(Tasks[[#This Row],[_Res4Units]]="",DefaultUnits,Tasks[[#This Row],[_Res4Units]]))</f>
        <v>0</v>
      </c>
      <c r="EK115" s="43" t="n">
        <f aca="false">IF(AND(AND(Tasks[[#This Row],[_IsLeaf]]=1,Tasks[[#This Row],[_LeafTotalWork]]&gt;0),Tasks[[#This Row],[_Res4Work]]&gt;0),Tasks[[#This Row],[_Res4Work]]/(Tasks[[#This Row],[_FinishWorkday]]-Tasks[[#This Row],[_StartWorkday]]+1),0)</f>
        <v>0</v>
      </c>
      <c r="EL115" s="43" t="n">
        <f aca="false">Tasks[[#This Row],[_Res4WorkPerWD]]*MAX(0,Tasks[[#This Row],[_StartWorkday]]-1)</f>
        <v>0</v>
      </c>
      <c r="EM115" s="43" t="n">
        <f aca="false">Tasks[[#This Row],[_Res4Work]]*Tasks[[#This Row],[_LeafProgress]]</f>
        <v>0</v>
      </c>
      <c r="EN115" s="43" t="n">
        <f aca="false">IF(ISNUMBER(Tasks[[#This Row],[% Complete]]),Tasks[[#This Row],[% Complete]],IF(Tasks[[#This Row],[Stage]]="",0,IFERROR(INDEX(stg_Pct,MATCH(Tasks[[#This Row],[Stage]],stg_Name,0)),0)))</f>
        <v>0</v>
      </c>
      <c r="EO115" s="43" t="n">
        <f aca="false">IF(NOT(Tasks[[#This Row],[_IsLeaf]]=1),0,IF(N(Tasks[[#This Row],[Actual Finish]])&gt;0,1,MIN(1,Tasks[[#This Row],[_Pct]])))</f>
        <v>0</v>
      </c>
      <c r="EP115" s="43" t="n">
        <f aca="false">IF(OR(NOT(Tasks[[#This Row],[_IsLeaf]]=1),Tasks[[#This Row],[_Res1Row]]=0),0,N(Tasks[[#This Row],[_Days]])*HoursPerDay*IF(Tasks[[#This Row],[_Units1]]="",DefaultUnits,Tasks[[#This Row],[_Units1]]))</f>
        <v>0</v>
      </c>
      <c r="EQ115" s="43" t="n">
        <f aca="false">Tasks[[#This Row],[_LeafWork]]+Tasks[[#This Row],[_Res2Work]]+Tasks[[#This Row],[_Res3Work]]+Tasks[[#This Row],[_Res4Work]]</f>
        <v>0</v>
      </c>
      <c r="ER11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5" s="43" t="n">
        <f aca="false">IF(NOT(Tasks[[#This Row],[_IsLeaf]]=1),0,MAX(_xlfn.MAXIFS(Tasks[_Row],Tasks[_Pred1UID],Tasks[[#This Row],[UID]]),_xlfn.MAXIFS(Tasks[_Row],Tasks[_Pred2UID],Tasks[[#This Row],[UID]]),_xlfn.MAXIFS(Tasks[_Row],Tasks[_Pred3UID],Tasks[[#This Row],[UID]]),_xlfn.MAXIFS(Tasks[_Row],Tasks[_Pred4UID],Tasks[[#This Row],[UID]])))</f>
        <v>0</v>
      </c>
      <c r="FA11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5" s="91" t="str">
        <f aca="false">IF(NOT(Tasks[[#This Row],[_IsLeaf]]=1),"",IF(N(Tasks[[#This Row],[_Days]])&lt;=0,Tasks[[#This Row],[_LeafLateFinish]],WORKDAY.INTL(Tasks[[#This Row],[_LeafLateFinish]],-(Tasks[[#This Row],[_Days]]-1),WorkWeek,Holidays)))</f>
        <v/>
      </c>
      <c r="FD11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5" s="90" t="b">
        <f aca="false">AND(Tasks[[#This Row],[_IsLeaf]]=1,Tasks[[#This Row],[_LeafProgress]]&lt;1,N(Tasks[[#This Row],[_LeafTotalSlack]])&lt;=CriticalSlackDays)</f>
        <v>0</v>
      </c>
      <c r="FF115" s="43" t="n">
        <f aca="false">IF(AND(Tasks[[#This Row],[_IsLeaf]]=1,Tasks[[#This Row],[_ConstraintCode]]=1,Tasks[[#This Row],[Mode]]&lt;&gt;"Manual",N(Tasks[[#This Row],[Actual Start]])=0),MAX(0,N(Tasks[[#This Row],[Free Slack]])),0)</f>
        <v>0</v>
      </c>
      <c r="FG115" s="91" t="str">
        <f aca="false">IF(NOT(Tasks[[#This Row],[_IsLeaf]]=1),"",IF(Tasks[[#This Row],[_AlapShift]]=0,Tasks[[#This Row],[_LeafCalcStart]],WORKDAY.INTL(Tasks[[#This Row],[_LeafCalcStart]],Tasks[[#This Row],[_AlapShift]],WorkWeek,Holidays)))</f>
        <v/>
      </c>
      <c r="FH115" s="91" t="str">
        <f aca="false">IF(NOT(Tasks[[#This Row],[_IsLeaf]]=1),"",IF(Tasks[[#This Row],[_AlapShift]]=0,Tasks[[#This Row],[_LeafCalcFinish]],WORKDAY.INTL(Tasks[[#This Row],[_LeafCalcFinish]],Tasks[[#This Row],[_AlapShift]],WorkWeek,Holidays)))</f>
        <v/>
      </c>
      <c r="FI115" s="91" t="str">
        <f aca="false">IF(NOT(Tasks[[#This Row],[_IsLeaf]]=1),"",IF(Tasks[[#This Row],[_AlapShift]]=0,Tasks[[#This Row],[_LeafFcstStart]],WORKDAY.INTL(Tasks[[#This Row],[_LeafFcstStart]],Tasks[[#This Row],[_AlapShift]],WorkWeek,Holidays)))</f>
        <v/>
      </c>
      <c r="FJ115" s="91" t="str">
        <f aca="false">IF(NOT(Tasks[[#This Row],[_IsLeaf]]=1),"",IF(Tasks[[#This Row],[_AlapShift]]=0,Tasks[[#This Row],[_LeafFcstFinish]],WORKDAY.INTL(Tasks[[#This Row],[_LeafFcstFinish]],Tasks[[#This Row],[_AlapShift]],WorkWeek,Holidays)))</f>
        <v/>
      </c>
      <c r="FK115" s="91" t="str">
        <f aca="false">IF(Tasks[[#This Row],[Task Name]]="","",IF(Tasks[[#This Row],[_IsSummary]],MIN(INDEX(Tasks[_ShownCalcStart],Tasks[[#This Row],[_Row]]+1):INDEX(Tasks[_ShownCalcStart],Tasks[[#This Row],[_Row]]+Tasks[[#This Row],[_Descendants]])),Tasks[[#This Row],[_ShownCalcStart]]))</f>
        <v/>
      </c>
      <c r="FL115" s="91" t="str">
        <f aca="false">IF(Tasks[[#This Row],[Task Name]]="","",IF(Tasks[[#This Row],[_IsSummary]],MAX(INDEX(Tasks[_ShownCalcFinish],Tasks[[#This Row],[_Row]]+1):INDEX(Tasks[_ShownCalcFinish],Tasks[[#This Row],[_Row]]+Tasks[[#This Row],[_Descendants]])),Tasks[[#This Row],[_ShownCalcFinish]]))</f>
        <v/>
      </c>
      <c r="FM1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5" s="43" t="n">
        <f aca="false">IF(AND(Tasks[[#This Row],[_IsLeaf]]=1,Tasks[[#This Row],[_LeafTotalWork]]&gt;0),NETWORKDAYS.INTL(ProjectStart,Tasks[[#This Row],[_ShownFcstStart]],WorkWeek,Holidays),0)</f>
        <v>0</v>
      </c>
      <c r="FZ115" s="43" t="n">
        <f aca="false">IF(AND(Tasks[[#This Row],[_IsLeaf]]=1,Tasks[[#This Row],[_LeafTotalWork]]&gt;0),MAX(Tasks[[#This Row],[_StartWorkday]],NETWORKDAYS.INTL(ProjectStart,Tasks[[#This Row],[_ShownFcstFinish]],WorkWeek,Holidays)),0)</f>
        <v>0</v>
      </c>
      <c r="GA115" s="43" t="n">
        <f aca="false">IF(AND(Tasks[[#This Row],[_IsLeaf]]=1,Tasks[[#This Row],[_LeafTotalWork]]&gt;0),Tasks[[#This Row],[_LeafWork]]/(Tasks[[#This Row],[_FinishWorkday]]-Tasks[[#This Row],[_StartWorkday]]+1),0)</f>
        <v>0</v>
      </c>
      <c r="GB115" s="43" t="n">
        <f aca="false">Tasks[[#This Row],[_WorkPerWorkday]]*(Tasks[[#This Row],[_StartWorkday]]-1)</f>
        <v>-0</v>
      </c>
      <c r="GC115" s="43" t="n">
        <f aca="false">IF(Tasks[[#This Row],[_IsLeaf]]=1,MAX(N(Tasks[[#This Row],[_Days]]),0.1),0)</f>
        <v>0</v>
      </c>
      <c r="GD115" s="43" t="n">
        <f aca="false">Tasks[[#This Row],[_WeightDur]]*Tasks[[#This Row],[_LeafProgress]]</f>
        <v>0</v>
      </c>
      <c r="GE115" s="43" t="n">
        <f aca="false">Tasks[[#This Row],[_WeightDur]]*Tasks[[#This Row],[_PlannedPct]]</f>
        <v>0</v>
      </c>
      <c r="GF1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5" s="43" t="str">
        <f aca="false">IF(AND(Tasks[[#This Row],[_IsLeaf]]=1,N(Tasks[[#This Row],[_Days]])=0,Tasks[[#This Row],[_LeafProgress]]&lt;1),Tasks[[#This Row],[_ShownFcstFinish]]+Tasks[[#This Row],[_Row]]/100000,"")</f>
        <v/>
      </c>
      <c r="GH1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5" s="43" t="str">
        <f aca="false">IF(Tasks[[#This Row],[Task Name]]="","",LEFT(Tasks[[#This Row],[WBS]],FIND(".",Tasks[[#This Row],[WBS]]&amp;".")-1))</f>
        <v/>
      </c>
      <c r="GJ115" s="43" t="str">
        <f aca="false">IF(AND(Tasks[[#This Row],[Task Name]]&lt;&gt;"",Tasks[[#This Row],[_Level]]=1),Tasks[[#This Row],[_Row]],"")</f>
        <v/>
      </c>
      <c r="GK115" s="43" t="str">
        <f aca="false">IF(AND(Tasks[[#This Row],[_IsLeaf]]=1,N(Tasks[[#This Row],[_Days]])=0),Tasks[[#This Row],[Planned Finish]]+Tasks[[#This Row],[_Row]]/100000,"")</f>
        <v/>
      </c>
      <c r="GL115" s="43" t="str">
        <f aca="false">IF(AND(Tasks[[#This Row],[_IsLeaf]]=1,Tasks[[#This Row],[_LeafProgress]]&lt;1,OR(N(Tasks[[#This Row],[Finish Var]])&gt;0,Tasks[[#This Row],[Status]]="Late Start")),MAX(0,Tasks[[#This Row],[Finish Var]])+1-Tasks[[#This Row],[_Row]]/1000000,"")</f>
        <v/>
      </c>
      <c r="GM115" s="43" t="str">
        <f aca="false">IF(AND(Tasks[[#This Row],[_IsLeaf]]=1,N(Tasks[[#This Row],[Actual Start]])=0,Tasks[[#This Row],[_ShownFcstStart]]&gt;=StatusDate,Tasks[[#This Row],[_ShownFcstStart]]&lt;=LookaheadEnd),Tasks[[#This Row],[_ShownFcstStart]]+Tasks[[#This Row],[_Row]]/100000,"")</f>
        <v/>
      </c>
      <c r="GN115" s="43" t="str">
        <f aca="false">IF(AND(Tasks[[#This Row],[_IsLeaf]]=1,Tasks[[#This Row],[_LeafProgress]]&lt;1,Tasks[[#This Row],[_ShownFcstFinish]]&gt;=StatusDate,Tasks[[#This Row],[_ShownFcstFinish]]&lt;=LookaheadEnd),Tasks[[#This Row],[_ShownFcstFinish]]+Tasks[[#This Row],[_Row]]/100000,"")</f>
        <v/>
      </c>
      <c r="GO115" s="43" t="str">
        <f aca="false">IF(Tasks[[#This Row],[_LeafCritical]],Tasks[[#This Row],[_ShownFcstStart]]+Tasks[[#This Row],[_Row]]/100000,"")</f>
        <v/>
      </c>
      <c r="GP115" s="43" t="n">
        <f aca="false">Tasks[[#This Row],[_LeafWork]]*Tasks[[#This Row],[_LeafProgress]]</f>
        <v>0</v>
      </c>
      <c r="GQ115" s="91" t="str">
        <f aca="false">IF(AND(Tasks[[#This Row],[_IsLeaf]]=1,Tasks[[#This Row],[_LeafProgress]]&gt;=1),IF(N(Tasks[[#This Row],[Actual Finish]])&gt;0,Tasks[[#This Row],[Actual Finish]],Tasks[[#This Row],[_ShownFcstFinish]]),"")</f>
        <v/>
      </c>
      <c r="GR115" s="43" t="n">
        <f aca="false">IF(Tasks[[#This Row],[_IsLeaf]]=1,N(Tasks[[#This Row],[Story Points]]),0)</f>
        <v>0</v>
      </c>
      <c r="GS115" s="43" t="str">
        <f aca="false">""</f>
        <v/>
      </c>
      <c r="GT115" s="90" t="b">
        <f aca="false">IF(Tasks[[#This Row],[Task Name]]="",FALSE(),AND(Tasks[[#This Row],[_IsLeaf]]=1,N(Tasks[[#This Row],[_Days]])=0))</f>
        <v>0</v>
      </c>
      <c r="GU115" s="91" t="n">
        <f aca="false">IF(Tasks[[#This Row],[Task Name]]="",0,IF(AND(Tasks[[#This Row],[_IsLeaf]]=1,NOT(Tasks[[#This Row],[_IsMilestone]]),N(Tasks[[#This Row],[Progress]])&gt;0),Tasks[[#This Row],[Start]],0))</f>
        <v>0</v>
      </c>
      <c r="GV115" s="91" t="n">
        <f aca="false">IF(Tasks[[#This Row],[_DoneFrom]]=0,0,IF(Tasks[[#This Row],[Progress]]&gt;=1,Tasks[[#This Row],[Finish]],MAX(Tasks[[#This Row],[_DoneFrom]],Tasks[[#This Row],[Start]]+ROUND((Tasks[[#This Row],[Finish]]-Tasks[[#This Row],[Start]]+1)*Tasks[[#This Row],[Progress]],0)-1)))</f>
        <v>0</v>
      </c>
      <c r="GW115" s="91" t="n">
        <f aca="false">IF(Tasks[[#This Row],[Task Name]]="",0,IF(OR(NOT(Tasks[[#This Row],[_IsLeaf]]=1),Tasks[[#This Row],[_IsMilestone]],N(Tasks[[#This Row],[Progress]])&gt;=1),0,IF(Tasks[[#This Row],[_DoneTo]]&gt;0,Tasks[[#This Row],[_DoneTo]]+1,Tasks[[#This Row],[Start]])))</f>
        <v>0</v>
      </c>
      <c r="GX115" s="91" t="n">
        <f aca="false">IF(Tasks[[#This Row],[_RemFrom]]=0,0,Tasks[[#This Row],[Finish]])</f>
        <v>0</v>
      </c>
      <c r="GY115" s="90" t="b">
        <f aca="false">IF(Tasks[[#This Row],[Task Name]]="",FALSE(),OR(NOT(BaselineSet),N(Tasks[[#This Row],[Baseline Start]])&gt;0))</f>
        <v>0</v>
      </c>
      <c r="GZ11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5" s="92" t="str">
        <f aca="false">IF(Tasks[[#This Row],[_IsLeaf]]=1,Tasks[[#This Row],[_Row]],"")</f>
        <v/>
      </c>
      <c r="HD115" s="92" t="str">
        <f aca="false">IFERROR(INDEX(Tasks[UID],SMALL(Tasks[_PickKey],Tasks[[#This Row],[_Row]]))&amp;" "&amp;INDEX(Tasks[Task Name],SMALL(Tasks[_PickKey],Tasks[[#This Row],[_Row]])),"")</f>
        <v/>
      </c>
      <c r="HE115" s="43" t="str">
        <f aca="false">IF(Tasks[[#This Row],[Task Name]]="","",IF(Tasks[[#This Row],[_IsSummary]],NETWORKDAYS.INTL(Tasks[[#This Row],[Start]],Tasks[[#This Row],[Finish]],WorkWeek,Holidays),N(Tasks[[#This Row],[_Days]])))</f>
        <v/>
      </c>
      <c r="HF115" s="43" t="n">
        <f aca="false">IF(Tasks[[#This Row],[Expected]]="",0,((Tasks[[#This Row],[Pessimistic]]-Tasks[[#This Row],[Optimistic]])/6)^2)</f>
        <v>0</v>
      </c>
      <c r="HG115" s="43" t="n">
        <f aca="false">IF(Tasks[[#This Row],[Expected]]="",0,Tasks[[#This Row],[Expected]]-N(Tasks[[#This Row],[_Days]]))</f>
        <v>0</v>
      </c>
    </row>
    <row r="116" customFormat="false" ht="15" hidden="false" customHeight="false" outlineLevel="0" collapsed="false">
      <c r="A116" s="21" t="str">
        <f aca="false">IF(Tasks[[#This Row],[Task Name]]="","",COUNTA(Tasks[[#Headers],[Task Name]]:Tasks[[#This Row],[Task Name]])-1)</f>
        <v/>
      </c>
      <c r="B116" s="22" t="n">
        <v>124</v>
      </c>
      <c r="C116" s="22"/>
      <c r="D116" s="23"/>
      <c r="E116" s="22"/>
      <c r="F116" s="23"/>
      <c r="G116" s="22"/>
      <c r="H116" s="22"/>
      <c r="I116" s="23"/>
      <c r="J116" s="22"/>
      <c r="K116" s="22"/>
      <c r="L116" s="23"/>
      <c r="M116" s="22"/>
      <c r="N116" s="22"/>
      <c r="O116" s="23"/>
      <c r="P116" s="22"/>
      <c r="Q116" s="22"/>
      <c r="R116" s="23"/>
      <c r="S116" s="23"/>
      <c r="T116" s="84"/>
      <c r="U116" s="23"/>
      <c r="V116" s="84"/>
      <c r="W116" s="23"/>
      <c r="X116" s="84"/>
      <c r="Y116" s="23"/>
      <c r="Z116" s="84"/>
      <c r="AA116" s="23"/>
      <c r="AB116" s="23"/>
      <c r="AC116" s="7"/>
      <c r="AD116" s="7"/>
      <c r="AE116" s="63" t="str">
        <f aca="false">IF(Tasks[[#This Row],[Task Name]]="","",IF(Tasks[[#This Row],[_IsSummary]],MIN(INDEX(Tasks[_ShownFcstStart],Tasks[[#This Row],[_Row]]+1):INDEX(Tasks[_ShownFcstStart],Tasks[[#This Row],[_Row]]+Tasks[[#This Row],[_Descendants]])),Tasks[[#This Row],[_ShownFcstStart]]))</f>
        <v/>
      </c>
      <c r="AF116" s="63" t="str">
        <f aca="false">IF(Tasks[[#This Row],[Task Name]]="","",IF(Tasks[[#This Row],[_IsSummary]],MAX(INDEX(Tasks[_ShownFcstFinish],Tasks[[#This Row],[_Row]]+1):INDEX(Tasks[_ShownFcstFinish],Tasks[[#This Row],[_Row]]+Tasks[[#This Row],[_Descendants]])),Tasks[[#This Row],[_ShownFcstFinish]]))</f>
        <v/>
      </c>
      <c r="AG116" s="21" t="str">
        <f aca="false">""</f>
        <v/>
      </c>
      <c r="AH116" s="23"/>
      <c r="AI1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6" s="7"/>
      <c r="AK116" s="22"/>
      <c r="AL116" s="23"/>
      <c r="AM116" s="7"/>
      <c r="AN116" s="47" t="str">
        <f aca="false">IF(Tasks[[#This Row],[Task Name]]="","",IF(Tasks[[#This Row],[Finish]]&gt;=Tasks[[#This Row],[Planned Finish]],NETWORKDAYS.INTL(Tasks[[#This Row],[Planned Finish]],Tasks[[#This Row],[Finish]],WorkWeek,Holidays)-1,1-NETWORKDAYS.INTL(Tasks[[#This Row],[Finish]],Tasks[[#This Row],[Planned Finish]],WorkWeek,Holidays)))</f>
        <v/>
      </c>
      <c r="AO116" s="21" t="str">
        <f aca="false">IF(Tasks[[#This Row],[Task Name]]="","",IF(Tasks[[#This Row],[Progress]]&gt;=1,"Complete",IF(OR(N(Tasks[[#This Row],[Actual Start]])&gt;0,Tasks[[#This Row],[Progress]]&gt;0),IF(Tasks[[#This Row],[Finish Var]]&gt;0,"Behind","In Progress"),IF(Tasks[[#This Row],[Planned Start]]&lt;StatusDate,"Late Start","Not Started"))))</f>
        <v/>
      </c>
      <c r="AP116" s="21" t="str">
        <f aca="false">IF(Tasks[[#This Row],[Task Name]]="","",IF(IF(Tasks[[#This Row],[_IsSummary]],COUNTIF(INDEX(Tasks[_LeafCritical],Tasks[[#This Row],[_Row]]+1):INDEX(Tasks[_LeafCritical],Tasks[[#This Row],[_Row]]+Tasks[[#This Row],[_Descendants]]),TRUE())&gt;0,Tasks[[#This Row],[_LeafCritical]]),"Yes",""))</f>
        <v/>
      </c>
      <c r="AQ116" s="63" t="str">
        <f aca="false">IF(Tasks[[#This Row],[Task Name]]="","",IF(N(Tasks[[#This Row],[Baseline Start]])&gt;0,Tasks[[#This Row],[Baseline Start]],Tasks[[#This Row],[_CalcStart]]))</f>
        <v/>
      </c>
      <c r="AR116" s="63" t="str">
        <f aca="false">IF(Tasks[[#This Row],[Task Name]]="","",IF(N(Tasks[[#This Row],[Baseline Finish]])&gt;0,Tasks[[#This Row],[Baseline Finish]],Tasks[[#This Row],[_CalcFinish]]))</f>
        <v/>
      </c>
      <c r="AS116" s="47" t="str">
        <f aca="false">IF(Tasks[[#This Row],[Task Name]]="","",IF(Tasks[[#This Row],[Start]]&gt;=Tasks[[#This Row],[Planned Start]],NETWORKDAYS.INTL(Tasks[[#This Row],[Planned Start]],Tasks[[#This Row],[Start]],WorkWeek,Holidays)-1,1-NETWORKDAYS.INTL(Tasks[[#This Row],[Start]],Tasks[[#This Row],[Planned Start]],WorkWeek,Holidays)))</f>
        <v/>
      </c>
      <c r="AT116" s="63" t="str">
        <f aca="false">IF(Tasks[[#This Row],[Task Name]]="","",IF(Tasks[[#This Row],[_IsSummary]],MIN(INDEX(Tasks[_LeafLateStart],Tasks[[#This Row],[_Row]]+1):INDEX(Tasks[_LeafLateStart],Tasks[[#This Row],[_Row]]+Tasks[[#This Row],[_Descendants]])),Tasks[[#This Row],[_LeafLateStart]]))</f>
        <v/>
      </c>
      <c r="AU116" s="63" t="str">
        <f aca="false">IF(Tasks[[#This Row],[Task Name]]="","",IF(Tasks[[#This Row],[_IsSummary]],MAX(INDEX(Tasks[_LeafLateFinish],Tasks[[#This Row],[_Row]]+1):INDEX(Tasks[_LeafLateFinish],Tasks[[#This Row],[_Row]]+Tasks[[#This Row],[_Descendants]])),Tasks[[#This Row],[_LeafLateFinish]]))</f>
        <v/>
      </c>
      <c r="AV116" s="47" t="str">
        <f aca="false">IF(Tasks[[#This Row],[Task Name]]="","",IF(Tasks[[#This Row],[_IsSummary]],MIN(INDEX(Tasks[_LeafTotalSlack],Tasks[[#This Row],[_Row]]+1):INDEX(Tasks[_LeafTotalSlack],Tasks[[#This Row],[_Row]]+Tasks[[#This Row],[_Descendants]])),Tasks[[#This Row],[_LeafTotalSlack]]))</f>
        <v/>
      </c>
      <c r="AW11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5"/>
      <c r="BA11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t="str">
        <f aca="false">IF(Tasks[[#This Row],[Task Name]]="","",IF(Tasks[[#This Row],[_Level]]&lt;=OutlineShowLevel,"Yes","No"))</f>
        <v/>
      </c>
      <c r="BE116" s="86" t="str">
        <f aca="false">IF(Tasks[[#This Row],[Task Name]]="","",IF(Tasks[[#This Row],[_IsSummary]],SUM(INDEX(Tasks[_LeafTotalWork],Tasks[[#This Row],[_Row]]+1):INDEX(Tasks[_LeafTotalWork],Tasks[[#This Row],[_Row]]+Tasks[[#This Row],[_Descendants]])),Tasks[[#This Row],[_LeafTotalWork]]))</f>
        <v/>
      </c>
      <c r="BF116" s="23"/>
      <c r="BG1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t="str">
        <f aca="false">""</f>
        <v/>
      </c>
      <c r="BI116" s="87"/>
      <c r="BJ116" s="22"/>
      <c r="BK116" s="47" t="str">
        <f aca="false">IF(OR(Tasks[[#This Row],[Task Name]]="",Tasks[[#This Row],[Baseline Duration]]=""),"",Tasks[[#This Row],[_SpanDays]]-N(Tasks[[#This Row],[Baseline Duration]]))</f>
        <v/>
      </c>
      <c r="BL116" s="86" t="str">
        <f aca="false">IF(OR(Tasks[[#This Row],[Task Name]]="",Tasks[[#This Row],[Baseline Work]]=""),"",Tasks[[#This Row],[Work]]-N(Tasks[[#This Row],[Baseline Work]]))</f>
        <v/>
      </c>
      <c r="BM116" s="63" t="str">
        <f aca="false">IF(Tasks[[#This Row],[Task Name]]="","",IF(OR(TakeBaseline="Yes",N(Tasks[[#This Row],[Baseline Start]])=0),Tasks[[#This Row],[Start]],Tasks[[#This Row],[Baseline Start]]))</f>
        <v/>
      </c>
      <c r="BN116" s="63" t="str">
        <f aca="false">IF(Tasks[[#This Row],[Task Name]]="","",IF(OR(TakeBaseline="Yes",N(Tasks[[#This Row],[Baseline Finish]])=0),Tasks[[#This Row],[Finish]],Tasks[[#This Row],[Baseline Finish]]))</f>
        <v/>
      </c>
      <c r="BO116" s="21" t="str">
        <f aca="false">IF(Tasks[[#This Row],[Task Name]]="","",IF(OR(TakeBaseline="Yes",N(Tasks[[#This Row],[Baseline Duration]])=0),Tasks[[#This Row],[_SpanDays]],Tasks[[#This Row],[Baseline Duration]]))</f>
        <v/>
      </c>
      <c r="BP116" s="86" t="str">
        <f aca="false">IF(Tasks[[#This Row],[Task Name]]="","",IF(OR(TakeBaseline="Yes",N(Tasks[[#This Row],[Baseline Work]])=0),Tasks[[#This Row],[Work]],Tasks[[#This Row],[Baseline Work]]))</f>
        <v/>
      </c>
      <c r="BQ116" s="7"/>
      <c r="BR116" s="7"/>
      <c r="BS116" s="22"/>
      <c r="BT116" s="88"/>
      <c r="BU116" s="23"/>
      <c r="BV116" s="23"/>
      <c r="BW116" s="23"/>
      <c r="BX116" s="89" t="str">
        <f aca="false">IF(AND(Tasks[[#This Row],[_IsLeaf]]=1,ISNUMBER(Tasks[[#This Row],[Optimistic]]),ISNUMBER(Tasks[[#This Row],[Pessimistic]])),ROUND((Tasks[[#This Row],[Optimistic]]+4*N(Tasks[[#This Row],[_Days]])+Tasks[[#This Row],[Pessimistic]])/6,1),"")</f>
        <v/>
      </c>
      <c r="BY116" s="87"/>
      <c r="BZ116" s="87"/>
      <c r="CA116" s="22"/>
      <c r="CB116" s="43" t="str">
        <f aca="false">IF(Tasks[[#This Row],[Task Name]]="","",MAX(1,N(Tasks[[#This Row],[Level]])))</f>
        <v/>
      </c>
      <c r="CC116" s="43" t="n">
        <f aca="false">ROW()-ROW(Tasks[[#Headers],[ID]])</f>
        <v>111</v>
      </c>
      <c r="CD116" s="43" t="n">
        <f aca="false">IF(OR(Tasks[[#This Row],[Task Name]]="",Tasks[[#This Row],[_Level]]&lt;=1),0,IFERROR(LOOKUP(2,1/(Tasks[[#Headers],[_Level]]:Tasks[[#This Row],[_Level]]=Tasks[[#This Row],[_Level]]-1),ROW(Tasks[[#Headers],[_Level]]:Tasks[[#This Row],[_Level]])),0))</f>
        <v>0</v>
      </c>
      <c r="CE116" s="43" t="n">
        <f aca="false">IFERROR(N(INDEX(Tasks[_Level],Tasks[[#This Row],[_Row]]+1)),0)</f>
        <v>0</v>
      </c>
      <c r="CF116" s="90" t="b">
        <f aca="false">AND(Tasks[[#This Row],[Task Name]]&lt;&gt;"",Tasks[[#This Row],[_NextLevel]]&gt;Tasks[[#This Row],[_Level]])</f>
        <v>0</v>
      </c>
      <c r="CG116" s="43" t="n">
        <f aca="false">IF(Tasks[[#This Row],[_IsSummary]],COUNTIF(Tasks[WBS],Tasks[[#This Row],[WBS]]&amp;".*"),0)</f>
        <v>0</v>
      </c>
      <c r="CH116" s="43" t="n">
        <f aca="false">IF(AND(Tasks[[#This Row],[Task Name]]&lt;&gt;"",NOT(Tasks[[#This Row],[_IsSummary]])),1,0)</f>
        <v>0</v>
      </c>
      <c r="CI116" s="43" t="n">
        <f aca="false">IF(N(Tasks[[#This Row],[_Pred1UID]])=0,0,IFERROR(MATCH(Tasks[[#This Row],[_Pred1UID]],Tasks[UID],0),-1))</f>
        <v>0</v>
      </c>
      <c r="CJ116" s="43" t="n">
        <f aca="false">IF(N(Tasks[[#This Row],[_Pred2UID]])=0,0,IFERROR(MATCH(Tasks[[#This Row],[_Pred2UID]],Tasks[UID],0),-1))</f>
        <v>0</v>
      </c>
      <c r="CK116" s="43" t="n">
        <f aca="false">IF(N(Tasks[[#This Row],[_Pred3UID]])=0,0,IFERROR(MATCH(Tasks[[#This Row],[_Pred3UID]],Tasks[UID],0),-1))</f>
        <v>0</v>
      </c>
      <c r="CL116" s="43" t="n">
        <f aca="false">IF(N(Tasks[[#This Row],[_Pred4UID]])=0,0,IFERROR(MATCH(Tasks[[#This Row],[_Pred4UID]],Tasks[UID],0),-1))</f>
        <v>0</v>
      </c>
      <c r="CM11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6" s="91" t="n">
        <f aca="false">IF(OR(Tasks[[#This Row],[_ConstraintCode]]=2,Tasks[[#This Row],[_ConstraintCode]]=3,Tasks[[#This Row],[_ConstraintCode]]=4,Tasks[[#This Row],[_ConstraintCode]]=6),Tasks[[#This Row],[_ConstraintStart]],0)</f>
        <v>0</v>
      </c>
      <c r="CP116" s="91" t="n">
        <f aca="false">IF(OR(Tasks[[#This Row],[_ConstraintCode]]=2,Tasks[[#This Row],[_ConstraintCode]]=3,Tasks[[#This Row],[_ConstraintCode]]=5,Tasks[[#This Row],[_ConstraintCode]]=7),Tasks[[#This Row],[_ConstraintStart]],2958465)</f>
        <v>2958465</v>
      </c>
      <c r="CQ11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6" s="91" t="str">
        <f aca="false">IF(NOT(Tasks[[#This Row],[_IsLeaf]]=1),"",IF(N(Tasks[[#This Row],[_Days]])&lt;=0,Tasks[[#This Row],[_LeafCalcStart]],WORKDAY.INTL(Tasks[[#This Row],[_LeafCalcStart]],Tasks[[#This Row],[_Days]]-1,WorkWeek,Holidays)))</f>
        <v/>
      </c>
      <c r="CS11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6" s="43" t="str">
        <f aca="false">IF(Tasks[[#This Row],[_Predecessors]]="","",TRIM(MID(SUBSTITUTE(SUBSTITUTE(SUBSTITUTE(UPPER(Tasks[[#This Row],[_Predecessors]]),";",",")," ",""),",",REPT(" ",99)),1,99)))</f>
        <v/>
      </c>
      <c r="CV116" s="43" t="str">
        <f aca="false">IF(Tasks[[#This Row],[_Pred1Text]]="","",IFERROR(VALUE(LEFT(Tasks[[#This Row],[_Pred1Text]],MIN(FIND("F",Tasks[[#This Row],[_Pred1Text]]&amp;"F"),FIND("S",Tasks[[#This Row],[_Pred1Text]]&amp;"S"),FIND("+",Tasks[[#This Row],[_Pred1Text]]&amp;"+"),FIND("-",Tasks[[#This Row],[_Pred1Text]]&amp;"-"))-1)),""))</f>
        <v/>
      </c>
      <c r="CW1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6" s="43" t="str">
        <f aca="false">IF(Tasks[[#This Row],[_Pred1Text]]="","",TRIM(MID(SUBSTITUTE(SUBSTITUTE(SUBSTITUTE(UPPER(Tasks[[#This Row],[_Predecessors]]),";",",")," ",""),",",REPT(" ",99)),100,99)))</f>
        <v/>
      </c>
      <c r="CZ116" s="43" t="str">
        <f aca="false">IF(Tasks[[#This Row],[_Pred2Text]]="","",IFERROR(VALUE(LEFT(Tasks[[#This Row],[_Pred2Text]],MIN(FIND("F",Tasks[[#This Row],[_Pred2Text]]&amp;"F"),FIND("S",Tasks[[#This Row],[_Pred2Text]]&amp;"S"),FIND("+",Tasks[[#This Row],[_Pred2Text]]&amp;"+"),FIND("-",Tasks[[#This Row],[_Pred2Text]]&amp;"-"))-1)),""))</f>
        <v/>
      </c>
      <c r="DA1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6" s="43" t="str">
        <f aca="false">IF(Tasks[[#This Row],[_Pred2Text]]="","",TRIM(MID(SUBSTITUTE(SUBSTITUTE(SUBSTITUTE(UPPER(Tasks[[#This Row],[_Predecessors]]),";",",")," ",""),",",REPT(" ",99)),199,99)))</f>
        <v/>
      </c>
      <c r="DD116" s="43" t="str">
        <f aca="false">IF(Tasks[[#This Row],[_Pred3Text]]="","",IFERROR(VALUE(LEFT(Tasks[[#This Row],[_Pred3Text]],MIN(FIND("F",Tasks[[#This Row],[_Pred3Text]]&amp;"F"),FIND("S",Tasks[[#This Row],[_Pred3Text]]&amp;"S"),FIND("+",Tasks[[#This Row],[_Pred3Text]]&amp;"+"),FIND("-",Tasks[[#This Row],[_Pred3Text]]&amp;"-"))-1)),""))</f>
        <v/>
      </c>
      <c r="DE1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6" s="43" t="str">
        <f aca="false">IF(Tasks[[#This Row],[_Pred3Text]]="","",TRIM(MID(SUBSTITUTE(SUBSTITUTE(SUBSTITUTE(UPPER(Tasks[[#This Row],[_Predecessors]]),";",",")," ",""),",",REPT(" ",99)),298,99)))</f>
        <v/>
      </c>
      <c r="DH116" s="43" t="str">
        <f aca="false">IF(Tasks[[#This Row],[_Pred4Text]]="","",IFERROR(VALUE(LEFT(Tasks[[#This Row],[_Pred4Text]],MIN(FIND("F",Tasks[[#This Row],[_Pred4Text]]&amp;"F"),FIND("S",Tasks[[#This Row],[_Pred4Text]]&amp;"S"),FIND("+",Tasks[[#This Row],[_Pred4Text]]&amp;"+"),FIND("-",Tasks[[#This Row],[_Pred4Text]]&amp;"-"))-1)),""))</f>
        <v/>
      </c>
      <c r="DI1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6" s="43" t="str">
        <f aca="false">IF(OR(Tasks[[#This Row],[Task Name]]="",Tasks[[#This Row],[_Resources]]=""),"",TRIM(MID(SUBSTITUTE(Tasks[[#This Row],[_Resources]],",",REPT(" ",99)),1,99)))</f>
        <v/>
      </c>
      <c r="DL116" s="43" t="str">
        <f aca="false">IF(Tasks[[#This Row],[_Res1Text]]="","",TRIM(MID(SUBSTITUTE(Tasks[[#This Row],[_Resources]],",",REPT(" ",99)),100,99)))</f>
        <v/>
      </c>
      <c r="DM116" s="43" t="str">
        <f aca="false">IF(Tasks[[#This Row],[_Res2Text]]="","",TRIM(MID(SUBSTITUTE(Tasks[[#This Row],[_Resources]],",",REPT(" ",99)),199,99)))</f>
        <v/>
      </c>
      <c r="DN116" s="43" t="str">
        <f aca="false">IF(Tasks[[#This Row],[_Res3Text]]="","",TRIM(MID(SUBSTITUTE(Tasks[[#This Row],[_Resources]],",",REPT(" ",99)),298,99)))</f>
        <v/>
      </c>
      <c r="DO116" s="43" t="n">
        <f aca="false">IF(Tasks[[#This Row],[_Res1Text]]="",0,IFERROR(MATCH(TRIM(LEFT(Tasks[[#This Row],[_Res1Text]],FIND("[",Tasks[[#This Row],[_Res1Text]]&amp;"[")-1)),res_Name,0),IFERROR(MATCH(TRIM(LEFT(Tasks[[#This Row],[_Res1Text]],FIND("[",Tasks[[#This Row],[_Res1Text]]&amp;"[")-1)),res_Initials,0),0)))</f>
        <v>0</v>
      </c>
      <c r="DP116" s="43" t="n">
        <f aca="false">IF(Tasks[[#This Row],[_Res2Text]]="",0,IFERROR(MATCH(TRIM(LEFT(Tasks[[#This Row],[_Res2Text]],FIND("[",Tasks[[#This Row],[_Res2Text]]&amp;"[")-1)),res_Name,0),IFERROR(MATCH(TRIM(LEFT(Tasks[[#This Row],[_Res2Text]],FIND("[",Tasks[[#This Row],[_Res2Text]]&amp;"[")-1)),res_Initials,0),0)))</f>
        <v>0</v>
      </c>
      <c r="DQ116" s="43" t="n">
        <f aca="false">IF(Tasks[[#This Row],[_Res3Text]]="",0,IFERROR(MATCH(TRIM(LEFT(Tasks[[#This Row],[_Res3Text]],FIND("[",Tasks[[#This Row],[_Res3Text]]&amp;"[")-1)),res_Name,0),IFERROR(MATCH(TRIM(LEFT(Tasks[[#This Row],[_Res3Text]],FIND("[",Tasks[[#This Row],[_Res3Text]]&amp;"[")-1)),res_Initials,0),0)))</f>
        <v>0</v>
      </c>
      <c r="DR116" s="43" t="n">
        <f aca="false">IF(Tasks[[#This Row],[_Res4Text]]="",0,IFERROR(MATCH(TRIM(LEFT(Tasks[[#This Row],[_Res4Text]],FIND("[",Tasks[[#This Row],[_Res4Text]]&amp;"[")-1)),res_Name,0),IFERROR(MATCH(TRIM(LEFT(Tasks[[#This Row],[_Res4Text]],FIND("[",Tasks[[#This Row],[_Res4Text]]&amp;"[")-1)),res_Initials,0),0)))</f>
        <v>0</v>
      </c>
      <c r="DS116" s="43" t="str">
        <f aca="false">IF(Tasks[[#This Row],[_Res1Text]]="","",IF(Tasks[[#This Row],[_Res1Row]]&gt;0,INDEX(res_Name,Tasks[[#This Row],[_Res1Row]]),TRIM(LEFT(Tasks[[#This Row],[_Res1Text]],FIND("[",Tasks[[#This Row],[_Res1Text]]&amp;"[")-1))))</f>
        <v/>
      </c>
      <c r="DT1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6" s="43" t="n">
        <f aca="false">IF(NOT(Tasks[[#This Row],[_IsLeaf]]=1),0,(Tasks[[#This Row],[_Resource1]]&lt;&gt;"")+(Tasks[[#This Row],[_Res2]]&lt;&gt;"")+(Tasks[[#This Row],[_Res3]]&lt;&gt;"")+(Tasks[[#This Row],[_Res4]]&lt;&gt;""))</f>
        <v>0</v>
      </c>
      <c r="DV116" s="43" t="str">
        <f aca="false">IF(Tasks[[#This Row],[_Res2Text]]="","",IF(Tasks[[#This Row],[_Res2Row]]&gt;0,INDEX(res_Name,Tasks[[#This Row],[_Res2Row]]),TRIM(LEFT(Tasks[[#This Row],[_Res2Text]],FIND("[",Tasks[[#This Row],[_Res2Text]]&amp;"[")-1))))</f>
        <v/>
      </c>
      <c r="DW1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6" s="43" t="n">
        <f aca="false">IF(OR(NOT(Tasks[[#This Row],[_IsLeaf]]=1),Tasks[[#This Row],[_Res2Row]]=0),0,N(Tasks[[#This Row],[_Days]])*HoursPerDay*IF(Tasks[[#This Row],[_Res2Units]]="",DefaultUnits,Tasks[[#This Row],[_Res2Units]]))</f>
        <v>0</v>
      </c>
      <c r="DY116" s="43" t="n">
        <f aca="false">IF(AND(AND(Tasks[[#This Row],[_IsLeaf]]=1,Tasks[[#This Row],[_LeafTotalWork]]&gt;0),Tasks[[#This Row],[_Res2Work]]&gt;0),Tasks[[#This Row],[_Res2Work]]/(Tasks[[#This Row],[_FinishWorkday]]-Tasks[[#This Row],[_StartWorkday]]+1),0)</f>
        <v>0</v>
      </c>
      <c r="DZ116" s="43" t="n">
        <f aca="false">Tasks[[#This Row],[_Res2WorkPerWD]]*MAX(0,Tasks[[#This Row],[_StartWorkday]]-1)</f>
        <v>0</v>
      </c>
      <c r="EA116" s="43" t="n">
        <f aca="false">Tasks[[#This Row],[_Res2Work]]*Tasks[[#This Row],[_LeafProgress]]</f>
        <v>0</v>
      </c>
      <c r="EB116" s="43" t="str">
        <f aca="false">IF(Tasks[[#This Row],[_Res3Text]]="","",IF(Tasks[[#This Row],[_Res3Row]]&gt;0,INDEX(res_Name,Tasks[[#This Row],[_Res3Row]]),TRIM(LEFT(Tasks[[#This Row],[_Res3Text]],FIND("[",Tasks[[#This Row],[_Res3Text]]&amp;"[")-1))))</f>
        <v/>
      </c>
      <c r="EC1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6" s="43" t="n">
        <f aca="false">IF(OR(NOT(Tasks[[#This Row],[_IsLeaf]]=1),Tasks[[#This Row],[_Res3Row]]=0),0,N(Tasks[[#This Row],[_Days]])*HoursPerDay*IF(Tasks[[#This Row],[_Res3Units]]="",DefaultUnits,Tasks[[#This Row],[_Res3Units]]))</f>
        <v>0</v>
      </c>
      <c r="EE116" s="43" t="n">
        <f aca="false">IF(AND(AND(Tasks[[#This Row],[_IsLeaf]]=1,Tasks[[#This Row],[_LeafTotalWork]]&gt;0),Tasks[[#This Row],[_Res3Work]]&gt;0),Tasks[[#This Row],[_Res3Work]]/(Tasks[[#This Row],[_FinishWorkday]]-Tasks[[#This Row],[_StartWorkday]]+1),0)</f>
        <v>0</v>
      </c>
      <c r="EF116" s="43" t="n">
        <f aca="false">Tasks[[#This Row],[_Res3WorkPerWD]]*MAX(0,Tasks[[#This Row],[_StartWorkday]]-1)</f>
        <v>0</v>
      </c>
      <c r="EG116" s="43" t="n">
        <f aca="false">Tasks[[#This Row],[_Res3Work]]*Tasks[[#This Row],[_LeafProgress]]</f>
        <v>0</v>
      </c>
      <c r="EH116" s="43" t="str">
        <f aca="false">IF(Tasks[[#This Row],[_Res4Text]]="","",IF(Tasks[[#This Row],[_Res4Row]]&gt;0,INDEX(res_Name,Tasks[[#This Row],[_Res4Row]]),TRIM(LEFT(Tasks[[#This Row],[_Res4Text]],FIND("[",Tasks[[#This Row],[_Res4Text]]&amp;"[")-1))))</f>
        <v/>
      </c>
      <c r="EI1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6" s="43" t="n">
        <f aca="false">IF(OR(NOT(Tasks[[#This Row],[_IsLeaf]]=1),Tasks[[#This Row],[_Res4Row]]=0),0,N(Tasks[[#This Row],[_Days]])*HoursPerDay*IF(Tasks[[#This Row],[_Res4Units]]="",DefaultUnits,Tasks[[#This Row],[_Res4Units]]))</f>
        <v>0</v>
      </c>
      <c r="EK116" s="43" t="n">
        <f aca="false">IF(AND(AND(Tasks[[#This Row],[_IsLeaf]]=1,Tasks[[#This Row],[_LeafTotalWork]]&gt;0),Tasks[[#This Row],[_Res4Work]]&gt;0),Tasks[[#This Row],[_Res4Work]]/(Tasks[[#This Row],[_FinishWorkday]]-Tasks[[#This Row],[_StartWorkday]]+1),0)</f>
        <v>0</v>
      </c>
      <c r="EL116" s="43" t="n">
        <f aca="false">Tasks[[#This Row],[_Res4WorkPerWD]]*MAX(0,Tasks[[#This Row],[_StartWorkday]]-1)</f>
        <v>0</v>
      </c>
      <c r="EM116" s="43" t="n">
        <f aca="false">Tasks[[#This Row],[_Res4Work]]*Tasks[[#This Row],[_LeafProgress]]</f>
        <v>0</v>
      </c>
      <c r="EN116" s="43" t="n">
        <f aca="false">IF(ISNUMBER(Tasks[[#This Row],[% Complete]]),Tasks[[#This Row],[% Complete]],IF(Tasks[[#This Row],[Stage]]="",0,IFERROR(INDEX(stg_Pct,MATCH(Tasks[[#This Row],[Stage]],stg_Name,0)),0)))</f>
        <v>0</v>
      </c>
      <c r="EO116" s="43" t="n">
        <f aca="false">IF(NOT(Tasks[[#This Row],[_IsLeaf]]=1),0,IF(N(Tasks[[#This Row],[Actual Finish]])&gt;0,1,MIN(1,Tasks[[#This Row],[_Pct]])))</f>
        <v>0</v>
      </c>
      <c r="EP116" s="43" t="n">
        <f aca="false">IF(OR(NOT(Tasks[[#This Row],[_IsLeaf]]=1),Tasks[[#This Row],[_Res1Row]]=0),0,N(Tasks[[#This Row],[_Days]])*HoursPerDay*IF(Tasks[[#This Row],[_Units1]]="",DefaultUnits,Tasks[[#This Row],[_Units1]]))</f>
        <v>0</v>
      </c>
      <c r="EQ116" s="43" t="n">
        <f aca="false">Tasks[[#This Row],[_LeafWork]]+Tasks[[#This Row],[_Res2Work]]+Tasks[[#This Row],[_Res3Work]]+Tasks[[#This Row],[_Res4Work]]</f>
        <v>0</v>
      </c>
      <c r="ER11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6" s="43" t="n">
        <f aca="false">IF(NOT(Tasks[[#This Row],[_IsLeaf]]=1),0,MAX(_xlfn.MAXIFS(Tasks[_Row],Tasks[_Pred1UID],Tasks[[#This Row],[UID]]),_xlfn.MAXIFS(Tasks[_Row],Tasks[_Pred2UID],Tasks[[#This Row],[UID]]),_xlfn.MAXIFS(Tasks[_Row],Tasks[_Pred3UID],Tasks[[#This Row],[UID]]),_xlfn.MAXIFS(Tasks[_Row],Tasks[_Pred4UID],Tasks[[#This Row],[UID]])))</f>
        <v>0</v>
      </c>
      <c r="FA11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6" s="91" t="str">
        <f aca="false">IF(NOT(Tasks[[#This Row],[_IsLeaf]]=1),"",IF(N(Tasks[[#This Row],[_Days]])&lt;=0,Tasks[[#This Row],[_LeafLateFinish]],WORKDAY.INTL(Tasks[[#This Row],[_LeafLateFinish]],-(Tasks[[#This Row],[_Days]]-1),WorkWeek,Holidays)))</f>
        <v/>
      </c>
      <c r="FD11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6" s="90" t="b">
        <f aca="false">AND(Tasks[[#This Row],[_IsLeaf]]=1,Tasks[[#This Row],[_LeafProgress]]&lt;1,N(Tasks[[#This Row],[_LeafTotalSlack]])&lt;=CriticalSlackDays)</f>
        <v>0</v>
      </c>
      <c r="FF116" s="43" t="n">
        <f aca="false">IF(AND(Tasks[[#This Row],[_IsLeaf]]=1,Tasks[[#This Row],[_ConstraintCode]]=1,Tasks[[#This Row],[Mode]]&lt;&gt;"Manual",N(Tasks[[#This Row],[Actual Start]])=0),MAX(0,N(Tasks[[#This Row],[Free Slack]])),0)</f>
        <v>0</v>
      </c>
      <c r="FG116" s="91" t="str">
        <f aca="false">IF(NOT(Tasks[[#This Row],[_IsLeaf]]=1),"",IF(Tasks[[#This Row],[_AlapShift]]=0,Tasks[[#This Row],[_LeafCalcStart]],WORKDAY.INTL(Tasks[[#This Row],[_LeafCalcStart]],Tasks[[#This Row],[_AlapShift]],WorkWeek,Holidays)))</f>
        <v/>
      </c>
      <c r="FH116" s="91" t="str">
        <f aca="false">IF(NOT(Tasks[[#This Row],[_IsLeaf]]=1),"",IF(Tasks[[#This Row],[_AlapShift]]=0,Tasks[[#This Row],[_LeafCalcFinish]],WORKDAY.INTL(Tasks[[#This Row],[_LeafCalcFinish]],Tasks[[#This Row],[_AlapShift]],WorkWeek,Holidays)))</f>
        <v/>
      </c>
      <c r="FI116" s="91" t="str">
        <f aca="false">IF(NOT(Tasks[[#This Row],[_IsLeaf]]=1),"",IF(Tasks[[#This Row],[_AlapShift]]=0,Tasks[[#This Row],[_LeafFcstStart]],WORKDAY.INTL(Tasks[[#This Row],[_LeafFcstStart]],Tasks[[#This Row],[_AlapShift]],WorkWeek,Holidays)))</f>
        <v/>
      </c>
      <c r="FJ116" s="91" t="str">
        <f aca="false">IF(NOT(Tasks[[#This Row],[_IsLeaf]]=1),"",IF(Tasks[[#This Row],[_AlapShift]]=0,Tasks[[#This Row],[_LeafFcstFinish]],WORKDAY.INTL(Tasks[[#This Row],[_LeafFcstFinish]],Tasks[[#This Row],[_AlapShift]],WorkWeek,Holidays)))</f>
        <v/>
      </c>
      <c r="FK116" s="91" t="str">
        <f aca="false">IF(Tasks[[#This Row],[Task Name]]="","",IF(Tasks[[#This Row],[_IsSummary]],MIN(INDEX(Tasks[_ShownCalcStart],Tasks[[#This Row],[_Row]]+1):INDEX(Tasks[_ShownCalcStart],Tasks[[#This Row],[_Row]]+Tasks[[#This Row],[_Descendants]])),Tasks[[#This Row],[_ShownCalcStart]]))</f>
        <v/>
      </c>
      <c r="FL116" s="91" t="str">
        <f aca="false">IF(Tasks[[#This Row],[Task Name]]="","",IF(Tasks[[#This Row],[_IsSummary]],MAX(INDEX(Tasks[_ShownCalcFinish],Tasks[[#This Row],[_Row]]+1):INDEX(Tasks[_ShownCalcFinish],Tasks[[#This Row],[_Row]]+Tasks[[#This Row],[_Descendants]])),Tasks[[#This Row],[_ShownCalcFinish]]))</f>
        <v/>
      </c>
      <c r="FM1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6" s="43" t="n">
        <f aca="false">IF(AND(Tasks[[#This Row],[_IsLeaf]]=1,Tasks[[#This Row],[_LeafTotalWork]]&gt;0),NETWORKDAYS.INTL(ProjectStart,Tasks[[#This Row],[_ShownFcstStart]],WorkWeek,Holidays),0)</f>
        <v>0</v>
      </c>
      <c r="FZ116" s="43" t="n">
        <f aca="false">IF(AND(Tasks[[#This Row],[_IsLeaf]]=1,Tasks[[#This Row],[_LeafTotalWork]]&gt;0),MAX(Tasks[[#This Row],[_StartWorkday]],NETWORKDAYS.INTL(ProjectStart,Tasks[[#This Row],[_ShownFcstFinish]],WorkWeek,Holidays)),0)</f>
        <v>0</v>
      </c>
      <c r="GA116" s="43" t="n">
        <f aca="false">IF(AND(Tasks[[#This Row],[_IsLeaf]]=1,Tasks[[#This Row],[_LeafTotalWork]]&gt;0),Tasks[[#This Row],[_LeafWork]]/(Tasks[[#This Row],[_FinishWorkday]]-Tasks[[#This Row],[_StartWorkday]]+1),0)</f>
        <v>0</v>
      </c>
      <c r="GB116" s="43" t="n">
        <f aca="false">Tasks[[#This Row],[_WorkPerWorkday]]*(Tasks[[#This Row],[_StartWorkday]]-1)</f>
        <v>-0</v>
      </c>
      <c r="GC116" s="43" t="n">
        <f aca="false">IF(Tasks[[#This Row],[_IsLeaf]]=1,MAX(N(Tasks[[#This Row],[_Days]]),0.1),0)</f>
        <v>0</v>
      </c>
      <c r="GD116" s="43" t="n">
        <f aca="false">Tasks[[#This Row],[_WeightDur]]*Tasks[[#This Row],[_LeafProgress]]</f>
        <v>0</v>
      </c>
      <c r="GE116" s="43" t="n">
        <f aca="false">Tasks[[#This Row],[_WeightDur]]*Tasks[[#This Row],[_PlannedPct]]</f>
        <v>0</v>
      </c>
      <c r="GF1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6" s="43" t="str">
        <f aca="false">IF(AND(Tasks[[#This Row],[_IsLeaf]]=1,N(Tasks[[#This Row],[_Days]])=0,Tasks[[#This Row],[_LeafProgress]]&lt;1),Tasks[[#This Row],[_ShownFcstFinish]]+Tasks[[#This Row],[_Row]]/100000,"")</f>
        <v/>
      </c>
      <c r="GH1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6" s="43" t="str">
        <f aca="false">IF(Tasks[[#This Row],[Task Name]]="","",LEFT(Tasks[[#This Row],[WBS]],FIND(".",Tasks[[#This Row],[WBS]]&amp;".")-1))</f>
        <v/>
      </c>
      <c r="GJ116" s="43" t="str">
        <f aca="false">IF(AND(Tasks[[#This Row],[Task Name]]&lt;&gt;"",Tasks[[#This Row],[_Level]]=1),Tasks[[#This Row],[_Row]],"")</f>
        <v/>
      </c>
      <c r="GK116" s="43" t="str">
        <f aca="false">IF(AND(Tasks[[#This Row],[_IsLeaf]]=1,N(Tasks[[#This Row],[_Days]])=0),Tasks[[#This Row],[Planned Finish]]+Tasks[[#This Row],[_Row]]/100000,"")</f>
        <v/>
      </c>
      <c r="GL116" s="43" t="str">
        <f aca="false">IF(AND(Tasks[[#This Row],[_IsLeaf]]=1,Tasks[[#This Row],[_LeafProgress]]&lt;1,OR(N(Tasks[[#This Row],[Finish Var]])&gt;0,Tasks[[#This Row],[Status]]="Late Start")),MAX(0,Tasks[[#This Row],[Finish Var]])+1-Tasks[[#This Row],[_Row]]/1000000,"")</f>
        <v/>
      </c>
      <c r="GM116" s="43" t="str">
        <f aca="false">IF(AND(Tasks[[#This Row],[_IsLeaf]]=1,N(Tasks[[#This Row],[Actual Start]])=0,Tasks[[#This Row],[_ShownFcstStart]]&gt;=StatusDate,Tasks[[#This Row],[_ShownFcstStart]]&lt;=LookaheadEnd),Tasks[[#This Row],[_ShownFcstStart]]+Tasks[[#This Row],[_Row]]/100000,"")</f>
        <v/>
      </c>
      <c r="GN116" s="43" t="str">
        <f aca="false">IF(AND(Tasks[[#This Row],[_IsLeaf]]=1,Tasks[[#This Row],[_LeafProgress]]&lt;1,Tasks[[#This Row],[_ShownFcstFinish]]&gt;=StatusDate,Tasks[[#This Row],[_ShownFcstFinish]]&lt;=LookaheadEnd),Tasks[[#This Row],[_ShownFcstFinish]]+Tasks[[#This Row],[_Row]]/100000,"")</f>
        <v/>
      </c>
      <c r="GO116" s="43" t="str">
        <f aca="false">IF(Tasks[[#This Row],[_LeafCritical]],Tasks[[#This Row],[_ShownFcstStart]]+Tasks[[#This Row],[_Row]]/100000,"")</f>
        <v/>
      </c>
      <c r="GP116" s="43" t="n">
        <f aca="false">Tasks[[#This Row],[_LeafWork]]*Tasks[[#This Row],[_LeafProgress]]</f>
        <v>0</v>
      </c>
      <c r="GQ116" s="91" t="str">
        <f aca="false">IF(AND(Tasks[[#This Row],[_IsLeaf]]=1,Tasks[[#This Row],[_LeafProgress]]&gt;=1),IF(N(Tasks[[#This Row],[Actual Finish]])&gt;0,Tasks[[#This Row],[Actual Finish]],Tasks[[#This Row],[_ShownFcstFinish]]),"")</f>
        <v/>
      </c>
      <c r="GR116" s="43" t="n">
        <f aca="false">IF(Tasks[[#This Row],[_IsLeaf]]=1,N(Tasks[[#This Row],[Story Points]]),0)</f>
        <v>0</v>
      </c>
      <c r="GS116" s="43" t="str">
        <f aca="false">""</f>
        <v/>
      </c>
      <c r="GT116" s="90" t="b">
        <f aca="false">IF(Tasks[[#This Row],[Task Name]]="",FALSE(),AND(Tasks[[#This Row],[_IsLeaf]]=1,N(Tasks[[#This Row],[_Days]])=0))</f>
        <v>0</v>
      </c>
      <c r="GU116" s="91" t="n">
        <f aca="false">IF(Tasks[[#This Row],[Task Name]]="",0,IF(AND(Tasks[[#This Row],[_IsLeaf]]=1,NOT(Tasks[[#This Row],[_IsMilestone]]),N(Tasks[[#This Row],[Progress]])&gt;0),Tasks[[#This Row],[Start]],0))</f>
        <v>0</v>
      </c>
      <c r="GV116" s="91" t="n">
        <f aca="false">IF(Tasks[[#This Row],[_DoneFrom]]=0,0,IF(Tasks[[#This Row],[Progress]]&gt;=1,Tasks[[#This Row],[Finish]],MAX(Tasks[[#This Row],[_DoneFrom]],Tasks[[#This Row],[Start]]+ROUND((Tasks[[#This Row],[Finish]]-Tasks[[#This Row],[Start]]+1)*Tasks[[#This Row],[Progress]],0)-1)))</f>
        <v>0</v>
      </c>
      <c r="GW116" s="91" t="n">
        <f aca="false">IF(Tasks[[#This Row],[Task Name]]="",0,IF(OR(NOT(Tasks[[#This Row],[_IsLeaf]]=1),Tasks[[#This Row],[_IsMilestone]],N(Tasks[[#This Row],[Progress]])&gt;=1),0,IF(Tasks[[#This Row],[_DoneTo]]&gt;0,Tasks[[#This Row],[_DoneTo]]+1,Tasks[[#This Row],[Start]])))</f>
        <v>0</v>
      </c>
      <c r="GX116" s="91" t="n">
        <f aca="false">IF(Tasks[[#This Row],[_RemFrom]]=0,0,Tasks[[#This Row],[Finish]])</f>
        <v>0</v>
      </c>
      <c r="GY116" s="90" t="b">
        <f aca="false">IF(Tasks[[#This Row],[Task Name]]="",FALSE(),OR(NOT(BaselineSet),N(Tasks[[#This Row],[Baseline Start]])&gt;0))</f>
        <v>0</v>
      </c>
      <c r="GZ11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6" s="92" t="str">
        <f aca="false">IF(Tasks[[#This Row],[_IsLeaf]]=1,Tasks[[#This Row],[_Row]],"")</f>
        <v/>
      </c>
      <c r="HD116" s="92" t="str">
        <f aca="false">IFERROR(INDEX(Tasks[UID],SMALL(Tasks[_PickKey],Tasks[[#This Row],[_Row]]))&amp;" "&amp;INDEX(Tasks[Task Name],SMALL(Tasks[_PickKey],Tasks[[#This Row],[_Row]])),"")</f>
        <v/>
      </c>
      <c r="HE116" s="43" t="str">
        <f aca="false">IF(Tasks[[#This Row],[Task Name]]="","",IF(Tasks[[#This Row],[_IsSummary]],NETWORKDAYS.INTL(Tasks[[#This Row],[Start]],Tasks[[#This Row],[Finish]],WorkWeek,Holidays),N(Tasks[[#This Row],[_Days]])))</f>
        <v/>
      </c>
      <c r="HF116" s="43" t="n">
        <f aca="false">IF(Tasks[[#This Row],[Expected]]="",0,((Tasks[[#This Row],[Pessimistic]]-Tasks[[#This Row],[Optimistic]])/6)^2)</f>
        <v>0</v>
      </c>
      <c r="HG116" s="43" t="n">
        <f aca="false">IF(Tasks[[#This Row],[Expected]]="",0,Tasks[[#This Row],[Expected]]-N(Tasks[[#This Row],[_Days]]))</f>
        <v>0</v>
      </c>
    </row>
    <row r="117" customFormat="false" ht="15" hidden="false" customHeight="false" outlineLevel="0" collapsed="false">
      <c r="A117" s="21" t="str">
        <f aca="false">IF(Tasks[[#This Row],[Task Name]]="","",COUNTA(Tasks[[#Headers],[Task Name]]:Tasks[[#This Row],[Task Name]])-1)</f>
        <v/>
      </c>
      <c r="B117" s="22" t="n">
        <v>125</v>
      </c>
      <c r="C117" s="22"/>
      <c r="D117" s="23"/>
      <c r="E117" s="22"/>
      <c r="F117" s="23"/>
      <c r="G117" s="22"/>
      <c r="H117" s="22"/>
      <c r="I117" s="23"/>
      <c r="J117" s="22"/>
      <c r="K117" s="22"/>
      <c r="L117" s="23"/>
      <c r="M117" s="22"/>
      <c r="N117" s="22"/>
      <c r="O117" s="23"/>
      <c r="P117" s="22"/>
      <c r="Q117" s="22"/>
      <c r="R117" s="23"/>
      <c r="S117" s="23"/>
      <c r="T117" s="84"/>
      <c r="U117" s="23"/>
      <c r="V117" s="84"/>
      <c r="W117" s="23"/>
      <c r="X117" s="84"/>
      <c r="Y117" s="23"/>
      <c r="Z117" s="84"/>
      <c r="AA117" s="23"/>
      <c r="AB117" s="23"/>
      <c r="AC117" s="7"/>
      <c r="AD117" s="7"/>
      <c r="AE117" s="63" t="str">
        <f aca="false">IF(Tasks[[#This Row],[Task Name]]="","",IF(Tasks[[#This Row],[_IsSummary]],MIN(INDEX(Tasks[_ShownFcstStart],Tasks[[#This Row],[_Row]]+1):INDEX(Tasks[_ShownFcstStart],Tasks[[#This Row],[_Row]]+Tasks[[#This Row],[_Descendants]])),Tasks[[#This Row],[_ShownFcstStart]]))</f>
        <v/>
      </c>
      <c r="AF117" s="63" t="str">
        <f aca="false">IF(Tasks[[#This Row],[Task Name]]="","",IF(Tasks[[#This Row],[_IsSummary]],MAX(INDEX(Tasks[_ShownFcstFinish],Tasks[[#This Row],[_Row]]+1):INDEX(Tasks[_ShownFcstFinish],Tasks[[#This Row],[_Row]]+Tasks[[#This Row],[_Descendants]])),Tasks[[#This Row],[_ShownFcstFinish]]))</f>
        <v/>
      </c>
      <c r="AG117" s="21" t="str">
        <f aca="false">""</f>
        <v/>
      </c>
      <c r="AH117" s="23"/>
      <c r="AI1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7" s="7"/>
      <c r="AK117" s="22"/>
      <c r="AL117" s="23"/>
      <c r="AM117" s="7"/>
      <c r="AN117" s="47" t="str">
        <f aca="false">IF(Tasks[[#This Row],[Task Name]]="","",IF(Tasks[[#This Row],[Finish]]&gt;=Tasks[[#This Row],[Planned Finish]],NETWORKDAYS.INTL(Tasks[[#This Row],[Planned Finish]],Tasks[[#This Row],[Finish]],WorkWeek,Holidays)-1,1-NETWORKDAYS.INTL(Tasks[[#This Row],[Finish]],Tasks[[#This Row],[Planned Finish]],WorkWeek,Holidays)))</f>
        <v/>
      </c>
      <c r="AO117" s="21" t="str">
        <f aca="false">IF(Tasks[[#This Row],[Task Name]]="","",IF(Tasks[[#This Row],[Progress]]&gt;=1,"Complete",IF(OR(N(Tasks[[#This Row],[Actual Start]])&gt;0,Tasks[[#This Row],[Progress]]&gt;0),IF(Tasks[[#This Row],[Finish Var]]&gt;0,"Behind","In Progress"),IF(Tasks[[#This Row],[Planned Start]]&lt;StatusDate,"Late Start","Not Started"))))</f>
        <v/>
      </c>
      <c r="AP117" s="21" t="str">
        <f aca="false">IF(Tasks[[#This Row],[Task Name]]="","",IF(IF(Tasks[[#This Row],[_IsSummary]],COUNTIF(INDEX(Tasks[_LeafCritical],Tasks[[#This Row],[_Row]]+1):INDEX(Tasks[_LeafCritical],Tasks[[#This Row],[_Row]]+Tasks[[#This Row],[_Descendants]]),TRUE())&gt;0,Tasks[[#This Row],[_LeafCritical]]),"Yes",""))</f>
        <v/>
      </c>
      <c r="AQ117" s="63" t="str">
        <f aca="false">IF(Tasks[[#This Row],[Task Name]]="","",IF(N(Tasks[[#This Row],[Baseline Start]])&gt;0,Tasks[[#This Row],[Baseline Start]],Tasks[[#This Row],[_CalcStart]]))</f>
        <v/>
      </c>
      <c r="AR117" s="63" t="str">
        <f aca="false">IF(Tasks[[#This Row],[Task Name]]="","",IF(N(Tasks[[#This Row],[Baseline Finish]])&gt;0,Tasks[[#This Row],[Baseline Finish]],Tasks[[#This Row],[_CalcFinish]]))</f>
        <v/>
      </c>
      <c r="AS117" s="47" t="str">
        <f aca="false">IF(Tasks[[#This Row],[Task Name]]="","",IF(Tasks[[#This Row],[Start]]&gt;=Tasks[[#This Row],[Planned Start]],NETWORKDAYS.INTL(Tasks[[#This Row],[Planned Start]],Tasks[[#This Row],[Start]],WorkWeek,Holidays)-1,1-NETWORKDAYS.INTL(Tasks[[#This Row],[Start]],Tasks[[#This Row],[Planned Start]],WorkWeek,Holidays)))</f>
        <v/>
      </c>
      <c r="AT117" s="63" t="str">
        <f aca="false">IF(Tasks[[#This Row],[Task Name]]="","",IF(Tasks[[#This Row],[_IsSummary]],MIN(INDEX(Tasks[_LeafLateStart],Tasks[[#This Row],[_Row]]+1):INDEX(Tasks[_LeafLateStart],Tasks[[#This Row],[_Row]]+Tasks[[#This Row],[_Descendants]])),Tasks[[#This Row],[_LeafLateStart]]))</f>
        <v/>
      </c>
      <c r="AU117" s="63" t="str">
        <f aca="false">IF(Tasks[[#This Row],[Task Name]]="","",IF(Tasks[[#This Row],[_IsSummary]],MAX(INDEX(Tasks[_LeafLateFinish],Tasks[[#This Row],[_Row]]+1):INDEX(Tasks[_LeafLateFinish],Tasks[[#This Row],[_Row]]+Tasks[[#This Row],[_Descendants]])),Tasks[[#This Row],[_LeafLateFinish]]))</f>
        <v/>
      </c>
      <c r="AV117" s="47" t="str">
        <f aca="false">IF(Tasks[[#This Row],[Task Name]]="","",IF(Tasks[[#This Row],[_IsSummary]],MIN(INDEX(Tasks[_LeafTotalSlack],Tasks[[#This Row],[_Row]]+1):INDEX(Tasks[_LeafTotalSlack],Tasks[[#This Row],[_Row]]+Tasks[[#This Row],[_Descendants]])),Tasks[[#This Row],[_LeafTotalSlack]]))</f>
        <v/>
      </c>
      <c r="AW11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5"/>
      <c r="BA11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t="str">
        <f aca="false">IF(Tasks[[#This Row],[Task Name]]="","",IF(Tasks[[#This Row],[_Level]]&lt;=OutlineShowLevel,"Yes","No"))</f>
        <v/>
      </c>
      <c r="BE117" s="86" t="str">
        <f aca="false">IF(Tasks[[#This Row],[Task Name]]="","",IF(Tasks[[#This Row],[_IsSummary]],SUM(INDEX(Tasks[_LeafTotalWork],Tasks[[#This Row],[_Row]]+1):INDEX(Tasks[_LeafTotalWork],Tasks[[#This Row],[_Row]]+Tasks[[#This Row],[_Descendants]])),Tasks[[#This Row],[_LeafTotalWork]]))</f>
        <v/>
      </c>
      <c r="BF117" s="23"/>
      <c r="BG1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t="str">
        <f aca="false">""</f>
        <v/>
      </c>
      <c r="BI117" s="87"/>
      <c r="BJ117" s="22"/>
      <c r="BK117" s="47" t="str">
        <f aca="false">IF(OR(Tasks[[#This Row],[Task Name]]="",Tasks[[#This Row],[Baseline Duration]]=""),"",Tasks[[#This Row],[_SpanDays]]-N(Tasks[[#This Row],[Baseline Duration]]))</f>
        <v/>
      </c>
      <c r="BL117" s="86" t="str">
        <f aca="false">IF(OR(Tasks[[#This Row],[Task Name]]="",Tasks[[#This Row],[Baseline Work]]=""),"",Tasks[[#This Row],[Work]]-N(Tasks[[#This Row],[Baseline Work]]))</f>
        <v/>
      </c>
      <c r="BM117" s="63" t="str">
        <f aca="false">IF(Tasks[[#This Row],[Task Name]]="","",IF(OR(TakeBaseline="Yes",N(Tasks[[#This Row],[Baseline Start]])=0),Tasks[[#This Row],[Start]],Tasks[[#This Row],[Baseline Start]]))</f>
        <v/>
      </c>
      <c r="BN117" s="63" t="str">
        <f aca="false">IF(Tasks[[#This Row],[Task Name]]="","",IF(OR(TakeBaseline="Yes",N(Tasks[[#This Row],[Baseline Finish]])=0),Tasks[[#This Row],[Finish]],Tasks[[#This Row],[Baseline Finish]]))</f>
        <v/>
      </c>
      <c r="BO117" s="21" t="str">
        <f aca="false">IF(Tasks[[#This Row],[Task Name]]="","",IF(OR(TakeBaseline="Yes",N(Tasks[[#This Row],[Baseline Duration]])=0),Tasks[[#This Row],[_SpanDays]],Tasks[[#This Row],[Baseline Duration]]))</f>
        <v/>
      </c>
      <c r="BP117" s="86" t="str">
        <f aca="false">IF(Tasks[[#This Row],[Task Name]]="","",IF(OR(TakeBaseline="Yes",N(Tasks[[#This Row],[Baseline Work]])=0),Tasks[[#This Row],[Work]],Tasks[[#This Row],[Baseline Work]]))</f>
        <v/>
      </c>
      <c r="BQ117" s="7"/>
      <c r="BR117" s="7"/>
      <c r="BS117" s="22"/>
      <c r="BT117" s="88"/>
      <c r="BU117" s="23"/>
      <c r="BV117" s="23"/>
      <c r="BW117" s="23"/>
      <c r="BX117" s="89" t="str">
        <f aca="false">IF(AND(Tasks[[#This Row],[_IsLeaf]]=1,ISNUMBER(Tasks[[#This Row],[Optimistic]]),ISNUMBER(Tasks[[#This Row],[Pessimistic]])),ROUND((Tasks[[#This Row],[Optimistic]]+4*N(Tasks[[#This Row],[_Days]])+Tasks[[#This Row],[Pessimistic]])/6,1),"")</f>
        <v/>
      </c>
      <c r="BY117" s="87"/>
      <c r="BZ117" s="87"/>
      <c r="CA117" s="22"/>
      <c r="CB117" s="43" t="str">
        <f aca="false">IF(Tasks[[#This Row],[Task Name]]="","",MAX(1,N(Tasks[[#This Row],[Level]])))</f>
        <v/>
      </c>
      <c r="CC117" s="43" t="n">
        <f aca="false">ROW()-ROW(Tasks[[#Headers],[ID]])</f>
        <v>112</v>
      </c>
      <c r="CD117" s="43" t="n">
        <f aca="false">IF(OR(Tasks[[#This Row],[Task Name]]="",Tasks[[#This Row],[_Level]]&lt;=1),0,IFERROR(LOOKUP(2,1/(Tasks[[#Headers],[_Level]]:Tasks[[#This Row],[_Level]]=Tasks[[#This Row],[_Level]]-1),ROW(Tasks[[#Headers],[_Level]]:Tasks[[#This Row],[_Level]])),0))</f>
        <v>0</v>
      </c>
      <c r="CE117" s="43" t="n">
        <f aca="false">IFERROR(N(INDEX(Tasks[_Level],Tasks[[#This Row],[_Row]]+1)),0)</f>
        <v>0</v>
      </c>
      <c r="CF117" s="90" t="b">
        <f aca="false">AND(Tasks[[#This Row],[Task Name]]&lt;&gt;"",Tasks[[#This Row],[_NextLevel]]&gt;Tasks[[#This Row],[_Level]])</f>
        <v>0</v>
      </c>
      <c r="CG117" s="43" t="n">
        <f aca="false">IF(Tasks[[#This Row],[_IsSummary]],COUNTIF(Tasks[WBS],Tasks[[#This Row],[WBS]]&amp;".*"),0)</f>
        <v>0</v>
      </c>
      <c r="CH117" s="43" t="n">
        <f aca="false">IF(AND(Tasks[[#This Row],[Task Name]]&lt;&gt;"",NOT(Tasks[[#This Row],[_IsSummary]])),1,0)</f>
        <v>0</v>
      </c>
      <c r="CI117" s="43" t="n">
        <f aca="false">IF(N(Tasks[[#This Row],[_Pred1UID]])=0,0,IFERROR(MATCH(Tasks[[#This Row],[_Pred1UID]],Tasks[UID],0),-1))</f>
        <v>0</v>
      </c>
      <c r="CJ117" s="43" t="n">
        <f aca="false">IF(N(Tasks[[#This Row],[_Pred2UID]])=0,0,IFERROR(MATCH(Tasks[[#This Row],[_Pred2UID]],Tasks[UID],0),-1))</f>
        <v>0</v>
      </c>
      <c r="CK117" s="43" t="n">
        <f aca="false">IF(N(Tasks[[#This Row],[_Pred3UID]])=0,0,IFERROR(MATCH(Tasks[[#This Row],[_Pred3UID]],Tasks[UID],0),-1))</f>
        <v>0</v>
      </c>
      <c r="CL117" s="43" t="n">
        <f aca="false">IF(N(Tasks[[#This Row],[_Pred4UID]])=0,0,IFERROR(MATCH(Tasks[[#This Row],[_Pred4UID]],Tasks[UID],0),-1))</f>
        <v>0</v>
      </c>
      <c r="CM11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7" s="91" t="n">
        <f aca="false">IF(OR(Tasks[[#This Row],[_ConstraintCode]]=2,Tasks[[#This Row],[_ConstraintCode]]=3,Tasks[[#This Row],[_ConstraintCode]]=4,Tasks[[#This Row],[_ConstraintCode]]=6),Tasks[[#This Row],[_ConstraintStart]],0)</f>
        <v>0</v>
      </c>
      <c r="CP117" s="91" t="n">
        <f aca="false">IF(OR(Tasks[[#This Row],[_ConstraintCode]]=2,Tasks[[#This Row],[_ConstraintCode]]=3,Tasks[[#This Row],[_ConstraintCode]]=5,Tasks[[#This Row],[_ConstraintCode]]=7),Tasks[[#This Row],[_ConstraintStart]],2958465)</f>
        <v>2958465</v>
      </c>
      <c r="CQ11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7" s="91" t="str">
        <f aca="false">IF(NOT(Tasks[[#This Row],[_IsLeaf]]=1),"",IF(N(Tasks[[#This Row],[_Days]])&lt;=0,Tasks[[#This Row],[_LeafCalcStart]],WORKDAY.INTL(Tasks[[#This Row],[_LeafCalcStart]],Tasks[[#This Row],[_Days]]-1,WorkWeek,Holidays)))</f>
        <v/>
      </c>
      <c r="CS11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7" s="43" t="str">
        <f aca="false">IF(Tasks[[#This Row],[_Predecessors]]="","",TRIM(MID(SUBSTITUTE(SUBSTITUTE(SUBSTITUTE(UPPER(Tasks[[#This Row],[_Predecessors]]),";",",")," ",""),",",REPT(" ",99)),1,99)))</f>
        <v/>
      </c>
      <c r="CV117" s="43" t="str">
        <f aca="false">IF(Tasks[[#This Row],[_Pred1Text]]="","",IFERROR(VALUE(LEFT(Tasks[[#This Row],[_Pred1Text]],MIN(FIND("F",Tasks[[#This Row],[_Pred1Text]]&amp;"F"),FIND("S",Tasks[[#This Row],[_Pred1Text]]&amp;"S"),FIND("+",Tasks[[#This Row],[_Pred1Text]]&amp;"+"),FIND("-",Tasks[[#This Row],[_Pred1Text]]&amp;"-"))-1)),""))</f>
        <v/>
      </c>
      <c r="CW1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7" s="43" t="str">
        <f aca="false">IF(Tasks[[#This Row],[_Pred1Text]]="","",TRIM(MID(SUBSTITUTE(SUBSTITUTE(SUBSTITUTE(UPPER(Tasks[[#This Row],[_Predecessors]]),";",",")," ",""),",",REPT(" ",99)),100,99)))</f>
        <v/>
      </c>
      <c r="CZ117" s="43" t="str">
        <f aca="false">IF(Tasks[[#This Row],[_Pred2Text]]="","",IFERROR(VALUE(LEFT(Tasks[[#This Row],[_Pred2Text]],MIN(FIND("F",Tasks[[#This Row],[_Pred2Text]]&amp;"F"),FIND("S",Tasks[[#This Row],[_Pred2Text]]&amp;"S"),FIND("+",Tasks[[#This Row],[_Pred2Text]]&amp;"+"),FIND("-",Tasks[[#This Row],[_Pred2Text]]&amp;"-"))-1)),""))</f>
        <v/>
      </c>
      <c r="DA1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7" s="43" t="str">
        <f aca="false">IF(Tasks[[#This Row],[_Pred2Text]]="","",TRIM(MID(SUBSTITUTE(SUBSTITUTE(SUBSTITUTE(UPPER(Tasks[[#This Row],[_Predecessors]]),";",",")," ",""),",",REPT(" ",99)),199,99)))</f>
        <v/>
      </c>
      <c r="DD117" s="43" t="str">
        <f aca="false">IF(Tasks[[#This Row],[_Pred3Text]]="","",IFERROR(VALUE(LEFT(Tasks[[#This Row],[_Pred3Text]],MIN(FIND("F",Tasks[[#This Row],[_Pred3Text]]&amp;"F"),FIND("S",Tasks[[#This Row],[_Pred3Text]]&amp;"S"),FIND("+",Tasks[[#This Row],[_Pred3Text]]&amp;"+"),FIND("-",Tasks[[#This Row],[_Pred3Text]]&amp;"-"))-1)),""))</f>
        <v/>
      </c>
      <c r="DE1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7" s="43" t="str">
        <f aca="false">IF(Tasks[[#This Row],[_Pred3Text]]="","",TRIM(MID(SUBSTITUTE(SUBSTITUTE(SUBSTITUTE(UPPER(Tasks[[#This Row],[_Predecessors]]),";",",")," ",""),",",REPT(" ",99)),298,99)))</f>
        <v/>
      </c>
      <c r="DH117" s="43" t="str">
        <f aca="false">IF(Tasks[[#This Row],[_Pred4Text]]="","",IFERROR(VALUE(LEFT(Tasks[[#This Row],[_Pred4Text]],MIN(FIND("F",Tasks[[#This Row],[_Pred4Text]]&amp;"F"),FIND("S",Tasks[[#This Row],[_Pred4Text]]&amp;"S"),FIND("+",Tasks[[#This Row],[_Pred4Text]]&amp;"+"),FIND("-",Tasks[[#This Row],[_Pred4Text]]&amp;"-"))-1)),""))</f>
        <v/>
      </c>
      <c r="DI1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7" s="43" t="str">
        <f aca="false">IF(OR(Tasks[[#This Row],[Task Name]]="",Tasks[[#This Row],[_Resources]]=""),"",TRIM(MID(SUBSTITUTE(Tasks[[#This Row],[_Resources]],",",REPT(" ",99)),1,99)))</f>
        <v/>
      </c>
      <c r="DL117" s="43" t="str">
        <f aca="false">IF(Tasks[[#This Row],[_Res1Text]]="","",TRIM(MID(SUBSTITUTE(Tasks[[#This Row],[_Resources]],",",REPT(" ",99)),100,99)))</f>
        <v/>
      </c>
      <c r="DM117" s="43" t="str">
        <f aca="false">IF(Tasks[[#This Row],[_Res2Text]]="","",TRIM(MID(SUBSTITUTE(Tasks[[#This Row],[_Resources]],",",REPT(" ",99)),199,99)))</f>
        <v/>
      </c>
      <c r="DN117" s="43" t="str">
        <f aca="false">IF(Tasks[[#This Row],[_Res3Text]]="","",TRIM(MID(SUBSTITUTE(Tasks[[#This Row],[_Resources]],",",REPT(" ",99)),298,99)))</f>
        <v/>
      </c>
      <c r="DO117" s="43" t="n">
        <f aca="false">IF(Tasks[[#This Row],[_Res1Text]]="",0,IFERROR(MATCH(TRIM(LEFT(Tasks[[#This Row],[_Res1Text]],FIND("[",Tasks[[#This Row],[_Res1Text]]&amp;"[")-1)),res_Name,0),IFERROR(MATCH(TRIM(LEFT(Tasks[[#This Row],[_Res1Text]],FIND("[",Tasks[[#This Row],[_Res1Text]]&amp;"[")-1)),res_Initials,0),0)))</f>
        <v>0</v>
      </c>
      <c r="DP117" s="43" t="n">
        <f aca="false">IF(Tasks[[#This Row],[_Res2Text]]="",0,IFERROR(MATCH(TRIM(LEFT(Tasks[[#This Row],[_Res2Text]],FIND("[",Tasks[[#This Row],[_Res2Text]]&amp;"[")-1)),res_Name,0),IFERROR(MATCH(TRIM(LEFT(Tasks[[#This Row],[_Res2Text]],FIND("[",Tasks[[#This Row],[_Res2Text]]&amp;"[")-1)),res_Initials,0),0)))</f>
        <v>0</v>
      </c>
      <c r="DQ117" s="43" t="n">
        <f aca="false">IF(Tasks[[#This Row],[_Res3Text]]="",0,IFERROR(MATCH(TRIM(LEFT(Tasks[[#This Row],[_Res3Text]],FIND("[",Tasks[[#This Row],[_Res3Text]]&amp;"[")-1)),res_Name,0),IFERROR(MATCH(TRIM(LEFT(Tasks[[#This Row],[_Res3Text]],FIND("[",Tasks[[#This Row],[_Res3Text]]&amp;"[")-1)),res_Initials,0),0)))</f>
        <v>0</v>
      </c>
      <c r="DR117" s="43" t="n">
        <f aca="false">IF(Tasks[[#This Row],[_Res4Text]]="",0,IFERROR(MATCH(TRIM(LEFT(Tasks[[#This Row],[_Res4Text]],FIND("[",Tasks[[#This Row],[_Res4Text]]&amp;"[")-1)),res_Name,0),IFERROR(MATCH(TRIM(LEFT(Tasks[[#This Row],[_Res4Text]],FIND("[",Tasks[[#This Row],[_Res4Text]]&amp;"[")-1)),res_Initials,0),0)))</f>
        <v>0</v>
      </c>
      <c r="DS117" s="43" t="str">
        <f aca="false">IF(Tasks[[#This Row],[_Res1Text]]="","",IF(Tasks[[#This Row],[_Res1Row]]&gt;0,INDEX(res_Name,Tasks[[#This Row],[_Res1Row]]),TRIM(LEFT(Tasks[[#This Row],[_Res1Text]],FIND("[",Tasks[[#This Row],[_Res1Text]]&amp;"[")-1))))</f>
        <v/>
      </c>
      <c r="DT1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7" s="43" t="n">
        <f aca="false">IF(NOT(Tasks[[#This Row],[_IsLeaf]]=1),0,(Tasks[[#This Row],[_Resource1]]&lt;&gt;"")+(Tasks[[#This Row],[_Res2]]&lt;&gt;"")+(Tasks[[#This Row],[_Res3]]&lt;&gt;"")+(Tasks[[#This Row],[_Res4]]&lt;&gt;""))</f>
        <v>0</v>
      </c>
      <c r="DV117" s="43" t="str">
        <f aca="false">IF(Tasks[[#This Row],[_Res2Text]]="","",IF(Tasks[[#This Row],[_Res2Row]]&gt;0,INDEX(res_Name,Tasks[[#This Row],[_Res2Row]]),TRIM(LEFT(Tasks[[#This Row],[_Res2Text]],FIND("[",Tasks[[#This Row],[_Res2Text]]&amp;"[")-1))))</f>
        <v/>
      </c>
      <c r="DW1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7" s="43" t="n">
        <f aca="false">IF(OR(NOT(Tasks[[#This Row],[_IsLeaf]]=1),Tasks[[#This Row],[_Res2Row]]=0),0,N(Tasks[[#This Row],[_Days]])*HoursPerDay*IF(Tasks[[#This Row],[_Res2Units]]="",DefaultUnits,Tasks[[#This Row],[_Res2Units]]))</f>
        <v>0</v>
      </c>
      <c r="DY117" s="43" t="n">
        <f aca="false">IF(AND(AND(Tasks[[#This Row],[_IsLeaf]]=1,Tasks[[#This Row],[_LeafTotalWork]]&gt;0),Tasks[[#This Row],[_Res2Work]]&gt;0),Tasks[[#This Row],[_Res2Work]]/(Tasks[[#This Row],[_FinishWorkday]]-Tasks[[#This Row],[_StartWorkday]]+1),0)</f>
        <v>0</v>
      </c>
      <c r="DZ117" s="43" t="n">
        <f aca="false">Tasks[[#This Row],[_Res2WorkPerWD]]*MAX(0,Tasks[[#This Row],[_StartWorkday]]-1)</f>
        <v>0</v>
      </c>
      <c r="EA117" s="43" t="n">
        <f aca="false">Tasks[[#This Row],[_Res2Work]]*Tasks[[#This Row],[_LeafProgress]]</f>
        <v>0</v>
      </c>
      <c r="EB117" s="43" t="str">
        <f aca="false">IF(Tasks[[#This Row],[_Res3Text]]="","",IF(Tasks[[#This Row],[_Res3Row]]&gt;0,INDEX(res_Name,Tasks[[#This Row],[_Res3Row]]),TRIM(LEFT(Tasks[[#This Row],[_Res3Text]],FIND("[",Tasks[[#This Row],[_Res3Text]]&amp;"[")-1))))</f>
        <v/>
      </c>
      <c r="EC1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7" s="43" t="n">
        <f aca="false">IF(OR(NOT(Tasks[[#This Row],[_IsLeaf]]=1),Tasks[[#This Row],[_Res3Row]]=0),0,N(Tasks[[#This Row],[_Days]])*HoursPerDay*IF(Tasks[[#This Row],[_Res3Units]]="",DefaultUnits,Tasks[[#This Row],[_Res3Units]]))</f>
        <v>0</v>
      </c>
      <c r="EE117" s="43" t="n">
        <f aca="false">IF(AND(AND(Tasks[[#This Row],[_IsLeaf]]=1,Tasks[[#This Row],[_LeafTotalWork]]&gt;0),Tasks[[#This Row],[_Res3Work]]&gt;0),Tasks[[#This Row],[_Res3Work]]/(Tasks[[#This Row],[_FinishWorkday]]-Tasks[[#This Row],[_StartWorkday]]+1),0)</f>
        <v>0</v>
      </c>
      <c r="EF117" s="43" t="n">
        <f aca="false">Tasks[[#This Row],[_Res3WorkPerWD]]*MAX(0,Tasks[[#This Row],[_StartWorkday]]-1)</f>
        <v>0</v>
      </c>
      <c r="EG117" s="43" t="n">
        <f aca="false">Tasks[[#This Row],[_Res3Work]]*Tasks[[#This Row],[_LeafProgress]]</f>
        <v>0</v>
      </c>
      <c r="EH117" s="43" t="str">
        <f aca="false">IF(Tasks[[#This Row],[_Res4Text]]="","",IF(Tasks[[#This Row],[_Res4Row]]&gt;0,INDEX(res_Name,Tasks[[#This Row],[_Res4Row]]),TRIM(LEFT(Tasks[[#This Row],[_Res4Text]],FIND("[",Tasks[[#This Row],[_Res4Text]]&amp;"[")-1))))</f>
        <v/>
      </c>
      <c r="EI1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7" s="43" t="n">
        <f aca="false">IF(OR(NOT(Tasks[[#This Row],[_IsLeaf]]=1),Tasks[[#This Row],[_Res4Row]]=0),0,N(Tasks[[#This Row],[_Days]])*HoursPerDay*IF(Tasks[[#This Row],[_Res4Units]]="",DefaultUnits,Tasks[[#This Row],[_Res4Units]]))</f>
        <v>0</v>
      </c>
      <c r="EK117" s="43" t="n">
        <f aca="false">IF(AND(AND(Tasks[[#This Row],[_IsLeaf]]=1,Tasks[[#This Row],[_LeafTotalWork]]&gt;0),Tasks[[#This Row],[_Res4Work]]&gt;0),Tasks[[#This Row],[_Res4Work]]/(Tasks[[#This Row],[_FinishWorkday]]-Tasks[[#This Row],[_StartWorkday]]+1),0)</f>
        <v>0</v>
      </c>
      <c r="EL117" s="43" t="n">
        <f aca="false">Tasks[[#This Row],[_Res4WorkPerWD]]*MAX(0,Tasks[[#This Row],[_StartWorkday]]-1)</f>
        <v>0</v>
      </c>
      <c r="EM117" s="43" t="n">
        <f aca="false">Tasks[[#This Row],[_Res4Work]]*Tasks[[#This Row],[_LeafProgress]]</f>
        <v>0</v>
      </c>
      <c r="EN117" s="43" t="n">
        <f aca="false">IF(ISNUMBER(Tasks[[#This Row],[% Complete]]),Tasks[[#This Row],[% Complete]],IF(Tasks[[#This Row],[Stage]]="",0,IFERROR(INDEX(stg_Pct,MATCH(Tasks[[#This Row],[Stage]],stg_Name,0)),0)))</f>
        <v>0</v>
      </c>
      <c r="EO117" s="43" t="n">
        <f aca="false">IF(NOT(Tasks[[#This Row],[_IsLeaf]]=1),0,IF(N(Tasks[[#This Row],[Actual Finish]])&gt;0,1,MIN(1,Tasks[[#This Row],[_Pct]])))</f>
        <v>0</v>
      </c>
      <c r="EP117" s="43" t="n">
        <f aca="false">IF(OR(NOT(Tasks[[#This Row],[_IsLeaf]]=1),Tasks[[#This Row],[_Res1Row]]=0),0,N(Tasks[[#This Row],[_Days]])*HoursPerDay*IF(Tasks[[#This Row],[_Units1]]="",DefaultUnits,Tasks[[#This Row],[_Units1]]))</f>
        <v>0</v>
      </c>
      <c r="EQ117" s="43" t="n">
        <f aca="false">Tasks[[#This Row],[_LeafWork]]+Tasks[[#This Row],[_Res2Work]]+Tasks[[#This Row],[_Res3Work]]+Tasks[[#This Row],[_Res4Work]]</f>
        <v>0</v>
      </c>
      <c r="ER11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7" s="43" t="n">
        <f aca="false">IF(NOT(Tasks[[#This Row],[_IsLeaf]]=1),0,MAX(_xlfn.MAXIFS(Tasks[_Row],Tasks[_Pred1UID],Tasks[[#This Row],[UID]]),_xlfn.MAXIFS(Tasks[_Row],Tasks[_Pred2UID],Tasks[[#This Row],[UID]]),_xlfn.MAXIFS(Tasks[_Row],Tasks[_Pred3UID],Tasks[[#This Row],[UID]]),_xlfn.MAXIFS(Tasks[_Row],Tasks[_Pred4UID],Tasks[[#This Row],[UID]])))</f>
        <v>0</v>
      </c>
      <c r="FA11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7" s="91" t="str">
        <f aca="false">IF(NOT(Tasks[[#This Row],[_IsLeaf]]=1),"",IF(N(Tasks[[#This Row],[_Days]])&lt;=0,Tasks[[#This Row],[_LeafLateFinish]],WORKDAY.INTL(Tasks[[#This Row],[_LeafLateFinish]],-(Tasks[[#This Row],[_Days]]-1),WorkWeek,Holidays)))</f>
        <v/>
      </c>
      <c r="FD11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7" s="90" t="b">
        <f aca="false">AND(Tasks[[#This Row],[_IsLeaf]]=1,Tasks[[#This Row],[_LeafProgress]]&lt;1,N(Tasks[[#This Row],[_LeafTotalSlack]])&lt;=CriticalSlackDays)</f>
        <v>0</v>
      </c>
      <c r="FF117" s="43" t="n">
        <f aca="false">IF(AND(Tasks[[#This Row],[_IsLeaf]]=1,Tasks[[#This Row],[_ConstraintCode]]=1,Tasks[[#This Row],[Mode]]&lt;&gt;"Manual",N(Tasks[[#This Row],[Actual Start]])=0),MAX(0,N(Tasks[[#This Row],[Free Slack]])),0)</f>
        <v>0</v>
      </c>
      <c r="FG117" s="91" t="str">
        <f aca="false">IF(NOT(Tasks[[#This Row],[_IsLeaf]]=1),"",IF(Tasks[[#This Row],[_AlapShift]]=0,Tasks[[#This Row],[_LeafCalcStart]],WORKDAY.INTL(Tasks[[#This Row],[_LeafCalcStart]],Tasks[[#This Row],[_AlapShift]],WorkWeek,Holidays)))</f>
        <v/>
      </c>
      <c r="FH117" s="91" t="str">
        <f aca="false">IF(NOT(Tasks[[#This Row],[_IsLeaf]]=1),"",IF(Tasks[[#This Row],[_AlapShift]]=0,Tasks[[#This Row],[_LeafCalcFinish]],WORKDAY.INTL(Tasks[[#This Row],[_LeafCalcFinish]],Tasks[[#This Row],[_AlapShift]],WorkWeek,Holidays)))</f>
        <v/>
      </c>
      <c r="FI117" s="91" t="str">
        <f aca="false">IF(NOT(Tasks[[#This Row],[_IsLeaf]]=1),"",IF(Tasks[[#This Row],[_AlapShift]]=0,Tasks[[#This Row],[_LeafFcstStart]],WORKDAY.INTL(Tasks[[#This Row],[_LeafFcstStart]],Tasks[[#This Row],[_AlapShift]],WorkWeek,Holidays)))</f>
        <v/>
      </c>
      <c r="FJ117" s="91" t="str">
        <f aca="false">IF(NOT(Tasks[[#This Row],[_IsLeaf]]=1),"",IF(Tasks[[#This Row],[_AlapShift]]=0,Tasks[[#This Row],[_LeafFcstFinish]],WORKDAY.INTL(Tasks[[#This Row],[_LeafFcstFinish]],Tasks[[#This Row],[_AlapShift]],WorkWeek,Holidays)))</f>
        <v/>
      </c>
      <c r="FK117" s="91" t="str">
        <f aca="false">IF(Tasks[[#This Row],[Task Name]]="","",IF(Tasks[[#This Row],[_IsSummary]],MIN(INDEX(Tasks[_ShownCalcStart],Tasks[[#This Row],[_Row]]+1):INDEX(Tasks[_ShownCalcStart],Tasks[[#This Row],[_Row]]+Tasks[[#This Row],[_Descendants]])),Tasks[[#This Row],[_ShownCalcStart]]))</f>
        <v/>
      </c>
      <c r="FL117" s="91" t="str">
        <f aca="false">IF(Tasks[[#This Row],[Task Name]]="","",IF(Tasks[[#This Row],[_IsSummary]],MAX(INDEX(Tasks[_ShownCalcFinish],Tasks[[#This Row],[_Row]]+1):INDEX(Tasks[_ShownCalcFinish],Tasks[[#This Row],[_Row]]+Tasks[[#This Row],[_Descendants]])),Tasks[[#This Row],[_ShownCalcFinish]]))</f>
        <v/>
      </c>
      <c r="FM1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7" s="43" t="n">
        <f aca="false">IF(AND(Tasks[[#This Row],[_IsLeaf]]=1,Tasks[[#This Row],[_LeafTotalWork]]&gt;0),NETWORKDAYS.INTL(ProjectStart,Tasks[[#This Row],[_ShownFcstStart]],WorkWeek,Holidays),0)</f>
        <v>0</v>
      </c>
      <c r="FZ117" s="43" t="n">
        <f aca="false">IF(AND(Tasks[[#This Row],[_IsLeaf]]=1,Tasks[[#This Row],[_LeafTotalWork]]&gt;0),MAX(Tasks[[#This Row],[_StartWorkday]],NETWORKDAYS.INTL(ProjectStart,Tasks[[#This Row],[_ShownFcstFinish]],WorkWeek,Holidays)),0)</f>
        <v>0</v>
      </c>
      <c r="GA117" s="43" t="n">
        <f aca="false">IF(AND(Tasks[[#This Row],[_IsLeaf]]=1,Tasks[[#This Row],[_LeafTotalWork]]&gt;0),Tasks[[#This Row],[_LeafWork]]/(Tasks[[#This Row],[_FinishWorkday]]-Tasks[[#This Row],[_StartWorkday]]+1),0)</f>
        <v>0</v>
      </c>
      <c r="GB117" s="43" t="n">
        <f aca="false">Tasks[[#This Row],[_WorkPerWorkday]]*(Tasks[[#This Row],[_StartWorkday]]-1)</f>
        <v>-0</v>
      </c>
      <c r="GC117" s="43" t="n">
        <f aca="false">IF(Tasks[[#This Row],[_IsLeaf]]=1,MAX(N(Tasks[[#This Row],[_Days]]),0.1),0)</f>
        <v>0</v>
      </c>
      <c r="GD117" s="43" t="n">
        <f aca="false">Tasks[[#This Row],[_WeightDur]]*Tasks[[#This Row],[_LeafProgress]]</f>
        <v>0</v>
      </c>
      <c r="GE117" s="43" t="n">
        <f aca="false">Tasks[[#This Row],[_WeightDur]]*Tasks[[#This Row],[_PlannedPct]]</f>
        <v>0</v>
      </c>
      <c r="GF1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7" s="43" t="str">
        <f aca="false">IF(AND(Tasks[[#This Row],[_IsLeaf]]=1,N(Tasks[[#This Row],[_Days]])=0,Tasks[[#This Row],[_LeafProgress]]&lt;1),Tasks[[#This Row],[_ShownFcstFinish]]+Tasks[[#This Row],[_Row]]/100000,"")</f>
        <v/>
      </c>
      <c r="GH1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7" s="43" t="str">
        <f aca="false">IF(Tasks[[#This Row],[Task Name]]="","",LEFT(Tasks[[#This Row],[WBS]],FIND(".",Tasks[[#This Row],[WBS]]&amp;".")-1))</f>
        <v/>
      </c>
      <c r="GJ117" s="43" t="str">
        <f aca="false">IF(AND(Tasks[[#This Row],[Task Name]]&lt;&gt;"",Tasks[[#This Row],[_Level]]=1),Tasks[[#This Row],[_Row]],"")</f>
        <v/>
      </c>
      <c r="GK117" s="43" t="str">
        <f aca="false">IF(AND(Tasks[[#This Row],[_IsLeaf]]=1,N(Tasks[[#This Row],[_Days]])=0),Tasks[[#This Row],[Planned Finish]]+Tasks[[#This Row],[_Row]]/100000,"")</f>
        <v/>
      </c>
      <c r="GL117" s="43" t="str">
        <f aca="false">IF(AND(Tasks[[#This Row],[_IsLeaf]]=1,Tasks[[#This Row],[_LeafProgress]]&lt;1,OR(N(Tasks[[#This Row],[Finish Var]])&gt;0,Tasks[[#This Row],[Status]]="Late Start")),MAX(0,Tasks[[#This Row],[Finish Var]])+1-Tasks[[#This Row],[_Row]]/1000000,"")</f>
        <v/>
      </c>
      <c r="GM117" s="43" t="str">
        <f aca="false">IF(AND(Tasks[[#This Row],[_IsLeaf]]=1,N(Tasks[[#This Row],[Actual Start]])=0,Tasks[[#This Row],[_ShownFcstStart]]&gt;=StatusDate,Tasks[[#This Row],[_ShownFcstStart]]&lt;=LookaheadEnd),Tasks[[#This Row],[_ShownFcstStart]]+Tasks[[#This Row],[_Row]]/100000,"")</f>
        <v/>
      </c>
      <c r="GN117" s="43" t="str">
        <f aca="false">IF(AND(Tasks[[#This Row],[_IsLeaf]]=1,Tasks[[#This Row],[_LeafProgress]]&lt;1,Tasks[[#This Row],[_ShownFcstFinish]]&gt;=StatusDate,Tasks[[#This Row],[_ShownFcstFinish]]&lt;=LookaheadEnd),Tasks[[#This Row],[_ShownFcstFinish]]+Tasks[[#This Row],[_Row]]/100000,"")</f>
        <v/>
      </c>
      <c r="GO117" s="43" t="str">
        <f aca="false">IF(Tasks[[#This Row],[_LeafCritical]],Tasks[[#This Row],[_ShownFcstStart]]+Tasks[[#This Row],[_Row]]/100000,"")</f>
        <v/>
      </c>
      <c r="GP117" s="43" t="n">
        <f aca="false">Tasks[[#This Row],[_LeafWork]]*Tasks[[#This Row],[_LeafProgress]]</f>
        <v>0</v>
      </c>
      <c r="GQ117" s="91" t="str">
        <f aca="false">IF(AND(Tasks[[#This Row],[_IsLeaf]]=1,Tasks[[#This Row],[_LeafProgress]]&gt;=1),IF(N(Tasks[[#This Row],[Actual Finish]])&gt;0,Tasks[[#This Row],[Actual Finish]],Tasks[[#This Row],[_ShownFcstFinish]]),"")</f>
        <v/>
      </c>
      <c r="GR117" s="43" t="n">
        <f aca="false">IF(Tasks[[#This Row],[_IsLeaf]]=1,N(Tasks[[#This Row],[Story Points]]),0)</f>
        <v>0</v>
      </c>
      <c r="GS117" s="43" t="str">
        <f aca="false">""</f>
        <v/>
      </c>
      <c r="GT117" s="90" t="b">
        <f aca="false">IF(Tasks[[#This Row],[Task Name]]="",FALSE(),AND(Tasks[[#This Row],[_IsLeaf]]=1,N(Tasks[[#This Row],[_Days]])=0))</f>
        <v>0</v>
      </c>
      <c r="GU117" s="91" t="n">
        <f aca="false">IF(Tasks[[#This Row],[Task Name]]="",0,IF(AND(Tasks[[#This Row],[_IsLeaf]]=1,NOT(Tasks[[#This Row],[_IsMilestone]]),N(Tasks[[#This Row],[Progress]])&gt;0),Tasks[[#This Row],[Start]],0))</f>
        <v>0</v>
      </c>
      <c r="GV117" s="91" t="n">
        <f aca="false">IF(Tasks[[#This Row],[_DoneFrom]]=0,0,IF(Tasks[[#This Row],[Progress]]&gt;=1,Tasks[[#This Row],[Finish]],MAX(Tasks[[#This Row],[_DoneFrom]],Tasks[[#This Row],[Start]]+ROUND((Tasks[[#This Row],[Finish]]-Tasks[[#This Row],[Start]]+1)*Tasks[[#This Row],[Progress]],0)-1)))</f>
        <v>0</v>
      </c>
      <c r="GW117" s="91" t="n">
        <f aca="false">IF(Tasks[[#This Row],[Task Name]]="",0,IF(OR(NOT(Tasks[[#This Row],[_IsLeaf]]=1),Tasks[[#This Row],[_IsMilestone]],N(Tasks[[#This Row],[Progress]])&gt;=1),0,IF(Tasks[[#This Row],[_DoneTo]]&gt;0,Tasks[[#This Row],[_DoneTo]]+1,Tasks[[#This Row],[Start]])))</f>
        <v>0</v>
      </c>
      <c r="GX117" s="91" t="n">
        <f aca="false">IF(Tasks[[#This Row],[_RemFrom]]=0,0,Tasks[[#This Row],[Finish]])</f>
        <v>0</v>
      </c>
      <c r="GY117" s="90" t="b">
        <f aca="false">IF(Tasks[[#This Row],[Task Name]]="",FALSE(),OR(NOT(BaselineSet),N(Tasks[[#This Row],[Baseline Start]])&gt;0))</f>
        <v>0</v>
      </c>
      <c r="GZ11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7" s="92" t="str">
        <f aca="false">IF(Tasks[[#This Row],[_IsLeaf]]=1,Tasks[[#This Row],[_Row]],"")</f>
        <v/>
      </c>
      <c r="HD117" s="92" t="str">
        <f aca="false">IFERROR(INDEX(Tasks[UID],SMALL(Tasks[_PickKey],Tasks[[#This Row],[_Row]]))&amp;" "&amp;INDEX(Tasks[Task Name],SMALL(Tasks[_PickKey],Tasks[[#This Row],[_Row]])),"")</f>
        <v/>
      </c>
      <c r="HE117" s="43" t="str">
        <f aca="false">IF(Tasks[[#This Row],[Task Name]]="","",IF(Tasks[[#This Row],[_IsSummary]],NETWORKDAYS.INTL(Tasks[[#This Row],[Start]],Tasks[[#This Row],[Finish]],WorkWeek,Holidays),N(Tasks[[#This Row],[_Days]])))</f>
        <v/>
      </c>
      <c r="HF117" s="43" t="n">
        <f aca="false">IF(Tasks[[#This Row],[Expected]]="",0,((Tasks[[#This Row],[Pessimistic]]-Tasks[[#This Row],[Optimistic]])/6)^2)</f>
        <v>0</v>
      </c>
      <c r="HG117" s="43" t="n">
        <f aca="false">IF(Tasks[[#This Row],[Expected]]="",0,Tasks[[#This Row],[Expected]]-N(Tasks[[#This Row],[_Days]]))</f>
        <v>0</v>
      </c>
    </row>
    <row r="118" customFormat="false" ht="15" hidden="false" customHeight="false" outlineLevel="0" collapsed="false">
      <c r="A118" s="21" t="str">
        <f aca="false">IF(Tasks[[#This Row],[Task Name]]="","",COUNTA(Tasks[[#Headers],[Task Name]]:Tasks[[#This Row],[Task Name]])-1)</f>
        <v/>
      </c>
      <c r="B118" s="22" t="n">
        <v>126</v>
      </c>
      <c r="C118" s="22"/>
      <c r="D118" s="23"/>
      <c r="E118" s="22"/>
      <c r="F118" s="23"/>
      <c r="G118" s="22"/>
      <c r="H118" s="22"/>
      <c r="I118" s="23"/>
      <c r="J118" s="22"/>
      <c r="K118" s="22"/>
      <c r="L118" s="23"/>
      <c r="M118" s="22"/>
      <c r="N118" s="22"/>
      <c r="O118" s="23"/>
      <c r="P118" s="22"/>
      <c r="Q118" s="22"/>
      <c r="R118" s="23"/>
      <c r="S118" s="23"/>
      <c r="T118" s="84"/>
      <c r="U118" s="23"/>
      <c r="V118" s="84"/>
      <c r="W118" s="23"/>
      <c r="X118" s="84"/>
      <c r="Y118" s="23"/>
      <c r="Z118" s="84"/>
      <c r="AA118" s="23"/>
      <c r="AB118" s="23"/>
      <c r="AC118" s="7"/>
      <c r="AD118" s="7"/>
      <c r="AE118" s="63" t="str">
        <f aca="false">IF(Tasks[[#This Row],[Task Name]]="","",IF(Tasks[[#This Row],[_IsSummary]],MIN(INDEX(Tasks[_ShownFcstStart],Tasks[[#This Row],[_Row]]+1):INDEX(Tasks[_ShownFcstStart],Tasks[[#This Row],[_Row]]+Tasks[[#This Row],[_Descendants]])),Tasks[[#This Row],[_ShownFcstStart]]))</f>
        <v/>
      </c>
      <c r="AF118" s="63" t="str">
        <f aca="false">IF(Tasks[[#This Row],[Task Name]]="","",IF(Tasks[[#This Row],[_IsSummary]],MAX(INDEX(Tasks[_ShownFcstFinish],Tasks[[#This Row],[_Row]]+1):INDEX(Tasks[_ShownFcstFinish],Tasks[[#This Row],[_Row]]+Tasks[[#This Row],[_Descendants]])),Tasks[[#This Row],[_ShownFcstFinish]]))</f>
        <v/>
      </c>
      <c r="AG118" s="21" t="str">
        <f aca="false">""</f>
        <v/>
      </c>
      <c r="AH118" s="23"/>
      <c r="AI1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8" s="7"/>
      <c r="AK118" s="22"/>
      <c r="AL118" s="23"/>
      <c r="AM118" s="7"/>
      <c r="AN118" s="47" t="str">
        <f aca="false">IF(Tasks[[#This Row],[Task Name]]="","",IF(Tasks[[#This Row],[Finish]]&gt;=Tasks[[#This Row],[Planned Finish]],NETWORKDAYS.INTL(Tasks[[#This Row],[Planned Finish]],Tasks[[#This Row],[Finish]],WorkWeek,Holidays)-1,1-NETWORKDAYS.INTL(Tasks[[#This Row],[Finish]],Tasks[[#This Row],[Planned Finish]],WorkWeek,Holidays)))</f>
        <v/>
      </c>
      <c r="AO118" s="21" t="str">
        <f aca="false">IF(Tasks[[#This Row],[Task Name]]="","",IF(Tasks[[#This Row],[Progress]]&gt;=1,"Complete",IF(OR(N(Tasks[[#This Row],[Actual Start]])&gt;0,Tasks[[#This Row],[Progress]]&gt;0),IF(Tasks[[#This Row],[Finish Var]]&gt;0,"Behind","In Progress"),IF(Tasks[[#This Row],[Planned Start]]&lt;StatusDate,"Late Start","Not Started"))))</f>
        <v/>
      </c>
      <c r="AP118" s="21" t="str">
        <f aca="false">IF(Tasks[[#This Row],[Task Name]]="","",IF(IF(Tasks[[#This Row],[_IsSummary]],COUNTIF(INDEX(Tasks[_LeafCritical],Tasks[[#This Row],[_Row]]+1):INDEX(Tasks[_LeafCritical],Tasks[[#This Row],[_Row]]+Tasks[[#This Row],[_Descendants]]),TRUE())&gt;0,Tasks[[#This Row],[_LeafCritical]]),"Yes",""))</f>
        <v/>
      </c>
      <c r="AQ118" s="63" t="str">
        <f aca="false">IF(Tasks[[#This Row],[Task Name]]="","",IF(N(Tasks[[#This Row],[Baseline Start]])&gt;0,Tasks[[#This Row],[Baseline Start]],Tasks[[#This Row],[_CalcStart]]))</f>
        <v/>
      </c>
      <c r="AR118" s="63" t="str">
        <f aca="false">IF(Tasks[[#This Row],[Task Name]]="","",IF(N(Tasks[[#This Row],[Baseline Finish]])&gt;0,Tasks[[#This Row],[Baseline Finish]],Tasks[[#This Row],[_CalcFinish]]))</f>
        <v/>
      </c>
      <c r="AS118" s="47" t="str">
        <f aca="false">IF(Tasks[[#This Row],[Task Name]]="","",IF(Tasks[[#This Row],[Start]]&gt;=Tasks[[#This Row],[Planned Start]],NETWORKDAYS.INTL(Tasks[[#This Row],[Planned Start]],Tasks[[#This Row],[Start]],WorkWeek,Holidays)-1,1-NETWORKDAYS.INTL(Tasks[[#This Row],[Start]],Tasks[[#This Row],[Planned Start]],WorkWeek,Holidays)))</f>
        <v/>
      </c>
      <c r="AT118" s="63" t="str">
        <f aca="false">IF(Tasks[[#This Row],[Task Name]]="","",IF(Tasks[[#This Row],[_IsSummary]],MIN(INDEX(Tasks[_LeafLateStart],Tasks[[#This Row],[_Row]]+1):INDEX(Tasks[_LeafLateStart],Tasks[[#This Row],[_Row]]+Tasks[[#This Row],[_Descendants]])),Tasks[[#This Row],[_LeafLateStart]]))</f>
        <v/>
      </c>
      <c r="AU118" s="63" t="str">
        <f aca="false">IF(Tasks[[#This Row],[Task Name]]="","",IF(Tasks[[#This Row],[_IsSummary]],MAX(INDEX(Tasks[_LeafLateFinish],Tasks[[#This Row],[_Row]]+1):INDEX(Tasks[_LeafLateFinish],Tasks[[#This Row],[_Row]]+Tasks[[#This Row],[_Descendants]])),Tasks[[#This Row],[_LeafLateFinish]]))</f>
        <v/>
      </c>
      <c r="AV118" s="47" t="str">
        <f aca="false">IF(Tasks[[#This Row],[Task Name]]="","",IF(Tasks[[#This Row],[_IsSummary]],MIN(INDEX(Tasks[_LeafTotalSlack],Tasks[[#This Row],[_Row]]+1):INDEX(Tasks[_LeafTotalSlack],Tasks[[#This Row],[_Row]]+Tasks[[#This Row],[_Descendants]])),Tasks[[#This Row],[_LeafTotalSlack]]))</f>
        <v/>
      </c>
      <c r="AW1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5"/>
      <c r="BA11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t="str">
        <f aca="false">IF(Tasks[[#This Row],[Task Name]]="","",IF(Tasks[[#This Row],[_Level]]&lt;=OutlineShowLevel,"Yes","No"))</f>
        <v/>
      </c>
      <c r="BE118" s="86" t="str">
        <f aca="false">IF(Tasks[[#This Row],[Task Name]]="","",IF(Tasks[[#This Row],[_IsSummary]],SUM(INDEX(Tasks[_LeafTotalWork],Tasks[[#This Row],[_Row]]+1):INDEX(Tasks[_LeafTotalWork],Tasks[[#This Row],[_Row]]+Tasks[[#This Row],[_Descendants]])),Tasks[[#This Row],[_LeafTotalWork]]))</f>
        <v/>
      </c>
      <c r="BF118" s="23"/>
      <c r="BG1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t="str">
        <f aca="false">""</f>
        <v/>
      </c>
      <c r="BI118" s="87"/>
      <c r="BJ118" s="22"/>
      <c r="BK118" s="47" t="str">
        <f aca="false">IF(OR(Tasks[[#This Row],[Task Name]]="",Tasks[[#This Row],[Baseline Duration]]=""),"",Tasks[[#This Row],[_SpanDays]]-N(Tasks[[#This Row],[Baseline Duration]]))</f>
        <v/>
      </c>
      <c r="BL118" s="86" t="str">
        <f aca="false">IF(OR(Tasks[[#This Row],[Task Name]]="",Tasks[[#This Row],[Baseline Work]]=""),"",Tasks[[#This Row],[Work]]-N(Tasks[[#This Row],[Baseline Work]]))</f>
        <v/>
      </c>
      <c r="BM118" s="63" t="str">
        <f aca="false">IF(Tasks[[#This Row],[Task Name]]="","",IF(OR(TakeBaseline="Yes",N(Tasks[[#This Row],[Baseline Start]])=0),Tasks[[#This Row],[Start]],Tasks[[#This Row],[Baseline Start]]))</f>
        <v/>
      </c>
      <c r="BN118" s="63" t="str">
        <f aca="false">IF(Tasks[[#This Row],[Task Name]]="","",IF(OR(TakeBaseline="Yes",N(Tasks[[#This Row],[Baseline Finish]])=0),Tasks[[#This Row],[Finish]],Tasks[[#This Row],[Baseline Finish]]))</f>
        <v/>
      </c>
      <c r="BO118" s="21" t="str">
        <f aca="false">IF(Tasks[[#This Row],[Task Name]]="","",IF(OR(TakeBaseline="Yes",N(Tasks[[#This Row],[Baseline Duration]])=0),Tasks[[#This Row],[_SpanDays]],Tasks[[#This Row],[Baseline Duration]]))</f>
        <v/>
      </c>
      <c r="BP118" s="86" t="str">
        <f aca="false">IF(Tasks[[#This Row],[Task Name]]="","",IF(OR(TakeBaseline="Yes",N(Tasks[[#This Row],[Baseline Work]])=0),Tasks[[#This Row],[Work]],Tasks[[#This Row],[Baseline Work]]))</f>
        <v/>
      </c>
      <c r="BQ118" s="7"/>
      <c r="BR118" s="7"/>
      <c r="BS118" s="22"/>
      <c r="BT118" s="88"/>
      <c r="BU118" s="23"/>
      <c r="BV118" s="23"/>
      <c r="BW118" s="23"/>
      <c r="BX118" s="89" t="str">
        <f aca="false">IF(AND(Tasks[[#This Row],[_IsLeaf]]=1,ISNUMBER(Tasks[[#This Row],[Optimistic]]),ISNUMBER(Tasks[[#This Row],[Pessimistic]])),ROUND((Tasks[[#This Row],[Optimistic]]+4*N(Tasks[[#This Row],[_Days]])+Tasks[[#This Row],[Pessimistic]])/6,1),"")</f>
        <v/>
      </c>
      <c r="BY118" s="87"/>
      <c r="BZ118" s="87"/>
      <c r="CA118" s="22"/>
      <c r="CB118" s="43" t="str">
        <f aca="false">IF(Tasks[[#This Row],[Task Name]]="","",MAX(1,N(Tasks[[#This Row],[Level]])))</f>
        <v/>
      </c>
      <c r="CC118" s="43" t="n">
        <f aca="false">ROW()-ROW(Tasks[[#Headers],[ID]])</f>
        <v>113</v>
      </c>
      <c r="CD118" s="43" t="n">
        <f aca="false">IF(OR(Tasks[[#This Row],[Task Name]]="",Tasks[[#This Row],[_Level]]&lt;=1),0,IFERROR(LOOKUP(2,1/(Tasks[[#Headers],[_Level]]:Tasks[[#This Row],[_Level]]=Tasks[[#This Row],[_Level]]-1),ROW(Tasks[[#Headers],[_Level]]:Tasks[[#This Row],[_Level]])),0))</f>
        <v>0</v>
      </c>
      <c r="CE118" s="43" t="n">
        <f aca="false">IFERROR(N(INDEX(Tasks[_Level],Tasks[[#This Row],[_Row]]+1)),0)</f>
        <v>0</v>
      </c>
      <c r="CF118" s="90" t="b">
        <f aca="false">AND(Tasks[[#This Row],[Task Name]]&lt;&gt;"",Tasks[[#This Row],[_NextLevel]]&gt;Tasks[[#This Row],[_Level]])</f>
        <v>0</v>
      </c>
      <c r="CG118" s="43" t="n">
        <f aca="false">IF(Tasks[[#This Row],[_IsSummary]],COUNTIF(Tasks[WBS],Tasks[[#This Row],[WBS]]&amp;".*"),0)</f>
        <v>0</v>
      </c>
      <c r="CH118" s="43" t="n">
        <f aca="false">IF(AND(Tasks[[#This Row],[Task Name]]&lt;&gt;"",NOT(Tasks[[#This Row],[_IsSummary]])),1,0)</f>
        <v>0</v>
      </c>
      <c r="CI118" s="43" t="n">
        <f aca="false">IF(N(Tasks[[#This Row],[_Pred1UID]])=0,0,IFERROR(MATCH(Tasks[[#This Row],[_Pred1UID]],Tasks[UID],0),-1))</f>
        <v>0</v>
      </c>
      <c r="CJ118" s="43" t="n">
        <f aca="false">IF(N(Tasks[[#This Row],[_Pred2UID]])=0,0,IFERROR(MATCH(Tasks[[#This Row],[_Pred2UID]],Tasks[UID],0),-1))</f>
        <v>0</v>
      </c>
      <c r="CK118" s="43" t="n">
        <f aca="false">IF(N(Tasks[[#This Row],[_Pred3UID]])=0,0,IFERROR(MATCH(Tasks[[#This Row],[_Pred3UID]],Tasks[UID],0),-1))</f>
        <v>0</v>
      </c>
      <c r="CL118" s="43" t="n">
        <f aca="false">IF(N(Tasks[[#This Row],[_Pred4UID]])=0,0,IFERROR(MATCH(Tasks[[#This Row],[_Pred4UID]],Tasks[UID],0),-1))</f>
        <v>0</v>
      </c>
      <c r="CM11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8" s="91" t="n">
        <f aca="false">IF(OR(Tasks[[#This Row],[_ConstraintCode]]=2,Tasks[[#This Row],[_ConstraintCode]]=3,Tasks[[#This Row],[_ConstraintCode]]=4,Tasks[[#This Row],[_ConstraintCode]]=6),Tasks[[#This Row],[_ConstraintStart]],0)</f>
        <v>0</v>
      </c>
      <c r="CP118" s="91" t="n">
        <f aca="false">IF(OR(Tasks[[#This Row],[_ConstraintCode]]=2,Tasks[[#This Row],[_ConstraintCode]]=3,Tasks[[#This Row],[_ConstraintCode]]=5,Tasks[[#This Row],[_ConstraintCode]]=7),Tasks[[#This Row],[_ConstraintStart]],2958465)</f>
        <v>2958465</v>
      </c>
      <c r="CQ11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8" s="91" t="str">
        <f aca="false">IF(NOT(Tasks[[#This Row],[_IsLeaf]]=1),"",IF(N(Tasks[[#This Row],[_Days]])&lt;=0,Tasks[[#This Row],[_LeafCalcStart]],WORKDAY.INTL(Tasks[[#This Row],[_LeafCalcStart]],Tasks[[#This Row],[_Days]]-1,WorkWeek,Holidays)))</f>
        <v/>
      </c>
      <c r="CS11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8" s="43" t="str">
        <f aca="false">IF(Tasks[[#This Row],[_Predecessors]]="","",TRIM(MID(SUBSTITUTE(SUBSTITUTE(SUBSTITUTE(UPPER(Tasks[[#This Row],[_Predecessors]]),";",",")," ",""),",",REPT(" ",99)),1,99)))</f>
        <v/>
      </c>
      <c r="CV118" s="43" t="str">
        <f aca="false">IF(Tasks[[#This Row],[_Pred1Text]]="","",IFERROR(VALUE(LEFT(Tasks[[#This Row],[_Pred1Text]],MIN(FIND("F",Tasks[[#This Row],[_Pred1Text]]&amp;"F"),FIND("S",Tasks[[#This Row],[_Pred1Text]]&amp;"S"),FIND("+",Tasks[[#This Row],[_Pred1Text]]&amp;"+"),FIND("-",Tasks[[#This Row],[_Pred1Text]]&amp;"-"))-1)),""))</f>
        <v/>
      </c>
      <c r="CW1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8" s="43" t="str">
        <f aca="false">IF(Tasks[[#This Row],[_Pred1Text]]="","",TRIM(MID(SUBSTITUTE(SUBSTITUTE(SUBSTITUTE(UPPER(Tasks[[#This Row],[_Predecessors]]),";",",")," ",""),",",REPT(" ",99)),100,99)))</f>
        <v/>
      </c>
      <c r="CZ118" s="43" t="str">
        <f aca="false">IF(Tasks[[#This Row],[_Pred2Text]]="","",IFERROR(VALUE(LEFT(Tasks[[#This Row],[_Pred2Text]],MIN(FIND("F",Tasks[[#This Row],[_Pred2Text]]&amp;"F"),FIND("S",Tasks[[#This Row],[_Pred2Text]]&amp;"S"),FIND("+",Tasks[[#This Row],[_Pred2Text]]&amp;"+"),FIND("-",Tasks[[#This Row],[_Pred2Text]]&amp;"-"))-1)),""))</f>
        <v/>
      </c>
      <c r="DA1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8" s="43" t="str">
        <f aca="false">IF(Tasks[[#This Row],[_Pred2Text]]="","",TRIM(MID(SUBSTITUTE(SUBSTITUTE(SUBSTITUTE(UPPER(Tasks[[#This Row],[_Predecessors]]),";",",")," ",""),",",REPT(" ",99)),199,99)))</f>
        <v/>
      </c>
      <c r="DD118" s="43" t="str">
        <f aca="false">IF(Tasks[[#This Row],[_Pred3Text]]="","",IFERROR(VALUE(LEFT(Tasks[[#This Row],[_Pred3Text]],MIN(FIND("F",Tasks[[#This Row],[_Pred3Text]]&amp;"F"),FIND("S",Tasks[[#This Row],[_Pred3Text]]&amp;"S"),FIND("+",Tasks[[#This Row],[_Pred3Text]]&amp;"+"),FIND("-",Tasks[[#This Row],[_Pred3Text]]&amp;"-"))-1)),""))</f>
        <v/>
      </c>
      <c r="DE1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8" s="43" t="str">
        <f aca="false">IF(Tasks[[#This Row],[_Pred3Text]]="","",TRIM(MID(SUBSTITUTE(SUBSTITUTE(SUBSTITUTE(UPPER(Tasks[[#This Row],[_Predecessors]]),";",",")," ",""),",",REPT(" ",99)),298,99)))</f>
        <v/>
      </c>
      <c r="DH118" s="43" t="str">
        <f aca="false">IF(Tasks[[#This Row],[_Pred4Text]]="","",IFERROR(VALUE(LEFT(Tasks[[#This Row],[_Pred4Text]],MIN(FIND("F",Tasks[[#This Row],[_Pred4Text]]&amp;"F"),FIND("S",Tasks[[#This Row],[_Pred4Text]]&amp;"S"),FIND("+",Tasks[[#This Row],[_Pred4Text]]&amp;"+"),FIND("-",Tasks[[#This Row],[_Pred4Text]]&amp;"-"))-1)),""))</f>
        <v/>
      </c>
      <c r="DI1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8" s="43" t="str">
        <f aca="false">IF(OR(Tasks[[#This Row],[Task Name]]="",Tasks[[#This Row],[_Resources]]=""),"",TRIM(MID(SUBSTITUTE(Tasks[[#This Row],[_Resources]],",",REPT(" ",99)),1,99)))</f>
        <v/>
      </c>
      <c r="DL118" s="43" t="str">
        <f aca="false">IF(Tasks[[#This Row],[_Res1Text]]="","",TRIM(MID(SUBSTITUTE(Tasks[[#This Row],[_Resources]],",",REPT(" ",99)),100,99)))</f>
        <v/>
      </c>
      <c r="DM118" s="43" t="str">
        <f aca="false">IF(Tasks[[#This Row],[_Res2Text]]="","",TRIM(MID(SUBSTITUTE(Tasks[[#This Row],[_Resources]],",",REPT(" ",99)),199,99)))</f>
        <v/>
      </c>
      <c r="DN118" s="43" t="str">
        <f aca="false">IF(Tasks[[#This Row],[_Res3Text]]="","",TRIM(MID(SUBSTITUTE(Tasks[[#This Row],[_Resources]],",",REPT(" ",99)),298,99)))</f>
        <v/>
      </c>
      <c r="DO118" s="43" t="n">
        <f aca="false">IF(Tasks[[#This Row],[_Res1Text]]="",0,IFERROR(MATCH(TRIM(LEFT(Tasks[[#This Row],[_Res1Text]],FIND("[",Tasks[[#This Row],[_Res1Text]]&amp;"[")-1)),res_Name,0),IFERROR(MATCH(TRIM(LEFT(Tasks[[#This Row],[_Res1Text]],FIND("[",Tasks[[#This Row],[_Res1Text]]&amp;"[")-1)),res_Initials,0),0)))</f>
        <v>0</v>
      </c>
      <c r="DP118" s="43" t="n">
        <f aca="false">IF(Tasks[[#This Row],[_Res2Text]]="",0,IFERROR(MATCH(TRIM(LEFT(Tasks[[#This Row],[_Res2Text]],FIND("[",Tasks[[#This Row],[_Res2Text]]&amp;"[")-1)),res_Name,0),IFERROR(MATCH(TRIM(LEFT(Tasks[[#This Row],[_Res2Text]],FIND("[",Tasks[[#This Row],[_Res2Text]]&amp;"[")-1)),res_Initials,0),0)))</f>
        <v>0</v>
      </c>
      <c r="DQ118" s="43" t="n">
        <f aca="false">IF(Tasks[[#This Row],[_Res3Text]]="",0,IFERROR(MATCH(TRIM(LEFT(Tasks[[#This Row],[_Res3Text]],FIND("[",Tasks[[#This Row],[_Res3Text]]&amp;"[")-1)),res_Name,0),IFERROR(MATCH(TRIM(LEFT(Tasks[[#This Row],[_Res3Text]],FIND("[",Tasks[[#This Row],[_Res3Text]]&amp;"[")-1)),res_Initials,0),0)))</f>
        <v>0</v>
      </c>
      <c r="DR118" s="43" t="n">
        <f aca="false">IF(Tasks[[#This Row],[_Res4Text]]="",0,IFERROR(MATCH(TRIM(LEFT(Tasks[[#This Row],[_Res4Text]],FIND("[",Tasks[[#This Row],[_Res4Text]]&amp;"[")-1)),res_Name,0),IFERROR(MATCH(TRIM(LEFT(Tasks[[#This Row],[_Res4Text]],FIND("[",Tasks[[#This Row],[_Res4Text]]&amp;"[")-1)),res_Initials,0),0)))</f>
        <v>0</v>
      </c>
      <c r="DS118" s="43" t="str">
        <f aca="false">IF(Tasks[[#This Row],[_Res1Text]]="","",IF(Tasks[[#This Row],[_Res1Row]]&gt;0,INDEX(res_Name,Tasks[[#This Row],[_Res1Row]]),TRIM(LEFT(Tasks[[#This Row],[_Res1Text]],FIND("[",Tasks[[#This Row],[_Res1Text]]&amp;"[")-1))))</f>
        <v/>
      </c>
      <c r="DT1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8" s="43" t="n">
        <f aca="false">IF(NOT(Tasks[[#This Row],[_IsLeaf]]=1),0,(Tasks[[#This Row],[_Resource1]]&lt;&gt;"")+(Tasks[[#This Row],[_Res2]]&lt;&gt;"")+(Tasks[[#This Row],[_Res3]]&lt;&gt;"")+(Tasks[[#This Row],[_Res4]]&lt;&gt;""))</f>
        <v>0</v>
      </c>
      <c r="DV118" s="43" t="str">
        <f aca="false">IF(Tasks[[#This Row],[_Res2Text]]="","",IF(Tasks[[#This Row],[_Res2Row]]&gt;0,INDEX(res_Name,Tasks[[#This Row],[_Res2Row]]),TRIM(LEFT(Tasks[[#This Row],[_Res2Text]],FIND("[",Tasks[[#This Row],[_Res2Text]]&amp;"[")-1))))</f>
        <v/>
      </c>
      <c r="DW1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8" s="43" t="n">
        <f aca="false">IF(OR(NOT(Tasks[[#This Row],[_IsLeaf]]=1),Tasks[[#This Row],[_Res2Row]]=0),0,N(Tasks[[#This Row],[_Days]])*HoursPerDay*IF(Tasks[[#This Row],[_Res2Units]]="",DefaultUnits,Tasks[[#This Row],[_Res2Units]]))</f>
        <v>0</v>
      </c>
      <c r="DY118" s="43" t="n">
        <f aca="false">IF(AND(AND(Tasks[[#This Row],[_IsLeaf]]=1,Tasks[[#This Row],[_LeafTotalWork]]&gt;0),Tasks[[#This Row],[_Res2Work]]&gt;0),Tasks[[#This Row],[_Res2Work]]/(Tasks[[#This Row],[_FinishWorkday]]-Tasks[[#This Row],[_StartWorkday]]+1),0)</f>
        <v>0</v>
      </c>
      <c r="DZ118" s="43" t="n">
        <f aca="false">Tasks[[#This Row],[_Res2WorkPerWD]]*MAX(0,Tasks[[#This Row],[_StartWorkday]]-1)</f>
        <v>0</v>
      </c>
      <c r="EA118" s="43" t="n">
        <f aca="false">Tasks[[#This Row],[_Res2Work]]*Tasks[[#This Row],[_LeafProgress]]</f>
        <v>0</v>
      </c>
      <c r="EB118" s="43" t="str">
        <f aca="false">IF(Tasks[[#This Row],[_Res3Text]]="","",IF(Tasks[[#This Row],[_Res3Row]]&gt;0,INDEX(res_Name,Tasks[[#This Row],[_Res3Row]]),TRIM(LEFT(Tasks[[#This Row],[_Res3Text]],FIND("[",Tasks[[#This Row],[_Res3Text]]&amp;"[")-1))))</f>
        <v/>
      </c>
      <c r="EC1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8" s="43" t="n">
        <f aca="false">IF(OR(NOT(Tasks[[#This Row],[_IsLeaf]]=1),Tasks[[#This Row],[_Res3Row]]=0),0,N(Tasks[[#This Row],[_Days]])*HoursPerDay*IF(Tasks[[#This Row],[_Res3Units]]="",DefaultUnits,Tasks[[#This Row],[_Res3Units]]))</f>
        <v>0</v>
      </c>
      <c r="EE118" s="43" t="n">
        <f aca="false">IF(AND(AND(Tasks[[#This Row],[_IsLeaf]]=1,Tasks[[#This Row],[_LeafTotalWork]]&gt;0),Tasks[[#This Row],[_Res3Work]]&gt;0),Tasks[[#This Row],[_Res3Work]]/(Tasks[[#This Row],[_FinishWorkday]]-Tasks[[#This Row],[_StartWorkday]]+1),0)</f>
        <v>0</v>
      </c>
      <c r="EF118" s="43" t="n">
        <f aca="false">Tasks[[#This Row],[_Res3WorkPerWD]]*MAX(0,Tasks[[#This Row],[_StartWorkday]]-1)</f>
        <v>0</v>
      </c>
      <c r="EG118" s="43" t="n">
        <f aca="false">Tasks[[#This Row],[_Res3Work]]*Tasks[[#This Row],[_LeafProgress]]</f>
        <v>0</v>
      </c>
      <c r="EH118" s="43" t="str">
        <f aca="false">IF(Tasks[[#This Row],[_Res4Text]]="","",IF(Tasks[[#This Row],[_Res4Row]]&gt;0,INDEX(res_Name,Tasks[[#This Row],[_Res4Row]]),TRIM(LEFT(Tasks[[#This Row],[_Res4Text]],FIND("[",Tasks[[#This Row],[_Res4Text]]&amp;"[")-1))))</f>
        <v/>
      </c>
      <c r="EI1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8" s="43" t="n">
        <f aca="false">IF(OR(NOT(Tasks[[#This Row],[_IsLeaf]]=1),Tasks[[#This Row],[_Res4Row]]=0),0,N(Tasks[[#This Row],[_Days]])*HoursPerDay*IF(Tasks[[#This Row],[_Res4Units]]="",DefaultUnits,Tasks[[#This Row],[_Res4Units]]))</f>
        <v>0</v>
      </c>
      <c r="EK118" s="43" t="n">
        <f aca="false">IF(AND(AND(Tasks[[#This Row],[_IsLeaf]]=1,Tasks[[#This Row],[_LeafTotalWork]]&gt;0),Tasks[[#This Row],[_Res4Work]]&gt;0),Tasks[[#This Row],[_Res4Work]]/(Tasks[[#This Row],[_FinishWorkday]]-Tasks[[#This Row],[_StartWorkday]]+1),0)</f>
        <v>0</v>
      </c>
      <c r="EL118" s="43" t="n">
        <f aca="false">Tasks[[#This Row],[_Res4WorkPerWD]]*MAX(0,Tasks[[#This Row],[_StartWorkday]]-1)</f>
        <v>0</v>
      </c>
      <c r="EM118" s="43" t="n">
        <f aca="false">Tasks[[#This Row],[_Res4Work]]*Tasks[[#This Row],[_LeafProgress]]</f>
        <v>0</v>
      </c>
      <c r="EN118" s="43" t="n">
        <f aca="false">IF(ISNUMBER(Tasks[[#This Row],[% Complete]]),Tasks[[#This Row],[% Complete]],IF(Tasks[[#This Row],[Stage]]="",0,IFERROR(INDEX(stg_Pct,MATCH(Tasks[[#This Row],[Stage]],stg_Name,0)),0)))</f>
        <v>0</v>
      </c>
      <c r="EO118" s="43" t="n">
        <f aca="false">IF(NOT(Tasks[[#This Row],[_IsLeaf]]=1),0,IF(N(Tasks[[#This Row],[Actual Finish]])&gt;0,1,MIN(1,Tasks[[#This Row],[_Pct]])))</f>
        <v>0</v>
      </c>
      <c r="EP118" s="43" t="n">
        <f aca="false">IF(OR(NOT(Tasks[[#This Row],[_IsLeaf]]=1),Tasks[[#This Row],[_Res1Row]]=0),0,N(Tasks[[#This Row],[_Days]])*HoursPerDay*IF(Tasks[[#This Row],[_Units1]]="",DefaultUnits,Tasks[[#This Row],[_Units1]]))</f>
        <v>0</v>
      </c>
      <c r="EQ118" s="43" t="n">
        <f aca="false">Tasks[[#This Row],[_LeafWork]]+Tasks[[#This Row],[_Res2Work]]+Tasks[[#This Row],[_Res3Work]]+Tasks[[#This Row],[_Res4Work]]</f>
        <v>0</v>
      </c>
      <c r="ER11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8" s="43" t="n">
        <f aca="false">IF(NOT(Tasks[[#This Row],[_IsLeaf]]=1),0,MAX(_xlfn.MAXIFS(Tasks[_Row],Tasks[_Pred1UID],Tasks[[#This Row],[UID]]),_xlfn.MAXIFS(Tasks[_Row],Tasks[_Pred2UID],Tasks[[#This Row],[UID]]),_xlfn.MAXIFS(Tasks[_Row],Tasks[_Pred3UID],Tasks[[#This Row],[UID]]),_xlfn.MAXIFS(Tasks[_Row],Tasks[_Pred4UID],Tasks[[#This Row],[UID]])))</f>
        <v>0</v>
      </c>
      <c r="FA11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8" s="91" t="str">
        <f aca="false">IF(NOT(Tasks[[#This Row],[_IsLeaf]]=1),"",IF(N(Tasks[[#This Row],[_Days]])&lt;=0,Tasks[[#This Row],[_LeafLateFinish]],WORKDAY.INTL(Tasks[[#This Row],[_LeafLateFinish]],-(Tasks[[#This Row],[_Days]]-1),WorkWeek,Holidays)))</f>
        <v/>
      </c>
      <c r="FD11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8" s="90" t="b">
        <f aca="false">AND(Tasks[[#This Row],[_IsLeaf]]=1,Tasks[[#This Row],[_LeafProgress]]&lt;1,N(Tasks[[#This Row],[_LeafTotalSlack]])&lt;=CriticalSlackDays)</f>
        <v>0</v>
      </c>
      <c r="FF118" s="43" t="n">
        <f aca="false">IF(AND(Tasks[[#This Row],[_IsLeaf]]=1,Tasks[[#This Row],[_ConstraintCode]]=1,Tasks[[#This Row],[Mode]]&lt;&gt;"Manual",N(Tasks[[#This Row],[Actual Start]])=0),MAX(0,N(Tasks[[#This Row],[Free Slack]])),0)</f>
        <v>0</v>
      </c>
      <c r="FG118" s="91" t="str">
        <f aca="false">IF(NOT(Tasks[[#This Row],[_IsLeaf]]=1),"",IF(Tasks[[#This Row],[_AlapShift]]=0,Tasks[[#This Row],[_LeafCalcStart]],WORKDAY.INTL(Tasks[[#This Row],[_LeafCalcStart]],Tasks[[#This Row],[_AlapShift]],WorkWeek,Holidays)))</f>
        <v/>
      </c>
      <c r="FH118" s="91" t="str">
        <f aca="false">IF(NOT(Tasks[[#This Row],[_IsLeaf]]=1),"",IF(Tasks[[#This Row],[_AlapShift]]=0,Tasks[[#This Row],[_LeafCalcFinish]],WORKDAY.INTL(Tasks[[#This Row],[_LeafCalcFinish]],Tasks[[#This Row],[_AlapShift]],WorkWeek,Holidays)))</f>
        <v/>
      </c>
      <c r="FI118" s="91" t="str">
        <f aca="false">IF(NOT(Tasks[[#This Row],[_IsLeaf]]=1),"",IF(Tasks[[#This Row],[_AlapShift]]=0,Tasks[[#This Row],[_LeafFcstStart]],WORKDAY.INTL(Tasks[[#This Row],[_LeafFcstStart]],Tasks[[#This Row],[_AlapShift]],WorkWeek,Holidays)))</f>
        <v/>
      </c>
      <c r="FJ118" s="91" t="str">
        <f aca="false">IF(NOT(Tasks[[#This Row],[_IsLeaf]]=1),"",IF(Tasks[[#This Row],[_AlapShift]]=0,Tasks[[#This Row],[_LeafFcstFinish]],WORKDAY.INTL(Tasks[[#This Row],[_LeafFcstFinish]],Tasks[[#This Row],[_AlapShift]],WorkWeek,Holidays)))</f>
        <v/>
      </c>
      <c r="FK118" s="91" t="str">
        <f aca="false">IF(Tasks[[#This Row],[Task Name]]="","",IF(Tasks[[#This Row],[_IsSummary]],MIN(INDEX(Tasks[_ShownCalcStart],Tasks[[#This Row],[_Row]]+1):INDEX(Tasks[_ShownCalcStart],Tasks[[#This Row],[_Row]]+Tasks[[#This Row],[_Descendants]])),Tasks[[#This Row],[_ShownCalcStart]]))</f>
        <v/>
      </c>
      <c r="FL118" s="91" t="str">
        <f aca="false">IF(Tasks[[#This Row],[Task Name]]="","",IF(Tasks[[#This Row],[_IsSummary]],MAX(INDEX(Tasks[_ShownCalcFinish],Tasks[[#This Row],[_Row]]+1):INDEX(Tasks[_ShownCalcFinish],Tasks[[#This Row],[_Row]]+Tasks[[#This Row],[_Descendants]])),Tasks[[#This Row],[_ShownCalcFinish]]))</f>
        <v/>
      </c>
      <c r="FM1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8" s="43" t="n">
        <f aca="false">IF(AND(Tasks[[#This Row],[_IsLeaf]]=1,Tasks[[#This Row],[_LeafTotalWork]]&gt;0),NETWORKDAYS.INTL(ProjectStart,Tasks[[#This Row],[_ShownFcstStart]],WorkWeek,Holidays),0)</f>
        <v>0</v>
      </c>
      <c r="FZ118" s="43" t="n">
        <f aca="false">IF(AND(Tasks[[#This Row],[_IsLeaf]]=1,Tasks[[#This Row],[_LeafTotalWork]]&gt;0),MAX(Tasks[[#This Row],[_StartWorkday]],NETWORKDAYS.INTL(ProjectStart,Tasks[[#This Row],[_ShownFcstFinish]],WorkWeek,Holidays)),0)</f>
        <v>0</v>
      </c>
      <c r="GA118" s="43" t="n">
        <f aca="false">IF(AND(Tasks[[#This Row],[_IsLeaf]]=1,Tasks[[#This Row],[_LeafTotalWork]]&gt;0),Tasks[[#This Row],[_LeafWork]]/(Tasks[[#This Row],[_FinishWorkday]]-Tasks[[#This Row],[_StartWorkday]]+1),0)</f>
        <v>0</v>
      </c>
      <c r="GB118" s="43" t="n">
        <f aca="false">Tasks[[#This Row],[_WorkPerWorkday]]*(Tasks[[#This Row],[_StartWorkday]]-1)</f>
        <v>-0</v>
      </c>
      <c r="GC118" s="43" t="n">
        <f aca="false">IF(Tasks[[#This Row],[_IsLeaf]]=1,MAX(N(Tasks[[#This Row],[_Days]]),0.1),0)</f>
        <v>0</v>
      </c>
      <c r="GD118" s="43" t="n">
        <f aca="false">Tasks[[#This Row],[_WeightDur]]*Tasks[[#This Row],[_LeafProgress]]</f>
        <v>0</v>
      </c>
      <c r="GE118" s="43" t="n">
        <f aca="false">Tasks[[#This Row],[_WeightDur]]*Tasks[[#This Row],[_PlannedPct]]</f>
        <v>0</v>
      </c>
      <c r="GF1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8" s="43" t="str">
        <f aca="false">IF(AND(Tasks[[#This Row],[_IsLeaf]]=1,N(Tasks[[#This Row],[_Days]])=0,Tasks[[#This Row],[_LeafProgress]]&lt;1),Tasks[[#This Row],[_ShownFcstFinish]]+Tasks[[#This Row],[_Row]]/100000,"")</f>
        <v/>
      </c>
      <c r="GH1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8" s="43" t="str">
        <f aca="false">IF(Tasks[[#This Row],[Task Name]]="","",LEFT(Tasks[[#This Row],[WBS]],FIND(".",Tasks[[#This Row],[WBS]]&amp;".")-1))</f>
        <v/>
      </c>
      <c r="GJ118" s="43" t="str">
        <f aca="false">IF(AND(Tasks[[#This Row],[Task Name]]&lt;&gt;"",Tasks[[#This Row],[_Level]]=1),Tasks[[#This Row],[_Row]],"")</f>
        <v/>
      </c>
      <c r="GK118" s="43" t="str">
        <f aca="false">IF(AND(Tasks[[#This Row],[_IsLeaf]]=1,N(Tasks[[#This Row],[_Days]])=0),Tasks[[#This Row],[Planned Finish]]+Tasks[[#This Row],[_Row]]/100000,"")</f>
        <v/>
      </c>
      <c r="GL118" s="43" t="str">
        <f aca="false">IF(AND(Tasks[[#This Row],[_IsLeaf]]=1,Tasks[[#This Row],[_LeafProgress]]&lt;1,OR(N(Tasks[[#This Row],[Finish Var]])&gt;0,Tasks[[#This Row],[Status]]="Late Start")),MAX(0,Tasks[[#This Row],[Finish Var]])+1-Tasks[[#This Row],[_Row]]/1000000,"")</f>
        <v/>
      </c>
      <c r="GM118" s="43" t="str">
        <f aca="false">IF(AND(Tasks[[#This Row],[_IsLeaf]]=1,N(Tasks[[#This Row],[Actual Start]])=0,Tasks[[#This Row],[_ShownFcstStart]]&gt;=StatusDate,Tasks[[#This Row],[_ShownFcstStart]]&lt;=LookaheadEnd),Tasks[[#This Row],[_ShownFcstStart]]+Tasks[[#This Row],[_Row]]/100000,"")</f>
        <v/>
      </c>
      <c r="GN118" s="43" t="str">
        <f aca="false">IF(AND(Tasks[[#This Row],[_IsLeaf]]=1,Tasks[[#This Row],[_LeafProgress]]&lt;1,Tasks[[#This Row],[_ShownFcstFinish]]&gt;=StatusDate,Tasks[[#This Row],[_ShownFcstFinish]]&lt;=LookaheadEnd),Tasks[[#This Row],[_ShownFcstFinish]]+Tasks[[#This Row],[_Row]]/100000,"")</f>
        <v/>
      </c>
      <c r="GO118" s="43" t="str">
        <f aca="false">IF(Tasks[[#This Row],[_LeafCritical]],Tasks[[#This Row],[_ShownFcstStart]]+Tasks[[#This Row],[_Row]]/100000,"")</f>
        <v/>
      </c>
      <c r="GP118" s="43" t="n">
        <f aca="false">Tasks[[#This Row],[_LeafWork]]*Tasks[[#This Row],[_LeafProgress]]</f>
        <v>0</v>
      </c>
      <c r="GQ118" s="91" t="str">
        <f aca="false">IF(AND(Tasks[[#This Row],[_IsLeaf]]=1,Tasks[[#This Row],[_LeafProgress]]&gt;=1),IF(N(Tasks[[#This Row],[Actual Finish]])&gt;0,Tasks[[#This Row],[Actual Finish]],Tasks[[#This Row],[_ShownFcstFinish]]),"")</f>
        <v/>
      </c>
      <c r="GR118" s="43" t="n">
        <f aca="false">IF(Tasks[[#This Row],[_IsLeaf]]=1,N(Tasks[[#This Row],[Story Points]]),0)</f>
        <v>0</v>
      </c>
      <c r="GS118" s="43" t="str">
        <f aca="false">""</f>
        <v/>
      </c>
      <c r="GT118" s="90" t="b">
        <f aca="false">IF(Tasks[[#This Row],[Task Name]]="",FALSE(),AND(Tasks[[#This Row],[_IsLeaf]]=1,N(Tasks[[#This Row],[_Days]])=0))</f>
        <v>0</v>
      </c>
      <c r="GU118" s="91" t="n">
        <f aca="false">IF(Tasks[[#This Row],[Task Name]]="",0,IF(AND(Tasks[[#This Row],[_IsLeaf]]=1,NOT(Tasks[[#This Row],[_IsMilestone]]),N(Tasks[[#This Row],[Progress]])&gt;0),Tasks[[#This Row],[Start]],0))</f>
        <v>0</v>
      </c>
      <c r="GV118" s="91" t="n">
        <f aca="false">IF(Tasks[[#This Row],[_DoneFrom]]=0,0,IF(Tasks[[#This Row],[Progress]]&gt;=1,Tasks[[#This Row],[Finish]],MAX(Tasks[[#This Row],[_DoneFrom]],Tasks[[#This Row],[Start]]+ROUND((Tasks[[#This Row],[Finish]]-Tasks[[#This Row],[Start]]+1)*Tasks[[#This Row],[Progress]],0)-1)))</f>
        <v>0</v>
      </c>
      <c r="GW118" s="91" t="n">
        <f aca="false">IF(Tasks[[#This Row],[Task Name]]="",0,IF(OR(NOT(Tasks[[#This Row],[_IsLeaf]]=1),Tasks[[#This Row],[_IsMilestone]],N(Tasks[[#This Row],[Progress]])&gt;=1),0,IF(Tasks[[#This Row],[_DoneTo]]&gt;0,Tasks[[#This Row],[_DoneTo]]+1,Tasks[[#This Row],[Start]])))</f>
        <v>0</v>
      </c>
      <c r="GX118" s="91" t="n">
        <f aca="false">IF(Tasks[[#This Row],[_RemFrom]]=0,0,Tasks[[#This Row],[Finish]])</f>
        <v>0</v>
      </c>
      <c r="GY118" s="90" t="b">
        <f aca="false">IF(Tasks[[#This Row],[Task Name]]="",FALSE(),OR(NOT(BaselineSet),N(Tasks[[#This Row],[Baseline Start]])&gt;0))</f>
        <v>0</v>
      </c>
      <c r="GZ11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8" s="92" t="str">
        <f aca="false">IF(Tasks[[#This Row],[_IsLeaf]]=1,Tasks[[#This Row],[_Row]],"")</f>
        <v/>
      </c>
      <c r="HD118" s="92" t="str">
        <f aca="false">IFERROR(INDEX(Tasks[UID],SMALL(Tasks[_PickKey],Tasks[[#This Row],[_Row]]))&amp;" "&amp;INDEX(Tasks[Task Name],SMALL(Tasks[_PickKey],Tasks[[#This Row],[_Row]])),"")</f>
        <v/>
      </c>
      <c r="HE118" s="43" t="str">
        <f aca="false">IF(Tasks[[#This Row],[Task Name]]="","",IF(Tasks[[#This Row],[_IsSummary]],NETWORKDAYS.INTL(Tasks[[#This Row],[Start]],Tasks[[#This Row],[Finish]],WorkWeek,Holidays),N(Tasks[[#This Row],[_Days]])))</f>
        <v/>
      </c>
      <c r="HF118" s="43" t="n">
        <f aca="false">IF(Tasks[[#This Row],[Expected]]="",0,((Tasks[[#This Row],[Pessimistic]]-Tasks[[#This Row],[Optimistic]])/6)^2)</f>
        <v>0</v>
      </c>
      <c r="HG118" s="43" t="n">
        <f aca="false">IF(Tasks[[#This Row],[Expected]]="",0,Tasks[[#This Row],[Expected]]-N(Tasks[[#This Row],[_Days]]))</f>
        <v>0</v>
      </c>
    </row>
    <row r="119" customFormat="false" ht="15" hidden="false" customHeight="false" outlineLevel="0" collapsed="false">
      <c r="A119" s="21" t="str">
        <f aca="false">IF(Tasks[[#This Row],[Task Name]]="","",COUNTA(Tasks[[#Headers],[Task Name]]:Tasks[[#This Row],[Task Name]])-1)</f>
        <v/>
      </c>
      <c r="B119" s="22" t="n">
        <v>127</v>
      </c>
      <c r="C119" s="22"/>
      <c r="D119" s="23"/>
      <c r="E119" s="22"/>
      <c r="F119" s="23"/>
      <c r="G119" s="22"/>
      <c r="H119" s="22"/>
      <c r="I119" s="23"/>
      <c r="J119" s="22"/>
      <c r="K119" s="22"/>
      <c r="L119" s="23"/>
      <c r="M119" s="22"/>
      <c r="N119" s="22"/>
      <c r="O119" s="23"/>
      <c r="P119" s="22"/>
      <c r="Q119" s="22"/>
      <c r="R119" s="23"/>
      <c r="S119" s="23"/>
      <c r="T119" s="84"/>
      <c r="U119" s="23"/>
      <c r="V119" s="84"/>
      <c r="W119" s="23"/>
      <c r="X119" s="84"/>
      <c r="Y119" s="23"/>
      <c r="Z119" s="84"/>
      <c r="AA119" s="23"/>
      <c r="AB119" s="23"/>
      <c r="AC119" s="7"/>
      <c r="AD119" s="7"/>
      <c r="AE119" s="63" t="str">
        <f aca="false">IF(Tasks[[#This Row],[Task Name]]="","",IF(Tasks[[#This Row],[_IsSummary]],MIN(INDEX(Tasks[_ShownFcstStart],Tasks[[#This Row],[_Row]]+1):INDEX(Tasks[_ShownFcstStart],Tasks[[#This Row],[_Row]]+Tasks[[#This Row],[_Descendants]])),Tasks[[#This Row],[_ShownFcstStart]]))</f>
        <v/>
      </c>
      <c r="AF119" s="63" t="str">
        <f aca="false">IF(Tasks[[#This Row],[Task Name]]="","",IF(Tasks[[#This Row],[_IsSummary]],MAX(INDEX(Tasks[_ShownFcstFinish],Tasks[[#This Row],[_Row]]+1):INDEX(Tasks[_ShownFcstFinish],Tasks[[#This Row],[_Row]]+Tasks[[#This Row],[_Descendants]])),Tasks[[#This Row],[_ShownFcstFinish]]))</f>
        <v/>
      </c>
      <c r="AG119" s="21" t="str">
        <f aca="false">""</f>
        <v/>
      </c>
      <c r="AH119" s="23"/>
      <c r="AI1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9" s="7"/>
      <c r="AK119" s="22"/>
      <c r="AL119" s="23"/>
      <c r="AM119" s="7"/>
      <c r="AN119" s="47" t="str">
        <f aca="false">IF(Tasks[[#This Row],[Task Name]]="","",IF(Tasks[[#This Row],[Finish]]&gt;=Tasks[[#This Row],[Planned Finish]],NETWORKDAYS.INTL(Tasks[[#This Row],[Planned Finish]],Tasks[[#This Row],[Finish]],WorkWeek,Holidays)-1,1-NETWORKDAYS.INTL(Tasks[[#This Row],[Finish]],Tasks[[#This Row],[Planned Finish]],WorkWeek,Holidays)))</f>
        <v/>
      </c>
      <c r="AO119" s="21" t="str">
        <f aca="false">IF(Tasks[[#This Row],[Task Name]]="","",IF(Tasks[[#This Row],[Progress]]&gt;=1,"Complete",IF(OR(N(Tasks[[#This Row],[Actual Start]])&gt;0,Tasks[[#This Row],[Progress]]&gt;0),IF(Tasks[[#This Row],[Finish Var]]&gt;0,"Behind","In Progress"),IF(Tasks[[#This Row],[Planned Start]]&lt;StatusDate,"Late Start","Not Started"))))</f>
        <v/>
      </c>
      <c r="AP119" s="21" t="str">
        <f aca="false">IF(Tasks[[#This Row],[Task Name]]="","",IF(IF(Tasks[[#This Row],[_IsSummary]],COUNTIF(INDEX(Tasks[_LeafCritical],Tasks[[#This Row],[_Row]]+1):INDEX(Tasks[_LeafCritical],Tasks[[#This Row],[_Row]]+Tasks[[#This Row],[_Descendants]]),TRUE())&gt;0,Tasks[[#This Row],[_LeafCritical]]),"Yes",""))</f>
        <v/>
      </c>
      <c r="AQ119" s="63" t="str">
        <f aca="false">IF(Tasks[[#This Row],[Task Name]]="","",IF(N(Tasks[[#This Row],[Baseline Start]])&gt;0,Tasks[[#This Row],[Baseline Start]],Tasks[[#This Row],[_CalcStart]]))</f>
        <v/>
      </c>
      <c r="AR119" s="63" t="str">
        <f aca="false">IF(Tasks[[#This Row],[Task Name]]="","",IF(N(Tasks[[#This Row],[Baseline Finish]])&gt;0,Tasks[[#This Row],[Baseline Finish]],Tasks[[#This Row],[_CalcFinish]]))</f>
        <v/>
      </c>
      <c r="AS119" s="47" t="str">
        <f aca="false">IF(Tasks[[#This Row],[Task Name]]="","",IF(Tasks[[#This Row],[Start]]&gt;=Tasks[[#This Row],[Planned Start]],NETWORKDAYS.INTL(Tasks[[#This Row],[Planned Start]],Tasks[[#This Row],[Start]],WorkWeek,Holidays)-1,1-NETWORKDAYS.INTL(Tasks[[#This Row],[Start]],Tasks[[#This Row],[Planned Start]],WorkWeek,Holidays)))</f>
        <v/>
      </c>
      <c r="AT119" s="63" t="str">
        <f aca="false">IF(Tasks[[#This Row],[Task Name]]="","",IF(Tasks[[#This Row],[_IsSummary]],MIN(INDEX(Tasks[_LeafLateStart],Tasks[[#This Row],[_Row]]+1):INDEX(Tasks[_LeafLateStart],Tasks[[#This Row],[_Row]]+Tasks[[#This Row],[_Descendants]])),Tasks[[#This Row],[_LeafLateStart]]))</f>
        <v/>
      </c>
      <c r="AU119" s="63" t="str">
        <f aca="false">IF(Tasks[[#This Row],[Task Name]]="","",IF(Tasks[[#This Row],[_IsSummary]],MAX(INDEX(Tasks[_LeafLateFinish],Tasks[[#This Row],[_Row]]+1):INDEX(Tasks[_LeafLateFinish],Tasks[[#This Row],[_Row]]+Tasks[[#This Row],[_Descendants]])),Tasks[[#This Row],[_LeafLateFinish]]))</f>
        <v/>
      </c>
      <c r="AV119" s="47" t="str">
        <f aca="false">IF(Tasks[[#This Row],[Task Name]]="","",IF(Tasks[[#This Row],[_IsSummary]],MIN(INDEX(Tasks[_LeafTotalSlack],Tasks[[#This Row],[_Row]]+1):INDEX(Tasks[_LeafTotalSlack],Tasks[[#This Row],[_Row]]+Tasks[[#This Row],[_Descendants]])),Tasks[[#This Row],[_LeafTotalSlack]]))</f>
        <v/>
      </c>
      <c r="AW1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5"/>
      <c r="BA11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t="str">
        <f aca="false">IF(Tasks[[#This Row],[Task Name]]="","",IF(Tasks[[#This Row],[_Level]]&lt;=OutlineShowLevel,"Yes","No"))</f>
        <v/>
      </c>
      <c r="BE119" s="86" t="str">
        <f aca="false">IF(Tasks[[#This Row],[Task Name]]="","",IF(Tasks[[#This Row],[_IsSummary]],SUM(INDEX(Tasks[_LeafTotalWork],Tasks[[#This Row],[_Row]]+1):INDEX(Tasks[_LeafTotalWork],Tasks[[#This Row],[_Row]]+Tasks[[#This Row],[_Descendants]])),Tasks[[#This Row],[_LeafTotalWork]]))</f>
        <v/>
      </c>
      <c r="BF119" s="23"/>
      <c r="BG1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t="str">
        <f aca="false">""</f>
        <v/>
      </c>
      <c r="BI119" s="87"/>
      <c r="BJ119" s="22"/>
      <c r="BK119" s="47" t="str">
        <f aca="false">IF(OR(Tasks[[#This Row],[Task Name]]="",Tasks[[#This Row],[Baseline Duration]]=""),"",Tasks[[#This Row],[_SpanDays]]-N(Tasks[[#This Row],[Baseline Duration]]))</f>
        <v/>
      </c>
      <c r="BL119" s="86" t="str">
        <f aca="false">IF(OR(Tasks[[#This Row],[Task Name]]="",Tasks[[#This Row],[Baseline Work]]=""),"",Tasks[[#This Row],[Work]]-N(Tasks[[#This Row],[Baseline Work]]))</f>
        <v/>
      </c>
      <c r="BM119" s="63" t="str">
        <f aca="false">IF(Tasks[[#This Row],[Task Name]]="","",IF(OR(TakeBaseline="Yes",N(Tasks[[#This Row],[Baseline Start]])=0),Tasks[[#This Row],[Start]],Tasks[[#This Row],[Baseline Start]]))</f>
        <v/>
      </c>
      <c r="BN119" s="63" t="str">
        <f aca="false">IF(Tasks[[#This Row],[Task Name]]="","",IF(OR(TakeBaseline="Yes",N(Tasks[[#This Row],[Baseline Finish]])=0),Tasks[[#This Row],[Finish]],Tasks[[#This Row],[Baseline Finish]]))</f>
        <v/>
      </c>
      <c r="BO119" s="21" t="str">
        <f aca="false">IF(Tasks[[#This Row],[Task Name]]="","",IF(OR(TakeBaseline="Yes",N(Tasks[[#This Row],[Baseline Duration]])=0),Tasks[[#This Row],[_SpanDays]],Tasks[[#This Row],[Baseline Duration]]))</f>
        <v/>
      </c>
      <c r="BP119" s="86" t="str">
        <f aca="false">IF(Tasks[[#This Row],[Task Name]]="","",IF(OR(TakeBaseline="Yes",N(Tasks[[#This Row],[Baseline Work]])=0),Tasks[[#This Row],[Work]],Tasks[[#This Row],[Baseline Work]]))</f>
        <v/>
      </c>
      <c r="BQ119" s="7"/>
      <c r="BR119" s="7"/>
      <c r="BS119" s="22"/>
      <c r="BT119" s="88"/>
      <c r="BU119" s="23"/>
      <c r="BV119" s="23"/>
      <c r="BW119" s="23"/>
      <c r="BX119" s="89" t="str">
        <f aca="false">IF(AND(Tasks[[#This Row],[_IsLeaf]]=1,ISNUMBER(Tasks[[#This Row],[Optimistic]]),ISNUMBER(Tasks[[#This Row],[Pessimistic]])),ROUND((Tasks[[#This Row],[Optimistic]]+4*N(Tasks[[#This Row],[_Days]])+Tasks[[#This Row],[Pessimistic]])/6,1),"")</f>
        <v/>
      </c>
      <c r="BY119" s="87"/>
      <c r="BZ119" s="87"/>
      <c r="CA119" s="22"/>
      <c r="CB119" s="43" t="str">
        <f aca="false">IF(Tasks[[#This Row],[Task Name]]="","",MAX(1,N(Tasks[[#This Row],[Level]])))</f>
        <v/>
      </c>
      <c r="CC119" s="43" t="n">
        <f aca="false">ROW()-ROW(Tasks[[#Headers],[ID]])</f>
        <v>114</v>
      </c>
      <c r="CD119" s="43" t="n">
        <f aca="false">IF(OR(Tasks[[#This Row],[Task Name]]="",Tasks[[#This Row],[_Level]]&lt;=1),0,IFERROR(LOOKUP(2,1/(Tasks[[#Headers],[_Level]]:Tasks[[#This Row],[_Level]]=Tasks[[#This Row],[_Level]]-1),ROW(Tasks[[#Headers],[_Level]]:Tasks[[#This Row],[_Level]])),0))</f>
        <v>0</v>
      </c>
      <c r="CE119" s="43" t="n">
        <f aca="false">IFERROR(N(INDEX(Tasks[_Level],Tasks[[#This Row],[_Row]]+1)),0)</f>
        <v>0</v>
      </c>
      <c r="CF119" s="90" t="b">
        <f aca="false">AND(Tasks[[#This Row],[Task Name]]&lt;&gt;"",Tasks[[#This Row],[_NextLevel]]&gt;Tasks[[#This Row],[_Level]])</f>
        <v>0</v>
      </c>
      <c r="CG119" s="43" t="n">
        <f aca="false">IF(Tasks[[#This Row],[_IsSummary]],COUNTIF(Tasks[WBS],Tasks[[#This Row],[WBS]]&amp;".*"),0)</f>
        <v>0</v>
      </c>
      <c r="CH119" s="43" t="n">
        <f aca="false">IF(AND(Tasks[[#This Row],[Task Name]]&lt;&gt;"",NOT(Tasks[[#This Row],[_IsSummary]])),1,0)</f>
        <v>0</v>
      </c>
      <c r="CI119" s="43" t="n">
        <f aca="false">IF(N(Tasks[[#This Row],[_Pred1UID]])=0,0,IFERROR(MATCH(Tasks[[#This Row],[_Pred1UID]],Tasks[UID],0),-1))</f>
        <v>0</v>
      </c>
      <c r="CJ119" s="43" t="n">
        <f aca="false">IF(N(Tasks[[#This Row],[_Pred2UID]])=0,0,IFERROR(MATCH(Tasks[[#This Row],[_Pred2UID]],Tasks[UID],0),-1))</f>
        <v>0</v>
      </c>
      <c r="CK119" s="43" t="n">
        <f aca="false">IF(N(Tasks[[#This Row],[_Pred3UID]])=0,0,IFERROR(MATCH(Tasks[[#This Row],[_Pred3UID]],Tasks[UID],0),-1))</f>
        <v>0</v>
      </c>
      <c r="CL119" s="43" t="n">
        <f aca="false">IF(N(Tasks[[#This Row],[_Pred4UID]])=0,0,IFERROR(MATCH(Tasks[[#This Row],[_Pred4UID]],Tasks[UID],0),-1))</f>
        <v>0</v>
      </c>
      <c r="CM11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9" s="91" t="n">
        <f aca="false">IF(OR(Tasks[[#This Row],[_ConstraintCode]]=2,Tasks[[#This Row],[_ConstraintCode]]=3,Tasks[[#This Row],[_ConstraintCode]]=4,Tasks[[#This Row],[_ConstraintCode]]=6),Tasks[[#This Row],[_ConstraintStart]],0)</f>
        <v>0</v>
      </c>
      <c r="CP119" s="91" t="n">
        <f aca="false">IF(OR(Tasks[[#This Row],[_ConstraintCode]]=2,Tasks[[#This Row],[_ConstraintCode]]=3,Tasks[[#This Row],[_ConstraintCode]]=5,Tasks[[#This Row],[_ConstraintCode]]=7),Tasks[[#This Row],[_ConstraintStart]],2958465)</f>
        <v>2958465</v>
      </c>
      <c r="CQ11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9" s="91" t="str">
        <f aca="false">IF(NOT(Tasks[[#This Row],[_IsLeaf]]=1),"",IF(N(Tasks[[#This Row],[_Days]])&lt;=0,Tasks[[#This Row],[_LeafCalcStart]],WORKDAY.INTL(Tasks[[#This Row],[_LeafCalcStart]],Tasks[[#This Row],[_Days]]-1,WorkWeek,Holidays)))</f>
        <v/>
      </c>
      <c r="CS11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9" s="43" t="str">
        <f aca="false">IF(Tasks[[#This Row],[_Predecessors]]="","",TRIM(MID(SUBSTITUTE(SUBSTITUTE(SUBSTITUTE(UPPER(Tasks[[#This Row],[_Predecessors]]),";",",")," ",""),",",REPT(" ",99)),1,99)))</f>
        <v/>
      </c>
      <c r="CV119" s="43" t="str">
        <f aca="false">IF(Tasks[[#This Row],[_Pred1Text]]="","",IFERROR(VALUE(LEFT(Tasks[[#This Row],[_Pred1Text]],MIN(FIND("F",Tasks[[#This Row],[_Pred1Text]]&amp;"F"),FIND("S",Tasks[[#This Row],[_Pred1Text]]&amp;"S"),FIND("+",Tasks[[#This Row],[_Pred1Text]]&amp;"+"),FIND("-",Tasks[[#This Row],[_Pred1Text]]&amp;"-"))-1)),""))</f>
        <v/>
      </c>
      <c r="CW1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9" s="43" t="str">
        <f aca="false">IF(Tasks[[#This Row],[_Pred1Text]]="","",TRIM(MID(SUBSTITUTE(SUBSTITUTE(SUBSTITUTE(UPPER(Tasks[[#This Row],[_Predecessors]]),";",",")," ",""),",",REPT(" ",99)),100,99)))</f>
        <v/>
      </c>
      <c r="CZ119" s="43" t="str">
        <f aca="false">IF(Tasks[[#This Row],[_Pred2Text]]="","",IFERROR(VALUE(LEFT(Tasks[[#This Row],[_Pred2Text]],MIN(FIND("F",Tasks[[#This Row],[_Pred2Text]]&amp;"F"),FIND("S",Tasks[[#This Row],[_Pred2Text]]&amp;"S"),FIND("+",Tasks[[#This Row],[_Pred2Text]]&amp;"+"),FIND("-",Tasks[[#This Row],[_Pred2Text]]&amp;"-"))-1)),""))</f>
        <v/>
      </c>
      <c r="DA1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9" s="43" t="str">
        <f aca="false">IF(Tasks[[#This Row],[_Pred2Text]]="","",TRIM(MID(SUBSTITUTE(SUBSTITUTE(SUBSTITUTE(UPPER(Tasks[[#This Row],[_Predecessors]]),";",",")," ",""),",",REPT(" ",99)),199,99)))</f>
        <v/>
      </c>
      <c r="DD119" s="43" t="str">
        <f aca="false">IF(Tasks[[#This Row],[_Pred3Text]]="","",IFERROR(VALUE(LEFT(Tasks[[#This Row],[_Pred3Text]],MIN(FIND("F",Tasks[[#This Row],[_Pred3Text]]&amp;"F"),FIND("S",Tasks[[#This Row],[_Pred3Text]]&amp;"S"),FIND("+",Tasks[[#This Row],[_Pred3Text]]&amp;"+"),FIND("-",Tasks[[#This Row],[_Pred3Text]]&amp;"-"))-1)),""))</f>
        <v/>
      </c>
      <c r="DE1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9" s="43" t="str">
        <f aca="false">IF(Tasks[[#This Row],[_Pred3Text]]="","",TRIM(MID(SUBSTITUTE(SUBSTITUTE(SUBSTITUTE(UPPER(Tasks[[#This Row],[_Predecessors]]),";",",")," ",""),",",REPT(" ",99)),298,99)))</f>
        <v/>
      </c>
      <c r="DH119" s="43" t="str">
        <f aca="false">IF(Tasks[[#This Row],[_Pred4Text]]="","",IFERROR(VALUE(LEFT(Tasks[[#This Row],[_Pred4Text]],MIN(FIND("F",Tasks[[#This Row],[_Pred4Text]]&amp;"F"),FIND("S",Tasks[[#This Row],[_Pred4Text]]&amp;"S"),FIND("+",Tasks[[#This Row],[_Pred4Text]]&amp;"+"),FIND("-",Tasks[[#This Row],[_Pred4Text]]&amp;"-"))-1)),""))</f>
        <v/>
      </c>
      <c r="DI1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9" s="43" t="str">
        <f aca="false">IF(OR(Tasks[[#This Row],[Task Name]]="",Tasks[[#This Row],[_Resources]]=""),"",TRIM(MID(SUBSTITUTE(Tasks[[#This Row],[_Resources]],",",REPT(" ",99)),1,99)))</f>
        <v/>
      </c>
      <c r="DL119" s="43" t="str">
        <f aca="false">IF(Tasks[[#This Row],[_Res1Text]]="","",TRIM(MID(SUBSTITUTE(Tasks[[#This Row],[_Resources]],",",REPT(" ",99)),100,99)))</f>
        <v/>
      </c>
      <c r="DM119" s="43" t="str">
        <f aca="false">IF(Tasks[[#This Row],[_Res2Text]]="","",TRIM(MID(SUBSTITUTE(Tasks[[#This Row],[_Resources]],",",REPT(" ",99)),199,99)))</f>
        <v/>
      </c>
      <c r="DN119" s="43" t="str">
        <f aca="false">IF(Tasks[[#This Row],[_Res3Text]]="","",TRIM(MID(SUBSTITUTE(Tasks[[#This Row],[_Resources]],",",REPT(" ",99)),298,99)))</f>
        <v/>
      </c>
      <c r="DO119" s="43" t="n">
        <f aca="false">IF(Tasks[[#This Row],[_Res1Text]]="",0,IFERROR(MATCH(TRIM(LEFT(Tasks[[#This Row],[_Res1Text]],FIND("[",Tasks[[#This Row],[_Res1Text]]&amp;"[")-1)),res_Name,0),IFERROR(MATCH(TRIM(LEFT(Tasks[[#This Row],[_Res1Text]],FIND("[",Tasks[[#This Row],[_Res1Text]]&amp;"[")-1)),res_Initials,0),0)))</f>
        <v>0</v>
      </c>
      <c r="DP119" s="43" t="n">
        <f aca="false">IF(Tasks[[#This Row],[_Res2Text]]="",0,IFERROR(MATCH(TRIM(LEFT(Tasks[[#This Row],[_Res2Text]],FIND("[",Tasks[[#This Row],[_Res2Text]]&amp;"[")-1)),res_Name,0),IFERROR(MATCH(TRIM(LEFT(Tasks[[#This Row],[_Res2Text]],FIND("[",Tasks[[#This Row],[_Res2Text]]&amp;"[")-1)),res_Initials,0),0)))</f>
        <v>0</v>
      </c>
      <c r="DQ119" s="43" t="n">
        <f aca="false">IF(Tasks[[#This Row],[_Res3Text]]="",0,IFERROR(MATCH(TRIM(LEFT(Tasks[[#This Row],[_Res3Text]],FIND("[",Tasks[[#This Row],[_Res3Text]]&amp;"[")-1)),res_Name,0),IFERROR(MATCH(TRIM(LEFT(Tasks[[#This Row],[_Res3Text]],FIND("[",Tasks[[#This Row],[_Res3Text]]&amp;"[")-1)),res_Initials,0),0)))</f>
        <v>0</v>
      </c>
      <c r="DR119" s="43" t="n">
        <f aca="false">IF(Tasks[[#This Row],[_Res4Text]]="",0,IFERROR(MATCH(TRIM(LEFT(Tasks[[#This Row],[_Res4Text]],FIND("[",Tasks[[#This Row],[_Res4Text]]&amp;"[")-1)),res_Name,0),IFERROR(MATCH(TRIM(LEFT(Tasks[[#This Row],[_Res4Text]],FIND("[",Tasks[[#This Row],[_Res4Text]]&amp;"[")-1)),res_Initials,0),0)))</f>
        <v>0</v>
      </c>
      <c r="DS119" s="43" t="str">
        <f aca="false">IF(Tasks[[#This Row],[_Res1Text]]="","",IF(Tasks[[#This Row],[_Res1Row]]&gt;0,INDEX(res_Name,Tasks[[#This Row],[_Res1Row]]),TRIM(LEFT(Tasks[[#This Row],[_Res1Text]],FIND("[",Tasks[[#This Row],[_Res1Text]]&amp;"[")-1))))</f>
        <v/>
      </c>
      <c r="DT1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9" s="43" t="n">
        <f aca="false">IF(NOT(Tasks[[#This Row],[_IsLeaf]]=1),0,(Tasks[[#This Row],[_Resource1]]&lt;&gt;"")+(Tasks[[#This Row],[_Res2]]&lt;&gt;"")+(Tasks[[#This Row],[_Res3]]&lt;&gt;"")+(Tasks[[#This Row],[_Res4]]&lt;&gt;""))</f>
        <v>0</v>
      </c>
      <c r="DV119" s="43" t="str">
        <f aca="false">IF(Tasks[[#This Row],[_Res2Text]]="","",IF(Tasks[[#This Row],[_Res2Row]]&gt;0,INDEX(res_Name,Tasks[[#This Row],[_Res2Row]]),TRIM(LEFT(Tasks[[#This Row],[_Res2Text]],FIND("[",Tasks[[#This Row],[_Res2Text]]&amp;"[")-1))))</f>
        <v/>
      </c>
      <c r="DW1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9" s="43" t="n">
        <f aca="false">IF(OR(NOT(Tasks[[#This Row],[_IsLeaf]]=1),Tasks[[#This Row],[_Res2Row]]=0),0,N(Tasks[[#This Row],[_Days]])*HoursPerDay*IF(Tasks[[#This Row],[_Res2Units]]="",DefaultUnits,Tasks[[#This Row],[_Res2Units]]))</f>
        <v>0</v>
      </c>
      <c r="DY119" s="43" t="n">
        <f aca="false">IF(AND(AND(Tasks[[#This Row],[_IsLeaf]]=1,Tasks[[#This Row],[_LeafTotalWork]]&gt;0),Tasks[[#This Row],[_Res2Work]]&gt;0),Tasks[[#This Row],[_Res2Work]]/(Tasks[[#This Row],[_FinishWorkday]]-Tasks[[#This Row],[_StartWorkday]]+1),0)</f>
        <v>0</v>
      </c>
      <c r="DZ119" s="43" t="n">
        <f aca="false">Tasks[[#This Row],[_Res2WorkPerWD]]*MAX(0,Tasks[[#This Row],[_StartWorkday]]-1)</f>
        <v>0</v>
      </c>
      <c r="EA119" s="43" t="n">
        <f aca="false">Tasks[[#This Row],[_Res2Work]]*Tasks[[#This Row],[_LeafProgress]]</f>
        <v>0</v>
      </c>
      <c r="EB119" s="43" t="str">
        <f aca="false">IF(Tasks[[#This Row],[_Res3Text]]="","",IF(Tasks[[#This Row],[_Res3Row]]&gt;0,INDEX(res_Name,Tasks[[#This Row],[_Res3Row]]),TRIM(LEFT(Tasks[[#This Row],[_Res3Text]],FIND("[",Tasks[[#This Row],[_Res3Text]]&amp;"[")-1))))</f>
        <v/>
      </c>
      <c r="EC1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9" s="43" t="n">
        <f aca="false">IF(OR(NOT(Tasks[[#This Row],[_IsLeaf]]=1),Tasks[[#This Row],[_Res3Row]]=0),0,N(Tasks[[#This Row],[_Days]])*HoursPerDay*IF(Tasks[[#This Row],[_Res3Units]]="",DefaultUnits,Tasks[[#This Row],[_Res3Units]]))</f>
        <v>0</v>
      </c>
      <c r="EE119" s="43" t="n">
        <f aca="false">IF(AND(AND(Tasks[[#This Row],[_IsLeaf]]=1,Tasks[[#This Row],[_LeafTotalWork]]&gt;0),Tasks[[#This Row],[_Res3Work]]&gt;0),Tasks[[#This Row],[_Res3Work]]/(Tasks[[#This Row],[_FinishWorkday]]-Tasks[[#This Row],[_StartWorkday]]+1),0)</f>
        <v>0</v>
      </c>
      <c r="EF119" s="43" t="n">
        <f aca="false">Tasks[[#This Row],[_Res3WorkPerWD]]*MAX(0,Tasks[[#This Row],[_StartWorkday]]-1)</f>
        <v>0</v>
      </c>
      <c r="EG119" s="43" t="n">
        <f aca="false">Tasks[[#This Row],[_Res3Work]]*Tasks[[#This Row],[_LeafProgress]]</f>
        <v>0</v>
      </c>
      <c r="EH119" s="43" t="str">
        <f aca="false">IF(Tasks[[#This Row],[_Res4Text]]="","",IF(Tasks[[#This Row],[_Res4Row]]&gt;0,INDEX(res_Name,Tasks[[#This Row],[_Res4Row]]),TRIM(LEFT(Tasks[[#This Row],[_Res4Text]],FIND("[",Tasks[[#This Row],[_Res4Text]]&amp;"[")-1))))</f>
        <v/>
      </c>
      <c r="EI1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9" s="43" t="n">
        <f aca="false">IF(OR(NOT(Tasks[[#This Row],[_IsLeaf]]=1),Tasks[[#This Row],[_Res4Row]]=0),0,N(Tasks[[#This Row],[_Days]])*HoursPerDay*IF(Tasks[[#This Row],[_Res4Units]]="",DefaultUnits,Tasks[[#This Row],[_Res4Units]]))</f>
        <v>0</v>
      </c>
      <c r="EK119" s="43" t="n">
        <f aca="false">IF(AND(AND(Tasks[[#This Row],[_IsLeaf]]=1,Tasks[[#This Row],[_LeafTotalWork]]&gt;0),Tasks[[#This Row],[_Res4Work]]&gt;0),Tasks[[#This Row],[_Res4Work]]/(Tasks[[#This Row],[_FinishWorkday]]-Tasks[[#This Row],[_StartWorkday]]+1),0)</f>
        <v>0</v>
      </c>
      <c r="EL119" s="43" t="n">
        <f aca="false">Tasks[[#This Row],[_Res4WorkPerWD]]*MAX(0,Tasks[[#This Row],[_StartWorkday]]-1)</f>
        <v>0</v>
      </c>
      <c r="EM119" s="43" t="n">
        <f aca="false">Tasks[[#This Row],[_Res4Work]]*Tasks[[#This Row],[_LeafProgress]]</f>
        <v>0</v>
      </c>
      <c r="EN119" s="43" t="n">
        <f aca="false">IF(ISNUMBER(Tasks[[#This Row],[% Complete]]),Tasks[[#This Row],[% Complete]],IF(Tasks[[#This Row],[Stage]]="",0,IFERROR(INDEX(stg_Pct,MATCH(Tasks[[#This Row],[Stage]],stg_Name,0)),0)))</f>
        <v>0</v>
      </c>
      <c r="EO119" s="43" t="n">
        <f aca="false">IF(NOT(Tasks[[#This Row],[_IsLeaf]]=1),0,IF(N(Tasks[[#This Row],[Actual Finish]])&gt;0,1,MIN(1,Tasks[[#This Row],[_Pct]])))</f>
        <v>0</v>
      </c>
      <c r="EP119" s="43" t="n">
        <f aca="false">IF(OR(NOT(Tasks[[#This Row],[_IsLeaf]]=1),Tasks[[#This Row],[_Res1Row]]=0),0,N(Tasks[[#This Row],[_Days]])*HoursPerDay*IF(Tasks[[#This Row],[_Units1]]="",DefaultUnits,Tasks[[#This Row],[_Units1]]))</f>
        <v>0</v>
      </c>
      <c r="EQ119" s="43" t="n">
        <f aca="false">Tasks[[#This Row],[_LeafWork]]+Tasks[[#This Row],[_Res2Work]]+Tasks[[#This Row],[_Res3Work]]+Tasks[[#This Row],[_Res4Work]]</f>
        <v>0</v>
      </c>
      <c r="ER11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9" s="43" t="n">
        <f aca="false">IF(NOT(Tasks[[#This Row],[_IsLeaf]]=1),0,MAX(_xlfn.MAXIFS(Tasks[_Row],Tasks[_Pred1UID],Tasks[[#This Row],[UID]]),_xlfn.MAXIFS(Tasks[_Row],Tasks[_Pred2UID],Tasks[[#This Row],[UID]]),_xlfn.MAXIFS(Tasks[_Row],Tasks[_Pred3UID],Tasks[[#This Row],[UID]]),_xlfn.MAXIFS(Tasks[_Row],Tasks[_Pred4UID],Tasks[[#This Row],[UID]])))</f>
        <v>0</v>
      </c>
      <c r="FA11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9" s="91" t="str">
        <f aca="false">IF(NOT(Tasks[[#This Row],[_IsLeaf]]=1),"",IF(N(Tasks[[#This Row],[_Days]])&lt;=0,Tasks[[#This Row],[_LeafLateFinish]],WORKDAY.INTL(Tasks[[#This Row],[_LeafLateFinish]],-(Tasks[[#This Row],[_Days]]-1),WorkWeek,Holidays)))</f>
        <v/>
      </c>
      <c r="FD11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9" s="90" t="b">
        <f aca="false">AND(Tasks[[#This Row],[_IsLeaf]]=1,Tasks[[#This Row],[_LeafProgress]]&lt;1,N(Tasks[[#This Row],[_LeafTotalSlack]])&lt;=CriticalSlackDays)</f>
        <v>0</v>
      </c>
      <c r="FF119" s="43" t="n">
        <f aca="false">IF(AND(Tasks[[#This Row],[_IsLeaf]]=1,Tasks[[#This Row],[_ConstraintCode]]=1,Tasks[[#This Row],[Mode]]&lt;&gt;"Manual",N(Tasks[[#This Row],[Actual Start]])=0),MAX(0,N(Tasks[[#This Row],[Free Slack]])),0)</f>
        <v>0</v>
      </c>
      <c r="FG119" s="91" t="str">
        <f aca="false">IF(NOT(Tasks[[#This Row],[_IsLeaf]]=1),"",IF(Tasks[[#This Row],[_AlapShift]]=0,Tasks[[#This Row],[_LeafCalcStart]],WORKDAY.INTL(Tasks[[#This Row],[_LeafCalcStart]],Tasks[[#This Row],[_AlapShift]],WorkWeek,Holidays)))</f>
        <v/>
      </c>
      <c r="FH119" s="91" t="str">
        <f aca="false">IF(NOT(Tasks[[#This Row],[_IsLeaf]]=1),"",IF(Tasks[[#This Row],[_AlapShift]]=0,Tasks[[#This Row],[_LeafCalcFinish]],WORKDAY.INTL(Tasks[[#This Row],[_LeafCalcFinish]],Tasks[[#This Row],[_AlapShift]],WorkWeek,Holidays)))</f>
        <v/>
      </c>
      <c r="FI119" s="91" t="str">
        <f aca="false">IF(NOT(Tasks[[#This Row],[_IsLeaf]]=1),"",IF(Tasks[[#This Row],[_AlapShift]]=0,Tasks[[#This Row],[_LeafFcstStart]],WORKDAY.INTL(Tasks[[#This Row],[_LeafFcstStart]],Tasks[[#This Row],[_AlapShift]],WorkWeek,Holidays)))</f>
        <v/>
      </c>
      <c r="FJ119" s="91" t="str">
        <f aca="false">IF(NOT(Tasks[[#This Row],[_IsLeaf]]=1),"",IF(Tasks[[#This Row],[_AlapShift]]=0,Tasks[[#This Row],[_LeafFcstFinish]],WORKDAY.INTL(Tasks[[#This Row],[_LeafFcstFinish]],Tasks[[#This Row],[_AlapShift]],WorkWeek,Holidays)))</f>
        <v/>
      </c>
      <c r="FK119" s="91" t="str">
        <f aca="false">IF(Tasks[[#This Row],[Task Name]]="","",IF(Tasks[[#This Row],[_IsSummary]],MIN(INDEX(Tasks[_ShownCalcStart],Tasks[[#This Row],[_Row]]+1):INDEX(Tasks[_ShownCalcStart],Tasks[[#This Row],[_Row]]+Tasks[[#This Row],[_Descendants]])),Tasks[[#This Row],[_ShownCalcStart]]))</f>
        <v/>
      </c>
      <c r="FL119" s="91" t="str">
        <f aca="false">IF(Tasks[[#This Row],[Task Name]]="","",IF(Tasks[[#This Row],[_IsSummary]],MAX(INDEX(Tasks[_ShownCalcFinish],Tasks[[#This Row],[_Row]]+1):INDEX(Tasks[_ShownCalcFinish],Tasks[[#This Row],[_Row]]+Tasks[[#This Row],[_Descendants]])),Tasks[[#This Row],[_ShownCalcFinish]]))</f>
        <v/>
      </c>
      <c r="FM1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9" s="43" t="n">
        <f aca="false">IF(AND(Tasks[[#This Row],[_IsLeaf]]=1,Tasks[[#This Row],[_LeafTotalWork]]&gt;0),NETWORKDAYS.INTL(ProjectStart,Tasks[[#This Row],[_ShownFcstStart]],WorkWeek,Holidays),0)</f>
        <v>0</v>
      </c>
      <c r="FZ119" s="43" t="n">
        <f aca="false">IF(AND(Tasks[[#This Row],[_IsLeaf]]=1,Tasks[[#This Row],[_LeafTotalWork]]&gt;0),MAX(Tasks[[#This Row],[_StartWorkday]],NETWORKDAYS.INTL(ProjectStart,Tasks[[#This Row],[_ShownFcstFinish]],WorkWeek,Holidays)),0)</f>
        <v>0</v>
      </c>
      <c r="GA119" s="43" t="n">
        <f aca="false">IF(AND(Tasks[[#This Row],[_IsLeaf]]=1,Tasks[[#This Row],[_LeafTotalWork]]&gt;0),Tasks[[#This Row],[_LeafWork]]/(Tasks[[#This Row],[_FinishWorkday]]-Tasks[[#This Row],[_StartWorkday]]+1),0)</f>
        <v>0</v>
      </c>
      <c r="GB119" s="43" t="n">
        <f aca="false">Tasks[[#This Row],[_WorkPerWorkday]]*(Tasks[[#This Row],[_StartWorkday]]-1)</f>
        <v>-0</v>
      </c>
      <c r="GC119" s="43" t="n">
        <f aca="false">IF(Tasks[[#This Row],[_IsLeaf]]=1,MAX(N(Tasks[[#This Row],[_Days]]),0.1),0)</f>
        <v>0</v>
      </c>
      <c r="GD119" s="43" t="n">
        <f aca="false">Tasks[[#This Row],[_WeightDur]]*Tasks[[#This Row],[_LeafProgress]]</f>
        <v>0</v>
      </c>
      <c r="GE119" s="43" t="n">
        <f aca="false">Tasks[[#This Row],[_WeightDur]]*Tasks[[#This Row],[_PlannedPct]]</f>
        <v>0</v>
      </c>
      <c r="GF1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9" s="43" t="str">
        <f aca="false">IF(AND(Tasks[[#This Row],[_IsLeaf]]=1,N(Tasks[[#This Row],[_Days]])=0,Tasks[[#This Row],[_LeafProgress]]&lt;1),Tasks[[#This Row],[_ShownFcstFinish]]+Tasks[[#This Row],[_Row]]/100000,"")</f>
        <v/>
      </c>
      <c r="GH1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9" s="43" t="str">
        <f aca="false">IF(Tasks[[#This Row],[Task Name]]="","",LEFT(Tasks[[#This Row],[WBS]],FIND(".",Tasks[[#This Row],[WBS]]&amp;".")-1))</f>
        <v/>
      </c>
      <c r="GJ119" s="43" t="str">
        <f aca="false">IF(AND(Tasks[[#This Row],[Task Name]]&lt;&gt;"",Tasks[[#This Row],[_Level]]=1),Tasks[[#This Row],[_Row]],"")</f>
        <v/>
      </c>
      <c r="GK119" s="43" t="str">
        <f aca="false">IF(AND(Tasks[[#This Row],[_IsLeaf]]=1,N(Tasks[[#This Row],[_Days]])=0),Tasks[[#This Row],[Planned Finish]]+Tasks[[#This Row],[_Row]]/100000,"")</f>
        <v/>
      </c>
      <c r="GL119" s="43" t="str">
        <f aca="false">IF(AND(Tasks[[#This Row],[_IsLeaf]]=1,Tasks[[#This Row],[_LeafProgress]]&lt;1,OR(N(Tasks[[#This Row],[Finish Var]])&gt;0,Tasks[[#This Row],[Status]]="Late Start")),MAX(0,Tasks[[#This Row],[Finish Var]])+1-Tasks[[#This Row],[_Row]]/1000000,"")</f>
        <v/>
      </c>
      <c r="GM119" s="43" t="str">
        <f aca="false">IF(AND(Tasks[[#This Row],[_IsLeaf]]=1,N(Tasks[[#This Row],[Actual Start]])=0,Tasks[[#This Row],[_ShownFcstStart]]&gt;=StatusDate,Tasks[[#This Row],[_ShownFcstStart]]&lt;=LookaheadEnd),Tasks[[#This Row],[_ShownFcstStart]]+Tasks[[#This Row],[_Row]]/100000,"")</f>
        <v/>
      </c>
      <c r="GN119" s="43" t="str">
        <f aca="false">IF(AND(Tasks[[#This Row],[_IsLeaf]]=1,Tasks[[#This Row],[_LeafProgress]]&lt;1,Tasks[[#This Row],[_ShownFcstFinish]]&gt;=StatusDate,Tasks[[#This Row],[_ShownFcstFinish]]&lt;=LookaheadEnd),Tasks[[#This Row],[_ShownFcstFinish]]+Tasks[[#This Row],[_Row]]/100000,"")</f>
        <v/>
      </c>
      <c r="GO119" s="43" t="str">
        <f aca="false">IF(Tasks[[#This Row],[_LeafCritical]],Tasks[[#This Row],[_ShownFcstStart]]+Tasks[[#This Row],[_Row]]/100000,"")</f>
        <v/>
      </c>
      <c r="GP119" s="43" t="n">
        <f aca="false">Tasks[[#This Row],[_LeafWork]]*Tasks[[#This Row],[_LeafProgress]]</f>
        <v>0</v>
      </c>
      <c r="GQ119" s="91" t="str">
        <f aca="false">IF(AND(Tasks[[#This Row],[_IsLeaf]]=1,Tasks[[#This Row],[_LeafProgress]]&gt;=1),IF(N(Tasks[[#This Row],[Actual Finish]])&gt;0,Tasks[[#This Row],[Actual Finish]],Tasks[[#This Row],[_ShownFcstFinish]]),"")</f>
        <v/>
      </c>
      <c r="GR119" s="43" t="n">
        <f aca="false">IF(Tasks[[#This Row],[_IsLeaf]]=1,N(Tasks[[#This Row],[Story Points]]),0)</f>
        <v>0</v>
      </c>
      <c r="GS119" s="43" t="str">
        <f aca="false">""</f>
        <v/>
      </c>
      <c r="GT119" s="90" t="b">
        <f aca="false">IF(Tasks[[#This Row],[Task Name]]="",FALSE(),AND(Tasks[[#This Row],[_IsLeaf]]=1,N(Tasks[[#This Row],[_Days]])=0))</f>
        <v>0</v>
      </c>
      <c r="GU119" s="91" t="n">
        <f aca="false">IF(Tasks[[#This Row],[Task Name]]="",0,IF(AND(Tasks[[#This Row],[_IsLeaf]]=1,NOT(Tasks[[#This Row],[_IsMilestone]]),N(Tasks[[#This Row],[Progress]])&gt;0),Tasks[[#This Row],[Start]],0))</f>
        <v>0</v>
      </c>
      <c r="GV119" s="91" t="n">
        <f aca="false">IF(Tasks[[#This Row],[_DoneFrom]]=0,0,IF(Tasks[[#This Row],[Progress]]&gt;=1,Tasks[[#This Row],[Finish]],MAX(Tasks[[#This Row],[_DoneFrom]],Tasks[[#This Row],[Start]]+ROUND((Tasks[[#This Row],[Finish]]-Tasks[[#This Row],[Start]]+1)*Tasks[[#This Row],[Progress]],0)-1)))</f>
        <v>0</v>
      </c>
      <c r="GW119" s="91" t="n">
        <f aca="false">IF(Tasks[[#This Row],[Task Name]]="",0,IF(OR(NOT(Tasks[[#This Row],[_IsLeaf]]=1),Tasks[[#This Row],[_IsMilestone]],N(Tasks[[#This Row],[Progress]])&gt;=1),0,IF(Tasks[[#This Row],[_DoneTo]]&gt;0,Tasks[[#This Row],[_DoneTo]]+1,Tasks[[#This Row],[Start]])))</f>
        <v>0</v>
      </c>
      <c r="GX119" s="91" t="n">
        <f aca="false">IF(Tasks[[#This Row],[_RemFrom]]=0,0,Tasks[[#This Row],[Finish]])</f>
        <v>0</v>
      </c>
      <c r="GY119" s="90" t="b">
        <f aca="false">IF(Tasks[[#This Row],[Task Name]]="",FALSE(),OR(NOT(BaselineSet),N(Tasks[[#This Row],[Baseline Start]])&gt;0))</f>
        <v>0</v>
      </c>
      <c r="GZ11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9" s="92" t="str">
        <f aca="false">IF(Tasks[[#This Row],[_IsLeaf]]=1,Tasks[[#This Row],[_Row]],"")</f>
        <v/>
      </c>
      <c r="HD119" s="92" t="str">
        <f aca="false">IFERROR(INDEX(Tasks[UID],SMALL(Tasks[_PickKey],Tasks[[#This Row],[_Row]]))&amp;" "&amp;INDEX(Tasks[Task Name],SMALL(Tasks[_PickKey],Tasks[[#This Row],[_Row]])),"")</f>
        <v/>
      </c>
      <c r="HE119" s="43" t="str">
        <f aca="false">IF(Tasks[[#This Row],[Task Name]]="","",IF(Tasks[[#This Row],[_IsSummary]],NETWORKDAYS.INTL(Tasks[[#This Row],[Start]],Tasks[[#This Row],[Finish]],WorkWeek,Holidays),N(Tasks[[#This Row],[_Days]])))</f>
        <v/>
      </c>
      <c r="HF119" s="43" t="n">
        <f aca="false">IF(Tasks[[#This Row],[Expected]]="",0,((Tasks[[#This Row],[Pessimistic]]-Tasks[[#This Row],[Optimistic]])/6)^2)</f>
        <v>0</v>
      </c>
      <c r="HG119" s="43" t="n">
        <f aca="false">IF(Tasks[[#This Row],[Expected]]="",0,Tasks[[#This Row],[Expected]]-N(Tasks[[#This Row],[_Days]]))</f>
        <v>0</v>
      </c>
    </row>
    <row r="120" customFormat="false" ht="15" hidden="false" customHeight="false" outlineLevel="0" collapsed="false">
      <c r="A120" s="21" t="str">
        <f aca="false">IF(Tasks[[#This Row],[Task Name]]="","",COUNTA(Tasks[[#Headers],[Task Name]]:Tasks[[#This Row],[Task Name]])-1)</f>
        <v/>
      </c>
      <c r="B120" s="22" t="n">
        <v>128</v>
      </c>
      <c r="C120" s="22"/>
      <c r="D120" s="23"/>
      <c r="E120" s="22"/>
      <c r="F120" s="23"/>
      <c r="G120" s="22"/>
      <c r="H120" s="22"/>
      <c r="I120" s="23"/>
      <c r="J120" s="22"/>
      <c r="K120" s="22"/>
      <c r="L120" s="23"/>
      <c r="M120" s="22"/>
      <c r="N120" s="22"/>
      <c r="O120" s="23"/>
      <c r="P120" s="22"/>
      <c r="Q120" s="22"/>
      <c r="R120" s="23"/>
      <c r="S120" s="23"/>
      <c r="T120" s="84"/>
      <c r="U120" s="23"/>
      <c r="V120" s="84"/>
      <c r="W120" s="23"/>
      <c r="X120" s="84"/>
      <c r="Y120" s="23"/>
      <c r="Z120" s="84"/>
      <c r="AA120" s="23"/>
      <c r="AB120" s="23"/>
      <c r="AC120" s="7"/>
      <c r="AD120" s="7"/>
      <c r="AE120" s="63" t="str">
        <f aca="false">IF(Tasks[[#This Row],[Task Name]]="","",IF(Tasks[[#This Row],[_IsSummary]],MIN(INDEX(Tasks[_ShownFcstStart],Tasks[[#This Row],[_Row]]+1):INDEX(Tasks[_ShownFcstStart],Tasks[[#This Row],[_Row]]+Tasks[[#This Row],[_Descendants]])),Tasks[[#This Row],[_ShownFcstStart]]))</f>
        <v/>
      </c>
      <c r="AF120" s="63" t="str">
        <f aca="false">IF(Tasks[[#This Row],[Task Name]]="","",IF(Tasks[[#This Row],[_IsSummary]],MAX(INDEX(Tasks[_ShownFcstFinish],Tasks[[#This Row],[_Row]]+1):INDEX(Tasks[_ShownFcstFinish],Tasks[[#This Row],[_Row]]+Tasks[[#This Row],[_Descendants]])),Tasks[[#This Row],[_ShownFcstFinish]]))</f>
        <v/>
      </c>
      <c r="AG120" s="21" t="str">
        <f aca="false">""</f>
        <v/>
      </c>
      <c r="AH120" s="23"/>
      <c r="AI1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0" s="7"/>
      <c r="AK120" s="22"/>
      <c r="AL120" s="23"/>
      <c r="AM120" s="7"/>
      <c r="AN120" s="47" t="str">
        <f aca="false">IF(Tasks[[#This Row],[Task Name]]="","",IF(Tasks[[#This Row],[Finish]]&gt;=Tasks[[#This Row],[Planned Finish]],NETWORKDAYS.INTL(Tasks[[#This Row],[Planned Finish]],Tasks[[#This Row],[Finish]],WorkWeek,Holidays)-1,1-NETWORKDAYS.INTL(Tasks[[#This Row],[Finish]],Tasks[[#This Row],[Planned Finish]],WorkWeek,Holidays)))</f>
        <v/>
      </c>
      <c r="AO120" s="21" t="str">
        <f aca="false">IF(Tasks[[#This Row],[Task Name]]="","",IF(Tasks[[#This Row],[Progress]]&gt;=1,"Complete",IF(OR(N(Tasks[[#This Row],[Actual Start]])&gt;0,Tasks[[#This Row],[Progress]]&gt;0),IF(Tasks[[#This Row],[Finish Var]]&gt;0,"Behind","In Progress"),IF(Tasks[[#This Row],[Planned Start]]&lt;StatusDate,"Late Start","Not Started"))))</f>
        <v/>
      </c>
      <c r="AP120" s="21" t="str">
        <f aca="false">IF(Tasks[[#This Row],[Task Name]]="","",IF(IF(Tasks[[#This Row],[_IsSummary]],COUNTIF(INDEX(Tasks[_LeafCritical],Tasks[[#This Row],[_Row]]+1):INDEX(Tasks[_LeafCritical],Tasks[[#This Row],[_Row]]+Tasks[[#This Row],[_Descendants]]),TRUE())&gt;0,Tasks[[#This Row],[_LeafCritical]]),"Yes",""))</f>
        <v/>
      </c>
      <c r="AQ120" s="63" t="str">
        <f aca="false">IF(Tasks[[#This Row],[Task Name]]="","",IF(N(Tasks[[#This Row],[Baseline Start]])&gt;0,Tasks[[#This Row],[Baseline Start]],Tasks[[#This Row],[_CalcStart]]))</f>
        <v/>
      </c>
      <c r="AR120" s="63" t="str">
        <f aca="false">IF(Tasks[[#This Row],[Task Name]]="","",IF(N(Tasks[[#This Row],[Baseline Finish]])&gt;0,Tasks[[#This Row],[Baseline Finish]],Tasks[[#This Row],[_CalcFinish]]))</f>
        <v/>
      </c>
      <c r="AS120" s="47" t="str">
        <f aca="false">IF(Tasks[[#This Row],[Task Name]]="","",IF(Tasks[[#This Row],[Start]]&gt;=Tasks[[#This Row],[Planned Start]],NETWORKDAYS.INTL(Tasks[[#This Row],[Planned Start]],Tasks[[#This Row],[Start]],WorkWeek,Holidays)-1,1-NETWORKDAYS.INTL(Tasks[[#This Row],[Start]],Tasks[[#This Row],[Planned Start]],WorkWeek,Holidays)))</f>
        <v/>
      </c>
      <c r="AT120" s="63" t="str">
        <f aca="false">IF(Tasks[[#This Row],[Task Name]]="","",IF(Tasks[[#This Row],[_IsSummary]],MIN(INDEX(Tasks[_LeafLateStart],Tasks[[#This Row],[_Row]]+1):INDEX(Tasks[_LeafLateStart],Tasks[[#This Row],[_Row]]+Tasks[[#This Row],[_Descendants]])),Tasks[[#This Row],[_LeafLateStart]]))</f>
        <v/>
      </c>
      <c r="AU120" s="63" t="str">
        <f aca="false">IF(Tasks[[#This Row],[Task Name]]="","",IF(Tasks[[#This Row],[_IsSummary]],MAX(INDEX(Tasks[_LeafLateFinish],Tasks[[#This Row],[_Row]]+1):INDEX(Tasks[_LeafLateFinish],Tasks[[#This Row],[_Row]]+Tasks[[#This Row],[_Descendants]])),Tasks[[#This Row],[_LeafLateFinish]]))</f>
        <v/>
      </c>
      <c r="AV120" s="47" t="str">
        <f aca="false">IF(Tasks[[#This Row],[Task Name]]="","",IF(Tasks[[#This Row],[_IsSummary]],MIN(INDEX(Tasks[_LeafTotalSlack],Tasks[[#This Row],[_Row]]+1):INDEX(Tasks[_LeafTotalSlack],Tasks[[#This Row],[_Row]]+Tasks[[#This Row],[_Descendants]])),Tasks[[#This Row],[_LeafTotalSlack]]))</f>
        <v/>
      </c>
      <c r="AW1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5"/>
      <c r="BA12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t="str">
        <f aca="false">IF(Tasks[[#This Row],[Task Name]]="","",IF(Tasks[[#This Row],[_Level]]&lt;=OutlineShowLevel,"Yes","No"))</f>
        <v/>
      </c>
      <c r="BE120" s="86" t="str">
        <f aca="false">IF(Tasks[[#This Row],[Task Name]]="","",IF(Tasks[[#This Row],[_IsSummary]],SUM(INDEX(Tasks[_LeafTotalWork],Tasks[[#This Row],[_Row]]+1):INDEX(Tasks[_LeafTotalWork],Tasks[[#This Row],[_Row]]+Tasks[[#This Row],[_Descendants]])),Tasks[[#This Row],[_LeafTotalWork]]))</f>
        <v/>
      </c>
      <c r="BF120" s="23"/>
      <c r="BG1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t="str">
        <f aca="false">""</f>
        <v/>
      </c>
      <c r="BI120" s="87"/>
      <c r="BJ120" s="22"/>
      <c r="BK120" s="47" t="str">
        <f aca="false">IF(OR(Tasks[[#This Row],[Task Name]]="",Tasks[[#This Row],[Baseline Duration]]=""),"",Tasks[[#This Row],[_SpanDays]]-N(Tasks[[#This Row],[Baseline Duration]]))</f>
        <v/>
      </c>
      <c r="BL120" s="86" t="str">
        <f aca="false">IF(OR(Tasks[[#This Row],[Task Name]]="",Tasks[[#This Row],[Baseline Work]]=""),"",Tasks[[#This Row],[Work]]-N(Tasks[[#This Row],[Baseline Work]]))</f>
        <v/>
      </c>
      <c r="BM120" s="63" t="str">
        <f aca="false">IF(Tasks[[#This Row],[Task Name]]="","",IF(OR(TakeBaseline="Yes",N(Tasks[[#This Row],[Baseline Start]])=0),Tasks[[#This Row],[Start]],Tasks[[#This Row],[Baseline Start]]))</f>
        <v/>
      </c>
      <c r="BN120" s="63" t="str">
        <f aca="false">IF(Tasks[[#This Row],[Task Name]]="","",IF(OR(TakeBaseline="Yes",N(Tasks[[#This Row],[Baseline Finish]])=0),Tasks[[#This Row],[Finish]],Tasks[[#This Row],[Baseline Finish]]))</f>
        <v/>
      </c>
      <c r="BO120" s="21" t="str">
        <f aca="false">IF(Tasks[[#This Row],[Task Name]]="","",IF(OR(TakeBaseline="Yes",N(Tasks[[#This Row],[Baseline Duration]])=0),Tasks[[#This Row],[_SpanDays]],Tasks[[#This Row],[Baseline Duration]]))</f>
        <v/>
      </c>
      <c r="BP120" s="86" t="str">
        <f aca="false">IF(Tasks[[#This Row],[Task Name]]="","",IF(OR(TakeBaseline="Yes",N(Tasks[[#This Row],[Baseline Work]])=0),Tasks[[#This Row],[Work]],Tasks[[#This Row],[Baseline Work]]))</f>
        <v/>
      </c>
      <c r="BQ120" s="7"/>
      <c r="BR120" s="7"/>
      <c r="BS120" s="22"/>
      <c r="BT120" s="88"/>
      <c r="BU120" s="23"/>
      <c r="BV120" s="23"/>
      <c r="BW120" s="23"/>
      <c r="BX120" s="89" t="str">
        <f aca="false">IF(AND(Tasks[[#This Row],[_IsLeaf]]=1,ISNUMBER(Tasks[[#This Row],[Optimistic]]),ISNUMBER(Tasks[[#This Row],[Pessimistic]])),ROUND((Tasks[[#This Row],[Optimistic]]+4*N(Tasks[[#This Row],[_Days]])+Tasks[[#This Row],[Pessimistic]])/6,1),"")</f>
        <v/>
      </c>
      <c r="BY120" s="87"/>
      <c r="BZ120" s="87"/>
      <c r="CA120" s="22"/>
      <c r="CB120" s="43" t="str">
        <f aca="false">IF(Tasks[[#This Row],[Task Name]]="","",MAX(1,N(Tasks[[#This Row],[Level]])))</f>
        <v/>
      </c>
      <c r="CC120" s="43" t="n">
        <f aca="false">ROW()-ROW(Tasks[[#Headers],[ID]])</f>
        <v>115</v>
      </c>
      <c r="CD120" s="43" t="n">
        <f aca="false">IF(OR(Tasks[[#This Row],[Task Name]]="",Tasks[[#This Row],[_Level]]&lt;=1),0,IFERROR(LOOKUP(2,1/(Tasks[[#Headers],[_Level]]:Tasks[[#This Row],[_Level]]=Tasks[[#This Row],[_Level]]-1),ROW(Tasks[[#Headers],[_Level]]:Tasks[[#This Row],[_Level]])),0))</f>
        <v>0</v>
      </c>
      <c r="CE120" s="43" t="n">
        <f aca="false">IFERROR(N(INDEX(Tasks[_Level],Tasks[[#This Row],[_Row]]+1)),0)</f>
        <v>0</v>
      </c>
      <c r="CF120" s="90" t="b">
        <f aca="false">AND(Tasks[[#This Row],[Task Name]]&lt;&gt;"",Tasks[[#This Row],[_NextLevel]]&gt;Tasks[[#This Row],[_Level]])</f>
        <v>0</v>
      </c>
      <c r="CG120" s="43" t="n">
        <f aca="false">IF(Tasks[[#This Row],[_IsSummary]],COUNTIF(Tasks[WBS],Tasks[[#This Row],[WBS]]&amp;".*"),0)</f>
        <v>0</v>
      </c>
      <c r="CH120" s="43" t="n">
        <f aca="false">IF(AND(Tasks[[#This Row],[Task Name]]&lt;&gt;"",NOT(Tasks[[#This Row],[_IsSummary]])),1,0)</f>
        <v>0</v>
      </c>
      <c r="CI120" s="43" t="n">
        <f aca="false">IF(N(Tasks[[#This Row],[_Pred1UID]])=0,0,IFERROR(MATCH(Tasks[[#This Row],[_Pred1UID]],Tasks[UID],0),-1))</f>
        <v>0</v>
      </c>
      <c r="CJ120" s="43" t="n">
        <f aca="false">IF(N(Tasks[[#This Row],[_Pred2UID]])=0,0,IFERROR(MATCH(Tasks[[#This Row],[_Pred2UID]],Tasks[UID],0),-1))</f>
        <v>0</v>
      </c>
      <c r="CK120" s="43" t="n">
        <f aca="false">IF(N(Tasks[[#This Row],[_Pred3UID]])=0,0,IFERROR(MATCH(Tasks[[#This Row],[_Pred3UID]],Tasks[UID],0),-1))</f>
        <v>0</v>
      </c>
      <c r="CL120" s="43" t="n">
        <f aca="false">IF(N(Tasks[[#This Row],[_Pred4UID]])=0,0,IFERROR(MATCH(Tasks[[#This Row],[_Pred4UID]],Tasks[UID],0),-1))</f>
        <v>0</v>
      </c>
      <c r="CM1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0" s="91" t="n">
        <f aca="false">IF(OR(Tasks[[#This Row],[_ConstraintCode]]=2,Tasks[[#This Row],[_ConstraintCode]]=3,Tasks[[#This Row],[_ConstraintCode]]=4,Tasks[[#This Row],[_ConstraintCode]]=6),Tasks[[#This Row],[_ConstraintStart]],0)</f>
        <v>0</v>
      </c>
      <c r="CP120" s="91" t="n">
        <f aca="false">IF(OR(Tasks[[#This Row],[_ConstraintCode]]=2,Tasks[[#This Row],[_ConstraintCode]]=3,Tasks[[#This Row],[_ConstraintCode]]=5,Tasks[[#This Row],[_ConstraintCode]]=7),Tasks[[#This Row],[_ConstraintStart]],2958465)</f>
        <v>2958465</v>
      </c>
      <c r="CQ1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0" s="91" t="str">
        <f aca="false">IF(NOT(Tasks[[#This Row],[_IsLeaf]]=1),"",IF(N(Tasks[[#This Row],[_Days]])&lt;=0,Tasks[[#This Row],[_LeafCalcStart]],WORKDAY.INTL(Tasks[[#This Row],[_LeafCalcStart]],Tasks[[#This Row],[_Days]]-1,WorkWeek,Holidays)))</f>
        <v/>
      </c>
      <c r="CS1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0" s="43" t="str">
        <f aca="false">IF(Tasks[[#This Row],[_Predecessors]]="","",TRIM(MID(SUBSTITUTE(SUBSTITUTE(SUBSTITUTE(UPPER(Tasks[[#This Row],[_Predecessors]]),";",",")," ",""),",",REPT(" ",99)),1,99)))</f>
        <v/>
      </c>
      <c r="CV120" s="43" t="str">
        <f aca="false">IF(Tasks[[#This Row],[_Pred1Text]]="","",IFERROR(VALUE(LEFT(Tasks[[#This Row],[_Pred1Text]],MIN(FIND("F",Tasks[[#This Row],[_Pred1Text]]&amp;"F"),FIND("S",Tasks[[#This Row],[_Pred1Text]]&amp;"S"),FIND("+",Tasks[[#This Row],[_Pred1Text]]&amp;"+"),FIND("-",Tasks[[#This Row],[_Pred1Text]]&amp;"-"))-1)),""))</f>
        <v/>
      </c>
      <c r="CW1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0" s="43" t="str">
        <f aca="false">IF(Tasks[[#This Row],[_Pred1Text]]="","",TRIM(MID(SUBSTITUTE(SUBSTITUTE(SUBSTITUTE(UPPER(Tasks[[#This Row],[_Predecessors]]),";",",")," ",""),",",REPT(" ",99)),100,99)))</f>
        <v/>
      </c>
      <c r="CZ120" s="43" t="str">
        <f aca="false">IF(Tasks[[#This Row],[_Pred2Text]]="","",IFERROR(VALUE(LEFT(Tasks[[#This Row],[_Pred2Text]],MIN(FIND("F",Tasks[[#This Row],[_Pred2Text]]&amp;"F"),FIND("S",Tasks[[#This Row],[_Pred2Text]]&amp;"S"),FIND("+",Tasks[[#This Row],[_Pred2Text]]&amp;"+"),FIND("-",Tasks[[#This Row],[_Pred2Text]]&amp;"-"))-1)),""))</f>
        <v/>
      </c>
      <c r="DA1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0" s="43" t="str">
        <f aca="false">IF(Tasks[[#This Row],[_Pred2Text]]="","",TRIM(MID(SUBSTITUTE(SUBSTITUTE(SUBSTITUTE(UPPER(Tasks[[#This Row],[_Predecessors]]),";",",")," ",""),",",REPT(" ",99)),199,99)))</f>
        <v/>
      </c>
      <c r="DD120" s="43" t="str">
        <f aca="false">IF(Tasks[[#This Row],[_Pred3Text]]="","",IFERROR(VALUE(LEFT(Tasks[[#This Row],[_Pred3Text]],MIN(FIND("F",Tasks[[#This Row],[_Pred3Text]]&amp;"F"),FIND("S",Tasks[[#This Row],[_Pred3Text]]&amp;"S"),FIND("+",Tasks[[#This Row],[_Pred3Text]]&amp;"+"),FIND("-",Tasks[[#This Row],[_Pred3Text]]&amp;"-"))-1)),""))</f>
        <v/>
      </c>
      <c r="DE1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0" s="43" t="str">
        <f aca="false">IF(Tasks[[#This Row],[_Pred3Text]]="","",TRIM(MID(SUBSTITUTE(SUBSTITUTE(SUBSTITUTE(UPPER(Tasks[[#This Row],[_Predecessors]]),";",",")," ",""),",",REPT(" ",99)),298,99)))</f>
        <v/>
      </c>
      <c r="DH120" s="43" t="str">
        <f aca="false">IF(Tasks[[#This Row],[_Pred4Text]]="","",IFERROR(VALUE(LEFT(Tasks[[#This Row],[_Pred4Text]],MIN(FIND("F",Tasks[[#This Row],[_Pred4Text]]&amp;"F"),FIND("S",Tasks[[#This Row],[_Pred4Text]]&amp;"S"),FIND("+",Tasks[[#This Row],[_Pred4Text]]&amp;"+"),FIND("-",Tasks[[#This Row],[_Pred4Text]]&amp;"-"))-1)),""))</f>
        <v/>
      </c>
      <c r="DI1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0" s="43" t="str">
        <f aca="false">IF(OR(Tasks[[#This Row],[Task Name]]="",Tasks[[#This Row],[_Resources]]=""),"",TRIM(MID(SUBSTITUTE(Tasks[[#This Row],[_Resources]],",",REPT(" ",99)),1,99)))</f>
        <v/>
      </c>
      <c r="DL120" s="43" t="str">
        <f aca="false">IF(Tasks[[#This Row],[_Res1Text]]="","",TRIM(MID(SUBSTITUTE(Tasks[[#This Row],[_Resources]],",",REPT(" ",99)),100,99)))</f>
        <v/>
      </c>
      <c r="DM120" s="43" t="str">
        <f aca="false">IF(Tasks[[#This Row],[_Res2Text]]="","",TRIM(MID(SUBSTITUTE(Tasks[[#This Row],[_Resources]],",",REPT(" ",99)),199,99)))</f>
        <v/>
      </c>
      <c r="DN120" s="43" t="str">
        <f aca="false">IF(Tasks[[#This Row],[_Res3Text]]="","",TRIM(MID(SUBSTITUTE(Tasks[[#This Row],[_Resources]],",",REPT(" ",99)),298,99)))</f>
        <v/>
      </c>
      <c r="DO120" s="43" t="n">
        <f aca="false">IF(Tasks[[#This Row],[_Res1Text]]="",0,IFERROR(MATCH(TRIM(LEFT(Tasks[[#This Row],[_Res1Text]],FIND("[",Tasks[[#This Row],[_Res1Text]]&amp;"[")-1)),res_Name,0),IFERROR(MATCH(TRIM(LEFT(Tasks[[#This Row],[_Res1Text]],FIND("[",Tasks[[#This Row],[_Res1Text]]&amp;"[")-1)),res_Initials,0),0)))</f>
        <v>0</v>
      </c>
      <c r="DP120" s="43" t="n">
        <f aca="false">IF(Tasks[[#This Row],[_Res2Text]]="",0,IFERROR(MATCH(TRIM(LEFT(Tasks[[#This Row],[_Res2Text]],FIND("[",Tasks[[#This Row],[_Res2Text]]&amp;"[")-1)),res_Name,0),IFERROR(MATCH(TRIM(LEFT(Tasks[[#This Row],[_Res2Text]],FIND("[",Tasks[[#This Row],[_Res2Text]]&amp;"[")-1)),res_Initials,0),0)))</f>
        <v>0</v>
      </c>
      <c r="DQ120" s="43" t="n">
        <f aca="false">IF(Tasks[[#This Row],[_Res3Text]]="",0,IFERROR(MATCH(TRIM(LEFT(Tasks[[#This Row],[_Res3Text]],FIND("[",Tasks[[#This Row],[_Res3Text]]&amp;"[")-1)),res_Name,0),IFERROR(MATCH(TRIM(LEFT(Tasks[[#This Row],[_Res3Text]],FIND("[",Tasks[[#This Row],[_Res3Text]]&amp;"[")-1)),res_Initials,0),0)))</f>
        <v>0</v>
      </c>
      <c r="DR120" s="43" t="n">
        <f aca="false">IF(Tasks[[#This Row],[_Res4Text]]="",0,IFERROR(MATCH(TRIM(LEFT(Tasks[[#This Row],[_Res4Text]],FIND("[",Tasks[[#This Row],[_Res4Text]]&amp;"[")-1)),res_Name,0),IFERROR(MATCH(TRIM(LEFT(Tasks[[#This Row],[_Res4Text]],FIND("[",Tasks[[#This Row],[_Res4Text]]&amp;"[")-1)),res_Initials,0),0)))</f>
        <v>0</v>
      </c>
      <c r="DS120" s="43" t="str">
        <f aca="false">IF(Tasks[[#This Row],[_Res1Text]]="","",IF(Tasks[[#This Row],[_Res1Row]]&gt;0,INDEX(res_Name,Tasks[[#This Row],[_Res1Row]]),TRIM(LEFT(Tasks[[#This Row],[_Res1Text]],FIND("[",Tasks[[#This Row],[_Res1Text]]&amp;"[")-1))))</f>
        <v/>
      </c>
      <c r="DT1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0" s="43" t="n">
        <f aca="false">IF(NOT(Tasks[[#This Row],[_IsLeaf]]=1),0,(Tasks[[#This Row],[_Resource1]]&lt;&gt;"")+(Tasks[[#This Row],[_Res2]]&lt;&gt;"")+(Tasks[[#This Row],[_Res3]]&lt;&gt;"")+(Tasks[[#This Row],[_Res4]]&lt;&gt;""))</f>
        <v>0</v>
      </c>
      <c r="DV120" s="43" t="str">
        <f aca="false">IF(Tasks[[#This Row],[_Res2Text]]="","",IF(Tasks[[#This Row],[_Res2Row]]&gt;0,INDEX(res_Name,Tasks[[#This Row],[_Res2Row]]),TRIM(LEFT(Tasks[[#This Row],[_Res2Text]],FIND("[",Tasks[[#This Row],[_Res2Text]]&amp;"[")-1))))</f>
        <v/>
      </c>
      <c r="DW1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0" s="43" t="n">
        <f aca="false">IF(OR(NOT(Tasks[[#This Row],[_IsLeaf]]=1),Tasks[[#This Row],[_Res2Row]]=0),0,N(Tasks[[#This Row],[_Days]])*HoursPerDay*IF(Tasks[[#This Row],[_Res2Units]]="",DefaultUnits,Tasks[[#This Row],[_Res2Units]]))</f>
        <v>0</v>
      </c>
      <c r="DY120" s="43" t="n">
        <f aca="false">IF(AND(AND(Tasks[[#This Row],[_IsLeaf]]=1,Tasks[[#This Row],[_LeafTotalWork]]&gt;0),Tasks[[#This Row],[_Res2Work]]&gt;0),Tasks[[#This Row],[_Res2Work]]/(Tasks[[#This Row],[_FinishWorkday]]-Tasks[[#This Row],[_StartWorkday]]+1),0)</f>
        <v>0</v>
      </c>
      <c r="DZ120" s="43" t="n">
        <f aca="false">Tasks[[#This Row],[_Res2WorkPerWD]]*MAX(0,Tasks[[#This Row],[_StartWorkday]]-1)</f>
        <v>0</v>
      </c>
      <c r="EA120" s="43" t="n">
        <f aca="false">Tasks[[#This Row],[_Res2Work]]*Tasks[[#This Row],[_LeafProgress]]</f>
        <v>0</v>
      </c>
      <c r="EB120" s="43" t="str">
        <f aca="false">IF(Tasks[[#This Row],[_Res3Text]]="","",IF(Tasks[[#This Row],[_Res3Row]]&gt;0,INDEX(res_Name,Tasks[[#This Row],[_Res3Row]]),TRIM(LEFT(Tasks[[#This Row],[_Res3Text]],FIND("[",Tasks[[#This Row],[_Res3Text]]&amp;"[")-1))))</f>
        <v/>
      </c>
      <c r="EC1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0" s="43" t="n">
        <f aca="false">IF(OR(NOT(Tasks[[#This Row],[_IsLeaf]]=1),Tasks[[#This Row],[_Res3Row]]=0),0,N(Tasks[[#This Row],[_Days]])*HoursPerDay*IF(Tasks[[#This Row],[_Res3Units]]="",DefaultUnits,Tasks[[#This Row],[_Res3Units]]))</f>
        <v>0</v>
      </c>
      <c r="EE120" s="43" t="n">
        <f aca="false">IF(AND(AND(Tasks[[#This Row],[_IsLeaf]]=1,Tasks[[#This Row],[_LeafTotalWork]]&gt;0),Tasks[[#This Row],[_Res3Work]]&gt;0),Tasks[[#This Row],[_Res3Work]]/(Tasks[[#This Row],[_FinishWorkday]]-Tasks[[#This Row],[_StartWorkday]]+1),0)</f>
        <v>0</v>
      </c>
      <c r="EF120" s="43" t="n">
        <f aca="false">Tasks[[#This Row],[_Res3WorkPerWD]]*MAX(0,Tasks[[#This Row],[_StartWorkday]]-1)</f>
        <v>0</v>
      </c>
      <c r="EG120" s="43" t="n">
        <f aca="false">Tasks[[#This Row],[_Res3Work]]*Tasks[[#This Row],[_LeafProgress]]</f>
        <v>0</v>
      </c>
      <c r="EH120" s="43" t="str">
        <f aca="false">IF(Tasks[[#This Row],[_Res4Text]]="","",IF(Tasks[[#This Row],[_Res4Row]]&gt;0,INDEX(res_Name,Tasks[[#This Row],[_Res4Row]]),TRIM(LEFT(Tasks[[#This Row],[_Res4Text]],FIND("[",Tasks[[#This Row],[_Res4Text]]&amp;"[")-1))))</f>
        <v/>
      </c>
      <c r="EI1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0" s="43" t="n">
        <f aca="false">IF(OR(NOT(Tasks[[#This Row],[_IsLeaf]]=1),Tasks[[#This Row],[_Res4Row]]=0),0,N(Tasks[[#This Row],[_Days]])*HoursPerDay*IF(Tasks[[#This Row],[_Res4Units]]="",DefaultUnits,Tasks[[#This Row],[_Res4Units]]))</f>
        <v>0</v>
      </c>
      <c r="EK120" s="43" t="n">
        <f aca="false">IF(AND(AND(Tasks[[#This Row],[_IsLeaf]]=1,Tasks[[#This Row],[_LeafTotalWork]]&gt;0),Tasks[[#This Row],[_Res4Work]]&gt;0),Tasks[[#This Row],[_Res4Work]]/(Tasks[[#This Row],[_FinishWorkday]]-Tasks[[#This Row],[_StartWorkday]]+1),0)</f>
        <v>0</v>
      </c>
      <c r="EL120" s="43" t="n">
        <f aca="false">Tasks[[#This Row],[_Res4WorkPerWD]]*MAX(0,Tasks[[#This Row],[_StartWorkday]]-1)</f>
        <v>0</v>
      </c>
      <c r="EM120" s="43" t="n">
        <f aca="false">Tasks[[#This Row],[_Res4Work]]*Tasks[[#This Row],[_LeafProgress]]</f>
        <v>0</v>
      </c>
      <c r="EN120" s="43" t="n">
        <f aca="false">IF(ISNUMBER(Tasks[[#This Row],[% Complete]]),Tasks[[#This Row],[% Complete]],IF(Tasks[[#This Row],[Stage]]="",0,IFERROR(INDEX(stg_Pct,MATCH(Tasks[[#This Row],[Stage]],stg_Name,0)),0)))</f>
        <v>0</v>
      </c>
      <c r="EO120" s="43" t="n">
        <f aca="false">IF(NOT(Tasks[[#This Row],[_IsLeaf]]=1),0,IF(N(Tasks[[#This Row],[Actual Finish]])&gt;0,1,MIN(1,Tasks[[#This Row],[_Pct]])))</f>
        <v>0</v>
      </c>
      <c r="EP120" s="43" t="n">
        <f aca="false">IF(OR(NOT(Tasks[[#This Row],[_IsLeaf]]=1),Tasks[[#This Row],[_Res1Row]]=0),0,N(Tasks[[#This Row],[_Days]])*HoursPerDay*IF(Tasks[[#This Row],[_Units1]]="",DefaultUnits,Tasks[[#This Row],[_Units1]]))</f>
        <v>0</v>
      </c>
      <c r="EQ120" s="43" t="n">
        <f aca="false">Tasks[[#This Row],[_LeafWork]]+Tasks[[#This Row],[_Res2Work]]+Tasks[[#This Row],[_Res3Work]]+Tasks[[#This Row],[_Res4Work]]</f>
        <v>0</v>
      </c>
      <c r="ER12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0" s="43" t="n">
        <f aca="false">IF(NOT(Tasks[[#This Row],[_IsLeaf]]=1),0,MAX(_xlfn.MAXIFS(Tasks[_Row],Tasks[_Pred1UID],Tasks[[#This Row],[UID]]),_xlfn.MAXIFS(Tasks[_Row],Tasks[_Pred2UID],Tasks[[#This Row],[UID]]),_xlfn.MAXIFS(Tasks[_Row],Tasks[_Pred3UID],Tasks[[#This Row],[UID]]),_xlfn.MAXIFS(Tasks[_Row],Tasks[_Pred4UID],Tasks[[#This Row],[UID]])))</f>
        <v>0</v>
      </c>
      <c r="FA1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0" s="91" t="str">
        <f aca="false">IF(NOT(Tasks[[#This Row],[_IsLeaf]]=1),"",IF(N(Tasks[[#This Row],[_Days]])&lt;=0,Tasks[[#This Row],[_LeafLateFinish]],WORKDAY.INTL(Tasks[[#This Row],[_LeafLateFinish]],-(Tasks[[#This Row],[_Days]]-1),WorkWeek,Holidays)))</f>
        <v/>
      </c>
      <c r="FD1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0" s="90" t="b">
        <f aca="false">AND(Tasks[[#This Row],[_IsLeaf]]=1,Tasks[[#This Row],[_LeafProgress]]&lt;1,N(Tasks[[#This Row],[_LeafTotalSlack]])&lt;=CriticalSlackDays)</f>
        <v>0</v>
      </c>
      <c r="FF120" s="43" t="n">
        <f aca="false">IF(AND(Tasks[[#This Row],[_IsLeaf]]=1,Tasks[[#This Row],[_ConstraintCode]]=1,Tasks[[#This Row],[Mode]]&lt;&gt;"Manual",N(Tasks[[#This Row],[Actual Start]])=0),MAX(0,N(Tasks[[#This Row],[Free Slack]])),0)</f>
        <v>0</v>
      </c>
      <c r="FG120" s="91" t="str">
        <f aca="false">IF(NOT(Tasks[[#This Row],[_IsLeaf]]=1),"",IF(Tasks[[#This Row],[_AlapShift]]=0,Tasks[[#This Row],[_LeafCalcStart]],WORKDAY.INTL(Tasks[[#This Row],[_LeafCalcStart]],Tasks[[#This Row],[_AlapShift]],WorkWeek,Holidays)))</f>
        <v/>
      </c>
      <c r="FH120" s="91" t="str">
        <f aca="false">IF(NOT(Tasks[[#This Row],[_IsLeaf]]=1),"",IF(Tasks[[#This Row],[_AlapShift]]=0,Tasks[[#This Row],[_LeafCalcFinish]],WORKDAY.INTL(Tasks[[#This Row],[_LeafCalcFinish]],Tasks[[#This Row],[_AlapShift]],WorkWeek,Holidays)))</f>
        <v/>
      </c>
      <c r="FI120" s="91" t="str">
        <f aca="false">IF(NOT(Tasks[[#This Row],[_IsLeaf]]=1),"",IF(Tasks[[#This Row],[_AlapShift]]=0,Tasks[[#This Row],[_LeafFcstStart]],WORKDAY.INTL(Tasks[[#This Row],[_LeafFcstStart]],Tasks[[#This Row],[_AlapShift]],WorkWeek,Holidays)))</f>
        <v/>
      </c>
      <c r="FJ120" s="91" t="str">
        <f aca="false">IF(NOT(Tasks[[#This Row],[_IsLeaf]]=1),"",IF(Tasks[[#This Row],[_AlapShift]]=0,Tasks[[#This Row],[_LeafFcstFinish]],WORKDAY.INTL(Tasks[[#This Row],[_LeafFcstFinish]],Tasks[[#This Row],[_AlapShift]],WorkWeek,Holidays)))</f>
        <v/>
      </c>
      <c r="FK120" s="91" t="str">
        <f aca="false">IF(Tasks[[#This Row],[Task Name]]="","",IF(Tasks[[#This Row],[_IsSummary]],MIN(INDEX(Tasks[_ShownCalcStart],Tasks[[#This Row],[_Row]]+1):INDEX(Tasks[_ShownCalcStart],Tasks[[#This Row],[_Row]]+Tasks[[#This Row],[_Descendants]])),Tasks[[#This Row],[_ShownCalcStart]]))</f>
        <v/>
      </c>
      <c r="FL120" s="91" t="str">
        <f aca="false">IF(Tasks[[#This Row],[Task Name]]="","",IF(Tasks[[#This Row],[_IsSummary]],MAX(INDEX(Tasks[_ShownCalcFinish],Tasks[[#This Row],[_Row]]+1):INDEX(Tasks[_ShownCalcFinish],Tasks[[#This Row],[_Row]]+Tasks[[#This Row],[_Descendants]])),Tasks[[#This Row],[_ShownCalcFinish]]))</f>
        <v/>
      </c>
      <c r="FM1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0" s="43" t="n">
        <f aca="false">IF(AND(Tasks[[#This Row],[_IsLeaf]]=1,Tasks[[#This Row],[_LeafTotalWork]]&gt;0),NETWORKDAYS.INTL(ProjectStart,Tasks[[#This Row],[_ShownFcstStart]],WorkWeek,Holidays),0)</f>
        <v>0</v>
      </c>
      <c r="FZ120" s="43" t="n">
        <f aca="false">IF(AND(Tasks[[#This Row],[_IsLeaf]]=1,Tasks[[#This Row],[_LeafTotalWork]]&gt;0),MAX(Tasks[[#This Row],[_StartWorkday]],NETWORKDAYS.INTL(ProjectStart,Tasks[[#This Row],[_ShownFcstFinish]],WorkWeek,Holidays)),0)</f>
        <v>0</v>
      </c>
      <c r="GA120" s="43" t="n">
        <f aca="false">IF(AND(Tasks[[#This Row],[_IsLeaf]]=1,Tasks[[#This Row],[_LeafTotalWork]]&gt;0),Tasks[[#This Row],[_LeafWork]]/(Tasks[[#This Row],[_FinishWorkday]]-Tasks[[#This Row],[_StartWorkday]]+1),0)</f>
        <v>0</v>
      </c>
      <c r="GB120" s="43" t="n">
        <f aca="false">Tasks[[#This Row],[_WorkPerWorkday]]*(Tasks[[#This Row],[_StartWorkday]]-1)</f>
        <v>-0</v>
      </c>
      <c r="GC120" s="43" t="n">
        <f aca="false">IF(Tasks[[#This Row],[_IsLeaf]]=1,MAX(N(Tasks[[#This Row],[_Days]]),0.1),0)</f>
        <v>0</v>
      </c>
      <c r="GD120" s="43" t="n">
        <f aca="false">Tasks[[#This Row],[_WeightDur]]*Tasks[[#This Row],[_LeafProgress]]</f>
        <v>0</v>
      </c>
      <c r="GE120" s="43" t="n">
        <f aca="false">Tasks[[#This Row],[_WeightDur]]*Tasks[[#This Row],[_PlannedPct]]</f>
        <v>0</v>
      </c>
      <c r="GF1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0" s="43" t="str">
        <f aca="false">IF(AND(Tasks[[#This Row],[_IsLeaf]]=1,N(Tasks[[#This Row],[_Days]])=0,Tasks[[#This Row],[_LeafProgress]]&lt;1),Tasks[[#This Row],[_ShownFcstFinish]]+Tasks[[#This Row],[_Row]]/100000,"")</f>
        <v/>
      </c>
      <c r="GH1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0" s="43" t="str">
        <f aca="false">IF(Tasks[[#This Row],[Task Name]]="","",LEFT(Tasks[[#This Row],[WBS]],FIND(".",Tasks[[#This Row],[WBS]]&amp;".")-1))</f>
        <v/>
      </c>
      <c r="GJ120" s="43" t="str">
        <f aca="false">IF(AND(Tasks[[#This Row],[Task Name]]&lt;&gt;"",Tasks[[#This Row],[_Level]]=1),Tasks[[#This Row],[_Row]],"")</f>
        <v/>
      </c>
      <c r="GK120" s="43" t="str">
        <f aca="false">IF(AND(Tasks[[#This Row],[_IsLeaf]]=1,N(Tasks[[#This Row],[_Days]])=0),Tasks[[#This Row],[Planned Finish]]+Tasks[[#This Row],[_Row]]/100000,"")</f>
        <v/>
      </c>
      <c r="GL120" s="43" t="str">
        <f aca="false">IF(AND(Tasks[[#This Row],[_IsLeaf]]=1,Tasks[[#This Row],[_LeafProgress]]&lt;1,OR(N(Tasks[[#This Row],[Finish Var]])&gt;0,Tasks[[#This Row],[Status]]="Late Start")),MAX(0,Tasks[[#This Row],[Finish Var]])+1-Tasks[[#This Row],[_Row]]/1000000,"")</f>
        <v/>
      </c>
      <c r="GM120" s="43" t="str">
        <f aca="false">IF(AND(Tasks[[#This Row],[_IsLeaf]]=1,N(Tasks[[#This Row],[Actual Start]])=0,Tasks[[#This Row],[_ShownFcstStart]]&gt;=StatusDate,Tasks[[#This Row],[_ShownFcstStart]]&lt;=LookaheadEnd),Tasks[[#This Row],[_ShownFcstStart]]+Tasks[[#This Row],[_Row]]/100000,"")</f>
        <v/>
      </c>
      <c r="GN120" s="43" t="str">
        <f aca="false">IF(AND(Tasks[[#This Row],[_IsLeaf]]=1,Tasks[[#This Row],[_LeafProgress]]&lt;1,Tasks[[#This Row],[_ShownFcstFinish]]&gt;=StatusDate,Tasks[[#This Row],[_ShownFcstFinish]]&lt;=LookaheadEnd),Tasks[[#This Row],[_ShownFcstFinish]]+Tasks[[#This Row],[_Row]]/100000,"")</f>
        <v/>
      </c>
      <c r="GO120" s="43" t="str">
        <f aca="false">IF(Tasks[[#This Row],[_LeafCritical]],Tasks[[#This Row],[_ShownFcstStart]]+Tasks[[#This Row],[_Row]]/100000,"")</f>
        <v/>
      </c>
      <c r="GP120" s="43" t="n">
        <f aca="false">Tasks[[#This Row],[_LeafWork]]*Tasks[[#This Row],[_LeafProgress]]</f>
        <v>0</v>
      </c>
      <c r="GQ120" s="91" t="str">
        <f aca="false">IF(AND(Tasks[[#This Row],[_IsLeaf]]=1,Tasks[[#This Row],[_LeafProgress]]&gt;=1),IF(N(Tasks[[#This Row],[Actual Finish]])&gt;0,Tasks[[#This Row],[Actual Finish]],Tasks[[#This Row],[_ShownFcstFinish]]),"")</f>
        <v/>
      </c>
      <c r="GR120" s="43" t="n">
        <f aca="false">IF(Tasks[[#This Row],[_IsLeaf]]=1,N(Tasks[[#This Row],[Story Points]]),0)</f>
        <v>0</v>
      </c>
      <c r="GS120" s="43" t="str">
        <f aca="false">""</f>
        <v/>
      </c>
      <c r="GT120" s="90" t="b">
        <f aca="false">IF(Tasks[[#This Row],[Task Name]]="",FALSE(),AND(Tasks[[#This Row],[_IsLeaf]]=1,N(Tasks[[#This Row],[_Days]])=0))</f>
        <v>0</v>
      </c>
      <c r="GU120" s="91" t="n">
        <f aca="false">IF(Tasks[[#This Row],[Task Name]]="",0,IF(AND(Tasks[[#This Row],[_IsLeaf]]=1,NOT(Tasks[[#This Row],[_IsMilestone]]),N(Tasks[[#This Row],[Progress]])&gt;0),Tasks[[#This Row],[Start]],0))</f>
        <v>0</v>
      </c>
      <c r="GV120" s="91" t="n">
        <f aca="false">IF(Tasks[[#This Row],[_DoneFrom]]=0,0,IF(Tasks[[#This Row],[Progress]]&gt;=1,Tasks[[#This Row],[Finish]],MAX(Tasks[[#This Row],[_DoneFrom]],Tasks[[#This Row],[Start]]+ROUND((Tasks[[#This Row],[Finish]]-Tasks[[#This Row],[Start]]+1)*Tasks[[#This Row],[Progress]],0)-1)))</f>
        <v>0</v>
      </c>
      <c r="GW120" s="91" t="n">
        <f aca="false">IF(Tasks[[#This Row],[Task Name]]="",0,IF(OR(NOT(Tasks[[#This Row],[_IsLeaf]]=1),Tasks[[#This Row],[_IsMilestone]],N(Tasks[[#This Row],[Progress]])&gt;=1),0,IF(Tasks[[#This Row],[_DoneTo]]&gt;0,Tasks[[#This Row],[_DoneTo]]+1,Tasks[[#This Row],[Start]])))</f>
        <v>0</v>
      </c>
      <c r="GX120" s="91" t="n">
        <f aca="false">IF(Tasks[[#This Row],[_RemFrom]]=0,0,Tasks[[#This Row],[Finish]])</f>
        <v>0</v>
      </c>
      <c r="GY120" s="90" t="b">
        <f aca="false">IF(Tasks[[#This Row],[Task Name]]="",FALSE(),OR(NOT(BaselineSet),N(Tasks[[#This Row],[Baseline Start]])&gt;0))</f>
        <v>0</v>
      </c>
      <c r="GZ12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0" s="92" t="str">
        <f aca="false">IF(Tasks[[#This Row],[_IsLeaf]]=1,Tasks[[#This Row],[_Row]],"")</f>
        <v/>
      </c>
      <c r="HD120" s="92" t="str">
        <f aca="false">IFERROR(INDEX(Tasks[UID],SMALL(Tasks[_PickKey],Tasks[[#This Row],[_Row]]))&amp;" "&amp;INDEX(Tasks[Task Name],SMALL(Tasks[_PickKey],Tasks[[#This Row],[_Row]])),"")</f>
        <v/>
      </c>
      <c r="HE120" s="43" t="str">
        <f aca="false">IF(Tasks[[#This Row],[Task Name]]="","",IF(Tasks[[#This Row],[_IsSummary]],NETWORKDAYS.INTL(Tasks[[#This Row],[Start]],Tasks[[#This Row],[Finish]],WorkWeek,Holidays),N(Tasks[[#This Row],[_Days]])))</f>
        <v/>
      </c>
      <c r="HF120" s="43" t="n">
        <f aca="false">IF(Tasks[[#This Row],[Expected]]="",0,((Tasks[[#This Row],[Pessimistic]]-Tasks[[#This Row],[Optimistic]])/6)^2)</f>
        <v>0</v>
      </c>
      <c r="HG120" s="43" t="n">
        <f aca="false">IF(Tasks[[#This Row],[Expected]]="",0,Tasks[[#This Row],[Expected]]-N(Tasks[[#This Row],[_Days]]))</f>
        <v>0</v>
      </c>
    </row>
    <row r="121" customFormat="false" ht="15" hidden="false" customHeight="false" outlineLevel="0" collapsed="false">
      <c r="A121" s="21" t="str">
        <f aca="false">IF(Tasks[[#This Row],[Task Name]]="","",COUNTA(Tasks[[#Headers],[Task Name]]:Tasks[[#This Row],[Task Name]])-1)</f>
        <v/>
      </c>
      <c r="B121" s="22" t="n">
        <v>129</v>
      </c>
      <c r="C121" s="22"/>
      <c r="D121" s="23"/>
      <c r="E121" s="22"/>
      <c r="F121" s="23"/>
      <c r="G121" s="22"/>
      <c r="H121" s="22"/>
      <c r="I121" s="23"/>
      <c r="J121" s="22"/>
      <c r="K121" s="22"/>
      <c r="L121" s="23"/>
      <c r="M121" s="22"/>
      <c r="N121" s="22"/>
      <c r="O121" s="23"/>
      <c r="P121" s="22"/>
      <c r="Q121" s="22"/>
      <c r="R121" s="23"/>
      <c r="S121" s="23"/>
      <c r="T121" s="84"/>
      <c r="U121" s="23"/>
      <c r="V121" s="84"/>
      <c r="W121" s="23"/>
      <c r="X121" s="84"/>
      <c r="Y121" s="23"/>
      <c r="Z121" s="84"/>
      <c r="AA121" s="23"/>
      <c r="AB121" s="23"/>
      <c r="AC121" s="7"/>
      <c r="AD121" s="7"/>
      <c r="AE121" s="63" t="str">
        <f aca="false">IF(Tasks[[#This Row],[Task Name]]="","",IF(Tasks[[#This Row],[_IsSummary]],MIN(INDEX(Tasks[_ShownFcstStart],Tasks[[#This Row],[_Row]]+1):INDEX(Tasks[_ShownFcstStart],Tasks[[#This Row],[_Row]]+Tasks[[#This Row],[_Descendants]])),Tasks[[#This Row],[_ShownFcstStart]]))</f>
        <v/>
      </c>
      <c r="AF121" s="63" t="str">
        <f aca="false">IF(Tasks[[#This Row],[Task Name]]="","",IF(Tasks[[#This Row],[_IsSummary]],MAX(INDEX(Tasks[_ShownFcstFinish],Tasks[[#This Row],[_Row]]+1):INDEX(Tasks[_ShownFcstFinish],Tasks[[#This Row],[_Row]]+Tasks[[#This Row],[_Descendants]])),Tasks[[#This Row],[_ShownFcstFinish]]))</f>
        <v/>
      </c>
      <c r="AG121" s="21" t="str">
        <f aca="false">""</f>
        <v/>
      </c>
      <c r="AH121" s="23"/>
      <c r="AI1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1" s="7"/>
      <c r="AK121" s="22"/>
      <c r="AL121" s="23"/>
      <c r="AM121" s="7"/>
      <c r="AN121" s="47" t="str">
        <f aca="false">IF(Tasks[[#This Row],[Task Name]]="","",IF(Tasks[[#This Row],[Finish]]&gt;=Tasks[[#This Row],[Planned Finish]],NETWORKDAYS.INTL(Tasks[[#This Row],[Planned Finish]],Tasks[[#This Row],[Finish]],WorkWeek,Holidays)-1,1-NETWORKDAYS.INTL(Tasks[[#This Row],[Finish]],Tasks[[#This Row],[Planned Finish]],WorkWeek,Holidays)))</f>
        <v/>
      </c>
      <c r="AO121" s="21" t="str">
        <f aca="false">IF(Tasks[[#This Row],[Task Name]]="","",IF(Tasks[[#This Row],[Progress]]&gt;=1,"Complete",IF(OR(N(Tasks[[#This Row],[Actual Start]])&gt;0,Tasks[[#This Row],[Progress]]&gt;0),IF(Tasks[[#This Row],[Finish Var]]&gt;0,"Behind","In Progress"),IF(Tasks[[#This Row],[Planned Start]]&lt;StatusDate,"Late Start","Not Started"))))</f>
        <v/>
      </c>
      <c r="AP121" s="21" t="str">
        <f aca="false">IF(Tasks[[#This Row],[Task Name]]="","",IF(IF(Tasks[[#This Row],[_IsSummary]],COUNTIF(INDEX(Tasks[_LeafCritical],Tasks[[#This Row],[_Row]]+1):INDEX(Tasks[_LeafCritical],Tasks[[#This Row],[_Row]]+Tasks[[#This Row],[_Descendants]]),TRUE())&gt;0,Tasks[[#This Row],[_LeafCritical]]),"Yes",""))</f>
        <v/>
      </c>
      <c r="AQ121" s="63" t="str">
        <f aca="false">IF(Tasks[[#This Row],[Task Name]]="","",IF(N(Tasks[[#This Row],[Baseline Start]])&gt;0,Tasks[[#This Row],[Baseline Start]],Tasks[[#This Row],[_CalcStart]]))</f>
        <v/>
      </c>
      <c r="AR121" s="63" t="str">
        <f aca="false">IF(Tasks[[#This Row],[Task Name]]="","",IF(N(Tasks[[#This Row],[Baseline Finish]])&gt;0,Tasks[[#This Row],[Baseline Finish]],Tasks[[#This Row],[_CalcFinish]]))</f>
        <v/>
      </c>
      <c r="AS121" s="47" t="str">
        <f aca="false">IF(Tasks[[#This Row],[Task Name]]="","",IF(Tasks[[#This Row],[Start]]&gt;=Tasks[[#This Row],[Planned Start]],NETWORKDAYS.INTL(Tasks[[#This Row],[Planned Start]],Tasks[[#This Row],[Start]],WorkWeek,Holidays)-1,1-NETWORKDAYS.INTL(Tasks[[#This Row],[Start]],Tasks[[#This Row],[Planned Start]],WorkWeek,Holidays)))</f>
        <v/>
      </c>
      <c r="AT121" s="63" t="str">
        <f aca="false">IF(Tasks[[#This Row],[Task Name]]="","",IF(Tasks[[#This Row],[_IsSummary]],MIN(INDEX(Tasks[_LeafLateStart],Tasks[[#This Row],[_Row]]+1):INDEX(Tasks[_LeafLateStart],Tasks[[#This Row],[_Row]]+Tasks[[#This Row],[_Descendants]])),Tasks[[#This Row],[_LeafLateStart]]))</f>
        <v/>
      </c>
      <c r="AU121" s="63" t="str">
        <f aca="false">IF(Tasks[[#This Row],[Task Name]]="","",IF(Tasks[[#This Row],[_IsSummary]],MAX(INDEX(Tasks[_LeafLateFinish],Tasks[[#This Row],[_Row]]+1):INDEX(Tasks[_LeafLateFinish],Tasks[[#This Row],[_Row]]+Tasks[[#This Row],[_Descendants]])),Tasks[[#This Row],[_LeafLateFinish]]))</f>
        <v/>
      </c>
      <c r="AV121" s="47" t="str">
        <f aca="false">IF(Tasks[[#This Row],[Task Name]]="","",IF(Tasks[[#This Row],[_IsSummary]],MIN(INDEX(Tasks[_LeafTotalSlack],Tasks[[#This Row],[_Row]]+1):INDEX(Tasks[_LeafTotalSlack],Tasks[[#This Row],[_Row]]+Tasks[[#This Row],[_Descendants]])),Tasks[[#This Row],[_LeafTotalSlack]]))</f>
        <v/>
      </c>
      <c r="AW1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5"/>
      <c r="BA12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t="str">
        <f aca="false">IF(Tasks[[#This Row],[Task Name]]="","",IF(Tasks[[#This Row],[_Level]]&lt;=OutlineShowLevel,"Yes","No"))</f>
        <v/>
      </c>
      <c r="BE121" s="86" t="str">
        <f aca="false">IF(Tasks[[#This Row],[Task Name]]="","",IF(Tasks[[#This Row],[_IsSummary]],SUM(INDEX(Tasks[_LeafTotalWork],Tasks[[#This Row],[_Row]]+1):INDEX(Tasks[_LeafTotalWork],Tasks[[#This Row],[_Row]]+Tasks[[#This Row],[_Descendants]])),Tasks[[#This Row],[_LeafTotalWork]]))</f>
        <v/>
      </c>
      <c r="BF121" s="23"/>
      <c r="BG1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t="str">
        <f aca="false">""</f>
        <v/>
      </c>
      <c r="BI121" s="87"/>
      <c r="BJ121" s="22"/>
      <c r="BK121" s="47" t="str">
        <f aca="false">IF(OR(Tasks[[#This Row],[Task Name]]="",Tasks[[#This Row],[Baseline Duration]]=""),"",Tasks[[#This Row],[_SpanDays]]-N(Tasks[[#This Row],[Baseline Duration]]))</f>
        <v/>
      </c>
      <c r="BL121" s="86" t="str">
        <f aca="false">IF(OR(Tasks[[#This Row],[Task Name]]="",Tasks[[#This Row],[Baseline Work]]=""),"",Tasks[[#This Row],[Work]]-N(Tasks[[#This Row],[Baseline Work]]))</f>
        <v/>
      </c>
      <c r="BM121" s="63" t="str">
        <f aca="false">IF(Tasks[[#This Row],[Task Name]]="","",IF(OR(TakeBaseline="Yes",N(Tasks[[#This Row],[Baseline Start]])=0),Tasks[[#This Row],[Start]],Tasks[[#This Row],[Baseline Start]]))</f>
        <v/>
      </c>
      <c r="BN121" s="63" t="str">
        <f aca="false">IF(Tasks[[#This Row],[Task Name]]="","",IF(OR(TakeBaseline="Yes",N(Tasks[[#This Row],[Baseline Finish]])=0),Tasks[[#This Row],[Finish]],Tasks[[#This Row],[Baseline Finish]]))</f>
        <v/>
      </c>
      <c r="BO121" s="21" t="str">
        <f aca="false">IF(Tasks[[#This Row],[Task Name]]="","",IF(OR(TakeBaseline="Yes",N(Tasks[[#This Row],[Baseline Duration]])=0),Tasks[[#This Row],[_SpanDays]],Tasks[[#This Row],[Baseline Duration]]))</f>
        <v/>
      </c>
      <c r="BP121" s="86" t="str">
        <f aca="false">IF(Tasks[[#This Row],[Task Name]]="","",IF(OR(TakeBaseline="Yes",N(Tasks[[#This Row],[Baseline Work]])=0),Tasks[[#This Row],[Work]],Tasks[[#This Row],[Baseline Work]]))</f>
        <v/>
      </c>
      <c r="BQ121" s="7"/>
      <c r="BR121" s="7"/>
      <c r="BS121" s="22"/>
      <c r="BT121" s="88"/>
      <c r="BU121" s="23"/>
      <c r="BV121" s="23"/>
      <c r="BW121" s="23"/>
      <c r="BX121" s="89" t="str">
        <f aca="false">IF(AND(Tasks[[#This Row],[_IsLeaf]]=1,ISNUMBER(Tasks[[#This Row],[Optimistic]]),ISNUMBER(Tasks[[#This Row],[Pessimistic]])),ROUND((Tasks[[#This Row],[Optimistic]]+4*N(Tasks[[#This Row],[_Days]])+Tasks[[#This Row],[Pessimistic]])/6,1),"")</f>
        <v/>
      </c>
      <c r="BY121" s="87"/>
      <c r="BZ121" s="87"/>
      <c r="CA121" s="22"/>
      <c r="CB121" s="43" t="str">
        <f aca="false">IF(Tasks[[#This Row],[Task Name]]="","",MAX(1,N(Tasks[[#This Row],[Level]])))</f>
        <v/>
      </c>
      <c r="CC121" s="43" t="n">
        <f aca="false">ROW()-ROW(Tasks[[#Headers],[ID]])</f>
        <v>116</v>
      </c>
      <c r="CD121" s="43" t="n">
        <f aca="false">IF(OR(Tasks[[#This Row],[Task Name]]="",Tasks[[#This Row],[_Level]]&lt;=1),0,IFERROR(LOOKUP(2,1/(Tasks[[#Headers],[_Level]]:Tasks[[#This Row],[_Level]]=Tasks[[#This Row],[_Level]]-1),ROW(Tasks[[#Headers],[_Level]]:Tasks[[#This Row],[_Level]])),0))</f>
        <v>0</v>
      </c>
      <c r="CE121" s="43" t="n">
        <f aca="false">IFERROR(N(INDEX(Tasks[_Level],Tasks[[#This Row],[_Row]]+1)),0)</f>
        <v>0</v>
      </c>
      <c r="CF121" s="90" t="b">
        <f aca="false">AND(Tasks[[#This Row],[Task Name]]&lt;&gt;"",Tasks[[#This Row],[_NextLevel]]&gt;Tasks[[#This Row],[_Level]])</f>
        <v>0</v>
      </c>
      <c r="CG121" s="43" t="n">
        <f aca="false">IF(Tasks[[#This Row],[_IsSummary]],COUNTIF(Tasks[WBS],Tasks[[#This Row],[WBS]]&amp;".*"),0)</f>
        <v>0</v>
      </c>
      <c r="CH121" s="43" t="n">
        <f aca="false">IF(AND(Tasks[[#This Row],[Task Name]]&lt;&gt;"",NOT(Tasks[[#This Row],[_IsSummary]])),1,0)</f>
        <v>0</v>
      </c>
      <c r="CI121" s="43" t="n">
        <f aca="false">IF(N(Tasks[[#This Row],[_Pred1UID]])=0,0,IFERROR(MATCH(Tasks[[#This Row],[_Pred1UID]],Tasks[UID],0),-1))</f>
        <v>0</v>
      </c>
      <c r="CJ121" s="43" t="n">
        <f aca="false">IF(N(Tasks[[#This Row],[_Pred2UID]])=0,0,IFERROR(MATCH(Tasks[[#This Row],[_Pred2UID]],Tasks[UID],0),-1))</f>
        <v>0</v>
      </c>
      <c r="CK121" s="43" t="n">
        <f aca="false">IF(N(Tasks[[#This Row],[_Pred3UID]])=0,0,IFERROR(MATCH(Tasks[[#This Row],[_Pred3UID]],Tasks[UID],0),-1))</f>
        <v>0</v>
      </c>
      <c r="CL121" s="43" t="n">
        <f aca="false">IF(N(Tasks[[#This Row],[_Pred4UID]])=0,0,IFERROR(MATCH(Tasks[[#This Row],[_Pred4UID]],Tasks[UID],0),-1))</f>
        <v>0</v>
      </c>
      <c r="CM12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1" s="91" t="n">
        <f aca="false">IF(OR(Tasks[[#This Row],[_ConstraintCode]]=2,Tasks[[#This Row],[_ConstraintCode]]=3,Tasks[[#This Row],[_ConstraintCode]]=4,Tasks[[#This Row],[_ConstraintCode]]=6),Tasks[[#This Row],[_ConstraintStart]],0)</f>
        <v>0</v>
      </c>
      <c r="CP121" s="91" t="n">
        <f aca="false">IF(OR(Tasks[[#This Row],[_ConstraintCode]]=2,Tasks[[#This Row],[_ConstraintCode]]=3,Tasks[[#This Row],[_ConstraintCode]]=5,Tasks[[#This Row],[_ConstraintCode]]=7),Tasks[[#This Row],[_ConstraintStart]],2958465)</f>
        <v>2958465</v>
      </c>
      <c r="CQ12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1" s="91" t="str">
        <f aca="false">IF(NOT(Tasks[[#This Row],[_IsLeaf]]=1),"",IF(N(Tasks[[#This Row],[_Days]])&lt;=0,Tasks[[#This Row],[_LeafCalcStart]],WORKDAY.INTL(Tasks[[#This Row],[_LeafCalcStart]],Tasks[[#This Row],[_Days]]-1,WorkWeek,Holidays)))</f>
        <v/>
      </c>
      <c r="CS12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1" s="43" t="str">
        <f aca="false">IF(Tasks[[#This Row],[_Predecessors]]="","",TRIM(MID(SUBSTITUTE(SUBSTITUTE(SUBSTITUTE(UPPER(Tasks[[#This Row],[_Predecessors]]),";",",")," ",""),",",REPT(" ",99)),1,99)))</f>
        <v/>
      </c>
      <c r="CV121" s="43" t="str">
        <f aca="false">IF(Tasks[[#This Row],[_Pred1Text]]="","",IFERROR(VALUE(LEFT(Tasks[[#This Row],[_Pred1Text]],MIN(FIND("F",Tasks[[#This Row],[_Pred1Text]]&amp;"F"),FIND("S",Tasks[[#This Row],[_Pred1Text]]&amp;"S"),FIND("+",Tasks[[#This Row],[_Pred1Text]]&amp;"+"),FIND("-",Tasks[[#This Row],[_Pred1Text]]&amp;"-"))-1)),""))</f>
        <v/>
      </c>
      <c r="CW1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1" s="43" t="str">
        <f aca="false">IF(Tasks[[#This Row],[_Pred1Text]]="","",TRIM(MID(SUBSTITUTE(SUBSTITUTE(SUBSTITUTE(UPPER(Tasks[[#This Row],[_Predecessors]]),";",",")," ",""),",",REPT(" ",99)),100,99)))</f>
        <v/>
      </c>
      <c r="CZ121" s="43" t="str">
        <f aca="false">IF(Tasks[[#This Row],[_Pred2Text]]="","",IFERROR(VALUE(LEFT(Tasks[[#This Row],[_Pred2Text]],MIN(FIND("F",Tasks[[#This Row],[_Pred2Text]]&amp;"F"),FIND("S",Tasks[[#This Row],[_Pred2Text]]&amp;"S"),FIND("+",Tasks[[#This Row],[_Pred2Text]]&amp;"+"),FIND("-",Tasks[[#This Row],[_Pred2Text]]&amp;"-"))-1)),""))</f>
        <v/>
      </c>
      <c r="DA1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1" s="43" t="str">
        <f aca="false">IF(Tasks[[#This Row],[_Pred2Text]]="","",TRIM(MID(SUBSTITUTE(SUBSTITUTE(SUBSTITUTE(UPPER(Tasks[[#This Row],[_Predecessors]]),";",",")," ",""),",",REPT(" ",99)),199,99)))</f>
        <v/>
      </c>
      <c r="DD121" s="43" t="str">
        <f aca="false">IF(Tasks[[#This Row],[_Pred3Text]]="","",IFERROR(VALUE(LEFT(Tasks[[#This Row],[_Pred3Text]],MIN(FIND("F",Tasks[[#This Row],[_Pred3Text]]&amp;"F"),FIND("S",Tasks[[#This Row],[_Pred3Text]]&amp;"S"),FIND("+",Tasks[[#This Row],[_Pred3Text]]&amp;"+"),FIND("-",Tasks[[#This Row],[_Pred3Text]]&amp;"-"))-1)),""))</f>
        <v/>
      </c>
      <c r="DE1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1" s="43" t="str">
        <f aca="false">IF(Tasks[[#This Row],[_Pred3Text]]="","",TRIM(MID(SUBSTITUTE(SUBSTITUTE(SUBSTITUTE(UPPER(Tasks[[#This Row],[_Predecessors]]),";",",")," ",""),",",REPT(" ",99)),298,99)))</f>
        <v/>
      </c>
      <c r="DH121" s="43" t="str">
        <f aca="false">IF(Tasks[[#This Row],[_Pred4Text]]="","",IFERROR(VALUE(LEFT(Tasks[[#This Row],[_Pred4Text]],MIN(FIND("F",Tasks[[#This Row],[_Pred4Text]]&amp;"F"),FIND("S",Tasks[[#This Row],[_Pred4Text]]&amp;"S"),FIND("+",Tasks[[#This Row],[_Pred4Text]]&amp;"+"),FIND("-",Tasks[[#This Row],[_Pred4Text]]&amp;"-"))-1)),""))</f>
        <v/>
      </c>
      <c r="DI1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1" s="43" t="str">
        <f aca="false">IF(OR(Tasks[[#This Row],[Task Name]]="",Tasks[[#This Row],[_Resources]]=""),"",TRIM(MID(SUBSTITUTE(Tasks[[#This Row],[_Resources]],",",REPT(" ",99)),1,99)))</f>
        <v/>
      </c>
      <c r="DL121" s="43" t="str">
        <f aca="false">IF(Tasks[[#This Row],[_Res1Text]]="","",TRIM(MID(SUBSTITUTE(Tasks[[#This Row],[_Resources]],",",REPT(" ",99)),100,99)))</f>
        <v/>
      </c>
      <c r="DM121" s="43" t="str">
        <f aca="false">IF(Tasks[[#This Row],[_Res2Text]]="","",TRIM(MID(SUBSTITUTE(Tasks[[#This Row],[_Resources]],",",REPT(" ",99)),199,99)))</f>
        <v/>
      </c>
      <c r="DN121" s="43" t="str">
        <f aca="false">IF(Tasks[[#This Row],[_Res3Text]]="","",TRIM(MID(SUBSTITUTE(Tasks[[#This Row],[_Resources]],",",REPT(" ",99)),298,99)))</f>
        <v/>
      </c>
      <c r="DO121" s="43" t="n">
        <f aca="false">IF(Tasks[[#This Row],[_Res1Text]]="",0,IFERROR(MATCH(TRIM(LEFT(Tasks[[#This Row],[_Res1Text]],FIND("[",Tasks[[#This Row],[_Res1Text]]&amp;"[")-1)),res_Name,0),IFERROR(MATCH(TRIM(LEFT(Tasks[[#This Row],[_Res1Text]],FIND("[",Tasks[[#This Row],[_Res1Text]]&amp;"[")-1)),res_Initials,0),0)))</f>
        <v>0</v>
      </c>
      <c r="DP121" s="43" t="n">
        <f aca="false">IF(Tasks[[#This Row],[_Res2Text]]="",0,IFERROR(MATCH(TRIM(LEFT(Tasks[[#This Row],[_Res2Text]],FIND("[",Tasks[[#This Row],[_Res2Text]]&amp;"[")-1)),res_Name,0),IFERROR(MATCH(TRIM(LEFT(Tasks[[#This Row],[_Res2Text]],FIND("[",Tasks[[#This Row],[_Res2Text]]&amp;"[")-1)),res_Initials,0),0)))</f>
        <v>0</v>
      </c>
      <c r="DQ121" s="43" t="n">
        <f aca="false">IF(Tasks[[#This Row],[_Res3Text]]="",0,IFERROR(MATCH(TRIM(LEFT(Tasks[[#This Row],[_Res3Text]],FIND("[",Tasks[[#This Row],[_Res3Text]]&amp;"[")-1)),res_Name,0),IFERROR(MATCH(TRIM(LEFT(Tasks[[#This Row],[_Res3Text]],FIND("[",Tasks[[#This Row],[_Res3Text]]&amp;"[")-1)),res_Initials,0),0)))</f>
        <v>0</v>
      </c>
      <c r="DR121" s="43" t="n">
        <f aca="false">IF(Tasks[[#This Row],[_Res4Text]]="",0,IFERROR(MATCH(TRIM(LEFT(Tasks[[#This Row],[_Res4Text]],FIND("[",Tasks[[#This Row],[_Res4Text]]&amp;"[")-1)),res_Name,0),IFERROR(MATCH(TRIM(LEFT(Tasks[[#This Row],[_Res4Text]],FIND("[",Tasks[[#This Row],[_Res4Text]]&amp;"[")-1)),res_Initials,0),0)))</f>
        <v>0</v>
      </c>
      <c r="DS121" s="43" t="str">
        <f aca="false">IF(Tasks[[#This Row],[_Res1Text]]="","",IF(Tasks[[#This Row],[_Res1Row]]&gt;0,INDEX(res_Name,Tasks[[#This Row],[_Res1Row]]),TRIM(LEFT(Tasks[[#This Row],[_Res1Text]],FIND("[",Tasks[[#This Row],[_Res1Text]]&amp;"[")-1))))</f>
        <v/>
      </c>
      <c r="DT1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1" s="43" t="n">
        <f aca="false">IF(NOT(Tasks[[#This Row],[_IsLeaf]]=1),0,(Tasks[[#This Row],[_Resource1]]&lt;&gt;"")+(Tasks[[#This Row],[_Res2]]&lt;&gt;"")+(Tasks[[#This Row],[_Res3]]&lt;&gt;"")+(Tasks[[#This Row],[_Res4]]&lt;&gt;""))</f>
        <v>0</v>
      </c>
      <c r="DV121" s="43" t="str">
        <f aca="false">IF(Tasks[[#This Row],[_Res2Text]]="","",IF(Tasks[[#This Row],[_Res2Row]]&gt;0,INDEX(res_Name,Tasks[[#This Row],[_Res2Row]]),TRIM(LEFT(Tasks[[#This Row],[_Res2Text]],FIND("[",Tasks[[#This Row],[_Res2Text]]&amp;"[")-1))))</f>
        <v/>
      </c>
      <c r="DW1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1" s="43" t="n">
        <f aca="false">IF(OR(NOT(Tasks[[#This Row],[_IsLeaf]]=1),Tasks[[#This Row],[_Res2Row]]=0),0,N(Tasks[[#This Row],[_Days]])*HoursPerDay*IF(Tasks[[#This Row],[_Res2Units]]="",DefaultUnits,Tasks[[#This Row],[_Res2Units]]))</f>
        <v>0</v>
      </c>
      <c r="DY121" s="43" t="n">
        <f aca="false">IF(AND(AND(Tasks[[#This Row],[_IsLeaf]]=1,Tasks[[#This Row],[_LeafTotalWork]]&gt;0),Tasks[[#This Row],[_Res2Work]]&gt;0),Tasks[[#This Row],[_Res2Work]]/(Tasks[[#This Row],[_FinishWorkday]]-Tasks[[#This Row],[_StartWorkday]]+1),0)</f>
        <v>0</v>
      </c>
      <c r="DZ121" s="43" t="n">
        <f aca="false">Tasks[[#This Row],[_Res2WorkPerWD]]*MAX(0,Tasks[[#This Row],[_StartWorkday]]-1)</f>
        <v>0</v>
      </c>
      <c r="EA121" s="43" t="n">
        <f aca="false">Tasks[[#This Row],[_Res2Work]]*Tasks[[#This Row],[_LeafProgress]]</f>
        <v>0</v>
      </c>
      <c r="EB121" s="43" t="str">
        <f aca="false">IF(Tasks[[#This Row],[_Res3Text]]="","",IF(Tasks[[#This Row],[_Res3Row]]&gt;0,INDEX(res_Name,Tasks[[#This Row],[_Res3Row]]),TRIM(LEFT(Tasks[[#This Row],[_Res3Text]],FIND("[",Tasks[[#This Row],[_Res3Text]]&amp;"[")-1))))</f>
        <v/>
      </c>
      <c r="EC1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1" s="43" t="n">
        <f aca="false">IF(OR(NOT(Tasks[[#This Row],[_IsLeaf]]=1),Tasks[[#This Row],[_Res3Row]]=0),0,N(Tasks[[#This Row],[_Days]])*HoursPerDay*IF(Tasks[[#This Row],[_Res3Units]]="",DefaultUnits,Tasks[[#This Row],[_Res3Units]]))</f>
        <v>0</v>
      </c>
      <c r="EE121" s="43" t="n">
        <f aca="false">IF(AND(AND(Tasks[[#This Row],[_IsLeaf]]=1,Tasks[[#This Row],[_LeafTotalWork]]&gt;0),Tasks[[#This Row],[_Res3Work]]&gt;0),Tasks[[#This Row],[_Res3Work]]/(Tasks[[#This Row],[_FinishWorkday]]-Tasks[[#This Row],[_StartWorkday]]+1),0)</f>
        <v>0</v>
      </c>
      <c r="EF121" s="43" t="n">
        <f aca="false">Tasks[[#This Row],[_Res3WorkPerWD]]*MAX(0,Tasks[[#This Row],[_StartWorkday]]-1)</f>
        <v>0</v>
      </c>
      <c r="EG121" s="43" t="n">
        <f aca="false">Tasks[[#This Row],[_Res3Work]]*Tasks[[#This Row],[_LeafProgress]]</f>
        <v>0</v>
      </c>
      <c r="EH121" s="43" t="str">
        <f aca="false">IF(Tasks[[#This Row],[_Res4Text]]="","",IF(Tasks[[#This Row],[_Res4Row]]&gt;0,INDEX(res_Name,Tasks[[#This Row],[_Res4Row]]),TRIM(LEFT(Tasks[[#This Row],[_Res4Text]],FIND("[",Tasks[[#This Row],[_Res4Text]]&amp;"[")-1))))</f>
        <v/>
      </c>
      <c r="EI1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1" s="43" t="n">
        <f aca="false">IF(OR(NOT(Tasks[[#This Row],[_IsLeaf]]=1),Tasks[[#This Row],[_Res4Row]]=0),0,N(Tasks[[#This Row],[_Days]])*HoursPerDay*IF(Tasks[[#This Row],[_Res4Units]]="",DefaultUnits,Tasks[[#This Row],[_Res4Units]]))</f>
        <v>0</v>
      </c>
      <c r="EK121" s="43" t="n">
        <f aca="false">IF(AND(AND(Tasks[[#This Row],[_IsLeaf]]=1,Tasks[[#This Row],[_LeafTotalWork]]&gt;0),Tasks[[#This Row],[_Res4Work]]&gt;0),Tasks[[#This Row],[_Res4Work]]/(Tasks[[#This Row],[_FinishWorkday]]-Tasks[[#This Row],[_StartWorkday]]+1),0)</f>
        <v>0</v>
      </c>
      <c r="EL121" s="43" t="n">
        <f aca="false">Tasks[[#This Row],[_Res4WorkPerWD]]*MAX(0,Tasks[[#This Row],[_StartWorkday]]-1)</f>
        <v>0</v>
      </c>
      <c r="EM121" s="43" t="n">
        <f aca="false">Tasks[[#This Row],[_Res4Work]]*Tasks[[#This Row],[_LeafProgress]]</f>
        <v>0</v>
      </c>
      <c r="EN121" s="43" t="n">
        <f aca="false">IF(ISNUMBER(Tasks[[#This Row],[% Complete]]),Tasks[[#This Row],[% Complete]],IF(Tasks[[#This Row],[Stage]]="",0,IFERROR(INDEX(stg_Pct,MATCH(Tasks[[#This Row],[Stage]],stg_Name,0)),0)))</f>
        <v>0</v>
      </c>
      <c r="EO121" s="43" t="n">
        <f aca="false">IF(NOT(Tasks[[#This Row],[_IsLeaf]]=1),0,IF(N(Tasks[[#This Row],[Actual Finish]])&gt;0,1,MIN(1,Tasks[[#This Row],[_Pct]])))</f>
        <v>0</v>
      </c>
      <c r="EP121" s="43" t="n">
        <f aca="false">IF(OR(NOT(Tasks[[#This Row],[_IsLeaf]]=1),Tasks[[#This Row],[_Res1Row]]=0),0,N(Tasks[[#This Row],[_Days]])*HoursPerDay*IF(Tasks[[#This Row],[_Units1]]="",DefaultUnits,Tasks[[#This Row],[_Units1]]))</f>
        <v>0</v>
      </c>
      <c r="EQ121" s="43" t="n">
        <f aca="false">Tasks[[#This Row],[_LeafWork]]+Tasks[[#This Row],[_Res2Work]]+Tasks[[#This Row],[_Res3Work]]+Tasks[[#This Row],[_Res4Work]]</f>
        <v>0</v>
      </c>
      <c r="ER12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1" s="43" t="n">
        <f aca="false">IF(NOT(Tasks[[#This Row],[_IsLeaf]]=1),0,MAX(_xlfn.MAXIFS(Tasks[_Row],Tasks[_Pred1UID],Tasks[[#This Row],[UID]]),_xlfn.MAXIFS(Tasks[_Row],Tasks[_Pred2UID],Tasks[[#This Row],[UID]]),_xlfn.MAXIFS(Tasks[_Row],Tasks[_Pred3UID],Tasks[[#This Row],[UID]]),_xlfn.MAXIFS(Tasks[_Row],Tasks[_Pred4UID],Tasks[[#This Row],[UID]])))</f>
        <v>0</v>
      </c>
      <c r="FA12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1" s="91" t="str">
        <f aca="false">IF(NOT(Tasks[[#This Row],[_IsLeaf]]=1),"",IF(N(Tasks[[#This Row],[_Days]])&lt;=0,Tasks[[#This Row],[_LeafLateFinish]],WORKDAY.INTL(Tasks[[#This Row],[_LeafLateFinish]],-(Tasks[[#This Row],[_Days]]-1),WorkWeek,Holidays)))</f>
        <v/>
      </c>
      <c r="FD12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1" s="90" t="b">
        <f aca="false">AND(Tasks[[#This Row],[_IsLeaf]]=1,Tasks[[#This Row],[_LeafProgress]]&lt;1,N(Tasks[[#This Row],[_LeafTotalSlack]])&lt;=CriticalSlackDays)</f>
        <v>0</v>
      </c>
      <c r="FF121" s="43" t="n">
        <f aca="false">IF(AND(Tasks[[#This Row],[_IsLeaf]]=1,Tasks[[#This Row],[_ConstraintCode]]=1,Tasks[[#This Row],[Mode]]&lt;&gt;"Manual",N(Tasks[[#This Row],[Actual Start]])=0),MAX(0,N(Tasks[[#This Row],[Free Slack]])),0)</f>
        <v>0</v>
      </c>
      <c r="FG121" s="91" t="str">
        <f aca="false">IF(NOT(Tasks[[#This Row],[_IsLeaf]]=1),"",IF(Tasks[[#This Row],[_AlapShift]]=0,Tasks[[#This Row],[_LeafCalcStart]],WORKDAY.INTL(Tasks[[#This Row],[_LeafCalcStart]],Tasks[[#This Row],[_AlapShift]],WorkWeek,Holidays)))</f>
        <v/>
      </c>
      <c r="FH121" s="91" t="str">
        <f aca="false">IF(NOT(Tasks[[#This Row],[_IsLeaf]]=1),"",IF(Tasks[[#This Row],[_AlapShift]]=0,Tasks[[#This Row],[_LeafCalcFinish]],WORKDAY.INTL(Tasks[[#This Row],[_LeafCalcFinish]],Tasks[[#This Row],[_AlapShift]],WorkWeek,Holidays)))</f>
        <v/>
      </c>
      <c r="FI121" s="91" t="str">
        <f aca="false">IF(NOT(Tasks[[#This Row],[_IsLeaf]]=1),"",IF(Tasks[[#This Row],[_AlapShift]]=0,Tasks[[#This Row],[_LeafFcstStart]],WORKDAY.INTL(Tasks[[#This Row],[_LeafFcstStart]],Tasks[[#This Row],[_AlapShift]],WorkWeek,Holidays)))</f>
        <v/>
      </c>
      <c r="FJ121" s="91" t="str">
        <f aca="false">IF(NOT(Tasks[[#This Row],[_IsLeaf]]=1),"",IF(Tasks[[#This Row],[_AlapShift]]=0,Tasks[[#This Row],[_LeafFcstFinish]],WORKDAY.INTL(Tasks[[#This Row],[_LeafFcstFinish]],Tasks[[#This Row],[_AlapShift]],WorkWeek,Holidays)))</f>
        <v/>
      </c>
      <c r="FK121" s="91" t="str">
        <f aca="false">IF(Tasks[[#This Row],[Task Name]]="","",IF(Tasks[[#This Row],[_IsSummary]],MIN(INDEX(Tasks[_ShownCalcStart],Tasks[[#This Row],[_Row]]+1):INDEX(Tasks[_ShownCalcStart],Tasks[[#This Row],[_Row]]+Tasks[[#This Row],[_Descendants]])),Tasks[[#This Row],[_ShownCalcStart]]))</f>
        <v/>
      </c>
      <c r="FL121" s="91" t="str">
        <f aca="false">IF(Tasks[[#This Row],[Task Name]]="","",IF(Tasks[[#This Row],[_IsSummary]],MAX(INDEX(Tasks[_ShownCalcFinish],Tasks[[#This Row],[_Row]]+1):INDEX(Tasks[_ShownCalcFinish],Tasks[[#This Row],[_Row]]+Tasks[[#This Row],[_Descendants]])),Tasks[[#This Row],[_ShownCalcFinish]]))</f>
        <v/>
      </c>
      <c r="FM1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1" s="43" t="n">
        <f aca="false">IF(AND(Tasks[[#This Row],[_IsLeaf]]=1,Tasks[[#This Row],[_LeafTotalWork]]&gt;0),NETWORKDAYS.INTL(ProjectStart,Tasks[[#This Row],[_ShownFcstStart]],WorkWeek,Holidays),0)</f>
        <v>0</v>
      </c>
      <c r="FZ121" s="43" t="n">
        <f aca="false">IF(AND(Tasks[[#This Row],[_IsLeaf]]=1,Tasks[[#This Row],[_LeafTotalWork]]&gt;0),MAX(Tasks[[#This Row],[_StartWorkday]],NETWORKDAYS.INTL(ProjectStart,Tasks[[#This Row],[_ShownFcstFinish]],WorkWeek,Holidays)),0)</f>
        <v>0</v>
      </c>
      <c r="GA121" s="43" t="n">
        <f aca="false">IF(AND(Tasks[[#This Row],[_IsLeaf]]=1,Tasks[[#This Row],[_LeafTotalWork]]&gt;0),Tasks[[#This Row],[_LeafWork]]/(Tasks[[#This Row],[_FinishWorkday]]-Tasks[[#This Row],[_StartWorkday]]+1),0)</f>
        <v>0</v>
      </c>
      <c r="GB121" s="43" t="n">
        <f aca="false">Tasks[[#This Row],[_WorkPerWorkday]]*(Tasks[[#This Row],[_StartWorkday]]-1)</f>
        <v>-0</v>
      </c>
      <c r="GC121" s="43" t="n">
        <f aca="false">IF(Tasks[[#This Row],[_IsLeaf]]=1,MAX(N(Tasks[[#This Row],[_Days]]),0.1),0)</f>
        <v>0</v>
      </c>
      <c r="GD121" s="43" t="n">
        <f aca="false">Tasks[[#This Row],[_WeightDur]]*Tasks[[#This Row],[_LeafProgress]]</f>
        <v>0</v>
      </c>
      <c r="GE121" s="43" t="n">
        <f aca="false">Tasks[[#This Row],[_WeightDur]]*Tasks[[#This Row],[_PlannedPct]]</f>
        <v>0</v>
      </c>
      <c r="GF1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1" s="43" t="str">
        <f aca="false">IF(AND(Tasks[[#This Row],[_IsLeaf]]=1,N(Tasks[[#This Row],[_Days]])=0,Tasks[[#This Row],[_LeafProgress]]&lt;1),Tasks[[#This Row],[_ShownFcstFinish]]+Tasks[[#This Row],[_Row]]/100000,"")</f>
        <v/>
      </c>
      <c r="GH1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1" s="43" t="str">
        <f aca="false">IF(Tasks[[#This Row],[Task Name]]="","",LEFT(Tasks[[#This Row],[WBS]],FIND(".",Tasks[[#This Row],[WBS]]&amp;".")-1))</f>
        <v/>
      </c>
      <c r="GJ121" s="43" t="str">
        <f aca="false">IF(AND(Tasks[[#This Row],[Task Name]]&lt;&gt;"",Tasks[[#This Row],[_Level]]=1),Tasks[[#This Row],[_Row]],"")</f>
        <v/>
      </c>
      <c r="GK121" s="43" t="str">
        <f aca="false">IF(AND(Tasks[[#This Row],[_IsLeaf]]=1,N(Tasks[[#This Row],[_Days]])=0),Tasks[[#This Row],[Planned Finish]]+Tasks[[#This Row],[_Row]]/100000,"")</f>
        <v/>
      </c>
      <c r="GL121" s="43" t="str">
        <f aca="false">IF(AND(Tasks[[#This Row],[_IsLeaf]]=1,Tasks[[#This Row],[_LeafProgress]]&lt;1,OR(N(Tasks[[#This Row],[Finish Var]])&gt;0,Tasks[[#This Row],[Status]]="Late Start")),MAX(0,Tasks[[#This Row],[Finish Var]])+1-Tasks[[#This Row],[_Row]]/1000000,"")</f>
        <v/>
      </c>
      <c r="GM121" s="43" t="str">
        <f aca="false">IF(AND(Tasks[[#This Row],[_IsLeaf]]=1,N(Tasks[[#This Row],[Actual Start]])=0,Tasks[[#This Row],[_ShownFcstStart]]&gt;=StatusDate,Tasks[[#This Row],[_ShownFcstStart]]&lt;=LookaheadEnd),Tasks[[#This Row],[_ShownFcstStart]]+Tasks[[#This Row],[_Row]]/100000,"")</f>
        <v/>
      </c>
      <c r="GN121" s="43" t="str">
        <f aca="false">IF(AND(Tasks[[#This Row],[_IsLeaf]]=1,Tasks[[#This Row],[_LeafProgress]]&lt;1,Tasks[[#This Row],[_ShownFcstFinish]]&gt;=StatusDate,Tasks[[#This Row],[_ShownFcstFinish]]&lt;=LookaheadEnd),Tasks[[#This Row],[_ShownFcstFinish]]+Tasks[[#This Row],[_Row]]/100000,"")</f>
        <v/>
      </c>
      <c r="GO121" s="43" t="str">
        <f aca="false">IF(Tasks[[#This Row],[_LeafCritical]],Tasks[[#This Row],[_ShownFcstStart]]+Tasks[[#This Row],[_Row]]/100000,"")</f>
        <v/>
      </c>
      <c r="GP121" s="43" t="n">
        <f aca="false">Tasks[[#This Row],[_LeafWork]]*Tasks[[#This Row],[_LeafProgress]]</f>
        <v>0</v>
      </c>
      <c r="GQ121" s="91" t="str">
        <f aca="false">IF(AND(Tasks[[#This Row],[_IsLeaf]]=1,Tasks[[#This Row],[_LeafProgress]]&gt;=1),IF(N(Tasks[[#This Row],[Actual Finish]])&gt;0,Tasks[[#This Row],[Actual Finish]],Tasks[[#This Row],[_ShownFcstFinish]]),"")</f>
        <v/>
      </c>
      <c r="GR121" s="43" t="n">
        <f aca="false">IF(Tasks[[#This Row],[_IsLeaf]]=1,N(Tasks[[#This Row],[Story Points]]),0)</f>
        <v>0</v>
      </c>
      <c r="GS121" s="43" t="str">
        <f aca="false">""</f>
        <v/>
      </c>
      <c r="GT121" s="90" t="b">
        <f aca="false">IF(Tasks[[#This Row],[Task Name]]="",FALSE(),AND(Tasks[[#This Row],[_IsLeaf]]=1,N(Tasks[[#This Row],[_Days]])=0))</f>
        <v>0</v>
      </c>
      <c r="GU121" s="91" t="n">
        <f aca="false">IF(Tasks[[#This Row],[Task Name]]="",0,IF(AND(Tasks[[#This Row],[_IsLeaf]]=1,NOT(Tasks[[#This Row],[_IsMilestone]]),N(Tasks[[#This Row],[Progress]])&gt;0),Tasks[[#This Row],[Start]],0))</f>
        <v>0</v>
      </c>
      <c r="GV121" s="91" t="n">
        <f aca="false">IF(Tasks[[#This Row],[_DoneFrom]]=0,0,IF(Tasks[[#This Row],[Progress]]&gt;=1,Tasks[[#This Row],[Finish]],MAX(Tasks[[#This Row],[_DoneFrom]],Tasks[[#This Row],[Start]]+ROUND((Tasks[[#This Row],[Finish]]-Tasks[[#This Row],[Start]]+1)*Tasks[[#This Row],[Progress]],0)-1)))</f>
        <v>0</v>
      </c>
      <c r="GW121" s="91" t="n">
        <f aca="false">IF(Tasks[[#This Row],[Task Name]]="",0,IF(OR(NOT(Tasks[[#This Row],[_IsLeaf]]=1),Tasks[[#This Row],[_IsMilestone]],N(Tasks[[#This Row],[Progress]])&gt;=1),0,IF(Tasks[[#This Row],[_DoneTo]]&gt;0,Tasks[[#This Row],[_DoneTo]]+1,Tasks[[#This Row],[Start]])))</f>
        <v>0</v>
      </c>
      <c r="GX121" s="91" t="n">
        <f aca="false">IF(Tasks[[#This Row],[_RemFrom]]=0,0,Tasks[[#This Row],[Finish]])</f>
        <v>0</v>
      </c>
      <c r="GY121" s="90" t="b">
        <f aca="false">IF(Tasks[[#This Row],[Task Name]]="",FALSE(),OR(NOT(BaselineSet),N(Tasks[[#This Row],[Baseline Start]])&gt;0))</f>
        <v>0</v>
      </c>
      <c r="GZ12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1" s="92" t="str">
        <f aca="false">IF(Tasks[[#This Row],[_IsLeaf]]=1,Tasks[[#This Row],[_Row]],"")</f>
        <v/>
      </c>
      <c r="HD121" s="92" t="str">
        <f aca="false">IFERROR(INDEX(Tasks[UID],SMALL(Tasks[_PickKey],Tasks[[#This Row],[_Row]]))&amp;" "&amp;INDEX(Tasks[Task Name],SMALL(Tasks[_PickKey],Tasks[[#This Row],[_Row]])),"")</f>
        <v/>
      </c>
      <c r="HE121" s="43" t="str">
        <f aca="false">IF(Tasks[[#This Row],[Task Name]]="","",IF(Tasks[[#This Row],[_IsSummary]],NETWORKDAYS.INTL(Tasks[[#This Row],[Start]],Tasks[[#This Row],[Finish]],WorkWeek,Holidays),N(Tasks[[#This Row],[_Days]])))</f>
        <v/>
      </c>
      <c r="HF121" s="43" t="n">
        <f aca="false">IF(Tasks[[#This Row],[Expected]]="",0,((Tasks[[#This Row],[Pessimistic]]-Tasks[[#This Row],[Optimistic]])/6)^2)</f>
        <v>0</v>
      </c>
      <c r="HG121" s="43" t="n">
        <f aca="false">IF(Tasks[[#This Row],[Expected]]="",0,Tasks[[#This Row],[Expected]]-N(Tasks[[#This Row],[_Days]]))</f>
        <v>0</v>
      </c>
    </row>
    <row r="122" customFormat="false" ht="15" hidden="false" customHeight="false" outlineLevel="0" collapsed="false">
      <c r="A122" s="21" t="str">
        <f aca="false">IF(Tasks[[#This Row],[Task Name]]="","",COUNTA(Tasks[[#Headers],[Task Name]]:Tasks[[#This Row],[Task Name]])-1)</f>
        <v/>
      </c>
      <c r="B122" s="22" t="n">
        <v>130</v>
      </c>
      <c r="C122" s="22"/>
      <c r="D122" s="23"/>
      <c r="E122" s="22"/>
      <c r="F122" s="23"/>
      <c r="G122" s="22"/>
      <c r="H122" s="22"/>
      <c r="I122" s="23"/>
      <c r="J122" s="22"/>
      <c r="K122" s="22"/>
      <c r="L122" s="23"/>
      <c r="M122" s="22"/>
      <c r="N122" s="22"/>
      <c r="O122" s="23"/>
      <c r="P122" s="22"/>
      <c r="Q122" s="22"/>
      <c r="R122" s="23"/>
      <c r="S122" s="23"/>
      <c r="T122" s="84"/>
      <c r="U122" s="23"/>
      <c r="V122" s="84"/>
      <c r="W122" s="23"/>
      <c r="X122" s="84"/>
      <c r="Y122" s="23"/>
      <c r="Z122" s="84"/>
      <c r="AA122" s="23"/>
      <c r="AB122" s="23"/>
      <c r="AC122" s="7"/>
      <c r="AD122" s="7"/>
      <c r="AE122" s="63" t="str">
        <f aca="false">IF(Tasks[[#This Row],[Task Name]]="","",IF(Tasks[[#This Row],[_IsSummary]],MIN(INDEX(Tasks[_ShownFcstStart],Tasks[[#This Row],[_Row]]+1):INDEX(Tasks[_ShownFcstStart],Tasks[[#This Row],[_Row]]+Tasks[[#This Row],[_Descendants]])),Tasks[[#This Row],[_ShownFcstStart]]))</f>
        <v/>
      </c>
      <c r="AF122" s="63" t="str">
        <f aca="false">IF(Tasks[[#This Row],[Task Name]]="","",IF(Tasks[[#This Row],[_IsSummary]],MAX(INDEX(Tasks[_ShownFcstFinish],Tasks[[#This Row],[_Row]]+1):INDEX(Tasks[_ShownFcstFinish],Tasks[[#This Row],[_Row]]+Tasks[[#This Row],[_Descendants]])),Tasks[[#This Row],[_ShownFcstFinish]]))</f>
        <v/>
      </c>
      <c r="AG122" s="21" t="str">
        <f aca="false">""</f>
        <v/>
      </c>
      <c r="AH122" s="23"/>
      <c r="AI1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2" s="7"/>
      <c r="AK122" s="22"/>
      <c r="AL122" s="23"/>
      <c r="AM122" s="7"/>
      <c r="AN122" s="47" t="str">
        <f aca="false">IF(Tasks[[#This Row],[Task Name]]="","",IF(Tasks[[#This Row],[Finish]]&gt;=Tasks[[#This Row],[Planned Finish]],NETWORKDAYS.INTL(Tasks[[#This Row],[Planned Finish]],Tasks[[#This Row],[Finish]],WorkWeek,Holidays)-1,1-NETWORKDAYS.INTL(Tasks[[#This Row],[Finish]],Tasks[[#This Row],[Planned Finish]],WorkWeek,Holidays)))</f>
        <v/>
      </c>
      <c r="AO122" s="21" t="str">
        <f aca="false">IF(Tasks[[#This Row],[Task Name]]="","",IF(Tasks[[#This Row],[Progress]]&gt;=1,"Complete",IF(OR(N(Tasks[[#This Row],[Actual Start]])&gt;0,Tasks[[#This Row],[Progress]]&gt;0),IF(Tasks[[#This Row],[Finish Var]]&gt;0,"Behind","In Progress"),IF(Tasks[[#This Row],[Planned Start]]&lt;StatusDate,"Late Start","Not Started"))))</f>
        <v/>
      </c>
      <c r="AP122" s="21" t="str">
        <f aca="false">IF(Tasks[[#This Row],[Task Name]]="","",IF(IF(Tasks[[#This Row],[_IsSummary]],COUNTIF(INDEX(Tasks[_LeafCritical],Tasks[[#This Row],[_Row]]+1):INDEX(Tasks[_LeafCritical],Tasks[[#This Row],[_Row]]+Tasks[[#This Row],[_Descendants]]),TRUE())&gt;0,Tasks[[#This Row],[_LeafCritical]]),"Yes",""))</f>
        <v/>
      </c>
      <c r="AQ122" s="63" t="str">
        <f aca="false">IF(Tasks[[#This Row],[Task Name]]="","",IF(N(Tasks[[#This Row],[Baseline Start]])&gt;0,Tasks[[#This Row],[Baseline Start]],Tasks[[#This Row],[_CalcStart]]))</f>
        <v/>
      </c>
      <c r="AR122" s="63" t="str">
        <f aca="false">IF(Tasks[[#This Row],[Task Name]]="","",IF(N(Tasks[[#This Row],[Baseline Finish]])&gt;0,Tasks[[#This Row],[Baseline Finish]],Tasks[[#This Row],[_CalcFinish]]))</f>
        <v/>
      </c>
      <c r="AS122" s="47" t="str">
        <f aca="false">IF(Tasks[[#This Row],[Task Name]]="","",IF(Tasks[[#This Row],[Start]]&gt;=Tasks[[#This Row],[Planned Start]],NETWORKDAYS.INTL(Tasks[[#This Row],[Planned Start]],Tasks[[#This Row],[Start]],WorkWeek,Holidays)-1,1-NETWORKDAYS.INTL(Tasks[[#This Row],[Start]],Tasks[[#This Row],[Planned Start]],WorkWeek,Holidays)))</f>
        <v/>
      </c>
      <c r="AT122" s="63" t="str">
        <f aca="false">IF(Tasks[[#This Row],[Task Name]]="","",IF(Tasks[[#This Row],[_IsSummary]],MIN(INDEX(Tasks[_LeafLateStart],Tasks[[#This Row],[_Row]]+1):INDEX(Tasks[_LeafLateStart],Tasks[[#This Row],[_Row]]+Tasks[[#This Row],[_Descendants]])),Tasks[[#This Row],[_LeafLateStart]]))</f>
        <v/>
      </c>
      <c r="AU122" s="63" t="str">
        <f aca="false">IF(Tasks[[#This Row],[Task Name]]="","",IF(Tasks[[#This Row],[_IsSummary]],MAX(INDEX(Tasks[_LeafLateFinish],Tasks[[#This Row],[_Row]]+1):INDEX(Tasks[_LeafLateFinish],Tasks[[#This Row],[_Row]]+Tasks[[#This Row],[_Descendants]])),Tasks[[#This Row],[_LeafLateFinish]]))</f>
        <v/>
      </c>
      <c r="AV122" s="47" t="str">
        <f aca="false">IF(Tasks[[#This Row],[Task Name]]="","",IF(Tasks[[#This Row],[_IsSummary]],MIN(INDEX(Tasks[_LeafTotalSlack],Tasks[[#This Row],[_Row]]+1):INDEX(Tasks[_LeafTotalSlack],Tasks[[#This Row],[_Row]]+Tasks[[#This Row],[_Descendants]])),Tasks[[#This Row],[_LeafTotalSlack]]))</f>
        <v/>
      </c>
      <c r="AW1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5"/>
      <c r="BA12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t="str">
        <f aca="false">IF(Tasks[[#This Row],[Task Name]]="","",IF(Tasks[[#This Row],[_Level]]&lt;=OutlineShowLevel,"Yes","No"))</f>
        <v/>
      </c>
      <c r="BE122" s="86" t="str">
        <f aca="false">IF(Tasks[[#This Row],[Task Name]]="","",IF(Tasks[[#This Row],[_IsSummary]],SUM(INDEX(Tasks[_LeafTotalWork],Tasks[[#This Row],[_Row]]+1):INDEX(Tasks[_LeafTotalWork],Tasks[[#This Row],[_Row]]+Tasks[[#This Row],[_Descendants]])),Tasks[[#This Row],[_LeafTotalWork]]))</f>
        <v/>
      </c>
      <c r="BF122" s="23"/>
      <c r="BG1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t="str">
        <f aca="false">""</f>
        <v/>
      </c>
      <c r="BI122" s="87"/>
      <c r="BJ122" s="22"/>
      <c r="BK122" s="47" t="str">
        <f aca="false">IF(OR(Tasks[[#This Row],[Task Name]]="",Tasks[[#This Row],[Baseline Duration]]=""),"",Tasks[[#This Row],[_SpanDays]]-N(Tasks[[#This Row],[Baseline Duration]]))</f>
        <v/>
      </c>
      <c r="BL122" s="86" t="str">
        <f aca="false">IF(OR(Tasks[[#This Row],[Task Name]]="",Tasks[[#This Row],[Baseline Work]]=""),"",Tasks[[#This Row],[Work]]-N(Tasks[[#This Row],[Baseline Work]]))</f>
        <v/>
      </c>
      <c r="BM122" s="63" t="str">
        <f aca="false">IF(Tasks[[#This Row],[Task Name]]="","",IF(OR(TakeBaseline="Yes",N(Tasks[[#This Row],[Baseline Start]])=0),Tasks[[#This Row],[Start]],Tasks[[#This Row],[Baseline Start]]))</f>
        <v/>
      </c>
      <c r="BN122" s="63" t="str">
        <f aca="false">IF(Tasks[[#This Row],[Task Name]]="","",IF(OR(TakeBaseline="Yes",N(Tasks[[#This Row],[Baseline Finish]])=0),Tasks[[#This Row],[Finish]],Tasks[[#This Row],[Baseline Finish]]))</f>
        <v/>
      </c>
      <c r="BO122" s="21" t="str">
        <f aca="false">IF(Tasks[[#This Row],[Task Name]]="","",IF(OR(TakeBaseline="Yes",N(Tasks[[#This Row],[Baseline Duration]])=0),Tasks[[#This Row],[_SpanDays]],Tasks[[#This Row],[Baseline Duration]]))</f>
        <v/>
      </c>
      <c r="BP122" s="86" t="str">
        <f aca="false">IF(Tasks[[#This Row],[Task Name]]="","",IF(OR(TakeBaseline="Yes",N(Tasks[[#This Row],[Baseline Work]])=0),Tasks[[#This Row],[Work]],Tasks[[#This Row],[Baseline Work]]))</f>
        <v/>
      </c>
      <c r="BQ122" s="7"/>
      <c r="BR122" s="7"/>
      <c r="BS122" s="22"/>
      <c r="BT122" s="88"/>
      <c r="BU122" s="23"/>
      <c r="BV122" s="23"/>
      <c r="BW122" s="23"/>
      <c r="BX122" s="89" t="str">
        <f aca="false">IF(AND(Tasks[[#This Row],[_IsLeaf]]=1,ISNUMBER(Tasks[[#This Row],[Optimistic]]),ISNUMBER(Tasks[[#This Row],[Pessimistic]])),ROUND((Tasks[[#This Row],[Optimistic]]+4*N(Tasks[[#This Row],[_Days]])+Tasks[[#This Row],[Pessimistic]])/6,1),"")</f>
        <v/>
      </c>
      <c r="BY122" s="87"/>
      <c r="BZ122" s="87"/>
      <c r="CA122" s="22"/>
      <c r="CB122" s="43" t="str">
        <f aca="false">IF(Tasks[[#This Row],[Task Name]]="","",MAX(1,N(Tasks[[#This Row],[Level]])))</f>
        <v/>
      </c>
      <c r="CC122" s="43" t="n">
        <f aca="false">ROW()-ROW(Tasks[[#Headers],[ID]])</f>
        <v>117</v>
      </c>
      <c r="CD122" s="43" t="n">
        <f aca="false">IF(OR(Tasks[[#This Row],[Task Name]]="",Tasks[[#This Row],[_Level]]&lt;=1),0,IFERROR(LOOKUP(2,1/(Tasks[[#Headers],[_Level]]:Tasks[[#This Row],[_Level]]=Tasks[[#This Row],[_Level]]-1),ROW(Tasks[[#Headers],[_Level]]:Tasks[[#This Row],[_Level]])),0))</f>
        <v>0</v>
      </c>
      <c r="CE122" s="43" t="n">
        <f aca="false">IFERROR(N(INDEX(Tasks[_Level],Tasks[[#This Row],[_Row]]+1)),0)</f>
        <v>0</v>
      </c>
      <c r="CF122" s="90" t="b">
        <f aca="false">AND(Tasks[[#This Row],[Task Name]]&lt;&gt;"",Tasks[[#This Row],[_NextLevel]]&gt;Tasks[[#This Row],[_Level]])</f>
        <v>0</v>
      </c>
      <c r="CG122" s="43" t="n">
        <f aca="false">IF(Tasks[[#This Row],[_IsSummary]],COUNTIF(Tasks[WBS],Tasks[[#This Row],[WBS]]&amp;".*"),0)</f>
        <v>0</v>
      </c>
      <c r="CH122" s="43" t="n">
        <f aca="false">IF(AND(Tasks[[#This Row],[Task Name]]&lt;&gt;"",NOT(Tasks[[#This Row],[_IsSummary]])),1,0)</f>
        <v>0</v>
      </c>
      <c r="CI122" s="43" t="n">
        <f aca="false">IF(N(Tasks[[#This Row],[_Pred1UID]])=0,0,IFERROR(MATCH(Tasks[[#This Row],[_Pred1UID]],Tasks[UID],0),-1))</f>
        <v>0</v>
      </c>
      <c r="CJ122" s="43" t="n">
        <f aca="false">IF(N(Tasks[[#This Row],[_Pred2UID]])=0,0,IFERROR(MATCH(Tasks[[#This Row],[_Pred2UID]],Tasks[UID],0),-1))</f>
        <v>0</v>
      </c>
      <c r="CK122" s="43" t="n">
        <f aca="false">IF(N(Tasks[[#This Row],[_Pred3UID]])=0,0,IFERROR(MATCH(Tasks[[#This Row],[_Pred3UID]],Tasks[UID],0),-1))</f>
        <v>0</v>
      </c>
      <c r="CL122" s="43" t="n">
        <f aca="false">IF(N(Tasks[[#This Row],[_Pred4UID]])=0,0,IFERROR(MATCH(Tasks[[#This Row],[_Pred4UID]],Tasks[UID],0),-1))</f>
        <v>0</v>
      </c>
      <c r="CM12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2" s="91" t="n">
        <f aca="false">IF(OR(Tasks[[#This Row],[_ConstraintCode]]=2,Tasks[[#This Row],[_ConstraintCode]]=3,Tasks[[#This Row],[_ConstraintCode]]=4,Tasks[[#This Row],[_ConstraintCode]]=6),Tasks[[#This Row],[_ConstraintStart]],0)</f>
        <v>0</v>
      </c>
      <c r="CP122" s="91" t="n">
        <f aca="false">IF(OR(Tasks[[#This Row],[_ConstraintCode]]=2,Tasks[[#This Row],[_ConstraintCode]]=3,Tasks[[#This Row],[_ConstraintCode]]=5,Tasks[[#This Row],[_ConstraintCode]]=7),Tasks[[#This Row],[_ConstraintStart]],2958465)</f>
        <v>2958465</v>
      </c>
      <c r="CQ12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2" s="91" t="str">
        <f aca="false">IF(NOT(Tasks[[#This Row],[_IsLeaf]]=1),"",IF(N(Tasks[[#This Row],[_Days]])&lt;=0,Tasks[[#This Row],[_LeafCalcStart]],WORKDAY.INTL(Tasks[[#This Row],[_LeafCalcStart]],Tasks[[#This Row],[_Days]]-1,WorkWeek,Holidays)))</f>
        <v/>
      </c>
      <c r="CS12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2" s="43" t="str">
        <f aca="false">IF(Tasks[[#This Row],[_Predecessors]]="","",TRIM(MID(SUBSTITUTE(SUBSTITUTE(SUBSTITUTE(UPPER(Tasks[[#This Row],[_Predecessors]]),";",",")," ",""),",",REPT(" ",99)),1,99)))</f>
        <v/>
      </c>
      <c r="CV122" s="43" t="str">
        <f aca="false">IF(Tasks[[#This Row],[_Pred1Text]]="","",IFERROR(VALUE(LEFT(Tasks[[#This Row],[_Pred1Text]],MIN(FIND("F",Tasks[[#This Row],[_Pred1Text]]&amp;"F"),FIND("S",Tasks[[#This Row],[_Pred1Text]]&amp;"S"),FIND("+",Tasks[[#This Row],[_Pred1Text]]&amp;"+"),FIND("-",Tasks[[#This Row],[_Pred1Text]]&amp;"-"))-1)),""))</f>
        <v/>
      </c>
      <c r="CW1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2" s="43" t="str">
        <f aca="false">IF(Tasks[[#This Row],[_Pred1Text]]="","",TRIM(MID(SUBSTITUTE(SUBSTITUTE(SUBSTITUTE(UPPER(Tasks[[#This Row],[_Predecessors]]),";",",")," ",""),",",REPT(" ",99)),100,99)))</f>
        <v/>
      </c>
      <c r="CZ122" s="43" t="str">
        <f aca="false">IF(Tasks[[#This Row],[_Pred2Text]]="","",IFERROR(VALUE(LEFT(Tasks[[#This Row],[_Pred2Text]],MIN(FIND("F",Tasks[[#This Row],[_Pred2Text]]&amp;"F"),FIND("S",Tasks[[#This Row],[_Pred2Text]]&amp;"S"),FIND("+",Tasks[[#This Row],[_Pred2Text]]&amp;"+"),FIND("-",Tasks[[#This Row],[_Pred2Text]]&amp;"-"))-1)),""))</f>
        <v/>
      </c>
      <c r="DA1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2" s="43" t="str">
        <f aca="false">IF(Tasks[[#This Row],[_Pred2Text]]="","",TRIM(MID(SUBSTITUTE(SUBSTITUTE(SUBSTITUTE(UPPER(Tasks[[#This Row],[_Predecessors]]),";",",")," ",""),",",REPT(" ",99)),199,99)))</f>
        <v/>
      </c>
      <c r="DD122" s="43" t="str">
        <f aca="false">IF(Tasks[[#This Row],[_Pred3Text]]="","",IFERROR(VALUE(LEFT(Tasks[[#This Row],[_Pred3Text]],MIN(FIND("F",Tasks[[#This Row],[_Pred3Text]]&amp;"F"),FIND("S",Tasks[[#This Row],[_Pred3Text]]&amp;"S"),FIND("+",Tasks[[#This Row],[_Pred3Text]]&amp;"+"),FIND("-",Tasks[[#This Row],[_Pred3Text]]&amp;"-"))-1)),""))</f>
        <v/>
      </c>
      <c r="DE1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2" s="43" t="str">
        <f aca="false">IF(Tasks[[#This Row],[_Pred3Text]]="","",TRIM(MID(SUBSTITUTE(SUBSTITUTE(SUBSTITUTE(UPPER(Tasks[[#This Row],[_Predecessors]]),";",",")," ",""),",",REPT(" ",99)),298,99)))</f>
        <v/>
      </c>
      <c r="DH122" s="43" t="str">
        <f aca="false">IF(Tasks[[#This Row],[_Pred4Text]]="","",IFERROR(VALUE(LEFT(Tasks[[#This Row],[_Pred4Text]],MIN(FIND("F",Tasks[[#This Row],[_Pred4Text]]&amp;"F"),FIND("S",Tasks[[#This Row],[_Pred4Text]]&amp;"S"),FIND("+",Tasks[[#This Row],[_Pred4Text]]&amp;"+"),FIND("-",Tasks[[#This Row],[_Pred4Text]]&amp;"-"))-1)),""))</f>
        <v/>
      </c>
      <c r="DI1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2" s="43" t="str">
        <f aca="false">IF(OR(Tasks[[#This Row],[Task Name]]="",Tasks[[#This Row],[_Resources]]=""),"",TRIM(MID(SUBSTITUTE(Tasks[[#This Row],[_Resources]],",",REPT(" ",99)),1,99)))</f>
        <v/>
      </c>
      <c r="DL122" s="43" t="str">
        <f aca="false">IF(Tasks[[#This Row],[_Res1Text]]="","",TRIM(MID(SUBSTITUTE(Tasks[[#This Row],[_Resources]],",",REPT(" ",99)),100,99)))</f>
        <v/>
      </c>
      <c r="DM122" s="43" t="str">
        <f aca="false">IF(Tasks[[#This Row],[_Res2Text]]="","",TRIM(MID(SUBSTITUTE(Tasks[[#This Row],[_Resources]],",",REPT(" ",99)),199,99)))</f>
        <v/>
      </c>
      <c r="DN122" s="43" t="str">
        <f aca="false">IF(Tasks[[#This Row],[_Res3Text]]="","",TRIM(MID(SUBSTITUTE(Tasks[[#This Row],[_Resources]],",",REPT(" ",99)),298,99)))</f>
        <v/>
      </c>
      <c r="DO122" s="43" t="n">
        <f aca="false">IF(Tasks[[#This Row],[_Res1Text]]="",0,IFERROR(MATCH(TRIM(LEFT(Tasks[[#This Row],[_Res1Text]],FIND("[",Tasks[[#This Row],[_Res1Text]]&amp;"[")-1)),res_Name,0),IFERROR(MATCH(TRIM(LEFT(Tasks[[#This Row],[_Res1Text]],FIND("[",Tasks[[#This Row],[_Res1Text]]&amp;"[")-1)),res_Initials,0),0)))</f>
        <v>0</v>
      </c>
      <c r="DP122" s="43" t="n">
        <f aca="false">IF(Tasks[[#This Row],[_Res2Text]]="",0,IFERROR(MATCH(TRIM(LEFT(Tasks[[#This Row],[_Res2Text]],FIND("[",Tasks[[#This Row],[_Res2Text]]&amp;"[")-1)),res_Name,0),IFERROR(MATCH(TRIM(LEFT(Tasks[[#This Row],[_Res2Text]],FIND("[",Tasks[[#This Row],[_Res2Text]]&amp;"[")-1)),res_Initials,0),0)))</f>
        <v>0</v>
      </c>
      <c r="DQ122" s="43" t="n">
        <f aca="false">IF(Tasks[[#This Row],[_Res3Text]]="",0,IFERROR(MATCH(TRIM(LEFT(Tasks[[#This Row],[_Res3Text]],FIND("[",Tasks[[#This Row],[_Res3Text]]&amp;"[")-1)),res_Name,0),IFERROR(MATCH(TRIM(LEFT(Tasks[[#This Row],[_Res3Text]],FIND("[",Tasks[[#This Row],[_Res3Text]]&amp;"[")-1)),res_Initials,0),0)))</f>
        <v>0</v>
      </c>
      <c r="DR122" s="43" t="n">
        <f aca="false">IF(Tasks[[#This Row],[_Res4Text]]="",0,IFERROR(MATCH(TRIM(LEFT(Tasks[[#This Row],[_Res4Text]],FIND("[",Tasks[[#This Row],[_Res4Text]]&amp;"[")-1)),res_Name,0),IFERROR(MATCH(TRIM(LEFT(Tasks[[#This Row],[_Res4Text]],FIND("[",Tasks[[#This Row],[_Res4Text]]&amp;"[")-1)),res_Initials,0),0)))</f>
        <v>0</v>
      </c>
      <c r="DS122" s="43" t="str">
        <f aca="false">IF(Tasks[[#This Row],[_Res1Text]]="","",IF(Tasks[[#This Row],[_Res1Row]]&gt;0,INDEX(res_Name,Tasks[[#This Row],[_Res1Row]]),TRIM(LEFT(Tasks[[#This Row],[_Res1Text]],FIND("[",Tasks[[#This Row],[_Res1Text]]&amp;"[")-1))))</f>
        <v/>
      </c>
      <c r="DT1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2" s="43" t="n">
        <f aca="false">IF(NOT(Tasks[[#This Row],[_IsLeaf]]=1),0,(Tasks[[#This Row],[_Resource1]]&lt;&gt;"")+(Tasks[[#This Row],[_Res2]]&lt;&gt;"")+(Tasks[[#This Row],[_Res3]]&lt;&gt;"")+(Tasks[[#This Row],[_Res4]]&lt;&gt;""))</f>
        <v>0</v>
      </c>
      <c r="DV122" s="43" t="str">
        <f aca="false">IF(Tasks[[#This Row],[_Res2Text]]="","",IF(Tasks[[#This Row],[_Res2Row]]&gt;0,INDEX(res_Name,Tasks[[#This Row],[_Res2Row]]),TRIM(LEFT(Tasks[[#This Row],[_Res2Text]],FIND("[",Tasks[[#This Row],[_Res2Text]]&amp;"[")-1))))</f>
        <v/>
      </c>
      <c r="DW12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2" s="43" t="n">
        <f aca="false">IF(OR(NOT(Tasks[[#This Row],[_IsLeaf]]=1),Tasks[[#This Row],[_Res2Row]]=0),0,N(Tasks[[#This Row],[_Days]])*HoursPerDay*IF(Tasks[[#This Row],[_Res2Units]]="",DefaultUnits,Tasks[[#This Row],[_Res2Units]]))</f>
        <v>0</v>
      </c>
      <c r="DY122" s="43" t="n">
        <f aca="false">IF(AND(AND(Tasks[[#This Row],[_IsLeaf]]=1,Tasks[[#This Row],[_LeafTotalWork]]&gt;0),Tasks[[#This Row],[_Res2Work]]&gt;0),Tasks[[#This Row],[_Res2Work]]/(Tasks[[#This Row],[_FinishWorkday]]-Tasks[[#This Row],[_StartWorkday]]+1),0)</f>
        <v>0</v>
      </c>
      <c r="DZ122" s="43" t="n">
        <f aca="false">Tasks[[#This Row],[_Res2WorkPerWD]]*MAX(0,Tasks[[#This Row],[_StartWorkday]]-1)</f>
        <v>0</v>
      </c>
      <c r="EA122" s="43" t="n">
        <f aca="false">Tasks[[#This Row],[_Res2Work]]*Tasks[[#This Row],[_LeafProgress]]</f>
        <v>0</v>
      </c>
      <c r="EB122" s="43" t="str">
        <f aca="false">IF(Tasks[[#This Row],[_Res3Text]]="","",IF(Tasks[[#This Row],[_Res3Row]]&gt;0,INDEX(res_Name,Tasks[[#This Row],[_Res3Row]]),TRIM(LEFT(Tasks[[#This Row],[_Res3Text]],FIND("[",Tasks[[#This Row],[_Res3Text]]&amp;"[")-1))))</f>
        <v/>
      </c>
      <c r="EC1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2" s="43" t="n">
        <f aca="false">IF(OR(NOT(Tasks[[#This Row],[_IsLeaf]]=1),Tasks[[#This Row],[_Res3Row]]=0),0,N(Tasks[[#This Row],[_Days]])*HoursPerDay*IF(Tasks[[#This Row],[_Res3Units]]="",DefaultUnits,Tasks[[#This Row],[_Res3Units]]))</f>
        <v>0</v>
      </c>
      <c r="EE122" s="43" t="n">
        <f aca="false">IF(AND(AND(Tasks[[#This Row],[_IsLeaf]]=1,Tasks[[#This Row],[_LeafTotalWork]]&gt;0),Tasks[[#This Row],[_Res3Work]]&gt;0),Tasks[[#This Row],[_Res3Work]]/(Tasks[[#This Row],[_FinishWorkday]]-Tasks[[#This Row],[_StartWorkday]]+1),0)</f>
        <v>0</v>
      </c>
      <c r="EF122" s="43" t="n">
        <f aca="false">Tasks[[#This Row],[_Res3WorkPerWD]]*MAX(0,Tasks[[#This Row],[_StartWorkday]]-1)</f>
        <v>0</v>
      </c>
      <c r="EG122" s="43" t="n">
        <f aca="false">Tasks[[#This Row],[_Res3Work]]*Tasks[[#This Row],[_LeafProgress]]</f>
        <v>0</v>
      </c>
      <c r="EH122" s="43" t="str">
        <f aca="false">IF(Tasks[[#This Row],[_Res4Text]]="","",IF(Tasks[[#This Row],[_Res4Row]]&gt;0,INDEX(res_Name,Tasks[[#This Row],[_Res4Row]]),TRIM(LEFT(Tasks[[#This Row],[_Res4Text]],FIND("[",Tasks[[#This Row],[_Res4Text]]&amp;"[")-1))))</f>
        <v/>
      </c>
      <c r="EI1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2" s="43" t="n">
        <f aca="false">IF(OR(NOT(Tasks[[#This Row],[_IsLeaf]]=1),Tasks[[#This Row],[_Res4Row]]=0),0,N(Tasks[[#This Row],[_Days]])*HoursPerDay*IF(Tasks[[#This Row],[_Res4Units]]="",DefaultUnits,Tasks[[#This Row],[_Res4Units]]))</f>
        <v>0</v>
      </c>
      <c r="EK122" s="43" t="n">
        <f aca="false">IF(AND(AND(Tasks[[#This Row],[_IsLeaf]]=1,Tasks[[#This Row],[_LeafTotalWork]]&gt;0),Tasks[[#This Row],[_Res4Work]]&gt;0),Tasks[[#This Row],[_Res4Work]]/(Tasks[[#This Row],[_FinishWorkday]]-Tasks[[#This Row],[_StartWorkday]]+1),0)</f>
        <v>0</v>
      </c>
      <c r="EL122" s="43" t="n">
        <f aca="false">Tasks[[#This Row],[_Res4WorkPerWD]]*MAX(0,Tasks[[#This Row],[_StartWorkday]]-1)</f>
        <v>0</v>
      </c>
      <c r="EM122" s="43" t="n">
        <f aca="false">Tasks[[#This Row],[_Res4Work]]*Tasks[[#This Row],[_LeafProgress]]</f>
        <v>0</v>
      </c>
      <c r="EN122" s="43" t="n">
        <f aca="false">IF(ISNUMBER(Tasks[[#This Row],[% Complete]]),Tasks[[#This Row],[% Complete]],IF(Tasks[[#This Row],[Stage]]="",0,IFERROR(INDEX(stg_Pct,MATCH(Tasks[[#This Row],[Stage]],stg_Name,0)),0)))</f>
        <v>0</v>
      </c>
      <c r="EO122" s="43" t="n">
        <f aca="false">IF(NOT(Tasks[[#This Row],[_IsLeaf]]=1),0,IF(N(Tasks[[#This Row],[Actual Finish]])&gt;0,1,MIN(1,Tasks[[#This Row],[_Pct]])))</f>
        <v>0</v>
      </c>
      <c r="EP122" s="43" t="n">
        <f aca="false">IF(OR(NOT(Tasks[[#This Row],[_IsLeaf]]=1),Tasks[[#This Row],[_Res1Row]]=0),0,N(Tasks[[#This Row],[_Days]])*HoursPerDay*IF(Tasks[[#This Row],[_Units1]]="",DefaultUnits,Tasks[[#This Row],[_Units1]]))</f>
        <v>0</v>
      </c>
      <c r="EQ122" s="43" t="n">
        <f aca="false">Tasks[[#This Row],[_LeafWork]]+Tasks[[#This Row],[_Res2Work]]+Tasks[[#This Row],[_Res3Work]]+Tasks[[#This Row],[_Res4Work]]</f>
        <v>0</v>
      </c>
      <c r="ER12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2" s="43" t="n">
        <f aca="false">IF(NOT(Tasks[[#This Row],[_IsLeaf]]=1),0,MAX(_xlfn.MAXIFS(Tasks[_Row],Tasks[_Pred1UID],Tasks[[#This Row],[UID]]),_xlfn.MAXIFS(Tasks[_Row],Tasks[_Pred2UID],Tasks[[#This Row],[UID]]),_xlfn.MAXIFS(Tasks[_Row],Tasks[_Pred3UID],Tasks[[#This Row],[UID]]),_xlfn.MAXIFS(Tasks[_Row],Tasks[_Pred4UID],Tasks[[#This Row],[UID]])))</f>
        <v>0</v>
      </c>
      <c r="FA12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2" s="91" t="str">
        <f aca="false">IF(NOT(Tasks[[#This Row],[_IsLeaf]]=1),"",IF(N(Tasks[[#This Row],[_Days]])&lt;=0,Tasks[[#This Row],[_LeafLateFinish]],WORKDAY.INTL(Tasks[[#This Row],[_LeafLateFinish]],-(Tasks[[#This Row],[_Days]]-1),WorkWeek,Holidays)))</f>
        <v/>
      </c>
      <c r="FD12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2" s="90" t="b">
        <f aca="false">AND(Tasks[[#This Row],[_IsLeaf]]=1,Tasks[[#This Row],[_LeafProgress]]&lt;1,N(Tasks[[#This Row],[_LeafTotalSlack]])&lt;=CriticalSlackDays)</f>
        <v>0</v>
      </c>
      <c r="FF122" s="43" t="n">
        <f aca="false">IF(AND(Tasks[[#This Row],[_IsLeaf]]=1,Tasks[[#This Row],[_ConstraintCode]]=1,Tasks[[#This Row],[Mode]]&lt;&gt;"Manual",N(Tasks[[#This Row],[Actual Start]])=0),MAX(0,N(Tasks[[#This Row],[Free Slack]])),0)</f>
        <v>0</v>
      </c>
      <c r="FG122" s="91" t="str">
        <f aca="false">IF(NOT(Tasks[[#This Row],[_IsLeaf]]=1),"",IF(Tasks[[#This Row],[_AlapShift]]=0,Tasks[[#This Row],[_LeafCalcStart]],WORKDAY.INTL(Tasks[[#This Row],[_LeafCalcStart]],Tasks[[#This Row],[_AlapShift]],WorkWeek,Holidays)))</f>
        <v/>
      </c>
      <c r="FH122" s="91" t="str">
        <f aca="false">IF(NOT(Tasks[[#This Row],[_IsLeaf]]=1),"",IF(Tasks[[#This Row],[_AlapShift]]=0,Tasks[[#This Row],[_LeafCalcFinish]],WORKDAY.INTL(Tasks[[#This Row],[_LeafCalcFinish]],Tasks[[#This Row],[_AlapShift]],WorkWeek,Holidays)))</f>
        <v/>
      </c>
      <c r="FI122" s="91" t="str">
        <f aca="false">IF(NOT(Tasks[[#This Row],[_IsLeaf]]=1),"",IF(Tasks[[#This Row],[_AlapShift]]=0,Tasks[[#This Row],[_LeafFcstStart]],WORKDAY.INTL(Tasks[[#This Row],[_LeafFcstStart]],Tasks[[#This Row],[_AlapShift]],WorkWeek,Holidays)))</f>
        <v/>
      </c>
      <c r="FJ122" s="91" t="str">
        <f aca="false">IF(NOT(Tasks[[#This Row],[_IsLeaf]]=1),"",IF(Tasks[[#This Row],[_AlapShift]]=0,Tasks[[#This Row],[_LeafFcstFinish]],WORKDAY.INTL(Tasks[[#This Row],[_LeafFcstFinish]],Tasks[[#This Row],[_AlapShift]],WorkWeek,Holidays)))</f>
        <v/>
      </c>
      <c r="FK122" s="91" t="str">
        <f aca="false">IF(Tasks[[#This Row],[Task Name]]="","",IF(Tasks[[#This Row],[_IsSummary]],MIN(INDEX(Tasks[_ShownCalcStart],Tasks[[#This Row],[_Row]]+1):INDEX(Tasks[_ShownCalcStart],Tasks[[#This Row],[_Row]]+Tasks[[#This Row],[_Descendants]])),Tasks[[#This Row],[_ShownCalcStart]]))</f>
        <v/>
      </c>
      <c r="FL122" s="91" t="str">
        <f aca="false">IF(Tasks[[#This Row],[Task Name]]="","",IF(Tasks[[#This Row],[_IsSummary]],MAX(INDEX(Tasks[_ShownCalcFinish],Tasks[[#This Row],[_Row]]+1):INDEX(Tasks[_ShownCalcFinish],Tasks[[#This Row],[_Row]]+Tasks[[#This Row],[_Descendants]])),Tasks[[#This Row],[_ShownCalcFinish]]))</f>
        <v/>
      </c>
      <c r="FM1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2" s="43" t="n">
        <f aca="false">IF(AND(Tasks[[#This Row],[_IsLeaf]]=1,Tasks[[#This Row],[_LeafTotalWork]]&gt;0),NETWORKDAYS.INTL(ProjectStart,Tasks[[#This Row],[_ShownFcstStart]],WorkWeek,Holidays),0)</f>
        <v>0</v>
      </c>
      <c r="FZ122" s="43" t="n">
        <f aca="false">IF(AND(Tasks[[#This Row],[_IsLeaf]]=1,Tasks[[#This Row],[_LeafTotalWork]]&gt;0),MAX(Tasks[[#This Row],[_StartWorkday]],NETWORKDAYS.INTL(ProjectStart,Tasks[[#This Row],[_ShownFcstFinish]],WorkWeek,Holidays)),0)</f>
        <v>0</v>
      </c>
      <c r="GA122" s="43" t="n">
        <f aca="false">IF(AND(Tasks[[#This Row],[_IsLeaf]]=1,Tasks[[#This Row],[_LeafTotalWork]]&gt;0),Tasks[[#This Row],[_LeafWork]]/(Tasks[[#This Row],[_FinishWorkday]]-Tasks[[#This Row],[_StartWorkday]]+1),0)</f>
        <v>0</v>
      </c>
      <c r="GB122" s="43" t="n">
        <f aca="false">Tasks[[#This Row],[_WorkPerWorkday]]*(Tasks[[#This Row],[_StartWorkday]]-1)</f>
        <v>-0</v>
      </c>
      <c r="GC122" s="43" t="n">
        <f aca="false">IF(Tasks[[#This Row],[_IsLeaf]]=1,MAX(N(Tasks[[#This Row],[_Days]]),0.1),0)</f>
        <v>0</v>
      </c>
      <c r="GD122" s="43" t="n">
        <f aca="false">Tasks[[#This Row],[_WeightDur]]*Tasks[[#This Row],[_LeafProgress]]</f>
        <v>0</v>
      </c>
      <c r="GE122" s="43" t="n">
        <f aca="false">Tasks[[#This Row],[_WeightDur]]*Tasks[[#This Row],[_PlannedPct]]</f>
        <v>0</v>
      </c>
      <c r="GF1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2" s="43" t="str">
        <f aca="false">IF(AND(Tasks[[#This Row],[_IsLeaf]]=1,N(Tasks[[#This Row],[_Days]])=0,Tasks[[#This Row],[_LeafProgress]]&lt;1),Tasks[[#This Row],[_ShownFcstFinish]]+Tasks[[#This Row],[_Row]]/100000,"")</f>
        <v/>
      </c>
      <c r="GH1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2" s="43" t="str">
        <f aca="false">IF(Tasks[[#This Row],[Task Name]]="","",LEFT(Tasks[[#This Row],[WBS]],FIND(".",Tasks[[#This Row],[WBS]]&amp;".")-1))</f>
        <v/>
      </c>
      <c r="GJ122" s="43" t="str">
        <f aca="false">IF(AND(Tasks[[#This Row],[Task Name]]&lt;&gt;"",Tasks[[#This Row],[_Level]]=1),Tasks[[#This Row],[_Row]],"")</f>
        <v/>
      </c>
      <c r="GK122" s="43" t="str">
        <f aca="false">IF(AND(Tasks[[#This Row],[_IsLeaf]]=1,N(Tasks[[#This Row],[_Days]])=0),Tasks[[#This Row],[Planned Finish]]+Tasks[[#This Row],[_Row]]/100000,"")</f>
        <v/>
      </c>
      <c r="GL122" s="43" t="str">
        <f aca="false">IF(AND(Tasks[[#This Row],[_IsLeaf]]=1,Tasks[[#This Row],[_LeafProgress]]&lt;1,OR(N(Tasks[[#This Row],[Finish Var]])&gt;0,Tasks[[#This Row],[Status]]="Late Start")),MAX(0,Tasks[[#This Row],[Finish Var]])+1-Tasks[[#This Row],[_Row]]/1000000,"")</f>
        <v/>
      </c>
      <c r="GM122" s="43" t="str">
        <f aca="false">IF(AND(Tasks[[#This Row],[_IsLeaf]]=1,N(Tasks[[#This Row],[Actual Start]])=0,Tasks[[#This Row],[_ShownFcstStart]]&gt;=StatusDate,Tasks[[#This Row],[_ShownFcstStart]]&lt;=LookaheadEnd),Tasks[[#This Row],[_ShownFcstStart]]+Tasks[[#This Row],[_Row]]/100000,"")</f>
        <v/>
      </c>
      <c r="GN122" s="43" t="str">
        <f aca="false">IF(AND(Tasks[[#This Row],[_IsLeaf]]=1,Tasks[[#This Row],[_LeafProgress]]&lt;1,Tasks[[#This Row],[_ShownFcstFinish]]&gt;=StatusDate,Tasks[[#This Row],[_ShownFcstFinish]]&lt;=LookaheadEnd),Tasks[[#This Row],[_ShownFcstFinish]]+Tasks[[#This Row],[_Row]]/100000,"")</f>
        <v/>
      </c>
      <c r="GO122" s="43" t="str">
        <f aca="false">IF(Tasks[[#This Row],[_LeafCritical]],Tasks[[#This Row],[_ShownFcstStart]]+Tasks[[#This Row],[_Row]]/100000,"")</f>
        <v/>
      </c>
      <c r="GP122" s="43" t="n">
        <f aca="false">Tasks[[#This Row],[_LeafWork]]*Tasks[[#This Row],[_LeafProgress]]</f>
        <v>0</v>
      </c>
      <c r="GQ122" s="91" t="str">
        <f aca="false">IF(AND(Tasks[[#This Row],[_IsLeaf]]=1,Tasks[[#This Row],[_LeafProgress]]&gt;=1),IF(N(Tasks[[#This Row],[Actual Finish]])&gt;0,Tasks[[#This Row],[Actual Finish]],Tasks[[#This Row],[_ShownFcstFinish]]),"")</f>
        <v/>
      </c>
      <c r="GR122" s="43" t="n">
        <f aca="false">IF(Tasks[[#This Row],[_IsLeaf]]=1,N(Tasks[[#This Row],[Story Points]]),0)</f>
        <v>0</v>
      </c>
      <c r="GS122" s="43" t="str">
        <f aca="false">""</f>
        <v/>
      </c>
      <c r="GT122" s="90" t="b">
        <f aca="false">IF(Tasks[[#This Row],[Task Name]]="",FALSE(),AND(Tasks[[#This Row],[_IsLeaf]]=1,N(Tasks[[#This Row],[_Days]])=0))</f>
        <v>0</v>
      </c>
      <c r="GU122" s="91" t="n">
        <f aca="false">IF(Tasks[[#This Row],[Task Name]]="",0,IF(AND(Tasks[[#This Row],[_IsLeaf]]=1,NOT(Tasks[[#This Row],[_IsMilestone]]),N(Tasks[[#This Row],[Progress]])&gt;0),Tasks[[#This Row],[Start]],0))</f>
        <v>0</v>
      </c>
      <c r="GV122" s="91" t="n">
        <f aca="false">IF(Tasks[[#This Row],[_DoneFrom]]=0,0,IF(Tasks[[#This Row],[Progress]]&gt;=1,Tasks[[#This Row],[Finish]],MAX(Tasks[[#This Row],[_DoneFrom]],Tasks[[#This Row],[Start]]+ROUND((Tasks[[#This Row],[Finish]]-Tasks[[#This Row],[Start]]+1)*Tasks[[#This Row],[Progress]],0)-1)))</f>
        <v>0</v>
      </c>
      <c r="GW122" s="91" t="n">
        <f aca="false">IF(Tasks[[#This Row],[Task Name]]="",0,IF(OR(NOT(Tasks[[#This Row],[_IsLeaf]]=1),Tasks[[#This Row],[_IsMilestone]],N(Tasks[[#This Row],[Progress]])&gt;=1),0,IF(Tasks[[#This Row],[_DoneTo]]&gt;0,Tasks[[#This Row],[_DoneTo]]+1,Tasks[[#This Row],[Start]])))</f>
        <v>0</v>
      </c>
      <c r="GX122" s="91" t="n">
        <f aca="false">IF(Tasks[[#This Row],[_RemFrom]]=0,0,Tasks[[#This Row],[Finish]])</f>
        <v>0</v>
      </c>
      <c r="GY122" s="90" t="b">
        <f aca="false">IF(Tasks[[#This Row],[Task Name]]="",FALSE(),OR(NOT(BaselineSet),N(Tasks[[#This Row],[Baseline Start]])&gt;0))</f>
        <v>0</v>
      </c>
      <c r="GZ12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2" s="92" t="str">
        <f aca="false">IF(Tasks[[#This Row],[_IsLeaf]]=1,Tasks[[#This Row],[_Row]],"")</f>
        <v/>
      </c>
      <c r="HD122" s="92" t="str">
        <f aca="false">IFERROR(INDEX(Tasks[UID],SMALL(Tasks[_PickKey],Tasks[[#This Row],[_Row]]))&amp;" "&amp;INDEX(Tasks[Task Name],SMALL(Tasks[_PickKey],Tasks[[#This Row],[_Row]])),"")</f>
        <v/>
      </c>
      <c r="HE122" s="43" t="str">
        <f aca="false">IF(Tasks[[#This Row],[Task Name]]="","",IF(Tasks[[#This Row],[_IsSummary]],NETWORKDAYS.INTL(Tasks[[#This Row],[Start]],Tasks[[#This Row],[Finish]],WorkWeek,Holidays),N(Tasks[[#This Row],[_Days]])))</f>
        <v/>
      </c>
      <c r="HF122" s="43" t="n">
        <f aca="false">IF(Tasks[[#This Row],[Expected]]="",0,((Tasks[[#This Row],[Pessimistic]]-Tasks[[#This Row],[Optimistic]])/6)^2)</f>
        <v>0</v>
      </c>
      <c r="HG122" s="43" t="n">
        <f aca="false">IF(Tasks[[#This Row],[Expected]]="",0,Tasks[[#This Row],[Expected]]-N(Tasks[[#This Row],[_Days]]))</f>
        <v>0</v>
      </c>
    </row>
    <row r="123" customFormat="false" ht="15" hidden="false" customHeight="false" outlineLevel="0" collapsed="false">
      <c r="A123" s="21" t="str">
        <f aca="false">IF(Tasks[[#This Row],[Task Name]]="","",COUNTA(Tasks[[#Headers],[Task Name]]:Tasks[[#This Row],[Task Name]])-1)</f>
        <v/>
      </c>
      <c r="B123" s="22" t="n">
        <v>131</v>
      </c>
      <c r="C123" s="22"/>
      <c r="D123" s="23"/>
      <c r="E123" s="22"/>
      <c r="F123" s="23"/>
      <c r="G123" s="22"/>
      <c r="H123" s="22"/>
      <c r="I123" s="23"/>
      <c r="J123" s="22"/>
      <c r="K123" s="22"/>
      <c r="L123" s="23"/>
      <c r="M123" s="22"/>
      <c r="N123" s="22"/>
      <c r="O123" s="23"/>
      <c r="P123" s="22"/>
      <c r="Q123" s="22"/>
      <c r="R123" s="23"/>
      <c r="S123" s="23"/>
      <c r="T123" s="84"/>
      <c r="U123" s="23"/>
      <c r="V123" s="84"/>
      <c r="W123" s="23"/>
      <c r="X123" s="84"/>
      <c r="Y123" s="23"/>
      <c r="Z123" s="84"/>
      <c r="AA123" s="23"/>
      <c r="AB123" s="23"/>
      <c r="AC123" s="7"/>
      <c r="AD123" s="7"/>
      <c r="AE123" s="63" t="str">
        <f aca="false">IF(Tasks[[#This Row],[Task Name]]="","",IF(Tasks[[#This Row],[_IsSummary]],MIN(INDEX(Tasks[_ShownFcstStart],Tasks[[#This Row],[_Row]]+1):INDEX(Tasks[_ShownFcstStart],Tasks[[#This Row],[_Row]]+Tasks[[#This Row],[_Descendants]])),Tasks[[#This Row],[_ShownFcstStart]]))</f>
        <v/>
      </c>
      <c r="AF123" s="63" t="str">
        <f aca="false">IF(Tasks[[#This Row],[Task Name]]="","",IF(Tasks[[#This Row],[_IsSummary]],MAX(INDEX(Tasks[_ShownFcstFinish],Tasks[[#This Row],[_Row]]+1):INDEX(Tasks[_ShownFcstFinish],Tasks[[#This Row],[_Row]]+Tasks[[#This Row],[_Descendants]])),Tasks[[#This Row],[_ShownFcstFinish]]))</f>
        <v/>
      </c>
      <c r="AG123" s="21" t="str">
        <f aca="false">""</f>
        <v/>
      </c>
      <c r="AH123" s="23"/>
      <c r="AI1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3" s="7"/>
      <c r="AK123" s="22"/>
      <c r="AL123" s="23"/>
      <c r="AM123" s="7"/>
      <c r="AN123" s="47" t="str">
        <f aca="false">IF(Tasks[[#This Row],[Task Name]]="","",IF(Tasks[[#This Row],[Finish]]&gt;=Tasks[[#This Row],[Planned Finish]],NETWORKDAYS.INTL(Tasks[[#This Row],[Planned Finish]],Tasks[[#This Row],[Finish]],WorkWeek,Holidays)-1,1-NETWORKDAYS.INTL(Tasks[[#This Row],[Finish]],Tasks[[#This Row],[Planned Finish]],WorkWeek,Holidays)))</f>
        <v/>
      </c>
      <c r="AO123" s="21" t="str">
        <f aca="false">IF(Tasks[[#This Row],[Task Name]]="","",IF(Tasks[[#This Row],[Progress]]&gt;=1,"Complete",IF(OR(N(Tasks[[#This Row],[Actual Start]])&gt;0,Tasks[[#This Row],[Progress]]&gt;0),IF(Tasks[[#This Row],[Finish Var]]&gt;0,"Behind","In Progress"),IF(Tasks[[#This Row],[Planned Start]]&lt;StatusDate,"Late Start","Not Started"))))</f>
        <v/>
      </c>
      <c r="AP123" s="21" t="str">
        <f aca="false">IF(Tasks[[#This Row],[Task Name]]="","",IF(IF(Tasks[[#This Row],[_IsSummary]],COUNTIF(INDEX(Tasks[_LeafCritical],Tasks[[#This Row],[_Row]]+1):INDEX(Tasks[_LeafCritical],Tasks[[#This Row],[_Row]]+Tasks[[#This Row],[_Descendants]]),TRUE())&gt;0,Tasks[[#This Row],[_LeafCritical]]),"Yes",""))</f>
        <v/>
      </c>
      <c r="AQ123" s="63" t="str">
        <f aca="false">IF(Tasks[[#This Row],[Task Name]]="","",IF(N(Tasks[[#This Row],[Baseline Start]])&gt;0,Tasks[[#This Row],[Baseline Start]],Tasks[[#This Row],[_CalcStart]]))</f>
        <v/>
      </c>
      <c r="AR123" s="63" t="str">
        <f aca="false">IF(Tasks[[#This Row],[Task Name]]="","",IF(N(Tasks[[#This Row],[Baseline Finish]])&gt;0,Tasks[[#This Row],[Baseline Finish]],Tasks[[#This Row],[_CalcFinish]]))</f>
        <v/>
      </c>
      <c r="AS123" s="47" t="str">
        <f aca="false">IF(Tasks[[#This Row],[Task Name]]="","",IF(Tasks[[#This Row],[Start]]&gt;=Tasks[[#This Row],[Planned Start]],NETWORKDAYS.INTL(Tasks[[#This Row],[Planned Start]],Tasks[[#This Row],[Start]],WorkWeek,Holidays)-1,1-NETWORKDAYS.INTL(Tasks[[#This Row],[Start]],Tasks[[#This Row],[Planned Start]],WorkWeek,Holidays)))</f>
        <v/>
      </c>
      <c r="AT123" s="63" t="str">
        <f aca="false">IF(Tasks[[#This Row],[Task Name]]="","",IF(Tasks[[#This Row],[_IsSummary]],MIN(INDEX(Tasks[_LeafLateStart],Tasks[[#This Row],[_Row]]+1):INDEX(Tasks[_LeafLateStart],Tasks[[#This Row],[_Row]]+Tasks[[#This Row],[_Descendants]])),Tasks[[#This Row],[_LeafLateStart]]))</f>
        <v/>
      </c>
      <c r="AU123" s="63" t="str">
        <f aca="false">IF(Tasks[[#This Row],[Task Name]]="","",IF(Tasks[[#This Row],[_IsSummary]],MAX(INDEX(Tasks[_LeafLateFinish],Tasks[[#This Row],[_Row]]+1):INDEX(Tasks[_LeafLateFinish],Tasks[[#This Row],[_Row]]+Tasks[[#This Row],[_Descendants]])),Tasks[[#This Row],[_LeafLateFinish]]))</f>
        <v/>
      </c>
      <c r="AV123" s="47" t="str">
        <f aca="false">IF(Tasks[[#This Row],[Task Name]]="","",IF(Tasks[[#This Row],[_IsSummary]],MIN(INDEX(Tasks[_LeafTotalSlack],Tasks[[#This Row],[_Row]]+1):INDEX(Tasks[_LeafTotalSlack],Tasks[[#This Row],[_Row]]+Tasks[[#This Row],[_Descendants]])),Tasks[[#This Row],[_LeafTotalSlack]]))</f>
        <v/>
      </c>
      <c r="AW1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5"/>
      <c r="BA12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t="str">
        <f aca="false">IF(Tasks[[#This Row],[Task Name]]="","",IF(Tasks[[#This Row],[_Level]]&lt;=OutlineShowLevel,"Yes","No"))</f>
        <v/>
      </c>
      <c r="BE123" s="86" t="str">
        <f aca="false">IF(Tasks[[#This Row],[Task Name]]="","",IF(Tasks[[#This Row],[_IsSummary]],SUM(INDEX(Tasks[_LeafTotalWork],Tasks[[#This Row],[_Row]]+1):INDEX(Tasks[_LeafTotalWork],Tasks[[#This Row],[_Row]]+Tasks[[#This Row],[_Descendants]])),Tasks[[#This Row],[_LeafTotalWork]]))</f>
        <v/>
      </c>
      <c r="BF123" s="23"/>
      <c r="BG1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t="str">
        <f aca="false">""</f>
        <v/>
      </c>
      <c r="BI123" s="87"/>
      <c r="BJ123" s="22"/>
      <c r="BK123" s="47" t="str">
        <f aca="false">IF(OR(Tasks[[#This Row],[Task Name]]="",Tasks[[#This Row],[Baseline Duration]]=""),"",Tasks[[#This Row],[_SpanDays]]-N(Tasks[[#This Row],[Baseline Duration]]))</f>
        <v/>
      </c>
      <c r="BL123" s="86" t="str">
        <f aca="false">IF(OR(Tasks[[#This Row],[Task Name]]="",Tasks[[#This Row],[Baseline Work]]=""),"",Tasks[[#This Row],[Work]]-N(Tasks[[#This Row],[Baseline Work]]))</f>
        <v/>
      </c>
      <c r="BM123" s="63" t="str">
        <f aca="false">IF(Tasks[[#This Row],[Task Name]]="","",IF(OR(TakeBaseline="Yes",N(Tasks[[#This Row],[Baseline Start]])=0),Tasks[[#This Row],[Start]],Tasks[[#This Row],[Baseline Start]]))</f>
        <v/>
      </c>
      <c r="BN123" s="63" t="str">
        <f aca="false">IF(Tasks[[#This Row],[Task Name]]="","",IF(OR(TakeBaseline="Yes",N(Tasks[[#This Row],[Baseline Finish]])=0),Tasks[[#This Row],[Finish]],Tasks[[#This Row],[Baseline Finish]]))</f>
        <v/>
      </c>
      <c r="BO123" s="21" t="str">
        <f aca="false">IF(Tasks[[#This Row],[Task Name]]="","",IF(OR(TakeBaseline="Yes",N(Tasks[[#This Row],[Baseline Duration]])=0),Tasks[[#This Row],[_SpanDays]],Tasks[[#This Row],[Baseline Duration]]))</f>
        <v/>
      </c>
      <c r="BP123" s="86" t="str">
        <f aca="false">IF(Tasks[[#This Row],[Task Name]]="","",IF(OR(TakeBaseline="Yes",N(Tasks[[#This Row],[Baseline Work]])=0),Tasks[[#This Row],[Work]],Tasks[[#This Row],[Baseline Work]]))</f>
        <v/>
      </c>
      <c r="BQ123" s="7"/>
      <c r="BR123" s="7"/>
      <c r="BS123" s="22"/>
      <c r="BT123" s="88"/>
      <c r="BU123" s="23"/>
      <c r="BV123" s="23"/>
      <c r="BW123" s="23"/>
      <c r="BX123" s="89" t="str">
        <f aca="false">IF(AND(Tasks[[#This Row],[_IsLeaf]]=1,ISNUMBER(Tasks[[#This Row],[Optimistic]]),ISNUMBER(Tasks[[#This Row],[Pessimistic]])),ROUND((Tasks[[#This Row],[Optimistic]]+4*N(Tasks[[#This Row],[_Days]])+Tasks[[#This Row],[Pessimistic]])/6,1),"")</f>
        <v/>
      </c>
      <c r="BY123" s="87"/>
      <c r="BZ123" s="87"/>
      <c r="CA123" s="22"/>
      <c r="CB123" s="43" t="str">
        <f aca="false">IF(Tasks[[#This Row],[Task Name]]="","",MAX(1,N(Tasks[[#This Row],[Level]])))</f>
        <v/>
      </c>
      <c r="CC123" s="43" t="n">
        <f aca="false">ROW()-ROW(Tasks[[#Headers],[ID]])</f>
        <v>118</v>
      </c>
      <c r="CD123" s="43" t="n">
        <f aca="false">IF(OR(Tasks[[#This Row],[Task Name]]="",Tasks[[#This Row],[_Level]]&lt;=1),0,IFERROR(LOOKUP(2,1/(Tasks[[#Headers],[_Level]]:Tasks[[#This Row],[_Level]]=Tasks[[#This Row],[_Level]]-1),ROW(Tasks[[#Headers],[_Level]]:Tasks[[#This Row],[_Level]])),0))</f>
        <v>0</v>
      </c>
      <c r="CE123" s="43" t="n">
        <f aca="false">IFERROR(N(INDEX(Tasks[_Level],Tasks[[#This Row],[_Row]]+1)),0)</f>
        <v>0</v>
      </c>
      <c r="CF123" s="90" t="b">
        <f aca="false">AND(Tasks[[#This Row],[Task Name]]&lt;&gt;"",Tasks[[#This Row],[_NextLevel]]&gt;Tasks[[#This Row],[_Level]])</f>
        <v>0</v>
      </c>
      <c r="CG123" s="43" t="n">
        <f aca="false">IF(Tasks[[#This Row],[_IsSummary]],COUNTIF(Tasks[WBS],Tasks[[#This Row],[WBS]]&amp;".*"),0)</f>
        <v>0</v>
      </c>
      <c r="CH123" s="43" t="n">
        <f aca="false">IF(AND(Tasks[[#This Row],[Task Name]]&lt;&gt;"",NOT(Tasks[[#This Row],[_IsSummary]])),1,0)</f>
        <v>0</v>
      </c>
      <c r="CI123" s="43" t="n">
        <f aca="false">IF(N(Tasks[[#This Row],[_Pred1UID]])=0,0,IFERROR(MATCH(Tasks[[#This Row],[_Pred1UID]],Tasks[UID],0),-1))</f>
        <v>0</v>
      </c>
      <c r="CJ123" s="43" t="n">
        <f aca="false">IF(N(Tasks[[#This Row],[_Pred2UID]])=0,0,IFERROR(MATCH(Tasks[[#This Row],[_Pred2UID]],Tasks[UID],0),-1))</f>
        <v>0</v>
      </c>
      <c r="CK123" s="43" t="n">
        <f aca="false">IF(N(Tasks[[#This Row],[_Pred3UID]])=0,0,IFERROR(MATCH(Tasks[[#This Row],[_Pred3UID]],Tasks[UID],0),-1))</f>
        <v>0</v>
      </c>
      <c r="CL123" s="43" t="n">
        <f aca="false">IF(N(Tasks[[#This Row],[_Pred4UID]])=0,0,IFERROR(MATCH(Tasks[[#This Row],[_Pred4UID]],Tasks[UID],0),-1))</f>
        <v>0</v>
      </c>
      <c r="CM12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3" s="91" t="n">
        <f aca="false">IF(OR(Tasks[[#This Row],[_ConstraintCode]]=2,Tasks[[#This Row],[_ConstraintCode]]=3,Tasks[[#This Row],[_ConstraintCode]]=4,Tasks[[#This Row],[_ConstraintCode]]=6),Tasks[[#This Row],[_ConstraintStart]],0)</f>
        <v>0</v>
      </c>
      <c r="CP123" s="91" t="n">
        <f aca="false">IF(OR(Tasks[[#This Row],[_ConstraintCode]]=2,Tasks[[#This Row],[_ConstraintCode]]=3,Tasks[[#This Row],[_ConstraintCode]]=5,Tasks[[#This Row],[_ConstraintCode]]=7),Tasks[[#This Row],[_ConstraintStart]],2958465)</f>
        <v>2958465</v>
      </c>
      <c r="CQ12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3" s="91" t="str">
        <f aca="false">IF(NOT(Tasks[[#This Row],[_IsLeaf]]=1),"",IF(N(Tasks[[#This Row],[_Days]])&lt;=0,Tasks[[#This Row],[_LeafCalcStart]],WORKDAY.INTL(Tasks[[#This Row],[_LeafCalcStart]],Tasks[[#This Row],[_Days]]-1,WorkWeek,Holidays)))</f>
        <v/>
      </c>
      <c r="CS12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3" s="43" t="str">
        <f aca="false">IF(Tasks[[#This Row],[_Predecessors]]="","",TRIM(MID(SUBSTITUTE(SUBSTITUTE(SUBSTITUTE(UPPER(Tasks[[#This Row],[_Predecessors]]),";",",")," ",""),",",REPT(" ",99)),1,99)))</f>
        <v/>
      </c>
      <c r="CV123" s="43" t="str">
        <f aca="false">IF(Tasks[[#This Row],[_Pred1Text]]="","",IFERROR(VALUE(LEFT(Tasks[[#This Row],[_Pred1Text]],MIN(FIND("F",Tasks[[#This Row],[_Pred1Text]]&amp;"F"),FIND("S",Tasks[[#This Row],[_Pred1Text]]&amp;"S"),FIND("+",Tasks[[#This Row],[_Pred1Text]]&amp;"+"),FIND("-",Tasks[[#This Row],[_Pred1Text]]&amp;"-"))-1)),""))</f>
        <v/>
      </c>
      <c r="CW1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3" s="43" t="str">
        <f aca="false">IF(Tasks[[#This Row],[_Pred1Text]]="","",TRIM(MID(SUBSTITUTE(SUBSTITUTE(SUBSTITUTE(UPPER(Tasks[[#This Row],[_Predecessors]]),";",",")," ",""),",",REPT(" ",99)),100,99)))</f>
        <v/>
      </c>
      <c r="CZ123" s="43" t="str">
        <f aca="false">IF(Tasks[[#This Row],[_Pred2Text]]="","",IFERROR(VALUE(LEFT(Tasks[[#This Row],[_Pred2Text]],MIN(FIND("F",Tasks[[#This Row],[_Pred2Text]]&amp;"F"),FIND("S",Tasks[[#This Row],[_Pred2Text]]&amp;"S"),FIND("+",Tasks[[#This Row],[_Pred2Text]]&amp;"+"),FIND("-",Tasks[[#This Row],[_Pred2Text]]&amp;"-"))-1)),""))</f>
        <v/>
      </c>
      <c r="DA1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3" s="43" t="str">
        <f aca="false">IF(Tasks[[#This Row],[_Pred2Text]]="","",TRIM(MID(SUBSTITUTE(SUBSTITUTE(SUBSTITUTE(UPPER(Tasks[[#This Row],[_Predecessors]]),";",",")," ",""),",",REPT(" ",99)),199,99)))</f>
        <v/>
      </c>
      <c r="DD123" s="43" t="str">
        <f aca="false">IF(Tasks[[#This Row],[_Pred3Text]]="","",IFERROR(VALUE(LEFT(Tasks[[#This Row],[_Pred3Text]],MIN(FIND("F",Tasks[[#This Row],[_Pred3Text]]&amp;"F"),FIND("S",Tasks[[#This Row],[_Pred3Text]]&amp;"S"),FIND("+",Tasks[[#This Row],[_Pred3Text]]&amp;"+"),FIND("-",Tasks[[#This Row],[_Pred3Text]]&amp;"-"))-1)),""))</f>
        <v/>
      </c>
      <c r="DE1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3" s="43" t="str">
        <f aca="false">IF(Tasks[[#This Row],[_Pred3Text]]="","",TRIM(MID(SUBSTITUTE(SUBSTITUTE(SUBSTITUTE(UPPER(Tasks[[#This Row],[_Predecessors]]),";",",")," ",""),",",REPT(" ",99)),298,99)))</f>
        <v/>
      </c>
      <c r="DH123" s="43" t="str">
        <f aca="false">IF(Tasks[[#This Row],[_Pred4Text]]="","",IFERROR(VALUE(LEFT(Tasks[[#This Row],[_Pred4Text]],MIN(FIND("F",Tasks[[#This Row],[_Pred4Text]]&amp;"F"),FIND("S",Tasks[[#This Row],[_Pred4Text]]&amp;"S"),FIND("+",Tasks[[#This Row],[_Pred4Text]]&amp;"+"),FIND("-",Tasks[[#This Row],[_Pred4Text]]&amp;"-"))-1)),""))</f>
        <v/>
      </c>
      <c r="DI1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3" s="43" t="str">
        <f aca="false">IF(OR(Tasks[[#This Row],[Task Name]]="",Tasks[[#This Row],[_Resources]]=""),"",TRIM(MID(SUBSTITUTE(Tasks[[#This Row],[_Resources]],",",REPT(" ",99)),1,99)))</f>
        <v/>
      </c>
      <c r="DL123" s="43" t="str">
        <f aca="false">IF(Tasks[[#This Row],[_Res1Text]]="","",TRIM(MID(SUBSTITUTE(Tasks[[#This Row],[_Resources]],",",REPT(" ",99)),100,99)))</f>
        <v/>
      </c>
      <c r="DM123" s="43" t="str">
        <f aca="false">IF(Tasks[[#This Row],[_Res2Text]]="","",TRIM(MID(SUBSTITUTE(Tasks[[#This Row],[_Resources]],",",REPT(" ",99)),199,99)))</f>
        <v/>
      </c>
      <c r="DN123" s="43" t="str">
        <f aca="false">IF(Tasks[[#This Row],[_Res3Text]]="","",TRIM(MID(SUBSTITUTE(Tasks[[#This Row],[_Resources]],",",REPT(" ",99)),298,99)))</f>
        <v/>
      </c>
      <c r="DO123" s="43" t="n">
        <f aca="false">IF(Tasks[[#This Row],[_Res1Text]]="",0,IFERROR(MATCH(TRIM(LEFT(Tasks[[#This Row],[_Res1Text]],FIND("[",Tasks[[#This Row],[_Res1Text]]&amp;"[")-1)),res_Name,0),IFERROR(MATCH(TRIM(LEFT(Tasks[[#This Row],[_Res1Text]],FIND("[",Tasks[[#This Row],[_Res1Text]]&amp;"[")-1)),res_Initials,0),0)))</f>
        <v>0</v>
      </c>
      <c r="DP123" s="43" t="n">
        <f aca="false">IF(Tasks[[#This Row],[_Res2Text]]="",0,IFERROR(MATCH(TRIM(LEFT(Tasks[[#This Row],[_Res2Text]],FIND("[",Tasks[[#This Row],[_Res2Text]]&amp;"[")-1)),res_Name,0),IFERROR(MATCH(TRIM(LEFT(Tasks[[#This Row],[_Res2Text]],FIND("[",Tasks[[#This Row],[_Res2Text]]&amp;"[")-1)),res_Initials,0),0)))</f>
        <v>0</v>
      </c>
      <c r="DQ123" s="43" t="n">
        <f aca="false">IF(Tasks[[#This Row],[_Res3Text]]="",0,IFERROR(MATCH(TRIM(LEFT(Tasks[[#This Row],[_Res3Text]],FIND("[",Tasks[[#This Row],[_Res3Text]]&amp;"[")-1)),res_Name,0),IFERROR(MATCH(TRIM(LEFT(Tasks[[#This Row],[_Res3Text]],FIND("[",Tasks[[#This Row],[_Res3Text]]&amp;"[")-1)),res_Initials,0),0)))</f>
        <v>0</v>
      </c>
      <c r="DR123" s="43" t="n">
        <f aca="false">IF(Tasks[[#This Row],[_Res4Text]]="",0,IFERROR(MATCH(TRIM(LEFT(Tasks[[#This Row],[_Res4Text]],FIND("[",Tasks[[#This Row],[_Res4Text]]&amp;"[")-1)),res_Name,0),IFERROR(MATCH(TRIM(LEFT(Tasks[[#This Row],[_Res4Text]],FIND("[",Tasks[[#This Row],[_Res4Text]]&amp;"[")-1)),res_Initials,0),0)))</f>
        <v>0</v>
      </c>
      <c r="DS123" s="43" t="str">
        <f aca="false">IF(Tasks[[#This Row],[_Res1Text]]="","",IF(Tasks[[#This Row],[_Res1Row]]&gt;0,INDEX(res_Name,Tasks[[#This Row],[_Res1Row]]),TRIM(LEFT(Tasks[[#This Row],[_Res1Text]],FIND("[",Tasks[[#This Row],[_Res1Text]]&amp;"[")-1))))</f>
        <v/>
      </c>
      <c r="DT12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3" s="43" t="n">
        <f aca="false">IF(NOT(Tasks[[#This Row],[_IsLeaf]]=1),0,(Tasks[[#This Row],[_Resource1]]&lt;&gt;"")+(Tasks[[#This Row],[_Res2]]&lt;&gt;"")+(Tasks[[#This Row],[_Res3]]&lt;&gt;"")+(Tasks[[#This Row],[_Res4]]&lt;&gt;""))</f>
        <v>0</v>
      </c>
      <c r="DV123" s="43" t="str">
        <f aca="false">IF(Tasks[[#This Row],[_Res2Text]]="","",IF(Tasks[[#This Row],[_Res2Row]]&gt;0,INDEX(res_Name,Tasks[[#This Row],[_Res2Row]]),TRIM(LEFT(Tasks[[#This Row],[_Res2Text]],FIND("[",Tasks[[#This Row],[_Res2Text]]&amp;"[")-1))))</f>
        <v/>
      </c>
      <c r="DW1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3" s="43" t="n">
        <f aca="false">IF(OR(NOT(Tasks[[#This Row],[_IsLeaf]]=1),Tasks[[#This Row],[_Res2Row]]=0),0,N(Tasks[[#This Row],[_Days]])*HoursPerDay*IF(Tasks[[#This Row],[_Res2Units]]="",DefaultUnits,Tasks[[#This Row],[_Res2Units]]))</f>
        <v>0</v>
      </c>
      <c r="DY123" s="43" t="n">
        <f aca="false">IF(AND(AND(Tasks[[#This Row],[_IsLeaf]]=1,Tasks[[#This Row],[_LeafTotalWork]]&gt;0),Tasks[[#This Row],[_Res2Work]]&gt;0),Tasks[[#This Row],[_Res2Work]]/(Tasks[[#This Row],[_FinishWorkday]]-Tasks[[#This Row],[_StartWorkday]]+1),0)</f>
        <v>0</v>
      </c>
      <c r="DZ123" s="43" t="n">
        <f aca="false">Tasks[[#This Row],[_Res2WorkPerWD]]*MAX(0,Tasks[[#This Row],[_StartWorkday]]-1)</f>
        <v>0</v>
      </c>
      <c r="EA123" s="43" t="n">
        <f aca="false">Tasks[[#This Row],[_Res2Work]]*Tasks[[#This Row],[_LeafProgress]]</f>
        <v>0</v>
      </c>
      <c r="EB123" s="43" t="str">
        <f aca="false">IF(Tasks[[#This Row],[_Res3Text]]="","",IF(Tasks[[#This Row],[_Res3Row]]&gt;0,INDEX(res_Name,Tasks[[#This Row],[_Res3Row]]),TRIM(LEFT(Tasks[[#This Row],[_Res3Text]],FIND("[",Tasks[[#This Row],[_Res3Text]]&amp;"[")-1))))</f>
        <v/>
      </c>
      <c r="EC1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3" s="43" t="n">
        <f aca="false">IF(OR(NOT(Tasks[[#This Row],[_IsLeaf]]=1),Tasks[[#This Row],[_Res3Row]]=0),0,N(Tasks[[#This Row],[_Days]])*HoursPerDay*IF(Tasks[[#This Row],[_Res3Units]]="",DefaultUnits,Tasks[[#This Row],[_Res3Units]]))</f>
        <v>0</v>
      </c>
      <c r="EE123" s="43" t="n">
        <f aca="false">IF(AND(AND(Tasks[[#This Row],[_IsLeaf]]=1,Tasks[[#This Row],[_LeafTotalWork]]&gt;0),Tasks[[#This Row],[_Res3Work]]&gt;0),Tasks[[#This Row],[_Res3Work]]/(Tasks[[#This Row],[_FinishWorkday]]-Tasks[[#This Row],[_StartWorkday]]+1),0)</f>
        <v>0</v>
      </c>
      <c r="EF123" s="43" t="n">
        <f aca="false">Tasks[[#This Row],[_Res3WorkPerWD]]*MAX(0,Tasks[[#This Row],[_StartWorkday]]-1)</f>
        <v>0</v>
      </c>
      <c r="EG123" s="43" t="n">
        <f aca="false">Tasks[[#This Row],[_Res3Work]]*Tasks[[#This Row],[_LeafProgress]]</f>
        <v>0</v>
      </c>
      <c r="EH123" s="43" t="str">
        <f aca="false">IF(Tasks[[#This Row],[_Res4Text]]="","",IF(Tasks[[#This Row],[_Res4Row]]&gt;0,INDEX(res_Name,Tasks[[#This Row],[_Res4Row]]),TRIM(LEFT(Tasks[[#This Row],[_Res4Text]],FIND("[",Tasks[[#This Row],[_Res4Text]]&amp;"[")-1))))</f>
        <v/>
      </c>
      <c r="EI1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3" s="43" t="n">
        <f aca="false">IF(OR(NOT(Tasks[[#This Row],[_IsLeaf]]=1),Tasks[[#This Row],[_Res4Row]]=0),0,N(Tasks[[#This Row],[_Days]])*HoursPerDay*IF(Tasks[[#This Row],[_Res4Units]]="",DefaultUnits,Tasks[[#This Row],[_Res4Units]]))</f>
        <v>0</v>
      </c>
      <c r="EK123" s="43" t="n">
        <f aca="false">IF(AND(AND(Tasks[[#This Row],[_IsLeaf]]=1,Tasks[[#This Row],[_LeafTotalWork]]&gt;0),Tasks[[#This Row],[_Res4Work]]&gt;0),Tasks[[#This Row],[_Res4Work]]/(Tasks[[#This Row],[_FinishWorkday]]-Tasks[[#This Row],[_StartWorkday]]+1),0)</f>
        <v>0</v>
      </c>
      <c r="EL123" s="43" t="n">
        <f aca="false">Tasks[[#This Row],[_Res4WorkPerWD]]*MAX(0,Tasks[[#This Row],[_StartWorkday]]-1)</f>
        <v>0</v>
      </c>
      <c r="EM123" s="43" t="n">
        <f aca="false">Tasks[[#This Row],[_Res4Work]]*Tasks[[#This Row],[_LeafProgress]]</f>
        <v>0</v>
      </c>
      <c r="EN123" s="43" t="n">
        <f aca="false">IF(ISNUMBER(Tasks[[#This Row],[% Complete]]),Tasks[[#This Row],[% Complete]],IF(Tasks[[#This Row],[Stage]]="",0,IFERROR(INDEX(stg_Pct,MATCH(Tasks[[#This Row],[Stage]],stg_Name,0)),0)))</f>
        <v>0</v>
      </c>
      <c r="EO123" s="43" t="n">
        <f aca="false">IF(NOT(Tasks[[#This Row],[_IsLeaf]]=1),0,IF(N(Tasks[[#This Row],[Actual Finish]])&gt;0,1,MIN(1,Tasks[[#This Row],[_Pct]])))</f>
        <v>0</v>
      </c>
      <c r="EP123" s="43" t="n">
        <f aca="false">IF(OR(NOT(Tasks[[#This Row],[_IsLeaf]]=1),Tasks[[#This Row],[_Res1Row]]=0),0,N(Tasks[[#This Row],[_Days]])*HoursPerDay*IF(Tasks[[#This Row],[_Units1]]="",DefaultUnits,Tasks[[#This Row],[_Units1]]))</f>
        <v>0</v>
      </c>
      <c r="EQ123" s="43" t="n">
        <f aca="false">Tasks[[#This Row],[_LeafWork]]+Tasks[[#This Row],[_Res2Work]]+Tasks[[#This Row],[_Res3Work]]+Tasks[[#This Row],[_Res4Work]]</f>
        <v>0</v>
      </c>
      <c r="ER12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3" s="43" t="n">
        <f aca="false">IF(NOT(Tasks[[#This Row],[_IsLeaf]]=1),0,MAX(_xlfn.MAXIFS(Tasks[_Row],Tasks[_Pred1UID],Tasks[[#This Row],[UID]]),_xlfn.MAXIFS(Tasks[_Row],Tasks[_Pred2UID],Tasks[[#This Row],[UID]]),_xlfn.MAXIFS(Tasks[_Row],Tasks[_Pred3UID],Tasks[[#This Row],[UID]]),_xlfn.MAXIFS(Tasks[_Row],Tasks[_Pred4UID],Tasks[[#This Row],[UID]])))</f>
        <v>0</v>
      </c>
      <c r="FA12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3" s="91" t="str">
        <f aca="false">IF(NOT(Tasks[[#This Row],[_IsLeaf]]=1),"",IF(N(Tasks[[#This Row],[_Days]])&lt;=0,Tasks[[#This Row],[_LeafLateFinish]],WORKDAY.INTL(Tasks[[#This Row],[_LeafLateFinish]],-(Tasks[[#This Row],[_Days]]-1),WorkWeek,Holidays)))</f>
        <v/>
      </c>
      <c r="FD12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3" s="90" t="b">
        <f aca="false">AND(Tasks[[#This Row],[_IsLeaf]]=1,Tasks[[#This Row],[_LeafProgress]]&lt;1,N(Tasks[[#This Row],[_LeafTotalSlack]])&lt;=CriticalSlackDays)</f>
        <v>0</v>
      </c>
      <c r="FF123" s="43" t="n">
        <f aca="false">IF(AND(Tasks[[#This Row],[_IsLeaf]]=1,Tasks[[#This Row],[_ConstraintCode]]=1,Tasks[[#This Row],[Mode]]&lt;&gt;"Manual",N(Tasks[[#This Row],[Actual Start]])=0),MAX(0,N(Tasks[[#This Row],[Free Slack]])),0)</f>
        <v>0</v>
      </c>
      <c r="FG123" s="91" t="str">
        <f aca="false">IF(NOT(Tasks[[#This Row],[_IsLeaf]]=1),"",IF(Tasks[[#This Row],[_AlapShift]]=0,Tasks[[#This Row],[_LeafCalcStart]],WORKDAY.INTL(Tasks[[#This Row],[_LeafCalcStart]],Tasks[[#This Row],[_AlapShift]],WorkWeek,Holidays)))</f>
        <v/>
      </c>
      <c r="FH123" s="91" t="str">
        <f aca="false">IF(NOT(Tasks[[#This Row],[_IsLeaf]]=1),"",IF(Tasks[[#This Row],[_AlapShift]]=0,Tasks[[#This Row],[_LeafCalcFinish]],WORKDAY.INTL(Tasks[[#This Row],[_LeafCalcFinish]],Tasks[[#This Row],[_AlapShift]],WorkWeek,Holidays)))</f>
        <v/>
      </c>
      <c r="FI123" s="91" t="str">
        <f aca="false">IF(NOT(Tasks[[#This Row],[_IsLeaf]]=1),"",IF(Tasks[[#This Row],[_AlapShift]]=0,Tasks[[#This Row],[_LeafFcstStart]],WORKDAY.INTL(Tasks[[#This Row],[_LeafFcstStart]],Tasks[[#This Row],[_AlapShift]],WorkWeek,Holidays)))</f>
        <v/>
      </c>
      <c r="FJ123" s="91" t="str">
        <f aca="false">IF(NOT(Tasks[[#This Row],[_IsLeaf]]=1),"",IF(Tasks[[#This Row],[_AlapShift]]=0,Tasks[[#This Row],[_LeafFcstFinish]],WORKDAY.INTL(Tasks[[#This Row],[_LeafFcstFinish]],Tasks[[#This Row],[_AlapShift]],WorkWeek,Holidays)))</f>
        <v/>
      </c>
      <c r="FK123" s="91" t="str">
        <f aca="false">IF(Tasks[[#This Row],[Task Name]]="","",IF(Tasks[[#This Row],[_IsSummary]],MIN(INDEX(Tasks[_ShownCalcStart],Tasks[[#This Row],[_Row]]+1):INDEX(Tasks[_ShownCalcStart],Tasks[[#This Row],[_Row]]+Tasks[[#This Row],[_Descendants]])),Tasks[[#This Row],[_ShownCalcStart]]))</f>
        <v/>
      </c>
      <c r="FL123" s="91" t="str">
        <f aca="false">IF(Tasks[[#This Row],[Task Name]]="","",IF(Tasks[[#This Row],[_IsSummary]],MAX(INDEX(Tasks[_ShownCalcFinish],Tasks[[#This Row],[_Row]]+1):INDEX(Tasks[_ShownCalcFinish],Tasks[[#This Row],[_Row]]+Tasks[[#This Row],[_Descendants]])),Tasks[[#This Row],[_ShownCalcFinish]]))</f>
        <v/>
      </c>
      <c r="FM1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3" s="43" t="n">
        <f aca="false">IF(AND(Tasks[[#This Row],[_IsLeaf]]=1,Tasks[[#This Row],[_LeafTotalWork]]&gt;0),NETWORKDAYS.INTL(ProjectStart,Tasks[[#This Row],[_ShownFcstStart]],WorkWeek,Holidays),0)</f>
        <v>0</v>
      </c>
      <c r="FZ123" s="43" t="n">
        <f aca="false">IF(AND(Tasks[[#This Row],[_IsLeaf]]=1,Tasks[[#This Row],[_LeafTotalWork]]&gt;0),MAX(Tasks[[#This Row],[_StartWorkday]],NETWORKDAYS.INTL(ProjectStart,Tasks[[#This Row],[_ShownFcstFinish]],WorkWeek,Holidays)),0)</f>
        <v>0</v>
      </c>
      <c r="GA123" s="43" t="n">
        <f aca="false">IF(AND(Tasks[[#This Row],[_IsLeaf]]=1,Tasks[[#This Row],[_LeafTotalWork]]&gt;0),Tasks[[#This Row],[_LeafWork]]/(Tasks[[#This Row],[_FinishWorkday]]-Tasks[[#This Row],[_StartWorkday]]+1),0)</f>
        <v>0</v>
      </c>
      <c r="GB123" s="43" t="n">
        <f aca="false">Tasks[[#This Row],[_WorkPerWorkday]]*(Tasks[[#This Row],[_StartWorkday]]-1)</f>
        <v>-0</v>
      </c>
      <c r="GC123" s="43" t="n">
        <f aca="false">IF(Tasks[[#This Row],[_IsLeaf]]=1,MAX(N(Tasks[[#This Row],[_Days]]),0.1),0)</f>
        <v>0</v>
      </c>
      <c r="GD123" s="43" t="n">
        <f aca="false">Tasks[[#This Row],[_WeightDur]]*Tasks[[#This Row],[_LeafProgress]]</f>
        <v>0</v>
      </c>
      <c r="GE123" s="43" t="n">
        <f aca="false">Tasks[[#This Row],[_WeightDur]]*Tasks[[#This Row],[_PlannedPct]]</f>
        <v>0</v>
      </c>
      <c r="GF1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3" s="43" t="str">
        <f aca="false">IF(AND(Tasks[[#This Row],[_IsLeaf]]=1,N(Tasks[[#This Row],[_Days]])=0,Tasks[[#This Row],[_LeafProgress]]&lt;1),Tasks[[#This Row],[_ShownFcstFinish]]+Tasks[[#This Row],[_Row]]/100000,"")</f>
        <v/>
      </c>
      <c r="GH1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3" s="43" t="str">
        <f aca="false">IF(Tasks[[#This Row],[Task Name]]="","",LEFT(Tasks[[#This Row],[WBS]],FIND(".",Tasks[[#This Row],[WBS]]&amp;".")-1))</f>
        <v/>
      </c>
      <c r="GJ123" s="43" t="str">
        <f aca="false">IF(AND(Tasks[[#This Row],[Task Name]]&lt;&gt;"",Tasks[[#This Row],[_Level]]=1),Tasks[[#This Row],[_Row]],"")</f>
        <v/>
      </c>
      <c r="GK123" s="43" t="str">
        <f aca="false">IF(AND(Tasks[[#This Row],[_IsLeaf]]=1,N(Tasks[[#This Row],[_Days]])=0),Tasks[[#This Row],[Planned Finish]]+Tasks[[#This Row],[_Row]]/100000,"")</f>
        <v/>
      </c>
      <c r="GL123" s="43" t="str">
        <f aca="false">IF(AND(Tasks[[#This Row],[_IsLeaf]]=1,Tasks[[#This Row],[_LeafProgress]]&lt;1,OR(N(Tasks[[#This Row],[Finish Var]])&gt;0,Tasks[[#This Row],[Status]]="Late Start")),MAX(0,Tasks[[#This Row],[Finish Var]])+1-Tasks[[#This Row],[_Row]]/1000000,"")</f>
        <v/>
      </c>
      <c r="GM123" s="43" t="str">
        <f aca="false">IF(AND(Tasks[[#This Row],[_IsLeaf]]=1,N(Tasks[[#This Row],[Actual Start]])=0,Tasks[[#This Row],[_ShownFcstStart]]&gt;=StatusDate,Tasks[[#This Row],[_ShownFcstStart]]&lt;=LookaheadEnd),Tasks[[#This Row],[_ShownFcstStart]]+Tasks[[#This Row],[_Row]]/100000,"")</f>
        <v/>
      </c>
      <c r="GN123" s="43" t="str">
        <f aca="false">IF(AND(Tasks[[#This Row],[_IsLeaf]]=1,Tasks[[#This Row],[_LeafProgress]]&lt;1,Tasks[[#This Row],[_ShownFcstFinish]]&gt;=StatusDate,Tasks[[#This Row],[_ShownFcstFinish]]&lt;=LookaheadEnd),Tasks[[#This Row],[_ShownFcstFinish]]+Tasks[[#This Row],[_Row]]/100000,"")</f>
        <v/>
      </c>
      <c r="GO123" s="43" t="str">
        <f aca="false">IF(Tasks[[#This Row],[_LeafCritical]],Tasks[[#This Row],[_ShownFcstStart]]+Tasks[[#This Row],[_Row]]/100000,"")</f>
        <v/>
      </c>
      <c r="GP123" s="43" t="n">
        <f aca="false">Tasks[[#This Row],[_LeafWork]]*Tasks[[#This Row],[_LeafProgress]]</f>
        <v>0</v>
      </c>
      <c r="GQ123" s="91" t="str">
        <f aca="false">IF(AND(Tasks[[#This Row],[_IsLeaf]]=1,Tasks[[#This Row],[_LeafProgress]]&gt;=1),IF(N(Tasks[[#This Row],[Actual Finish]])&gt;0,Tasks[[#This Row],[Actual Finish]],Tasks[[#This Row],[_ShownFcstFinish]]),"")</f>
        <v/>
      </c>
      <c r="GR123" s="43" t="n">
        <f aca="false">IF(Tasks[[#This Row],[_IsLeaf]]=1,N(Tasks[[#This Row],[Story Points]]),0)</f>
        <v>0</v>
      </c>
      <c r="GS123" s="43" t="str">
        <f aca="false">""</f>
        <v/>
      </c>
      <c r="GT123" s="90" t="b">
        <f aca="false">IF(Tasks[[#This Row],[Task Name]]="",FALSE(),AND(Tasks[[#This Row],[_IsLeaf]]=1,N(Tasks[[#This Row],[_Days]])=0))</f>
        <v>0</v>
      </c>
      <c r="GU123" s="91" t="n">
        <f aca="false">IF(Tasks[[#This Row],[Task Name]]="",0,IF(AND(Tasks[[#This Row],[_IsLeaf]]=1,NOT(Tasks[[#This Row],[_IsMilestone]]),N(Tasks[[#This Row],[Progress]])&gt;0),Tasks[[#This Row],[Start]],0))</f>
        <v>0</v>
      </c>
      <c r="GV123" s="91" t="n">
        <f aca="false">IF(Tasks[[#This Row],[_DoneFrom]]=0,0,IF(Tasks[[#This Row],[Progress]]&gt;=1,Tasks[[#This Row],[Finish]],MAX(Tasks[[#This Row],[_DoneFrom]],Tasks[[#This Row],[Start]]+ROUND((Tasks[[#This Row],[Finish]]-Tasks[[#This Row],[Start]]+1)*Tasks[[#This Row],[Progress]],0)-1)))</f>
        <v>0</v>
      </c>
      <c r="GW123" s="91" t="n">
        <f aca="false">IF(Tasks[[#This Row],[Task Name]]="",0,IF(OR(NOT(Tasks[[#This Row],[_IsLeaf]]=1),Tasks[[#This Row],[_IsMilestone]],N(Tasks[[#This Row],[Progress]])&gt;=1),0,IF(Tasks[[#This Row],[_DoneTo]]&gt;0,Tasks[[#This Row],[_DoneTo]]+1,Tasks[[#This Row],[Start]])))</f>
        <v>0</v>
      </c>
      <c r="GX123" s="91" t="n">
        <f aca="false">IF(Tasks[[#This Row],[_RemFrom]]=0,0,Tasks[[#This Row],[Finish]])</f>
        <v>0</v>
      </c>
      <c r="GY123" s="90" t="b">
        <f aca="false">IF(Tasks[[#This Row],[Task Name]]="",FALSE(),OR(NOT(BaselineSet),N(Tasks[[#This Row],[Baseline Start]])&gt;0))</f>
        <v>0</v>
      </c>
      <c r="GZ12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3" s="92" t="str">
        <f aca="false">IF(Tasks[[#This Row],[_IsLeaf]]=1,Tasks[[#This Row],[_Row]],"")</f>
        <v/>
      </c>
      <c r="HD123" s="92" t="str">
        <f aca="false">IFERROR(INDEX(Tasks[UID],SMALL(Tasks[_PickKey],Tasks[[#This Row],[_Row]]))&amp;" "&amp;INDEX(Tasks[Task Name],SMALL(Tasks[_PickKey],Tasks[[#This Row],[_Row]])),"")</f>
        <v/>
      </c>
      <c r="HE123" s="43" t="str">
        <f aca="false">IF(Tasks[[#This Row],[Task Name]]="","",IF(Tasks[[#This Row],[_IsSummary]],NETWORKDAYS.INTL(Tasks[[#This Row],[Start]],Tasks[[#This Row],[Finish]],WorkWeek,Holidays),N(Tasks[[#This Row],[_Days]])))</f>
        <v/>
      </c>
      <c r="HF123" s="43" t="n">
        <f aca="false">IF(Tasks[[#This Row],[Expected]]="",0,((Tasks[[#This Row],[Pessimistic]]-Tasks[[#This Row],[Optimistic]])/6)^2)</f>
        <v>0</v>
      </c>
      <c r="HG123" s="43" t="n">
        <f aca="false">IF(Tasks[[#This Row],[Expected]]="",0,Tasks[[#This Row],[Expected]]-N(Tasks[[#This Row],[_Days]]))</f>
        <v>0</v>
      </c>
    </row>
    <row r="124" customFormat="false" ht="15" hidden="false" customHeight="false" outlineLevel="0" collapsed="false">
      <c r="A124" s="21" t="str">
        <f aca="false">IF(Tasks[[#This Row],[Task Name]]="","",COUNTA(Tasks[[#Headers],[Task Name]]:Tasks[[#This Row],[Task Name]])-1)</f>
        <v/>
      </c>
      <c r="B124" s="22" t="n">
        <v>132</v>
      </c>
      <c r="C124" s="22"/>
      <c r="D124" s="23"/>
      <c r="E124" s="22"/>
      <c r="F124" s="23"/>
      <c r="G124" s="22"/>
      <c r="H124" s="22"/>
      <c r="I124" s="23"/>
      <c r="J124" s="22"/>
      <c r="K124" s="22"/>
      <c r="L124" s="23"/>
      <c r="M124" s="22"/>
      <c r="N124" s="22"/>
      <c r="O124" s="23"/>
      <c r="P124" s="22"/>
      <c r="Q124" s="22"/>
      <c r="R124" s="23"/>
      <c r="S124" s="23"/>
      <c r="T124" s="84"/>
      <c r="U124" s="23"/>
      <c r="V124" s="84"/>
      <c r="W124" s="23"/>
      <c r="X124" s="84"/>
      <c r="Y124" s="23"/>
      <c r="Z124" s="84"/>
      <c r="AA124" s="23"/>
      <c r="AB124" s="23"/>
      <c r="AC124" s="7"/>
      <c r="AD124" s="7"/>
      <c r="AE124" s="63" t="str">
        <f aca="false">IF(Tasks[[#This Row],[Task Name]]="","",IF(Tasks[[#This Row],[_IsSummary]],MIN(INDEX(Tasks[_ShownFcstStart],Tasks[[#This Row],[_Row]]+1):INDEX(Tasks[_ShownFcstStart],Tasks[[#This Row],[_Row]]+Tasks[[#This Row],[_Descendants]])),Tasks[[#This Row],[_ShownFcstStart]]))</f>
        <v/>
      </c>
      <c r="AF124" s="63" t="str">
        <f aca="false">IF(Tasks[[#This Row],[Task Name]]="","",IF(Tasks[[#This Row],[_IsSummary]],MAX(INDEX(Tasks[_ShownFcstFinish],Tasks[[#This Row],[_Row]]+1):INDEX(Tasks[_ShownFcstFinish],Tasks[[#This Row],[_Row]]+Tasks[[#This Row],[_Descendants]])),Tasks[[#This Row],[_ShownFcstFinish]]))</f>
        <v/>
      </c>
      <c r="AG124" s="21" t="str">
        <f aca="false">""</f>
        <v/>
      </c>
      <c r="AH124" s="23"/>
      <c r="AI1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4" s="7"/>
      <c r="AK124" s="22"/>
      <c r="AL124" s="23"/>
      <c r="AM124" s="7"/>
      <c r="AN124" s="47" t="str">
        <f aca="false">IF(Tasks[[#This Row],[Task Name]]="","",IF(Tasks[[#This Row],[Finish]]&gt;=Tasks[[#This Row],[Planned Finish]],NETWORKDAYS.INTL(Tasks[[#This Row],[Planned Finish]],Tasks[[#This Row],[Finish]],WorkWeek,Holidays)-1,1-NETWORKDAYS.INTL(Tasks[[#This Row],[Finish]],Tasks[[#This Row],[Planned Finish]],WorkWeek,Holidays)))</f>
        <v/>
      </c>
      <c r="AO124" s="21" t="str">
        <f aca="false">IF(Tasks[[#This Row],[Task Name]]="","",IF(Tasks[[#This Row],[Progress]]&gt;=1,"Complete",IF(OR(N(Tasks[[#This Row],[Actual Start]])&gt;0,Tasks[[#This Row],[Progress]]&gt;0),IF(Tasks[[#This Row],[Finish Var]]&gt;0,"Behind","In Progress"),IF(Tasks[[#This Row],[Planned Start]]&lt;StatusDate,"Late Start","Not Started"))))</f>
        <v/>
      </c>
      <c r="AP124" s="21" t="str">
        <f aca="false">IF(Tasks[[#This Row],[Task Name]]="","",IF(IF(Tasks[[#This Row],[_IsSummary]],COUNTIF(INDEX(Tasks[_LeafCritical],Tasks[[#This Row],[_Row]]+1):INDEX(Tasks[_LeafCritical],Tasks[[#This Row],[_Row]]+Tasks[[#This Row],[_Descendants]]),TRUE())&gt;0,Tasks[[#This Row],[_LeafCritical]]),"Yes",""))</f>
        <v/>
      </c>
      <c r="AQ124" s="63" t="str">
        <f aca="false">IF(Tasks[[#This Row],[Task Name]]="","",IF(N(Tasks[[#This Row],[Baseline Start]])&gt;0,Tasks[[#This Row],[Baseline Start]],Tasks[[#This Row],[_CalcStart]]))</f>
        <v/>
      </c>
      <c r="AR124" s="63" t="str">
        <f aca="false">IF(Tasks[[#This Row],[Task Name]]="","",IF(N(Tasks[[#This Row],[Baseline Finish]])&gt;0,Tasks[[#This Row],[Baseline Finish]],Tasks[[#This Row],[_CalcFinish]]))</f>
        <v/>
      </c>
      <c r="AS124" s="47" t="str">
        <f aca="false">IF(Tasks[[#This Row],[Task Name]]="","",IF(Tasks[[#This Row],[Start]]&gt;=Tasks[[#This Row],[Planned Start]],NETWORKDAYS.INTL(Tasks[[#This Row],[Planned Start]],Tasks[[#This Row],[Start]],WorkWeek,Holidays)-1,1-NETWORKDAYS.INTL(Tasks[[#This Row],[Start]],Tasks[[#This Row],[Planned Start]],WorkWeek,Holidays)))</f>
        <v/>
      </c>
      <c r="AT124" s="63" t="str">
        <f aca="false">IF(Tasks[[#This Row],[Task Name]]="","",IF(Tasks[[#This Row],[_IsSummary]],MIN(INDEX(Tasks[_LeafLateStart],Tasks[[#This Row],[_Row]]+1):INDEX(Tasks[_LeafLateStart],Tasks[[#This Row],[_Row]]+Tasks[[#This Row],[_Descendants]])),Tasks[[#This Row],[_LeafLateStart]]))</f>
        <v/>
      </c>
      <c r="AU124" s="63" t="str">
        <f aca="false">IF(Tasks[[#This Row],[Task Name]]="","",IF(Tasks[[#This Row],[_IsSummary]],MAX(INDEX(Tasks[_LeafLateFinish],Tasks[[#This Row],[_Row]]+1):INDEX(Tasks[_LeafLateFinish],Tasks[[#This Row],[_Row]]+Tasks[[#This Row],[_Descendants]])),Tasks[[#This Row],[_LeafLateFinish]]))</f>
        <v/>
      </c>
      <c r="AV124" s="47" t="str">
        <f aca="false">IF(Tasks[[#This Row],[Task Name]]="","",IF(Tasks[[#This Row],[_IsSummary]],MIN(INDEX(Tasks[_LeafTotalSlack],Tasks[[#This Row],[_Row]]+1):INDEX(Tasks[_LeafTotalSlack],Tasks[[#This Row],[_Row]]+Tasks[[#This Row],[_Descendants]])),Tasks[[#This Row],[_LeafTotalSlack]]))</f>
        <v/>
      </c>
      <c r="AW1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5"/>
      <c r="BA12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t="str">
        <f aca="false">IF(Tasks[[#This Row],[Task Name]]="","",IF(Tasks[[#This Row],[_Level]]&lt;=OutlineShowLevel,"Yes","No"))</f>
        <v/>
      </c>
      <c r="BE124" s="86" t="str">
        <f aca="false">IF(Tasks[[#This Row],[Task Name]]="","",IF(Tasks[[#This Row],[_IsSummary]],SUM(INDEX(Tasks[_LeafTotalWork],Tasks[[#This Row],[_Row]]+1):INDEX(Tasks[_LeafTotalWork],Tasks[[#This Row],[_Row]]+Tasks[[#This Row],[_Descendants]])),Tasks[[#This Row],[_LeafTotalWork]]))</f>
        <v/>
      </c>
      <c r="BF124" s="23"/>
      <c r="BG1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t="str">
        <f aca="false">""</f>
        <v/>
      </c>
      <c r="BI124" s="87"/>
      <c r="BJ124" s="22"/>
      <c r="BK124" s="47" t="str">
        <f aca="false">IF(OR(Tasks[[#This Row],[Task Name]]="",Tasks[[#This Row],[Baseline Duration]]=""),"",Tasks[[#This Row],[_SpanDays]]-N(Tasks[[#This Row],[Baseline Duration]]))</f>
        <v/>
      </c>
      <c r="BL124" s="86" t="str">
        <f aca="false">IF(OR(Tasks[[#This Row],[Task Name]]="",Tasks[[#This Row],[Baseline Work]]=""),"",Tasks[[#This Row],[Work]]-N(Tasks[[#This Row],[Baseline Work]]))</f>
        <v/>
      </c>
      <c r="BM124" s="63" t="str">
        <f aca="false">IF(Tasks[[#This Row],[Task Name]]="","",IF(OR(TakeBaseline="Yes",N(Tasks[[#This Row],[Baseline Start]])=0),Tasks[[#This Row],[Start]],Tasks[[#This Row],[Baseline Start]]))</f>
        <v/>
      </c>
      <c r="BN124" s="63" t="str">
        <f aca="false">IF(Tasks[[#This Row],[Task Name]]="","",IF(OR(TakeBaseline="Yes",N(Tasks[[#This Row],[Baseline Finish]])=0),Tasks[[#This Row],[Finish]],Tasks[[#This Row],[Baseline Finish]]))</f>
        <v/>
      </c>
      <c r="BO124" s="21" t="str">
        <f aca="false">IF(Tasks[[#This Row],[Task Name]]="","",IF(OR(TakeBaseline="Yes",N(Tasks[[#This Row],[Baseline Duration]])=0),Tasks[[#This Row],[_SpanDays]],Tasks[[#This Row],[Baseline Duration]]))</f>
        <v/>
      </c>
      <c r="BP124" s="86" t="str">
        <f aca="false">IF(Tasks[[#This Row],[Task Name]]="","",IF(OR(TakeBaseline="Yes",N(Tasks[[#This Row],[Baseline Work]])=0),Tasks[[#This Row],[Work]],Tasks[[#This Row],[Baseline Work]]))</f>
        <v/>
      </c>
      <c r="BQ124" s="7"/>
      <c r="BR124" s="7"/>
      <c r="BS124" s="22"/>
      <c r="BT124" s="88"/>
      <c r="BU124" s="23"/>
      <c r="BV124" s="23"/>
      <c r="BW124" s="23"/>
      <c r="BX124" s="89" t="str">
        <f aca="false">IF(AND(Tasks[[#This Row],[_IsLeaf]]=1,ISNUMBER(Tasks[[#This Row],[Optimistic]]),ISNUMBER(Tasks[[#This Row],[Pessimistic]])),ROUND((Tasks[[#This Row],[Optimistic]]+4*N(Tasks[[#This Row],[_Days]])+Tasks[[#This Row],[Pessimistic]])/6,1),"")</f>
        <v/>
      </c>
      <c r="BY124" s="87"/>
      <c r="BZ124" s="87"/>
      <c r="CA124" s="22"/>
      <c r="CB124" s="43" t="str">
        <f aca="false">IF(Tasks[[#This Row],[Task Name]]="","",MAX(1,N(Tasks[[#This Row],[Level]])))</f>
        <v/>
      </c>
      <c r="CC124" s="43" t="n">
        <f aca="false">ROW()-ROW(Tasks[[#Headers],[ID]])</f>
        <v>119</v>
      </c>
      <c r="CD124" s="43" t="n">
        <f aca="false">IF(OR(Tasks[[#This Row],[Task Name]]="",Tasks[[#This Row],[_Level]]&lt;=1),0,IFERROR(LOOKUP(2,1/(Tasks[[#Headers],[_Level]]:Tasks[[#This Row],[_Level]]=Tasks[[#This Row],[_Level]]-1),ROW(Tasks[[#Headers],[_Level]]:Tasks[[#This Row],[_Level]])),0))</f>
        <v>0</v>
      </c>
      <c r="CE124" s="43" t="n">
        <f aca="false">IFERROR(N(INDEX(Tasks[_Level],Tasks[[#This Row],[_Row]]+1)),0)</f>
        <v>0</v>
      </c>
      <c r="CF124" s="90" t="b">
        <f aca="false">AND(Tasks[[#This Row],[Task Name]]&lt;&gt;"",Tasks[[#This Row],[_NextLevel]]&gt;Tasks[[#This Row],[_Level]])</f>
        <v>0</v>
      </c>
      <c r="CG124" s="43" t="n">
        <f aca="false">IF(Tasks[[#This Row],[_IsSummary]],COUNTIF(Tasks[WBS],Tasks[[#This Row],[WBS]]&amp;".*"),0)</f>
        <v>0</v>
      </c>
      <c r="CH124" s="43" t="n">
        <f aca="false">IF(AND(Tasks[[#This Row],[Task Name]]&lt;&gt;"",NOT(Tasks[[#This Row],[_IsSummary]])),1,0)</f>
        <v>0</v>
      </c>
      <c r="CI124" s="43" t="n">
        <f aca="false">IF(N(Tasks[[#This Row],[_Pred1UID]])=0,0,IFERROR(MATCH(Tasks[[#This Row],[_Pred1UID]],Tasks[UID],0),-1))</f>
        <v>0</v>
      </c>
      <c r="CJ124" s="43" t="n">
        <f aca="false">IF(N(Tasks[[#This Row],[_Pred2UID]])=0,0,IFERROR(MATCH(Tasks[[#This Row],[_Pred2UID]],Tasks[UID],0),-1))</f>
        <v>0</v>
      </c>
      <c r="CK124" s="43" t="n">
        <f aca="false">IF(N(Tasks[[#This Row],[_Pred3UID]])=0,0,IFERROR(MATCH(Tasks[[#This Row],[_Pred3UID]],Tasks[UID],0),-1))</f>
        <v>0</v>
      </c>
      <c r="CL124" s="43" t="n">
        <f aca="false">IF(N(Tasks[[#This Row],[_Pred4UID]])=0,0,IFERROR(MATCH(Tasks[[#This Row],[_Pred4UID]],Tasks[UID],0),-1))</f>
        <v>0</v>
      </c>
      <c r="CM12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4" s="91" t="n">
        <f aca="false">IF(OR(Tasks[[#This Row],[_ConstraintCode]]=2,Tasks[[#This Row],[_ConstraintCode]]=3,Tasks[[#This Row],[_ConstraintCode]]=4,Tasks[[#This Row],[_ConstraintCode]]=6),Tasks[[#This Row],[_ConstraintStart]],0)</f>
        <v>0</v>
      </c>
      <c r="CP124" s="91" t="n">
        <f aca="false">IF(OR(Tasks[[#This Row],[_ConstraintCode]]=2,Tasks[[#This Row],[_ConstraintCode]]=3,Tasks[[#This Row],[_ConstraintCode]]=5,Tasks[[#This Row],[_ConstraintCode]]=7),Tasks[[#This Row],[_ConstraintStart]],2958465)</f>
        <v>2958465</v>
      </c>
      <c r="CQ12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4" s="91" t="str">
        <f aca="false">IF(NOT(Tasks[[#This Row],[_IsLeaf]]=1),"",IF(N(Tasks[[#This Row],[_Days]])&lt;=0,Tasks[[#This Row],[_LeafCalcStart]],WORKDAY.INTL(Tasks[[#This Row],[_LeafCalcStart]],Tasks[[#This Row],[_Days]]-1,WorkWeek,Holidays)))</f>
        <v/>
      </c>
      <c r="CS12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4" s="43" t="str">
        <f aca="false">IF(Tasks[[#This Row],[_Predecessors]]="","",TRIM(MID(SUBSTITUTE(SUBSTITUTE(SUBSTITUTE(UPPER(Tasks[[#This Row],[_Predecessors]]),";",",")," ",""),",",REPT(" ",99)),1,99)))</f>
        <v/>
      </c>
      <c r="CV124" s="43" t="str">
        <f aca="false">IF(Tasks[[#This Row],[_Pred1Text]]="","",IFERROR(VALUE(LEFT(Tasks[[#This Row],[_Pred1Text]],MIN(FIND("F",Tasks[[#This Row],[_Pred1Text]]&amp;"F"),FIND("S",Tasks[[#This Row],[_Pred1Text]]&amp;"S"),FIND("+",Tasks[[#This Row],[_Pred1Text]]&amp;"+"),FIND("-",Tasks[[#This Row],[_Pred1Text]]&amp;"-"))-1)),""))</f>
        <v/>
      </c>
      <c r="CW1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4" s="43" t="str">
        <f aca="false">IF(Tasks[[#This Row],[_Pred1Text]]="","",TRIM(MID(SUBSTITUTE(SUBSTITUTE(SUBSTITUTE(UPPER(Tasks[[#This Row],[_Predecessors]]),";",",")," ",""),",",REPT(" ",99)),100,99)))</f>
        <v/>
      </c>
      <c r="CZ124" s="43" t="str">
        <f aca="false">IF(Tasks[[#This Row],[_Pred2Text]]="","",IFERROR(VALUE(LEFT(Tasks[[#This Row],[_Pred2Text]],MIN(FIND("F",Tasks[[#This Row],[_Pred2Text]]&amp;"F"),FIND("S",Tasks[[#This Row],[_Pred2Text]]&amp;"S"),FIND("+",Tasks[[#This Row],[_Pred2Text]]&amp;"+"),FIND("-",Tasks[[#This Row],[_Pred2Text]]&amp;"-"))-1)),""))</f>
        <v/>
      </c>
      <c r="DA1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4" s="43" t="str">
        <f aca="false">IF(Tasks[[#This Row],[_Pred2Text]]="","",TRIM(MID(SUBSTITUTE(SUBSTITUTE(SUBSTITUTE(UPPER(Tasks[[#This Row],[_Predecessors]]),";",",")," ",""),",",REPT(" ",99)),199,99)))</f>
        <v/>
      </c>
      <c r="DD124" s="43" t="str">
        <f aca="false">IF(Tasks[[#This Row],[_Pred3Text]]="","",IFERROR(VALUE(LEFT(Tasks[[#This Row],[_Pred3Text]],MIN(FIND("F",Tasks[[#This Row],[_Pred3Text]]&amp;"F"),FIND("S",Tasks[[#This Row],[_Pred3Text]]&amp;"S"),FIND("+",Tasks[[#This Row],[_Pred3Text]]&amp;"+"),FIND("-",Tasks[[#This Row],[_Pred3Text]]&amp;"-"))-1)),""))</f>
        <v/>
      </c>
      <c r="DE1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4" s="43" t="str">
        <f aca="false">IF(Tasks[[#This Row],[_Pred3Text]]="","",TRIM(MID(SUBSTITUTE(SUBSTITUTE(SUBSTITUTE(UPPER(Tasks[[#This Row],[_Predecessors]]),";",",")," ",""),",",REPT(" ",99)),298,99)))</f>
        <v/>
      </c>
      <c r="DH124" s="43" t="str">
        <f aca="false">IF(Tasks[[#This Row],[_Pred4Text]]="","",IFERROR(VALUE(LEFT(Tasks[[#This Row],[_Pred4Text]],MIN(FIND("F",Tasks[[#This Row],[_Pred4Text]]&amp;"F"),FIND("S",Tasks[[#This Row],[_Pred4Text]]&amp;"S"),FIND("+",Tasks[[#This Row],[_Pred4Text]]&amp;"+"),FIND("-",Tasks[[#This Row],[_Pred4Text]]&amp;"-"))-1)),""))</f>
        <v/>
      </c>
      <c r="DI1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4" s="43" t="str">
        <f aca="false">IF(OR(Tasks[[#This Row],[Task Name]]="",Tasks[[#This Row],[_Resources]]=""),"",TRIM(MID(SUBSTITUTE(Tasks[[#This Row],[_Resources]],",",REPT(" ",99)),1,99)))</f>
        <v/>
      </c>
      <c r="DL124" s="43" t="str">
        <f aca="false">IF(Tasks[[#This Row],[_Res1Text]]="","",TRIM(MID(SUBSTITUTE(Tasks[[#This Row],[_Resources]],",",REPT(" ",99)),100,99)))</f>
        <v/>
      </c>
      <c r="DM124" s="43" t="str">
        <f aca="false">IF(Tasks[[#This Row],[_Res2Text]]="","",TRIM(MID(SUBSTITUTE(Tasks[[#This Row],[_Resources]],",",REPT(" ",99)),199,99)))</f>
        <v/>
      </c>
      <c r="DN124" s="43" t="str">
        <f aca="false">IF(Tasks[[#This Row],[_Res3Text]]="","",TRIM(MID(SUBSTITUTE(Tasks[[#This Row],[_Resources]],",",REPT(" ",99)),298,99)))</f>
        <v/>
      </c>
      <c r="DO124" s="43" t="n">
        <f aca="false">IF(Tasks[[#This Row],[_Res1Text]]="",0,IFERROR(MATCH(TRIM(LEFT(Tasks[[#This Row],[_Res1Text]],FIND("[",Tasks[[#This Row],[_Res1Text]]&amp;"[")-1)),res_Name,0),IFERROR(MATCH(TRIM(LEFT(Tasks[[#This Row],[_Res1Text]],FIND("[",Tasks[[#This Row],[_Res1Text]]&amp;"[")-1)),res_Initials,0),0)))</f>
        <v>0</v>
      </c>
      <c r="DP124" s="43" t="n">
        <f aca="false">IF(Tasks[[#This Row],[_Res2Text]]="",0,IFERROR(MATCH(TRIM(LEFT(Tasks[[#This Row],[_Res2Text]],FIND("[",Tasks[[#This Row],[_Res2Text]]&amp;"[")-1)),res_Name,0),IFERROR(MATCH(TRIM(LEFT(Tasks[[#This Row],[_Res2Text]],FIND("[",Tasks[[#This Row],[_Res2Text]]&amp;"[")-1)),res_Initials,0),0)))</f>
        <v>0</v>
      </c>
      <c r="DQ124" s="43" t="n">
        <f aca="false">IF(Tasks[[#This Row],[_Res3Text]]="",0,IFERROR(MATCH(TRIM(LEFT(Tasks[[#This Row],[_Res3Text]],FIND("[",Tasks[[#This Row],[_Res3Text]]&amp;"[")-1)),res_Name,0),IFERROR(MATCH(TRIM(LEFT(Tasks[[#This Row],[_Res3Text]],FIND("[",Tasks[[#This Row],[_Res3Text]]&amp;"[")-1)),res_Initials,0),0)))</f>
        <v>0</v>
      </c>
      <c r="DR124" s="43" t="n">
        <f aca="false">IF(Tasks[[#This Row],[_Res4Text]]="",0,IFERROR(MATCH(TRIM(LEFT(Tasks[[#This Row],[_Res4Text]],FIND("[",Tasks[[#This Row],[_Res4Text]]&amp;"[")-1)),res_Name,0),IFERROR(MATCH(TRIM(LEFT(Tasks[[#This Row],[_Res4Text]],FIND("[",Tasks[[#This Row],[_Res4Text]]&amp;"[")-1)),res_Initials,0),0)))</f>
        <v>0</v>
      </c>
      <c r="DS124" s="43" t="str">
        <f aca="false">IF(Tasks[[#This Row],[_Res1Text]]="","",IF(Tasks[[#This Row],[_Res1Row]]&gt;0,INDEX(res_Name,Tasks[[#This Row],[_Res1Row]]),TRIM(LEFT(Tasks[[#This Row],[_Res1Text]],FIND("[",Tasks[[#This Row],[_Res1Text]]&amp;"[")-1))))</f>
        <v/>
      </c>
      <c r="DT1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4" s="43" t="n">
        <f aca="false">IF(NOT(Tasks[[#This Row],[_IsLeaf]]=1),0,(Tasks[[#This Row],[_Resource1]]&lt;&gt;"")+(Tasks[[#This Row],[_Res2]]&lt;&gt;"")+(Tasks[[#This Row],[_Res3]]&lt;&gt;"")+(Tasks[[#This Row],[_Res4]]&lt;&gt;""))</f>
        <v>0</v>
      </c>
      <c r="DV124" s="43" t="str">
        <f aca="false">IF(Tasks[[#This Row],[_Res2Text]]="","",IF(Tasks[[#This Row],[_Res2Row]]&gt;0,INDEX(res_Name,Tasks[[#This Row],[_Res2Row]]),TRIM(LEFT(Tasks[[#This Row],[_Res2Text]],FIND("[",Tasks[[#This Row],[_Res2Text]]&amp;"[")-1))))</f>
        <v/>
      </c>
      <c r="DW1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4" s="43" t="n">
        <f aca="false">IF(OR(NOT(Tasks[[#This Row],[_IsLeaf]]=1),Tasks[[#This Row],[_Res2Row]]=0),0,N(Tasks[[#This Row],[_Days]])*HoursPerDay*IF(Tasks[[#This Row],[_Res2Units]]="",DefaultUnits,Tasks[[#This Row],[_Res2Units]]))</f>
        <v>0</v>
      </c>
      <c r="DY124" s="43" t="n">
        <f aca="false">IF(AND(AND(Tasks[[#This Row],[_IsLeaf]]=1,Tasks[[#This Row],[_LeafTotalWork]]&gt;0),Tasks[[#This Row],[_Res2Work]]&gt;0),Tasks[[#This Row],[_Res2Work]]/(Tasks[[#This Row],[_FinishWorkday]]-Tasks[[#This Row],[_StartWorkday]]+1),0)</f>
        <v>0</v>
      </c>
      <c r="DZ124" s="43" t="n">
        <f aca="false">Tasks[[#This Row],[_Res2WorkPerWD]]*MAX(0,Tasks[[#This Row],[_StartWorkday]]-1)</f>
        <v>0</v>
      </c>
      <c r="EA124" s="43" t="n">
        <f aca="false">Tasks[[#This Row],[_Res2Work]]*Tasks[[#This Row],[_LeafProgress]]</f>
        <v>0</v>
      </c>
      <c r="EB124" s="43" t="str">
        <f aca="false">IF(Tasks[[#This Row],[_Res3Text]]="","",IF(Tasks[[#This Row],[_Res3Row]]&gt;0,INDEX(res_Name,Tasks[[#This Row],[_Res3Row]]),TRIM(LEFT(Tasks[[#This Row],[_Res3Text]],FIND("[",Tasks[[#This Row],[_Res3Text]]&amp;"[")-1))))</f>
        <v/>
      </c>
      <c r="EC1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4" s="43" t="n">
        <f aca="false">IF(OR(NOT(Tasks[[#This Row],[_IsLeaf]]=1),Tasks[[#This Row],[_Res3Row]]=0),0,N(Tasks[[#This Row],[_Days]])*HoursPerDay*IF(Tasks[[#This Row],[_Res3Units]]="",DefaultUnits,Tasks[[#This Row],[_Res3Units]]))</f>
        <v>0</v>
      </c>
      <c r="EE124" s="43" t="n">
        <f aca="false">IF(AND(AND(Tasks[[#This Row],[_IsLeaf]]=1,Tasks[[#This Row],[_LeafTotalWork]]&gt;0),Tasks[[#This Row],[_Res3Work]]&gt;0),Tasks[[#This Row],[_Res3Work]]/(Tasks[[#This Row],[_FinishWorkday]]-Tasks[[#This Row],[_StartWorkday]]+1),0)</f>
        <v>0</v>
      </c>
      <c r="EF124" s="43" t="n">
        <f aca="false">Tasks[[#This Row],[_Res3WorkPerWD]]*MAX(0,Tasks[[#This Row],[_StartWorkday]]-1)</f>
        <v>0</v>
      </c>
      <c r="EG124" s="43" t="n">
        <f aca="false">Tasks[[#This Row],[_Res3Work]]*Tasks[[#This Row],[_LeafProgress]]</f>
        <v>0</v>
      </c>
      <c r="EH124" s="43" t="str">
        <f aca="false">IF(Tasks[[#This Row],[_Res4Text]]="","",IF(Tasks[[#This Row],[_Res4Row]]&gt;0,INDEX(res_Name,Tasks[[#This Row],[_Res4Row]]),TRIM(LEFT(Tasks[[#This Row],[_Res4Text]],FIND("[",Tasks[[#This Row],[_Res4Text]]&amp;"[")-1))))</f>
        <v/>
      </c>
      <c r="EI1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4" s="43" t="n">
        <f aca="false">IF(OR(NOT(Tasks[[#This Row],[_IsLeaf]]=1),Tasks[[#This Row],[_Res4Row]]=0),0,N(Tasks[[#This Row],[_Days]])*HoursPerDay*IF(Tasks[[#This Row],[_Res4Units]]="",DefaultUnits,Tasks[[#This Row],[_Res4Units]]))</f>
        <v>0</v>
      </c>
      <c r="EK124" s="43" t="n">
        <f aca="false">IF(AND(AND(Tasks[[#This Row],[_IsLeaf]]=1,Tasks[[#This Row],[_LeafTotalWork]]&gt;0),Tasks[[#This Row],[_Res4Work]]&gt;0),Tasks[[#This Row],[_Res4Work]]/(Tasks[[#This Row],[_FinishWorkday]]-Tasks[[#This Row],[_StartWorkday]]+1),0)</f>
        <v>0</v>
      </c>
      <c r="EL124" s="43" t="n">
        <f aca="false">Tasks[[#This Row],[_Res4WorkPerWD]]*MAX(0,Tasks[[#This Row],[_StartWorkday]]-1)</f>
        <v>0</v>
      </c>
      <c r="EM124" s="43" t="n">
        <f aca="false">Tasks[[#This Row],[_Res4Work]]*Tasks[[#This Row],[_LeafProgress]]</f>
        <v>0</v>
      </c>
      <c r="EN124" s="43" t="n">
        <f aca="false">IF(ISNUMBER(Tasks[[#This Row],[% Complete]]),Tasks[[#This Row],[% Complete]],IF(Tasks[[#This Row],[Stage]]="",0,IFERROR(INDEX(stg_Pct,MATCH(Tasks[[#This Row],[Stage]],stg_Name,0)),0)))</f>
        <v>0</v>
      </c>
      <c r="EO124" s="43" t="n">
        <f aca="false">IF(NOT(Tasks[[#This Row],[_IsLeaf]]=1),0,IF(N(Tasks[[#This Row],[Actual Finish]])&gt;0,1,MIN(1,Tasks[[#This Row],[_Pct]])))</f>
        <v>0</v>
      </c>
      <c r="EP124" s="43" t="n">
        <f aca="false">IF(OR(NOT(Tasks[[#This Row],[_IsLeaf]]=1),Tasks[[#This Row],[_Res1Row]]=0),0,N(Tasks[[#This Row],[_Days]])*HoursPerDay*IF(Tasks[[#This Row],[_Units1]]="",DefaultUnits,Tasks[[#This Row],[_Units1]]))</f>
        <v>0</v>
      </c>
      <c r="EQ124" s="43" t="n">
        <f aca="false">Tasks[[#This Row],[_LeafWork]]+Tasks[[#This Row],[_Res2Work]]+Tasks[[#This Row],[_Res3Work]]+Tasks[[#This Row],[_Res4Work]]</f>
        <v>0</v>
      </c>
      <c r="ER12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4" s="43" t="n">
        <f aca="false">IF(NOT(Tasks[[#This Row],[_IsLeaf]]=1),0,MAX(_xlfn.MAXIFS(Tasks[_Row],Tasks[_Pred1UID],Tasks[[#This Row],[UID]]),_xlfn.MAXIFS(Tasks[_Row],Tasks[_Pred2UID],Tasks[[#This Row],[UID]]),_xlfn.MAXIFS(Tasks[_Row],Tasks[_Pred3UID],Tasks[[#This Row],[UID]]),_xlfn.MAXIFS(Tasks[_Row],Tasks[_Pred4UID],Tasks[[#This Row],[UID]])))</f>
        <v>0</v>
      </c>
      <c r="FA12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4" s="91" t="str">
        <f aca="false">IF(NOT(Tasks[[#This Row],[_IsLeaf]]=1),"",IF(N(Tasks[[#This Row],[_Days]])&lt;=0,Tasks[[#This Row],[_LeafLateFinish]],WORKDAY.INTL(Tasks[[#This Row],[_LeafLateFinish]],-(Tasks[[#This Row],[_Days]]-1),WorkWeek,Holidays)))</f>
        <v/>
      </c>
      <c r="FD12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4" s="90" t="b">
        <f aca="false">AND(Tasks[[#This Row],[_IsLeaf]]=1,Tasks[[#This Row],[_LeafProgress]]&lt;1,N(Tasks[[#This Row],[_LeafTotalSlack]])&lt;=CriticalSlackDays)</f>
        <v>0</v>
      </c>
      <c r="FF124" s="43" t="n">
        <f aca="false">IF(AND(Tasks[[#This Row],[_IsLeaf]]=1,Tasks[[#This Row],[_ConstraintCode]]=1,Tasks[[#This Row],[Mode]]&lt;&gt;"Manual",N(Tasks[[#This Row],[Actual Start]])=0),MAX(0,N(Tasks[[#This Row],[Free Slack]])),0)</f>
        <v>0</v>
      </c>
      <c r="FG124" s="91" t="str">
        <f aca="false">IF(NOT(Tasks[[#This Row],[_IsLeaf]]=1),"",IF(Tasks[[#This Row],[_AlapShift]]=0,Tasks[[#This Row],[_LeafCalcStart]],WORKDAY.INTL(Tasks[[#This Row],[_LeafCalcStart]],Tasks[[#This Row],[_AlapShift]],WorkWeek,Holidays)))</f>
        <v/>
      </c>
      <c r="FH124" s="91" t="str">
        <f aca="false">IF(NOT(Tasks[[#This Row],[_IsLeaf]]=1),"",IF(Tasks[[#This Row],[_AlapShift]]=0,Tasks[[#This Row],[_LeafCalcFinish]],WORKDAY.INTL(Tasks[[#This Row],[_LeafCalcFinish]],Tasks[[#This Row],[_AlapShift]],WorkWeek,Holidays)))</f>
        <v/>
      </c>
      <c r="FI124" s="91" t="str">
        <f aca="false">IF(NOT(Tasks[[#This Row],[_IsLeaf]]=1),"",IF(Tasks[[#This Row],[_AlapShift]]=0,Tasks[[#This Row],[_LeafFcstStart]],WORKDAY.INTL(Tasks[[#This Row],[_LeafFcstStart]],Tasks[[#This Row],[_AlapShift]],WorkWeek,Holidays)))</f>
        <v/>
      </c>
      <c r="FJ124" s="91" t="str">
        <f aca="false">IF(NOT(Tasks[[#This Row],[_IsLeaf]]=1),"",IF(Tasks[[#This Row],[_AlapShift]]=0,Tasks[[#This Row],[_LeafFcstFinish]],WORKDAY.INTL(Tasks[[#This Row],[_LeafFcstFinish]],Tasks[[#This Row],[_AlapShift]],WorkWeek,Holidays)))</f>
        <v/>
      </c>
      <c r="FK124" s="91" t="str">
        <f aca="false">IF(Tasks[[#This Row],[Task Name]]="","",IF(Tasks[[#This Row],[_IsSummary]],MIN(INDEX(Tasks[_ShownCalcStart],Tasks[[#This Row],[_Row]]+1):INDEX(Tasks[_ShownCalcStart],Tasks[[#This Row],[_Row]]+Tasks[[#This Row],[_Descendants]])),Tasks[[#This Row],[_ShownCalcStart]]))</f>
        <v/>
      </c>
      <c r="FL124" s="91" t="str">
        <f aca="false">IF(Tasks[[#This Row],[Task Name]]="","",IF(Tasks[[#This Row],[_IsSummary]],MAX(INDEX(Tasks[_ShownCalcFinish],Tasks[[#This Row],[_Row]]+1):INDEX(Tasks[_ShownCalcFinish],Tasks[[#This Row],[_Row]]+Tasks[[#This Row],[_Descendants]])),Tasks[[#This Row],[_ShownCalcFinish]]))</f>
        <v/>
      </c>
      <c r="FM1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4" s="43" t="n">
        <f aca="false">IF(AND(Tasks[[#This Row],[_IsLeaf]]=1,Tasks[[#This Row],[_LeafTotalWork]]&gt;0),NETWORKDAYS.INTL(ProjectStart,Tasks[[#This Row],[_ShownFcstStart]],WorkWeek,Holidays),0)</f>
        <v>0</v>
      </c>
      <c r="FZ124" s="43" t="n">
        <f aca="false">IF(AND(Tasks[[#This Row],[_IsLeaf]]=1,Tasks[[#This Row],[_LeafTotalWork]]&gt;0),MAX(Tasks[[#This Row],[_StartWorkday]],NETWORKDAYS.INTL(ProjectStart,Tasks[[#This Row],[_ShownFcstFinish]],WorkWeek,Holidays)),0)</f>
        <v>0</v>
      </c>
      <c r="GA124" s="43" t="n">
        <f aca="false">IF(AND(Tasks[[#This Row],[_IsLeaf]]=1,Tasks[[#This Row],[_LeafTotalWork]]&gt;0),Tasks[[#This Row],[_LeafWork]]/(Tasks[[#This Row],[_FinishWorkday]]-Tasks[[#This Row],[_StartWorkday]]+1),0)</f>
        <v>0</v>
      </c>
      <c r="GB124" s="43" t="n">
        <f aca="false">Tasks[[#This Row],[_WorkPerWorkday]]*(Tasks[[#This Row],[_StartWorkday]]-1)</f>
        <v>-0</v>
      </c>
      <c r="GC124" s="43" t="n">
        <f aca="false">IF(Tasks[[#This Row],[_IsLeaf]]=1,MAX(N(Tasks[[#This Row],[_Days]]),0.1),0)</f>
        <v>0</v>
      </c>
      <c r="GD124" s="43" t="n">
        <f aca="false">Tasks[[#This Row],[_WeightDur]]*Tasks[[#This Row],[_LeafProgress]]</f>
        <v>0</v>
      </c>
      <c r="GE124" s="43" t="n">
        <f aca="false">Tasks[[#This Row],[_WeightDur]]*Tasks[[#This Row],[_PlannedPct]]</f>
        <v>0</v>
      </c>
      <c r="GF1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4" s="43" t="str">
        <f aca="false">IF(AND(Tasks[[#This Row],[_IsLeaf]]=1,N(Tasks[[#This Row],[_Days]])=0,Tasks[[#This Row],[_LeafProgress]]&lt;1),Tasks[[#This Row],[_ShownFcstFinish]]+Tasks[[#This Row],[_Row]]/100000,"")</f>
        <v/>
      </c>
      <c r="GH1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4" s="43" t="str">
        <f aca="false">IF(Tasks[[#This Row],[Task Name]]="","",LEFT(Tasks[[#This Row],[WBS]],FIND(".",Tasks[[#This Row],[WBS]]&amp;".")-1))</f>
        <v/>
      </c>
      <c r="GJ124" s="43" t="str">
        <f aca="false">IF(AND(Tasks[[#This Row],[Task Name]]&lt;&gt;"",Tasks[[#This Row],[_Level]]=1),Tasks[[#This Row],[_Row]],"")</f>
        <v/>
      </c>
      <c r="GK124" s="43" t="str">
        <f aca="false">IF(AND(Tasks[[#This Row],[_IsLeaf]]=1,N(Tasks[[#This Row],[_Days]])=0),Tasks[[#This Row],[Planned Finish]]+Tasks[[#This Row],[_Row]]/100000,"")</f>
        <v/>
      </c>
      <c r="GL124" s="43" t="str">
        <f aca="false">IF(AND(Tasks[[#This Row],[_IsLeaf]]=1,Tasks[[#This Row],[_LeafProgress]]&lt;1,OR(N(Tasks[[#This Row],[Finish Var]])&gt;0,Tasks[[#This Row],[Status]]="Late Start")),MAX(0,Tasks[[#This Row],[Finish Var]])+1-Tasks[[#This Row],[_Row]]/1000000,"")</f>
        <v/>
      </c>
      <c r="GM124" s="43" t="str">
        <f aca="false">IF(AND(Tasks[[#This Row],[_IsLeaf]]=1,N(Tasks[[#This Row],[Actual Start]])=0,Tasks[[#This Row],[_ShownFcstStart]]&gt;=StatusDate,Tasks[[#This Row],[_ShownFcstStart]]&lt;=LookaheadEnd),Tasks[[#This Row],[_ShownFcstStart]]+Tasks[[#This Row],[_Row]]/100000,"")</f>
        <v/>
      </c>
      <c r="GN124" s="43" t="str">
        <f aca="false">IF(AND(Tasks[[#This Row],[_IsLeaf]]=1,Tasks[[#This Row],[_LeafProgress]]&lt;1,Tasks[[#This Row],[_ShownFcstFinish]]&gt;=StatusDate,Tasks[[#This Row],[_ShownFcstFinish]]&lt;=LookaheadEnd),Tasks[[#This Row],[_ShownFcstFinish]]+Tasks[[#This Row],[_Row]]/100000,"")</f>
        <v/>
      </c>
      <c r="GO124" s="43" t="str">
        <f aca="false">IF(Tasks[[#This Row],[_LeafCritical]],Tasks[[#This Row],[_ShownFcstStart]]+Tasks[[#This Row],[_Row]]/100000,"")</f>
        <v/>
      </c>
      <c r="GP124" s="43" t="n">
        <f aca="false">Tasks[[#This Row],[_LeafWork]]*Tasks[[#This Row],[_LeafProgress]]</f>
        <v>0</v>
      </c>
      <c r="GQ124" s="91" t="str">
        <f aca="false">IF(AND(Tasks[[#This Row],[_IsLeaf]]=1,Tasks[[#This Row],[_LeafProgress]]&gt;=1),IF(N(Tasks[[#This Row],[Actual Finish]])&gt;0,Tasks[[#This Row],[Actual Finish]],Tasks[[#This Row],[_ShownFcstFinish]]),"")</f>
        <v/>
      </c>
      <c r="GR124" s="43" t="n">
        <f aca="false">IF(Tasks[[#This Row],[_IsLeaf]]=1,N(Tasks[[#This Row],[Story Points]]),0)</f>
        <v>0</v>
      </c>
      <c r="GS124" s="43" t="str">
        <f aca="false">""</f>
        <v/>
      </c>
      <c r="GT124" s="90" t="b">
        <f aca="false">IF(Tasks[[#This Row],[Task Name]]="",FALSE(),AND(Tasks[[#This Row],[_IsLeaf]]=1,N(Tasks[[#This Row],[_Days]])=0))</f>
        <v>0</v>
      </c>
      <c r="GU124" s="91" t="n">
        <f aca="false">IF(Tasks[[#This Row],[Task Name]]="",0,IF(AND(Tasks[[#This Row],[_IsLeaf]]=1,NOT(Tasks[[#This Row],[_IsMilestone]]),N(Tasks[[#This Row],[Progress]])&gt;0),Tasks[[#This Row],[Start]],0))</f>
        <v>0</v>
      </c>
      <c r="GV124" s="91" t="n">
        <f aca="false">IF(Tasks[[#This Row],[_DoneFrom]]=0,0,IF(Tasks[[#This Row],[Progress]]&gt;=1,Tasks[[#This Row],[Finish]],MAX(Tasks[[#This Row],[_DoneFrom]],Tasks[[#This Row],[Start]]+ROUND((Tasks[[#This Row],[Finish]]-Tasks[[#This Row],[Start]]+1)*Tasks[[#This Row],[Progress]],0)-1)))</f>
        <v>0</v>
      </c>
      <c r="GW124" s="91" t="n">
        <f aca="false">IF(Tasks[[#This Row],[Task Name]]="",0,IF(OR(NOT(Tasks[[#This Row],[_IsLeaf]]=1),Tasks[[#This Row],[_IsMilestone]],N(Tasks[[#This Row],[Progress]])&gt;=1),0,IF(Tasks[[#This Row],[_DoneTo]]&gt;0,Tasks[[#This Row],[_DoneTo]]+1,Tasks[[#This Row],[Start]])))</f>
        <v>0</v>
      </c>
      <c r="GX124" s="91" t="n">
        <f aca="false">IF(Tasks[[#This Row],[_RemFrom]]=0,0,Tasks[[#This Row],[Finish]])</f>
        <v>0</v>
      </c>
      <c r="GY124" s="90" t="b">
        <f aca="false">IF(Tasks[[#This Row],[Task Name]]="",FALSE(),OR(NOT(BaselineSet),N(Tasks[[#This Row],[Baseline Start]])&gt;0))</f>
        <v>0</v>
      </c>
      <c r="GZ12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4" s="92" t="str">
        <f aca="false">IF(Tasks[[#This Row],[_IsLeaf]]=1,Tasks[[#This Row],[_Row]],"")</f>
        <v/>
      </c>
      <c r="HD124" s="92" t="str">
        <f aca="false">IFERROR(INDEX(Tasks[UID],SMALL(Tasks[_PickKey],Tasks[[#This Row],[_Row]]))&amp;" "&amp;INDEX(Tasks[Task Name],SMALL(Tasks[_PickKey],Tasks[[#This Row],[_Row]])),"")</f>
        <v/>
      </c>
      <c r="HE124" s="43" t="str">
        <f aca="false">IF(Tasks[[#This Row],[Task Name]]="","",IF(Tasks[[#This Row],[_IsSummary]],NETWORKDAYS.INTL(Tasks[[#This Row],[Start]],Tasks[[#This Row],[Finish]],WorkWeek,Holidays),N(Tasks[[#This Row],[_Days]])))</f>
        <v/>
      </c>
      <c r="HF124" s="43" t="n">
        <f aca="false">IF(Tasks[[#This Row],[Expected]]="",0,((Tasks[[#This Row],[Pessimistic]]-Tasks[[#This Row],[Optimistic]])/6)^2)</f>
        <v>0</v>
      </c>
      <c r="HG124" s="43" t="n">
        <f aca="false">IF(Tasks[[#This Row],[Expected]]="",0,Tasks[[#This Row],[Expected]]-N(Tasks[[#This Row],[_Days]]))</f>
        <v>0</v>
      </c>
    </row>
    <row r="125" customFormat="false" ht="15" hidden="false" customHeight="false" outlineLevel="0" collapsed="false">
      <c r="A125" s="21" t="str">
        <f aca="false">IF(Tasks[[#This Row],[Task Name]]="","",COUNTA(Tasks[[#Headers],[Task Name]]:Tasks[[#This Row],[Task Name]])-1)</f>
        <v/>
      </c>
      <c r="B125" s="22" t="n">
        <v>133</v>
      </c>
      <c r="C125" s="22"/>
      <c r="D125" s="23"/>
      <c r="E125" s="22"/>
      <c r="F125" s="23"/>
      <c r="G125" s="22"/>
      <c r="H125" s="22"/>
      <c r="I125" s="23"/>
      <c r="J125" s="22"/>
      <c r="K125" s="22"/>
      <c r="L125" s="23"/>
      <c r="M125" s="22"/>
      <c r="N125" s="22"/>
      <c r="O125" s="23"/>
      <c r="P125" s="22"/>
      <c r="Q125" s="22"/>
      <c r="R125" s="23"/>
      <c r="S125" s="23"/>
      <c r="T125" s="84"/>
      <c r="U125" s="23"/>
      <c r="V125" s="84"/>
      <c r="W125" s="23"/>
      <c r="X125" s="84"/>
      <c r="Y125" s="23"/>
      <c r="Z125" s="84"/>
      <c r="AA125" s="23"/>
      <c r="AB125" s="23"/>
      <c r="AC125" s="7"/>
      <c r="AD125" s="7"/>
      <c r="AE125" s="63" t="str">
        <f aca="false">IF(Tasks[[#This Row],[Task Name]]="","",IF(Tasks[[#This Row],[_IsSummary]],MIN(INDEX(Tasks[_ShownFcstStart],Tasks[[#This Row],[_Row]]+1):INDEX(Tasks[_ShownFcstStart],Tasks[[#This Row],[_Row]]+Tasks[[#This Row],[_Descendants]])),Tasks[[#This Row],[_ShownFcstStart]]))</f>
        <v/>
      </c>
      <c r="AF125" s="63" t="str">
        <f aca="false">IF(Tasks[[#This Row],[Task Name]]="","",IF(Tasks[[#This Row],[_IsSummary]],MAX(INDEX(Tasks[_ShownFcstFinish],Tasks[[#This Row],[_Row]]+1):INDEX(Tasks[_ShownFcstFinish],Tasks[[#This Row],[_Row]]+Tasks[[#This Row],[_Descendants]])),Tasks[[#This Row],[_ShownFcstFinish]]))</f>
        <v/>
      </c>
      <c r="AG125" s="21" t="str">
        <f aca="false">""</f>
        <v/>
      </c>
      <c r="AH125" s="23"/>
      <c r="AI1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5" s="7"/>
      <c r="AK125" s="22"/>
      <c r="AL125" s="23"/>
      <c r="AM125" s="7"/>
      <c r="AN125" s="47" t="str">
        <f aca="false">IF(Tasks[[#This Row],[Task Name]]="","",IF(Tasks[[#This Row],[Finish]]&gt;=Tasks[[#This Row],[Planned Finish]],NETWORKDAYS.INTL(Tasks[[#This Row],[Planned Finish]],Tasks[[#This Row],[Finish]],WorkWeek,Holidays)-1,1-NETWORKDAYS.INTL(Tasks[[#This Row],[Finish]],Tasks[[#This Row],[Planned Finish]],WorkWeek,Holidays)))</f>
        <v/>
      </c>
      <c r="AO125" s="21" t="str">
        <f aca="false">IF(Tasks[[#This Row],[Task Name]]="","",IF(Tasks[[#This Row],[Progress]]&gt;=1,"Complete",IF(OR(N(Tasks[[#This Row],[Actual Start]])&gt;0,Tasks[[#This Row],[Progress]]&gt;0),IF(Tasks[[#This Row],[Finish Var]]&gt;0,"Behind","In Progress"),IF(Tasks[[#This Row],[Planned Start]]&lt;StatusDate,"Late Start","Not Started"))))</f>
        <v/>
      </c>
      <c r="AP125" s="21" t="str">
        <f aca="false">IF(Tasks[[#This Row],[Task Name]]="","",IF(IF(Tasks[[#This Row],[_IsSummary]],COUNTIF(INDEX(Tasks[_LeafCritical],Tasks[[#This Row],[_Row]]+1):INDEX(Tasks[_LeafCritical],Tasks[[#This Row],[_Row]]+Tasks[[#This Row],[_Descendants]]),TRUE())&gt;0,Tasks[[#This Row],[_LeafCritical]]),"Yes",""))</f>
        <v/>
      </c>
      <c r="AQ125" s="63" t="str">
        <f aca="false">IF(Tasks[[#This Row],[Task Name]]="","",IF(N(Tasks[[#This Row],[Baseline Start]])&gt;0,Tasks[[#This Row],[Baseline Start]],Tasks[[#This Row],[_CalcStart]]))</f>
        <v/>
      </c>
      <c r="AR125" s="63" t="str">
        <f aca="false">IF(Tasks[[#This Row],[Task Name]]="","",IF(N(Tasks[[#This Row],[Baseline Finish]])&gt;0,Tasks[[#This Row],[Baseline Finish]],Tasks[[#This Row],[_CalcFinish]]))</f>
        <v/>
      </c>
      <c r="AS125" s="47" t="str">
        <f aca="false">IF(Tasks[[#This Row],[Task Name]]="","",IF(Tasks[[#This Row],[Start]]&gt;=Tasks[[#This Row],[Planned Start]],NETWORKDAYS.INTL(Tasks[[#This Row],[Planned Start]],Tasks[[#This Row],[Start]],WorkWeek,Holidays)-1,1-NETWORKDAYS.INTL(Tasks[[#This Row],[Start]],Tasks[[#This Row],[Planned Start]],WorkWeek,Holidays)))</f>
        <v/>
      </c>
      <c r="AT125" s="63" t="str">
        <f aca="false">IF(Tasks[[#This Row],[Task Name]]="","",IF(Tasks[[#This Row],[_IsSummary]],MIN(INDEX(Tasks[_LeafLateStart],Tasks[[#This Row],[_Row]]+1):INDEX(Tasks[_LeafLateStart],Tasks[[#This Row],[_Row]]+Tasks[[#This Row],[_Descendants]])),Tasks[[#This Row],[_LeafLateStart]]))</f>
        <v/>
      </c>
      <c r="AU125" s="63" t="str">
        <f aca="false">IF(Tasks[[#This Row],[Task Name]]="","",IF(Tasks[[#This Row],[_IsSummary]],MAX(INDEX(Tasks[_LeafLateFinish],Tasks[[#This Row],[_Row]]+1):INDEX(Tasks[_LeafLateFinish],Tasks[[#This Row],[_Row]]+Tasks[[#This Row],[_Descendants]])),Tasks[[#This Row],[_LeafLateFinish]]))</f>
        <v/>
      </c>
      <c r="AV125" s="47" t="str">
        <f aca="false">IF(Tasks[[#This Row],[Task Name]]="","",IF(Tasks[[#This Row],[_IsSummary]],MIN(INDEX(Tasks[_LeafTotalSlack],Tasks[[#This Row],[_Row]]+1):INDEX(Tasks[_LeafTotalSlack],Tasks[[#This Row],[_Row]]+Tasks[[#This Row],[_Descendants]])),Tasks[[#This Row],[_LeafTotalSlack]]))</f>
        <v/>
      </c>
      <c r="AW1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5"/>
      <c r="BA12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t="str">
        <f aca="false">IF(Tasks[[#This Row],[Task Name]]="","",IF(Tasks[[#This Row],[_Level]]&lt;=OutlineShowLevel,"Yes","No"))</f>
        <v/>
      </c>
      <c r="BE125" s="86" t="str">
        <f aca="false">IF(Tasks[[#This Row],[Task Name]]="","",IF(Tasks[[#This Row],[_IsSummary]],SUM(INDEX(Tasks[_LeafTotalWork],Tasks[[#This Row],[_Row]]+1):INDEX(Tasks[_LeafTotalWork],Tasks[[#This Row],[_Row]]+Tasks[[#This Row],[_Descendants]])),Tasks[[#This Row],[_LeafTotalWork]]))</f>
        <v/>
      </c>
      <c r="BF125" s="23"/>
      <c r="BG1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t="str">
        <f aca="false">""</f>
        <v/>
      </c>
      <c r="BI125" s="87"/>
      <c r="BJ125" s="22"/>
      <c r="BK125" s="47" t="str">
        <f aca="false">IF(OR(Tasks[[#This Row],[Task Name]]="",Tasks[[#This Row],[Baseline Duration]]=""),"",Tasks[[#This Row],[_SpanDays]]-N(Tasks[[#This Row],[Baseline Duration]]))</f>
        <v/>
      </c>
      <c r="BL125" s="86" t="str">
        <f aca="false">IF(OR(Tasks[[#This Row],[Task Name]]="",Tasks[[#This Row],[Baseline Work]]=""),"",Tasks[[#This Row],[Work]]-N(Tasks[[#This Row],[Baseline Work]]))</f>
        <v/>
      </c>
      <c r="BM125" s="63" t="str">
        <f aca="false">IF(Tasks[[#This Row],[Task Name]]="","",IF(OR(TakeBaseline="Yes",N(Tasks[[#This Row],[Baseline Start]])=0),Tasks[[#This Row],[Start]],Tasks[[#This Row],[Baseline Start]]))</f>
        <v/>
      </c>
      <c r="BN125" s="63" t="str">
        <f aca="false">IF(Tasks[[#This Row],[Task Name]]="","",IF(OR(TakeBaseline="Yes",N(Tasks[[#This Row],[Baseline Finish]])=0),Tasks[[#This Row],[Finish]],Tasks[[#This Row],[Baseline Finish]]))</f>
        <v/>
      </c>
      <c r="BO125" s="21" t="str">
        <f aca="false">IF(Tasks[[#This Row],[Task Name]]="","",IF(OR(TakeBaseline="Yes",N(Tasks[[#This Row],[Baseline Duration]])=0),Tasks[[#This Row],[_SpanDays]],Tasks[[#This Row],[Baseline Duration]]))</f>
        <v/>
      </c>
      <c r="BP125" s="86" t="str">
        <f aca="false">IF(Tasks[[#This Row],[Task Name]]="","",IF(OR(TakeBaseline="Yes",N(Tasks[[#This Row],[Baseline Work]])=0),Tasks[[#This Row],[Work]],Tasks[[#This Row],[Baseline Work]]))</f>
        <v/>
      </c>
      <c r="BQ125" s="7"/>
      <c r="BR125" s="7"/>
      <c r="BS125" s="22"/>
      <c r="BT125" s="88"/>
      <c r="BU125" s="23"/>
      <c r="BV125" s="23"/>
      <c r="BW125" s="23"/>
      <c r="BX125" s="89" t="str">
        <f aca="false">IF(AND(Tasks[[#This Row],[_IsLeaf]]=1,ISNUMBER(Tasks[[#This Row],[Optimistic]]),ISNUMBER(Tasks[[#This Row],[Pessimistic]])),ROUND((Tasks[[#This Row],[Optimistic]]+4*N(Tasks[[#This Row],[_Days]])+Tasks[[#This Row],[Pessimistic]])/6,1),"")</f>
        <v/>
      </c>
      <c r="BY125" s="87"/>
      <c r="BZ125" s="87"/>
      <c r="CA125" s="22"/>
      <c r="CB125" s="43" t="str">
        <f aca="false">IF(Tasks[[#This Row],[Task Name]]="","",MAX(1,N(Tasks[[#This Row],[Level]])))</f>
        <v/>
      </c>
      <c r="CC125" s="43" t="n">
        <f aca="false">ROW()-ROW(Tasks[[#Headers],[ID]])</f>
        <v>120</v>
      </c>
      <c r="CD125" s="43" t="n">
        <f aca="false">IF(OR(Tasks[[#This Row],[Task Name]]="",Tasks[[#This Row],[_Level]]&lt;=1),0,IFERROR(LOOKUP(2,1/(Tasks[[#Headers],[_Level]]:Tasks[[#This Row],[_Level]]=Tasks[[#This Row],[_Level]]-1),ROW(Tasks[[#Headers],[_Level]]:Tasks[[#This Row],[_Level]])),0))</f>
        <v>0</v>
      </c>
      <c r="CE125" s="43" t="n">
        <f aca="false">IFERROR(N(INDEX(Tasks[_Level],Tasks[[#This Row],[_Row]]+1)),0)</f>
        <v>0</v>
      </c>
      <c r="CF125" s="90" t="b">
        <f aca="false">AND(Tasks[[#This Row],[Task Name]]&lt;&gt;"",Tasks[[#This Row],[_NextLevel]]&gt;Tasks[[#This Row],[_Level]])</f>
        <v>0</v>
      </c>
      <c r="CG125" s="43" t="n">
        <f aca="false">IF(Tasks[[#This Row],[_IsSummary]],COUNTIF(Tasks[WBS],Tasks[[#This Row],[WBS]]&amp;".*"),0)</f>
        <v>0</v>
      </c>
      <c r="CH125" s="43" t="n">
        <f aca="false">IF(AND(Tasks[[#This Row],[Task Name]]&lt;&gt;"",NOT(Tasks[[#This Row],[_IsSummary]])),1,0)</f>
        <v>0</v>
      </c>
      <c r="CI125" s="43" t="n">
        <f aca="false">IF(N(Tasks[[#This Row],[_Pred1UID]])=0,0,IFERROR(MATCH(Tasks[[#This Row],[_Pred1UID]],Tasks[UID],0),-1))</f>
        <v>0</v>
      </c>
      <c r="CJ125" s="43" t="n">
        <f aca="false">IF(N(Tasks[[#This Row],[_Pred2UID]])=0,0,IFERROR(MATCH(Tasks[[#This Row],[_Pred2UID]],Tasks[UID],0),-1))</f>
        <v>0</v>
      </c>
      <c r="CK125" s="43" t="n">
        <f aca="false">IF(N(Tasks[[#This Row],[_Pred3UID]])=0,0,IFERROR(MATCH(Tasks[[#This Row],[_Pred3UID]],Tasks[UID],0),-1))</f>
        <v>0</v>
      </c>
      <c r="CL125" s="43" t="n">
        <f aca="false">IF(N(Tasks[[#This Row],[_Pred4UID]])=0,0,IFERROR(MATCH(Tasks[[#This Row],[_Pred4UID]],Tasks[UID],0),-1))</f>
        <v>0</v>
      </c>
      <c r="CM1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5" s="91" t="n">
        <f aca="false">IF(OR(Tasks[[#This Row],[_ConstraintCode]]=2,Tasks[[#This Row],[_ConstraintCode]]=3,Tasks[[#This Row],[_ConstraintCode]]=4,Tasks[[#This Row],[_ConstraintCode]]=6),Tasks[[#This Row],[_ConstraintStart]],0)</f>
        <v>0</v>
      </c>
      <c r="CP125" s="91" t="n">
        <f aca="false">IF(OR(Tasks[[#This Row],[_ConstraintCode]]=2,Tasks[[#This Row],[_ConstraintCode]]=3,Tasks[[#This Row],[_ConstraintCode]]=5,Tasks[[#This Row],[_ConstraintCode]]=7),Tasks[[#This Row],[_ConstraintStart]],2958465)</f>
        <v>2958465</v>
      </c>
      <c r="CQ1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5" s="91" t="str">
        <f aca="false">IF(NOT(Tasks[[#This Row],[_IsLeaf]]=1),"",IF(N(Tasks[[#This Row],[_Days]])&lt;=0,Tasks[[#This Row],[_LeafCalcStart]],WORKDAY.INTL(Tasks[[#This Row],[_LeafCalcStart]],Tasks[[#This Row],[_Days]]-1,WorkWeek,Holidays)))</f>
        <v/>
      </c>
      <c r="CS1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5" s="43" t="str">
        <f aca="false">IF(Tasks[[#This Row],[_Predecessors]]="","",TRIM(MID(SUBSTITUTE(SUBSTITUTE(SUBSTITUTE(UPPER(Tasks[[#This Row],[_Predecessors]]),";",",")," ",""),",",REPT(" ",99)),1,99)))</f>
        <v/>
      </c>
      <c r="CV125" s="43" t="str">
        <f aca="false">IF(Tasks[[#This Row],[_Pred1Text]]="","",IFERROR(VALUE(LEFT(Tasks[[#This Row],[_Pred1Text]],MIN(FIND("F",Tasks[[#This Row],[_Pred1Text]]&amp;"F"),FIND("S",Tasks[[#This Row],[_Pred1Text]]&amp;"S"),FIND("+",Tasks[[#This Row],[_Pred1Text]]&amp;"+"),FIND("-",Tasks[[#This Row],[_Pred1Text]]&amp;"-"))-1)),""))</f>
        <v/>
      </c>
      <c r="CW1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5" s="43" t="str">
        <f aca="false">IF(Tasks[[#This Row],[_Pred1Text]]="","",TRIM(MID(SUBSTITUTE(SUBSTITUTE(SUBSTITUTE(UPPER(Tasks[[#This Row],[_Predecessors]]),";",",")," ",""),",",REPT(" ",99)),100,99)))</f>
        <v/>
      </c>
      <c r="CZ125" s="43" t="str">
        <f aca="false">IF(Tasks[[#This Row],[_Pred2Text]]="","",IFERROR(VALUE(LEFT(Tasks[[#This Row],[_Pred2Text]],MIN(FIND("F",Tasks[[#This Row],[_Pred2Text]]&amp;"F"),FIND("S",Tasks[[#This Row],[_Pred2Text]]&amp;"S"),FIND("+",Tasks[[#This Row],[_Pred2Text]]&amp;"+"),FIND("-",Tasks[[#This Row],[_Pred2Text]]&amp;"-"))-1)),""))</f>
        <v/>
      </c>
      <c r="DA1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5" s="43" t="str">
        <f aca="false">IF(Tasks[[#This Row],[_Pred2Text]]="","",TRIM(MID(SUBSTITUTE(SUBSTITUTE(SUBSTITUTE(UPPER(Tasks[[#This Row],[_Predecessors]]),";",",")," ",""),",",REPT(" ",99)),199,99)))</f>
        <v/>
      </c>
      <c r="DD125" s="43" t="str">
        <f aca="false">IF(Tasks[[#This Row],[_Pred3Text]]="","",IFERROR(VALUE(LEFT(Tasks[[#This Row],[_Pred3Text]],MIN(FIND("F",Tasks[[#This Row],[_Pred3Text]]&amp;"F"),FIND("S",Tasks[[#This Row],[_Pred3Text]]&amp;"S"),FIND("+",Tasks[[#This Row],[_Pred3Text]]&amp;"+"),FIND("-",Tasks[[#This Row],[_Pred3Text]]&amp;"-"))-1)),""))</f>
        <v/>
      </c>
      <c r="DE1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5" s="43" t="str">
        <f aca="false">IF(Tasks[[#This Row],[_Pred3Text]]="","",TRIM(MID(SUBSTITUTE(SUBSTITUTE(SUBSTITUTE(UPPER(Tasks[[#This Row],[_Predecessors]]),";",",")," ",""),",",REPT(" ",99)),298,99)))</f>
        <v/>
      </c>
      <c r="DH125" s="43" t="str">
        <f aca="false">IF(Tasks[[#This Row],[_Pred4Text]]="","",IFERROR(VALUE(LEFT(Tasks[[#This Row],[_Pred4Text]],MIN(FIND("F",Tasks[[#This Row],[_Pred4Text]]&amp;"F"),FIND("S",Tasks[[#This Row],[_Pred4Text]]&amp;"S"),FIND("+",Tasks[[#This Row],[_Pred4Text]]&amp;"+"),FIND("-",Tasks[[#This Row],[_Pred4Text]]&amp;"-"))-1)),""))</f>
        <v/>
      </c>
      <c r="DI1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5" s="43" t="str">
        <f aca="false">IF(OR(Tasks[[#This Row],[Task Name]]="",Tasks[[#This Row],[_Resources]]=""),"",TRIM(MID(SUBSTITUTE(Tasks[[#This Row],[_Resources]],",",REPT(" ",99)),1,99)))</f>
        <v/>
      </c>
      <c r="DL125" s="43" t="str">
        <f aca="false">IF(Tasks[[#This Row],[_Res1Text]]="","",TRIM(MID(SUBSTITUTE(Tasks[[#This Row],[_Resources]],",",REPT(" ",99)),100,99)))</f>
        <v/>
      </c>
      <c r="DM125" s="43" t="str">
        <f aca="false">IF(Tasks[[#This Row],[_Res2Text]]="","",TRIM(MID(SUBSTITUTE(Tasks[[#This Row],[_Resources]],",",REPT(" ",99)),199,99)))</f>
        <v/>
      </c>
      <c r="DN125" s="43" t="str">
        <f aca="false">IF(Tasks[[#This Row],[_Res3Text]]="","",TRIM(MID(SUBSTITUTE(Tasks[[#This Row],[_Resources]],",",REPT(" ",99)),298,99)))</f>
        <v/>
      </c>
      <c r="DO125" s="43" t="n">
        <f aca="false">IF(Tasks[[#This Row],[_Res1Text]]="",0,IFERROR(MATCH(TRIM(LEFT(Tasks[[#This Row],[_Res1Text]],FIND("[",Tasks[[#This Row],[_Res1Text]]&amp;"[")-1)),res_Name,0),IFERROR(MATCH(TRIM(LEFT(Tasks[[#This Row],[_Res1Text]],FIND("[",Tasks[[#This Row],[_Res1Text]]&amp;"[")-1)),res_Initials,0),0)))</f>
        <v>0</v>
      </c>
      <c r="DP125" s="43" t="n">
        <f aca="false">IF(Tasks[[#This Row],[_Res2Text]]="",0,IFERROR(MATCH(TRIM(LEFT(Tasks[[#This Row],[_Res2Text]],FIND("[",Tasks[[#This Row],[_Res2Text]]&amp;"[")-1)),res_Name,0),IFERROR(MATCH(TRIM(LEFT(Tasks[[#This Row],[_Res2Text]],FIND("[",Tasks[[#This Row],[_Res2Text]]&amp;"[")-1)),res_Initials,0),0)))</f>
        <v>0</v>
      </c>
      <c r="DQ125" s="43" t="n">
        <f aca="false">IF(Tasks[[#This Row],[_Res3Text]]="",0,IFERROR(MATCH(TRIM(LEFT(Tasks[[#This Row],[_Res3Text]],FIND("[",Tasks[[#This Row],[_Res3Text]]&amp;"[")-1)),res_Name,0),IFERROR(MATCH(TRIM(LEFT(Tasks[[#This Row],[_Res3Text]],FIND("[",Tasks[[#This Row],[_Res3Text]]&amp;"[")-1)),res_Initials,0),0)))</f>
        <v>0</v>
      </c>
      <c r="DR125" s="43" t="n">
        <f aca="false">IF(Tasks[[#This Row],[_Res4Text]]="",0,IFERROR(MATCH(TRIM(LEFT(Tasks[[#This Row],[_Res4Text]],FIND("[",Tasks[[#This Row],[_Res4Text]]&amp;"[")-1)),res_Name,0),IFERROR(MATCH(TRIM(LEFT(Tasks[[#This Row],[_Res4Text]],FIND("[",Tasks[[#This Row],[_Res4Text]]&amp;"[")-1)),res_Initials,0),0)))</f>
        <v>0</v>
      </c>
      <c r="DS125" s="43" t="str">
        <f aca="false">IF(Tasks[[#This Row],[_Res1Text]]="","",IF(Tasks[[#This Row],[_Res1Row]]&gt;0,INDEX(res_Name,Tasks[[#This Row],[_Res1Row]]),TRIM(LEFT(Tasks[[#This Row],[_Res1Text]],FIND("[",Tasks[[#This Row],[_Res1Text]]&amp;"[")-1))))</f>
        <v/>
      </c>
      <c r="DT1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5" s="43" t="n">
        <f aca="false">IF(NOT(Tasks[[#This Row],[_IsLeaf]]=1),0,(Tasks[[#This Row],[_Resource1]]&lt;&gt;"")+(Tasks[[#This Row],[_Res2]]&lt;&gt;"")+(Tasks[[#This Row],[_Res3]]&lt;&gt;"")+(Tasks[[#This Row],[_Res4]]&lt;&gt;""))</f>
        <v>0</v>
      </c>
      <c r="DV125" s="43" t="str">
        <f aca="false">IF(Tasks[[#This Row],[_Res2Text]]="","",IF(Tasks[[#This Row],[_Res2Row]]&gt;0,INDEX(res_Name,Tasks[[#This Row],[_Res2Row]]),TRIM(LEFT(Tasks[[#This Row],[_Res2Text]],FIND("[",Tasks[[#This Row],[_Res2Text]]&amp;"[")-1))))</f>
        <v/>
      </c>
      <c r="DW1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5" s="43" t="n">
        <f aca="false">IF(OR(NOT(Tasks[[#This Row],[_IsLeaf]]=1),Tasks[[#This Row],[_Res2Row]]=0),0,N(Tasks[[#This Row],[_Days]])*HoursPerDay*IF(Tasks[[#This Row],[_Res2Units]]="",DefaultUnits,Tasks[[#This Row],[_Res2Units]]))</f>
        <v>0</v>
      </c>
      <c r="DY125" s="43" t="n">
        <f aca="false">IF(AND(AND(Tasks[[#This Row],[_IsLeaf]]=1,Tasks[[#This Row],[_LeafTotalWork]]&gt;0),Tasks[[#This Row],[_Res2Work]]&gt;0),Tasks[[#This Row],[_Res2Work]]/(Tasks[[#This Row],[_FinishWorkday]]-Tasks[[#This Row],[_StartWorkday]]+1),0)</f>
        <v>0</v>
      </c>
      <c r="DZ125" s="43" t="n">
        <f aca="false">Tasks[[#This Row],[_Res2WorkPerWD]]*MAX(0,Tasks[[#This Row],[_StartWorkday]]-1)</f>
        <v>0</v>
      </c>
      <c r="EA125" s="43" t="n">
        <f aca="false">Tasks[[#This Row],[_Res2Work]]*Tasks[[#This Row],[_LeafProgress]]</f>
        <v>0</v>
      </c>
      <c r="EB125" s="43" t="str">
        <f aca="false">IF(Tasks[[#This Row],[_Res3Text]]="","",IF(Tasks[[#This Row],[_Res3Row]]&gt;0,INDEX(res_Name,Tasks[[#This Row],[_Res3Row]]),TRIM(LEFT(Tasks[[#This Row],[_Res3Text]],FIND("[",Tasks[[#This Row],[_Res3Text]]&amp;"[")-1))))</f>
        <v/>
      </c>
      <c r="EC1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5" s="43" t="n">
        <f aca="false">IF(OR(NOT(Tasks[[#This Row],[_IsLeaf]]=1),Tasks[[#This Row],[_Res3Row]]=0),0,N(Tasks[[#This Row],[_Days]])*HoursPerDay*IF(Tasks[[#This Row],[_Res3Units]]="",DefaultUnits,Tasks[[#This Row],[_Res3Units]]))</f>
        <v>0</v>
      </c>
      <c r="EE125" s="43" t="n">
        <f aca="false">IF(AND(AND(Tasks[[#This Row],[_IsLeaf]]=1,Tasks[[#This Row],[_LeafTotalWork]]&gt;0),Tasks[[#This Row],[_Res3Work]]&gt;0),Tasks[[#This Row],[_Res3Work]]/(Tasks[[#This Row],[_FinishWorkday]]-Tasks[[#This Row],[_StartWorkday]]+1),0)</f>
        <v>0</v>
      </c>
      <c r="EF125" s="43" t="n">
        <f aca="false">Tasks[[#This Row],[_Res3WorkPerWD]]*MAX(0,Tasks[[#This Row],[_StartWorkday]]-1)</f>
        <v>0</v>
      </c>
      <c r="EG125" s="43" t="n">
        <f aca="false">Tasks[[#This Row],[_Res3Work]]*Tasks[[#This Row],[_LeafProgress]]</f>
        <v>0</v>
      </c>
      <c r="EH125" s="43" t="str">
        <f aca="false">IF(Tasks[[#This Row],[_Res4Text]]="","",IF(Tasks[[#This Row],[_Res4Row]]&gt;0,INDEX(res_Name,Tasks[[#This Row],[_Res4Row]]),TRIM(LEFT(Tasks[[#This Row],[_Res4Text]],FIND("[",Tasks[[#This Row],[_Res4Text]]&amp;"[")-1))))</f>
        <v/>
      </c>
      <c r="EI1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5" s="43" t="n">
        <f aca="false">IF(OR(NOT(Tasks[[#This Row],[_IsLeaf]]=1),Tasks[[#This Row],[_Res4Row]]=0),0,N(Tasks[[#This Row],[_Days]])*HoursPerDay*IF(Tasks[[#This Row],[_Res4Units]]="",DefaultUnits,Tasks[[#This Row],[_Res4Units]]))</f>
        <v>0</v>
      </c>
      <c r="EK125" s="43" t="n">
        <f aca="false">IF(AND(AND(Tasks[[#This Row],[_IsLeaf]]=1,Tasks[[#This Row],[_LeafTotalWork]]&gt;0),Tasks[[#This Row],[_Res4Work]]&gt;0),Tasks[[#This Row],[_Res4Work]]/(Tasks[[#This Row],[_FinishWorkday]]-Tasks[[#This Row],[_StartWorkday]]+1),0)</f>
        <v>0</v>
      </c>
      <c r="EL125" s="43" t="n">
        <f aca="false">Tasks[[#This Row],[_Res4WorkPerWD]]*MAX(0,Tasks[[#This Row],[_StartWorkday]]-1)</f>
        <v>0</v>
      </c>
      <c r="EM125" s="43" t="n">
        <f aca="false">Tasks[[#This Row],[_Res4Work]]*Tasks[[#This Row],[_LeafProgress]]</f>
        <v>0</v>
      </c>
      <c r="EN125" s="43" t="n">
        <f aca="false">IF(ISNUMBER(Tasks[[#This Row],[% Complete]]),Tasks[[#This Row],[% Complete]],IF(Tasks[[#This Row],[Stage]]="",0,IFERROR(INDEX(stg_Pct,MATCH(Tasks[[#This Row],[Stage]],stg_Name,0)),0)))</f>
        <v>0</v>
      </c>
      <c r="EO125" s="43" t="n">
        <f aca="false">IF(NOT(Tasks[[#This Row],[_IsLeaf]]=1),0,IF(N(Tasks[[#This Row],[Actual Finish]])&gt;0,1,MIN(1,Tasks[[#This Row],[_Pct]])))</f>
        <v>0</v>
      </c>
      <c r="EP125" s="43" t="n">
        <f aca="false">IF(OR(NOT(Tasks[[#This Row],[_IsLeaf]]=1),Tasks[[#This Row],[_Res1Row]]=0),0,N(Tasks[[#This Row],[_Days]])*HoursPerDay*IF(Tasks[[#This Row],[_Units1]]="",DefaultUnits,Tasks[[#This Row],[_Units1]]))</f>
        <v>0</v>
      </c>
      <c r="EQ125" s="43" t="n">
        <f aca="false">Tasks[[#This Row],[_LeafWork]]+Tasks[[#This Row],[_Res2Work]]+Tasks[[#This Row],[_Res3Work]]+Tasks[[#This Row],[_Res4Work]]</f>
        <v>0</v>
      </c>
      <c r="ER12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5" s="43" t="n">
        <f aca="false">IF(NOT(Tasks[[#This Row],[_IsLeaf]]=1),0,MAX(_xlfn.MAXIFS(Tasks[_Row],Tasks[_Pred1UID],Tasks[[#This Row],[UID]]),_xlfn.MAXIFS(Tasks[_Row],Tasks[_Pred2UID],Tasks[[#This Row],[UID]]),_xlfn.MAXIFS(Tasks[_Row],Tasks[_Pred3UID],Tasks[[#This Row],[UID]]),_xlfn.MAXIFS(Tasks[_Row],Tasks[_Pred4UID],Tasks[[#This Row],[UID]])))</f>
        <v>0</v>
      </c>
      <c r="FA1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5" s="91" t="str">
        <f aca="false">IF(NOT(Tasks[[#This Row],[_IsLeaf]]=1),"",IF(N(Tasks[[#This Row],[_Days]])&lt;=0,Tasks[[#This Row],[_LeafLateFinish]],WORKDAY.INTL(Tasks[[#This Row],[_LeafLateFinish]],-(Tasks[[#This Row],[_Days]]-1),WorkWeek,Holidays)))</f>
        <v/>
      </c>
      <c r="FD1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5" s="90" t="b">
        <f aca="false">AND(Tasks[[#This Row],[_IsLeaf]]=1,Tasks[[#This Row],[_LeafProgress]]&lt;1,N(Tasks[[#This Row],[_LeafTotalSlack]])&lt;=CriticalSlackDays)</f>
        <v>0</v>
      </c>
      <c r="FF125" s="43" t="n">
        <f aca="false">IF(AND(Tasks[[#This Row],[_IsLeaf]]=1,Tasks[[#This Row],[_ConstraintCode]]=1,Tasks[[#This Row],[Mode]]&lt;&gt;"Manual",N(Tasks[[#This Row],[Actual Start]])=0),MAX(0,N(Tasks[[#This Row],[Free Slack]])),0)</f>
        <v>0</v>
      </c>
      <c r="FG125" s="91" t="str">
        <f aca="false">IF(NOT(Tasks[[#This Row],[_IsLeaf]]=1),"",IF(Tasks[[#This Row],[_AlapShift]]=0,Tasks[[#This Row],[_LeafCalcStart]],WORKDAY.INTL(Tasks[[#This Row],[_LeafCalcStart]],Tasks[[#This Row],[_AlapShift]],WorkWeek,Holidays)))</f>
        <v/>
      </c>
      <c r="FH125" s="91" t="str">
        <f aca="false">IF(NOT(Tasks[[#This Row],[_IsLeaf]]=1),"",IF(Tasks[[#This Row],[_AlapShift]]=0,Tasks[[#This Row],[_LeafCalcFinish]],WORKDAY.INTL(Tasks[[#This Row],[_LeafCalcFinish]],Tasks[[#This Row],[_AlapShift]],WorkWeek,Holidays)))</f>
        <v/>
      </c>
      <c r="FI125" s="91" t="str">
        <f aca="false">IF(NOT(Tasks[[#This Row],[_IsLeaf]]=1),"",IF(Tasks[[#This Row],[_AlapShift]]=0,Tasks[[#This Row],[_LeafFcstStart]],WORKDAY.INTL(Tasks[[#This Row],[_LeafFcstStart]],Tasks[[#This Row],[_AlapShift]],WorkWeek,Holidays)))</f>
        <v/>
      </c>
      <c r="FJ125" s="91" t="str">
        <f aca="false">IF(NOT(Tasks[[#This Row],[_IsLeaf]]=1),"",IF(Tasks[[#This Row],[_AlapShift]]=0,Tasks[[#This Row],[_LeafFcstFinish]],WORKDAY.INTL(Tasks[[#This Row],[_LeafFcstFinish]],Tasks[[#This Row],[_AlapShift]],WorkWeek,Holidays)))</f>
        <v/>
      </c>
      <c r="FK125" s="91" t="str">
        <f aca="false">IF(Tasks[[#This Row],[Task Name]]="","",IF(Tasks[[#This Row],[_IsSummary]],MIN(INDEX(Tasks[_ShownCalcStart],Tasks[[#This Row],[_Row]]+1):INDEX(Tasks[_ShownCalcStart],Tasks[[#This Row],[_Row]]+Tasks[[#This Row],[_Descendants]])),Tasks[[#This Row],[_ShownCalcStart]]))</f>
        <v/>
      </c>
      <c r="FL125" s="91" t="str">
        <f aca="false">IF(Tasks[[#This Row],[Task Name]]="","",IF(Tasks[[#This Row],[_IsSummary]],MAX(INDEX(Tasks[_ShownCalcFinish],Tasks[[#This Row],[_Row]]+1):INDEX(Tasks[_ShownCalcFinish],Tasks[[#This Row],[_Row]]+Tasks[[#This Row],[_Descendants]])),Tasks[[#This Row],[_ShownCalcFinish]]))</f>
        <v/>
      </c>
      <c r="FM1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5" s="43" t="n">
        <f aca="false">IF(AND(Tasks[[#This Row],[_IsLeaf]]=1,Tasks[[#This Row],[_LeafTotalWork]]&gt;0),NETWORKDAYS.INTL(ProjectStart,Tasks[[#This Row],[_ShownFcstStart]],WorkWeek,Holidays),0)</f>
        <v>0</v>
      </c>
      <c r="FZ125" s="43" t="n">
        <f aca="false">IF(AND(Tasks[[#This Row],[_IsLeaf]]=1,Tasks[[#This Row],[_LeafTotalWork]]&gt;0),MAX(Tasks[[#This Row],[_StartWorkday]],NETWORKDAYS.INTL(ProjectStart,Tasks[[#This Row],[_ShownFcstFinish]],WorkWeek,Holidays)),0)</f>
        <v>0</v>
      </c>
      <c r="GA125" s="43" t="n">
        <f aca="false">IF(AND(Tasks[[#This Row],[_IsLeaf]]=1,Tasks[[#This Row],[_LeafTotalWork]]&gt;0),Tasks[[#This Row],[_LeafWork]]/(Tasks[[#This Row],[_FinishWorkday]]-Tasks[[#This Row],[_StartWorkday]]+1),0)</f>
        <v>0</v>
      </c>
      <c r="GB125" s="43" t="n">
        <f aca="false">Tasks[[#This Row],[_WorkPerWorkday]]*(Tasks[[#This Row],[_StartWorkday]]-1)</f>
        <v>-0</v>
      </c>
      <c r="GC125" s="43" t="n">
        <f aca="false">IF(Tasks[[#This Row],[_IsLeaf]]=1,MAX(N(Tasks[[#This Row],[_Days]]),0.1),0)</f>
        <v>0</v>
      </c>
      <c r="GD125" s="43" t="n">
        <f aca="false">Tasks[[#This Row],[_WeightDur]]*Tasks[[#This Row],[_LeafProgress]]</f>
        <v>0</v>
      </c>
      <c r="GE125" s="43" t="n">
        <f aca="false">Tasks[[#This Row],[_WeightDur]]*Tasks[[#This Row],[_PlannedPct]]</f>
        <v>0</v>
      </c>
      <c r="GF1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5" s="43" t="str">
        <f aca="false">IF(AND(Tasks[[#This Row],[_IsLeaf]]=1,N(Tasks[[#This Row],[_Days]])=0,Tasks[[#This Row],[_LeafProgress]]&lt;1),Tasks[[#This Row],[_ShownFcstFinish]]+Tasks[[#This Row],[_Row]]/100000,"")</f>
        <v/>
      </c>
      <c r="GH1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5" s="43" t="str">
        <f aca="false">IF(Tasks[[#This Row],[Task Name]]="","",LEFT(Tasks[[#This Row],[WBS]],FIND(".",Tasks[[#This Row],[WBS]]&amp;".")-1))</f>
        <v/>
      </c>
      <c r="GJ125" s="43" t="str">
        <f aca="false">IF(AND(Tasks[[#This Row],[Task Name]]&lt;&gt;"",Tasks[[#This Row],[_Level]]=1),Tasks[[#This Row],[_Row]],"")</f>
        <v/>
      </c>
      <c r="GK125" s="43" t="str">
        <f aca="false">IF(AND(Tasks[[#This Row],[_IsLeaf]]=1,N(Tasks[[#This Row],[_Days]])=0),Tasks[[#This Row],[Planned Finish]]+Tasks[[#This Row],[_Row]]/100000,"")</f>
        <v/>
      </c>
      <c r="GL125" s="43" t="str">
        <f aca="false">IF(AND(Tasks[[#This Row],[_IsLeaf]]=1,Tasks[[#This Row],[_LeafProgress]]&lt;1,OR(N(Tasks[[#This Row],[Finish Var]])&gt;0,Tasks[[#This Row],[Status]]="Late Start")),MAX(0,Tasks[[#This Row],[Finish Var]])+1-Tasks[[#This Row],[_Row]]/1000000,"")</f>
        <v/>
      </c>
      <c r="GM125" s="43" t="str">
        <f aca="false">IF(AND(Tasks[[#This Row],[_IsLeaf]]=1,N(Tasks[[#This Row],[Actual Start]])=0,Tasks[[#This Row],[_ShownFcstStart]]&gt;=StatusDate,Tasks[[#This Row],[_ShownFcstStart]]&lt;=LookaheadEnd),Tasks[[#This Row],[_ShownFcstStart]]+Tasks[[#This Row],[_Row]]/100000,"")</f>
        <v/>
      </c>
      <c r="GN125" s="43" t="str">
        <f aca="false">IF(AND(Tasks[[#This Row],[_IsLeaf]]=1,Tasks[[#This Row],[_LeafProgress]]&lt;1,Tasks[[#This Row],[_ShownFcstFinish]]&gt;=StatusDate,Tasks[[#This Row],[_ShownFcstFinish]]&lt;=LookaheadEnd),Tasks[[#This Row],[_ShownFcstFinish]]+Tasks[[#This Row],[_Row]]/100000,"")</f>
        <v/>
      </c>
      <c r="GO125" s="43" t="str">
        <f aca="false">IF(Tasks[[#This Row],[_LeafCritical]],Tasks[[#This Row],[_ShownFcstStart]]+Tasks[[#This Row],[_Row]]/100000,"")</f>
        <v/>
      </c>
      <c r="GP125" s="43" t="n">
        <f aca="false">Tasks[[#This Row],[_LeafWork]]*Tasks[[#This Row],[_LeafProgress]]</f>
        <v>0</v>
      </c>
      <c r="GQ125" s="91" t="str">
        <f aca="false">IF(AND(Tasks[[#This Row],[_IsLeaf]]=1,Tasks[[#This Row],[_LeafProgress]]&gt;=1),IF(N(Tasks[[#This Row],[Actual Finish]])&gt;0,Tasks[[#This Row],[Actual Finish]],Tasks[[#This Row],[_ShownFcstFinish]]),"")</f>
        <v/>
      </c>
      <c r="GR125" s="43" t="n">
        <f aca="false">IF(Tasks[[#This Row],[_IsLeaf]]=1,N(Tasks[[#This Row],[Story Points]]),0)</f>
        <v>0</v>
      </c>
      <c r="GS125" s="43" t="str">
        <f aca="false">""</f>
        <v/>
      </c>
      <c r="GT125" s="90" t="b">
        <f aca="false">IF(Tasks[[#This Row],[Task Name]]="",FALSE(),AND(Tasks[[#This Row],[_IsLeaf]]=1,N(Tasks[[#This Row],[_Days]])=0))</f>
        <v>0</v>
      </c>
      <c r="GU125" s="91" t="n">
        <f aca="false">IF(Tasks[[#This Row],[Task Name]]="",0,IF(AND(Tasks[[#This Row],[_IsLeaf]]=1,NOT(Tasks[[#This Row],[_IsMilestone]]),N(Tasks[[#This Row],[Progress]])&gt;0),Tasks[[#This Row],[Start]],0))</f>
        <v>0</v>
      </c>
      <c r="GV125" s="91" t="n">
        <f aca="false">IF(Tasks[[#This Row],[_DoneFrom]]=0,0,IF(Tasks[[#This Row],[Progress]]&gt;=1,Tasks[[#This Row],[Finish]],MAX(Tasks[[#This Row],[_DoneFrom]],Tasks[[#This Row],[Start]]+ROUND((Tasks[[#This Row],[Finish]]-Tasks[[#This Row],[Start]]+1)*Tasks[[#This Row],[Progress]],0)-1)))</f>
        <v>0</v>
      </c>
      <c r="GW125" s="91" t="n">
        <f aca="false">IF(Tasks[[#This Row],[Task Name]]="",0,IF(OR(NOT(Tasks[[#This Row],[_IsLeaf]]=1),Tasks[[#This Row],[_IsMilestone]],N(Tasks[[#This Row],[Progress]])&gt;=1),0,IF(Tasks[[#This Row],[_DoneTo]]&gt;0,Tasks[[#This Row],[_DoneTo]]+1,Tasks[[#This Row],[Start]])))</f>
        <v>0</v>
      </c>
      <c r="GX125" s="91" t="n">
        <f aca="false">IF(Tasks[[#This Row],[_RemFrom]]=0,0,Tasks[[#This Row],[Finish]])</f>
        <v>0</v>
      </c>
      <c r="GY125" s="90" t="b">
        <f aca="false">IF(Tasks[[#This Row],[Task Name]]="",FALSE(),OR(NOT(BaselineSet),N(Tasks[[#This Row],[Baseline Start]])&gt;0))</f>
        <v>0</v>
      </c>
      <c r="GZ12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5" s="92" t="str">
        <f aca="false">IF(Tasks[[#This Row],[_IsLeaf]]=1,Tasks[[#This Row],[_Row]],"")</f>
        <v/>
      </c>
      <c r="HD125" s="92" t="str">
        <f aca="false">IFERROR(INDEX(Tasks[UID],SMALL(Tasks[_PickKey],Tasks[[#This Row],[_Row]]))&amp;" "&amp;INDEX(Tasks[Task Name],SMALL(Tasks[_PickKey],Tasks[[#This Row],[_Row]])),"")</f>
        <v/>
      </c>
      <c r="HE125" s="43" t="str">
        <f aca="false">IF(Tasks[[#This Row],[Task Name]]="","",IF(Tasks[[#This Row],[_IsSummary]],NETWORKDAYS.INTL(Tasks[[#This Row],[Start]],Tasks[[#This Row],[Finish]],WorkWeek,Holidays),N(Tasks[[#This Row],[_Days]])))</f>
        <v/>
      </c>
      <c r="HF125" s="43" t="n">
        <f aca="false">IF(Tasks[[#This Row],[Expected]]="",0,((Tasks[[#This Row],[Pessimistic]]-Tasks[[#This Row],[Optimistic]])/6)^2)</f>
        <v>0</v>
      </c>
      <c r="HG125" s="43" t="n">
        <f aca="false">IF(Tasks[[#This Row],[Expected]]="",0,Tasks[[#This Row],[Expected]]-N(Tasks[[#This Row],[_Days]]))</f>
        <v>0</v>
      </c>
    </row>
    <row r="126" customFormat="false" ht="15" hidden="false" customHeight="false" outlineLevel="0" collapsed="false">
      <c r="A126" s="21" t="str">
        <f aca="false">IF(Tasks[[#This Row],[Task Name]]="","",COUNTA(Tasks[[#Headers],[Task Name]]:Tasks[[#This Row],[Task Name]])-1)</f>
        <v/>
      </c>
      <c r="B126" s="22" t="n">
        <v>134</v>
      </c>
      <c r="C126" s="22"/>
      <c r="D126" s="23"/>
      <c r="E126" s="22"/>
      <c r="F126" s="23"/>
      <c r="G126" s="22"/>
      <c r="H126" s="22"/>
      <c r="I126" s="23"/>
      <c r="J126" s="22"/>
      <c r="K126" s="22"/>
      <c r="L126" s="23"/>
      <c r="M126" s="22"/>
      <c r="N126" s="22"/>
      <c r="O126" s="23"/>
      <c r="P126" s="22"/>
      <c r="Q126" s="22"/>
      <c r="R126" s="23"/>
      <c r="S126" s="23"/>
      <c r="T126" s="84"/>
      <c r="U126" s="23"/>
      <c r="V126" s="84"/>
      <c r="W126" s="23"/>
      <c r="X126" s="84"/>
      <c r="Y126" s="23"/>
      <c r="Z126" s="84"/>
      <c r="AA126" s="23"/>
      <c r="AB126" s="23"/>
      <c r="AC126" s="7"/>
      <c r="AD126" s="7"/>
      <c r="AE126" s="63" t="str">
        <f aca="false">IF(Tasks[[#This Row],[Task Name]]="","",IF(Tasks[[#This Row],[_IsSummary]],MIN(INDEX(Tasks[_ShownFcstStart],Tasks[[#This Row],[_Row]]+1):INDEX(Tasks[_ShownFcstStart],Tasks[[#This Row],[_Row]]+Tasks[[#This Row],[_Descendants]])),Tasks[[#This Row],[_ShownFcstStart]]))</f>
        <v/>
      </c>
      <c r="AF126" s="63" t="str">
        <f aca="false">IF(Tasks[[#This Row],[Task Name]]="","",IF(Tasks[[#This Row],[_IsSummary]],MAX(INDEX(Tasks[_ShownFcstFinish],Tasks[[#This Row],[_Row]]+1):INDEX(Tasks[_ShownFcstFinish],Tasks[[#This Row],[_Row]]+Tasks[[#This Row],[_Descendants]])),Tasks[[#This Row],[_ShownFcstFinish]]))</f>
        <v/>
      </c>
      <c r="AG126" s="21" t="str">
        <f aca="false">""</f>
        <v/>
      </c>
      <c r="AH126" s="23"/>
      <c r="AI1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6" s="7"/>
      <c r="AK126" s="22"/>
      <c r="AL126" s="23"/>
      <c r="AM126" s="7"/>
      <c r="AN126" s="47" t="str">
        <f aca="false">IF(Tasks[[#This Row],[Task Name]]="","",IF(Tasks[[#This Row],[Finish]]&gt;=Tasks[[#This Row],[Planned Finish]],NETWORKDAYS.INTL(Tasks[[#This Row],[Planned Finish]],Tasks[[#This Row],[Finish]],WorkWeek,Holidays)-1,1-NETWORKDAYS.INTL(Tasks[[#This Row],[Finish]],Tasks[[#This Row],[Planned Finish]],WorkWeek,Holidays)))</f>
        <v/>
      </c>
      <c r="AO126" s="21" t="str">
        <f aca="false">IF(Tasks[[#This Row],[Task Name]]="","",IF(Tasks[[#This Row],[Progress]]&gt;=1,"Complete",IF(OR(N(Tasks[[#This Row],[Actual Start]])&gt;0,Tasks[[#This Row],[Progress]]&gt;0),IF(Tasks[[#This Row],[Finish Var]]&gt;0,"Behind","In Progress"),IF(Tasks[[#This Row],[Planned Start]]&lt;StatusDate,"Late Start","Not Started"))))</f>
        <v/>
      </c>
      <c r="AP126" s="21" t="str">
        <f aca="false">IF(Tasks[[#This Row],[Task Name]]="","",IF(IF(Tasks[[#This Row],[_IsSummary]],COUNTIF(INDEX(Tasks[_LeafCritical],Tasks[[#This Row],[_Row]]+1):INDEX(Tasks[_LeafCritical],Tasks[[#This Row],[_Row]]+Tasks[[#This Row],[_Descendants]]),TRUE())&gt;0,Tasks[[#This Row],[_LeafCritical]]),"Yes",""))</f>
        <v/>
      </c>
      <c r="AQ126" s="63" t="str">
        <f aca="false">IF(Tasks[[#This Row],[Task Name]]="","",IF(N(Tasks[[#This Row],[Baseline Start]])&gt;0,Tasks[[#This Row],[Baseline Start]],Tasks[[#This Row],[_CalcStart]]))</f>
        <v/>
      </c>
      <c r="AR126" s="63" t="str">
        <f aca="false">IF(Tasks[[#This Row],[Task Name]]="","",IF(N(Tasks[[#This Row],[Baseline Finish]])&gt;0,Tasks[[#This Row],[Baseline Finish]],Tasks[[#This Row],[_CalcFinish]]))</f>
        <v/>
      </c>
      <c r="AS126" s="47" t="str">
        <f aca="false">IF(Tasks[[#This Row],[Task Name]]="","",IF(Tasks[[#This Row],[Start]]&gt;=Tasks[[#This Row],[Planned Start]],NETWORKDAYS.INTL(Tasks[[#This Row],[Planned Start]],Tasks[[#This Row],[Start]],WorkWeek,Holidays)-1,1-NETWORKDAYS.INTL(Tasks[[#This Row],[Start]],Tasks[[#This Row],[Planned Start]],WorkWeek,Holidays)))</f>
        <v/>
      </c>
      <c r="AT126" s="63" t="str">
        <f aca="false">IF(Tasks[[#This Row],[Task Name]]="","",IF(Tasks[[#This Row],[_IsSummary]],MIN(INDEX(Tasks[_LeafLateStart],Tasks[[#This Row],[_Row]]+1):INDEX(Tasks[_LeafLateStart],Tasks[[#This Row],[_Row]]+Tasks[[#This Row],[_Descendants]])),Tasks[[#This Row],[_LeafLateStart]]))</f>
        <v/>
      </c>
      <c r="AU126" s="63" t="str">
        <f aca="false">IF(Tasks[[#This Row],[Task Name]]="","",IF(Tasks[[#This Row],[_IsSummary]],MAX(INDEX(Tasks[_LeafLateFinish],Tasks[[#This Row],[_Row]]+1):INDEX(Tasks[_LeafLateFinish],Tasks[[#This Row],[_Row]]+Tasks[[#This Row],[_Descendants]])),Tasks[[#This Row],[_LeafLateFinish]]))</f>
        <v/>
      </c>
      <c r="AV126" s="47" t="str">
        <f aca="false">IF(Tasks[[#This Row],[Task Name]]="","",IF(Tasks[[#This Row],[_IsSummary]],MIN(INDEX(Tasks[_LeafTotalSlack],Tasks[[#This Row],[_Row]]+1):INDEX(Tasks[_LeafTotalSlack],Tasks[[#This Row],[_Row]]+Tasks[[#This Row],[_Descendants]])),Tasks[[#This Row],[_LeafTotalSlack]]))</f>
        <v/>
      </c>
      <c r="AW1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5"/>
      <c r="BA12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t="str">
        <f aca="false">IF(Tasks[[#This Row],[Task Name]]="","",IF(Tasks[[#This Row],[_Level]]&lt;=OutlineShowLevel,"Yes","No"))</f>
        <v/>
      </c>
      <c r="BE126" s="86" t="str">
        <f aca="false">IF(Tasks[[#This Row],[Task Name]]="","",IF(Tasks[[#This Row],[_IsSummary]],SUM(INDEX(Tasks[_LeafTotalWork],Tasks[[#This Row],[_Row]]+1):INDEX(Tasks[_LeafTotalWork],Tasks[[#This Row],[_Row]]+Tasks[[#This Row],[_Descendants]])),Tasks[[#This Row],[_LeafTotalWork]]))</f>
        <v/>
      </c>
      <c r="BF126" s="23"/>
      <c r="BG1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t="str">
        <f aca="false">""</f>
        <v/>
      </c>
      <c r="BI126" s="87"/>
      <c r="BJ126" s="22"/>
      <c r="BK126" s="47" t="str">
        <f aca="false">IF(OR(Tasks[[#This Row],[Task Name]]="",Tasks[[#This Row],[Baseline Duration]]=""),"",Tasks[[#This Row],[_SpanDays]]-N(Tasks[[#This Row],[Baseline Duration]]))</f>
        <v/>
      </c>
      <c r="BL126" s="86" t="str">
        <f aca="false">IF(OR(Tasks[[#This Row],[Task Name]]="",Tasks[[#This Row],[Baseline Work]]=""),"",Tasks[[#This Row],[Work]]-N(Tasks[[#This Row],[Baseline Work]]))</f>
        <v/>
      </c>
      <c r="BM126" s="63" t="str">
        <f aca="false">IF(Tasks[[#This Row],[Task Name]]="","",IF(OR(TakeBaseline="Yes",N(Tasks[[#This Row],[Baseline Start]])=0),Tasks[[#This Row],[Start]],Tasks[[#This Row],[Baseline Start]]))</f>
        <v/>
      </c>
      <c r="BN126" s="63" t="str">
        <f aca="false">IF(Tasks[[#This Row],[Task Name]]="","",IF(OR(TakeBaseline="Yes",N(Tasks[[#This Row],[Baseline Finish]])=0),Tasks[[#This Row],[Finish]],Tasks[[#This Row],[Baseline Finish]]))</f>
        <v/>
      </c>
      <c r="BO126" s="21" t="str">
        <f aca="false">IF(Tasks[[#This Row],[Task Name]]="","",IF(OR(TakeBaseline="Yes",N(Tasks[[#This Row],[Baseline Duration]])=0),Tasks[[#This Row],[_SpanDays]],Tasks[[#This Row],[Baseline Duration]]))</f>
        <v/>
      </c>
      <c r="BP126" s="86" t="str">
        <f aca="false">IF(Tasks[[#This Row],[Task Name]]="","",IF(OR(TakeBaseline="Yes",N(Tasks[[#This Row],[Baseline Work]])=0),Tasks[[#This Row],[Work]],Tasks[[#This Row],[Baseline Work]]))</f>
        <v/>
      </c>
      <c r="BQ126" s="7"/>
      <c r="BR126" s="7"/>
      <c r="BS126" s="22"/>
      <c r="BT126" s="88"/>
      <c r="BU126" s="23"/>
      <c r="BV126" s="23"/>
      <c r="BW126" s="23"/>
      <c r="BX126" s="89" t="str">
        <f aca="false">IF(AND(Tasks[[#This Row],[_IsLeaf]]=1,ISNUMBER(Tasks[[#This Row],[Optimistic]]),ISNUMBER(Tasks[[#This Row],[Pessimistic]])),ROUND((Tasks[[#This Row],[Optimistic]]+4*N(Tasks[[#This Row],[_Days]])+Tasks[[#This Row],[Pessimistic]])/6,1),"")</f>
        <v/>
      </c>
      <c r="BY126" s="87"/>
      <c r="BZ126" s="87"/>
      <c r="CA126" s="22"/>
      <c r="CB126" s="43" t="str">
        <f aca="false">IF(Tasks[[#This Row],[Task Name]]="","",MAX(1,N(Tasks[[#This Row],[Level]])))</f>
        <v/>
      </c>
      <c r="CC126" s="43" t="n">
        <f aca="false">ROW()-ROW(Tasks[[#Headers],[ID]])</f>
        <v>121</v>
      </c>
      <c r="CD126" s="43" t="n">
        <f aca="false">IF(OR(Tasks[[#This Row],[Task Name]]="",Tasks[[#This Row],[_Level]]&lt;=1),0,IFERROR(LOOKUP(2,1/(Tasks[[#Headers],[_Level]]:Tasks[[#This Row],[_Level]]=Tasks[[#This Row],[_Level]]-1),ROW(Tasks[[#Headers],[_Level]]:Tasks[[#This Row],[_Level]])),0))</f>
        <v>0</v>
      </c>
      <c r="CE126" s="43" t="n">
        <f aca="false">IFERROR(N(INDEX(Tasks[_Level],Tasks[[#This Row],[_Row]]+1)),0)</f>
        <v>0</v>
      </c>
      <c r="CF126" s="90" t="b">
        <f aca="false">AND(Tasks[[#This Row],[Task Name]]&lt;&gt;"",Tasks[[#This Row],[_NextLevel]]&gt;Tasks[[#This Row],[_Level]])</f>
        <v>0</v>
      </c>
      <c r="CG126" s="43" t="n">
        <f aca="false">IF(Tasks[[#This Row],[_IsSummary]],COUNTIF(Tasks[WBS],Tasks[[#This Row],[WBS]]&amp;".*"),0)</f>
        <v>0</v>
      </c>
      <c r="CH126" s="43" t="n">
        <f aca="false">IF(AND(Tasks[[#This Row],[Task Name]]&lt;&gt;"",NOT(Tasks[[#This Row],[_IsSummary]])),1,0)</f>
        <v>0</v>
      </c>
      <c r="CI126" s="43" t="n">
        <f aca="false">IF(N(Tasks[[#This Row],[_Pred1UID]])=0,0,IFERROR(MATCH(Tasks[[#This Row],[_Pred1UID]],Tasks[UID],0),-1))</f>
        <v>0</v>
      </c>
      <c r="CJ126" s="43" t="n">
        <f aca="false">IF(N(Tasks[[#This Row],[_Pred2UID]])=0,0,IFERROR(MATCH(Tasks[[#This Row],[_Pred2UID]],Tasks[UID],0),-1))</f>
        <v>0</v>
      </c>
      <c r="CK126" s="43" t="n">
        <f aca="false">IF(N(Tasks[[#This Row],[_Pred3UID]])=0,0,IFERROR(MATCH(Tasks[[#This Row],[_Pred3UID]],Tasks[UID],0),-1))</f>
        <v>0</v>
      </c>
      <c r="CL126" s="43" t="n">
        <f aca="false">IF(N(Tasks[[#This Row],[_Pred4UID]])=0,0,IFERROR(MATCH(Tasks[[#This Row],[_Pred4UID]],Tasks[UID],0),-1))</f>
        <v>0</v>
      </c>
      <c r="CM12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6" s="91" t="n">
        <f aca="false">IF(OR(Tasks[[#This Row],[_ConstraintCode]]=2,Tasks[[#This Row],[_ConstraintCode]]=3,Tasks[[#This Row],[_ConstraintCode]]=4,Tasks[[#This Row],[_ConstraintCode]]=6),Tasks[[#This Row],[_ConstraintStart]],0)</f>
        <v>0</v>
      </c>
      <c r="CP126" s="91" t="n">
        <f aca="false">IF(OR(Tasks[[#This Row],[_ConstraintCode]]=2,Tasks[[#This Row],[_ConstraintCode]]=3,Tasks[[#This Row],[_ConstraintCode]]=5,Tasks[[#This Row],[_ConstraintCode]]=7),Tasks[[#This Row],[_ConstraintStart]],2958465)</f>
        <v>2958465</v>
      </c>
      <c r="CQ12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6" s="91" t="str">
        <f aca="false">IF(NOT(Tasks[[#This Row],[_IsLeaf]]=1),"",IF(N(Tasks[[#This Row],[_Days]])&lt;=0,Tasks[[#This Row],[_LeafCalcStart]],WORKDAY.INTL(Tasks[[#This Row],[_LeafCalcStart]],Tasks[[#This Row],[_Days]]-1,WorkWeek,Holidays)))</f>
        <v/>
      </c>
      <c r="CS12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6" s="43" t="str">
        <f aca="false">IF(Tasks[[#This Row],[_Predecessors]]="","",TRIM(MID(SUBSTITUTE(SUBSTITUTE(SUBSTITUTE(UPPER(Tasks[[#This Row],[_Predecessors]]),";",",")," ",""),",",REPT(" ",99)),1,99)))</f>
        <v/>
      </c>
      <c r="CV126" s="43" t="str">
        <f aca="false">IF(Tasks[[#This Row],[_Pred1Text]]="","",IFERROR(VALUE(LEFT(Tasks[[#This Row],[_Pred1Text]],MIN(FIND("F",Tasks[[#This Row],[_Pred1Text]]&amp;"F"),FIND("S",Tasks[[#This Row],[_Pred1Text]]&amp;"S"),FIND("+",Tasks[[#This Row],[_Pred1Text]]&amp;"+"),FIND("-",Tasks[[#This Row],[_Pred1Text]]&amp;"-"))-1)),""))</f>
        <v/>
      </c>
      <c r="CW1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6" s="43" t="str">
        <f aca="false">IF(Tasks[[#This Row],[_Pred1Text]]="","",TRIM(MID(SUBSTITUTE(SUBSTITUTE(SUBSTITUTE(UPPER(Tasks[[#This Row],[_Predecessors]]),";",",")," ",""),",",REPT(" ",99)),100,99)))</f>
        <v/>
      </c>
      <c r="CZ126" s="43" t="str">
        <f aca="false">IF(Tasks[[#This Row],[_Pred2Text]]="","",IFERROR(VALUE(LEFT(Tasks[[#This Row],[_Pred2Text]],MIN(FIND("F",Tasks[[#This Row],[_Pred2Text]]&amp;"F"),FIND("S",Tasks[[#This Row],[_Pred2Text]]&amp;"S"),FIND("+",Tasks[[#This Row],[_Pred2Text]]&amp;"+"),FIND("-",Tasks[[#This Row],[_Pred2Text]]&amp;"-"))-1)),""))</f>
        <v/>
      </c>
      <c r="DA1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6" s="43" t="str">
        <f aca="false">IF(Tasks[[#This Row],[_Pred2Text]]="","",TRIM(MID(SUBSTITUTE(SUBSTITUTE(SUBSTITUTE(UPPER(Tasks[[#This Row],[_Predecessors]]),";",",")," ",""),",",REPT(" ",99)),199,99)))</f>
        <v/>
      </c>
      <c r="DD126" s="43" t="str">
        <f aca="false">IF(Tasks[[#This Row],[_Pred3Text]]="","",IFERROR(VALUE(LEFT(Tasks[[#This Row],[_Pred3Text]],MIN(FIND("F",Tasks[[#This Row],[_Pred3Text]]&amp;"F"),FIND("S",Tasks[[#This Row],[_Pred3Text]]&amp;"S"),FIND("+",Tasks[[#This Row],[_Pred3Text]]&amp;"+"),FIND("-",Tasks[[#This Row],[_Pred3Text]]&amp;"-"))-1)),""))</f>
        <v/>
      </c>
      <c r="DE1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6" s="43" t="str">
        <f aca="false">IF(Tasks[[#This Row],[_Pred3Text]]="","",TRIM(MID(SUBSTITUTE(SUBSTITUTE(SUBSTITUTE(UPPER(Tasks[[#This Row],[_Predecessors]]),";",",")," ",""),",",REPT(" ",99)),298,99)))</f>
        <v/>
      </c>
      <c r="DH126" s="43" t="str">
        <f aca="false">IF(Tasks[[#This Row],[_Pred4Text]]="","",IFERROR(VALUE(LEFT(Tasks[[#This Row],[_Pred4Text]],MIN(FIND("F",Tasks[[#This Row],[_Pred4Text]]&amp;"F"),FIND("S",Tasks[[#This Row],[_Pred4Text]]&amp;"S"),FIND("+",Tasks[[#This Row],[_Pred4Text]]&amp;"+"),FIND("-",Tasks[[#This Row],[_Pred4Text]]&amp;"-"))-1)),""))</f>
        <v/>
      </c>
      <c r="DI1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6" s="43" t="str">
        <f aca="false">IF(OR(Tasks[[#This Row],[Task Name]]="",Tasks[[#This Row],[_Resources]]=""),"",TRIM(MID(SUBSTITUTE(Tasks[[#This Row],[_Resources]],",",REPT(" ",99)),1,99)))</f>
        <v/>
      </c>
      <c r="DL126" s="43" t="str">
        <f aca="false">IF(Tasks[[#This Row],[_Res1Text]]="","",TRIM(MID(SUBSTITUTE(Tasks[[#This Row],[_Resources]],",",REPT(" ",99)),100,99)))</f>
        <v/>
      </c>
      <c r="DM126" s="43" t="str">
        <f aca="false">IF(Tasks[[#This Row],[_Res2Text]]="","",TRIM(MID(SUBSTITUTE(Tasks[[#This Row],[_Resources]],",",REPT(" ",99)),199,99)))</f>
        <v/>
      </c>
      <c r="DN126" s="43" t="str">
        <f aca="false">IF(Tasks[[#This Row],[_Res3Text]]="","",TRIM(MID(SUBSTITUTE(Tasks[[#This Row],[_Resources]],",",REPT(" ",99)),298,99)))</f>
        <v/>
      </c>
      <c r="DO126" s="43" t="n">
        <f aca="false">IF(Tasks[[#This Row],[_Res1Text]]="",0,IFERROR(MATCH(TRIM(LEFT(Tasks[[#This Row],[_Res1Text]],FIND("[",Tasks[[#This Row],[_Res1Text]]&amp;"[")-1)),res_Name,0),IFERROR(MATCH(TRIM(LEFT(Tasks[[#This Row],[_Res1Text]],FIND("[",Tasks[[#This Row],[_Res1Text]]&amp;"[")-1)),res_Initials,0),0)))</f>
        <v>0</v>
      </c>
      <c r="DP126" s="43" t="n">
        <f aca="false">IF(Tasks[[#This Row],[_Res2Text]]="",0,IFERROR(MATCH(TRIM(LEFT(Tasks[[#This Row],[_Res2Text]],FIND("[",Tasks[[#This Row],[_Res2Text]]&amp;"[")-1)),res_Name,0),IFERROR(MATCH(TRIM(LEFT(Tasks[[#This Row],[_Res2Text]],FIND("[",Tasks[[#This Row],[_Res2Text]]&amp;"[")-1)),res_Initials,0),0)))</f>
        <v>0</v>
      </c>
      <c r="DQ126" s="43" t="n">
        <f aca="false">IF(Tasks[[#This Row],[_Res3Text]]="",0,IFERROR(MATCH(TRIM(LEFT(Tasks[[#This Row],[_Res3Text]],FIND("[",Tasks[[#This Row],[_Res3Text]]&amp;"[")-1)),res_Name,0),IFERROR(MATCH(TRIM(LEFT(Tasks[[#This Row],[_Res3Text]],FIND("[",Tasks[[#This Row],[_Res3Text]]&amp;"[")-1)),res_Initials,0),0)))</f>
        <v>0</v>
      </c>
      <c r="DR126" s="43" t="n">
        <f aca="false">IF(Tasks[[#This Row],[_Res4Text]]="",0,IFERROR(MATCH(TRIM(LEFT(Tasks[[#This Row],[_Res4Text]],FIND("[",Tasks[[#This Row],[_Res4Text]]&amp;"[")-1)),res_Name,0),IFERROR(MATCH(TRIM(LEFT(Tasks[[#This Row],[_Res4Text]],FIND("[",Tasks[[#This Row],[_Res4Text]]&amp;"[")-1)),res_Initials,0),0)))</f>
        <v>0</v>
      </c>
      <c r="DS126" s="43" t="str">
        <f aca="false">IF(Tasks[[#This Row],[_Res1Text]]="","",IF(Tasks[[#This Row],[_Res1Row]]&gt;0,INDEX(res_Name,Tasks[[#This Row],[_Res1Row]]),TRIM(LEFT(Tasks[[#This Row],[_Res1Text]],FIND("[",Tasks[[#This Row],[_Res1Text]]&amp;"[")-1))))</f>
        <v/>
      </c>
      <c r="DT1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6" s="43" t="n">
        <f aca="false">IF(NOT(Tasks[[#This Row],[_IsLeaf]]=1),0,(Tasks[[#This Row],[_Resource1]]&lt;&gt;"")+(Tasks[[#This Row],[_Res2]]&lt;&gt;"")+(Tasks[[#This Row],[_Res3]]&lt;&gt;"")+(Tasks[[#This Row],[_Res4]]&lt;&gt;""))</f>
        <v>0</v>
      </c>
      <c r="DV126" s="43" t="str">
        <f aca="false">IF(Tasks[[#This Row],[_Res2Text]]="","",IF(Tasks[[#This Row],[_Res2Row]]&gt;0,INDEX(res_Name,Tasks[[#This Row],[_Res2Row]]),TRIM(LEFT(Tasks[[#This Row],[_Res2Text]],FIND("[",Tasks[[#This Row],[_Res2Text]]&amp;"[")-1))))</f>
        <v/>
      </c>
      <c r="DW12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6" s="43" t="n">
        <f aca="false">IF(OR(NOT(Tasks[[#This Row],[_IsLeaf]]=1),Tasks[[#This Row],[_Res2Row]]=0),0,N(Tasks[[#This Row],[_Days]])*HoursPerDay*IF(Tasks[[#This Row],[_Res2Units]]="",DefaultUnits,Tasks[[#This Row],[_Res2Units]]))</f>
        <v>0</v>
      </c>
      <c r="DY126" s="43" t="n">
        <f aca="false">IF(AND(AND(Tasks[[#This Row],[_IsLeaf]]=1,Tasks[[#This Row],[_LeafTotalWork]]&gt;0),Tasks[[#This Row],[_Res2Work]]&gt;0),Tasks[[#This Row],[_Res2Work]]/(Tasks[[#This Row],[_FinishWorkday]]-Tasks[[#This Row],[_StartWorkday]]+1),0)</f>
        <v>0</v>
      </c>
      <c r="DZ126" s="43" t="n">
        <f aca="false">Tasks[[#This Row],[_Res2WorkPerWD]]*MAX(0,Tasks[[#This Row],[_StartWorkday]]-1)</f>
        <v>0</v>
      </c>
      <c r="EA126" s="43" t="n">
        <f aca="false">Tasks[[#This Row],[_Res2Work]]*Tasks[[#This Row],[_LeafProgress]]</f>
        <v>0</v>
      </c>
      <c r="EB126" s="43" t="str">
        <f aca="false">IF(Tasks[[#This Row],[_Res3Text]]="","",IF(Tasks[[#This Row],[_Res3Row]]&gt;0,INDEX(res_Name,Tasks[[#This Row],[_Res3Row]]),TRIM(LEFT(Tasks[[#This Row],[_Res3Text]],FIND("[",Tasks[[#This Row],[_Res3Text]]&amp;"[")-1))))</f>
        <v/>
      </c>
      <c r="EC1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6" s="43" t="n">
        <f aca="false">IF(OR(NOT(Tasks[[#This Row],[_IsLeaf]]=1),Tasks[[#This Row],[_Res3Row]]=0),0,N(Tasks[[#This Row],[_Days]])*HoursPerDay*IF(Tasks[[#This Row],[_Res3Units]]="",DefaultUnits,Tasks[[#This Row],[_Res3Units]]))</f>
        <v>0</v>
      </c>
      <c r="EE126" s="43" t="n">
        <f aca="false">IF(AND(AND(Tasks[[#This Row],[_IsLeaf]]=1,Tasks[[#This Row],[_LeafTotalWork]]&gt;0),Tasks[[#This Row],[_Res3Work]]&gt;0),Tasks[[#This Row],[_Res3Work]]/(Tasks[[#This Row],[_FinishWorkday]]-Tasks[[#This Row],[_StartWorkday]]+1),0)</f>
        <v>0</v>
      </c>
      <c r="EF126" s="43" t="n">
        <f aca="false">Tasks[[#This Row],[_Res3WorkPerWD]]*MAX(0,Tasks[[#This Row],[_StartWorkday]]-1)</f>
        <v>0</v>
      </c>
      <c r="EG126" s="43" t="n">
        <f aca="false">Tasks[[#This Row],[_Res3Work]]*Tasks[[#This Row],[_LeafProgress]]</f>
        <v>0</v>
      </c>
      <c r="EH126" s="43" t="str">
        <f aca="false">IF(Tasks[[#This Row],[_Res4Text]]="","",IF(Tasks[[#This Row],[_Res4Row]]&gt;0,INDEX(res_Name,Tasks[[#This Row],[_Res4Row]]),TRIM(LEFT(Tasks[[#This Row],[_Res4Text]],FIND("[",Tasks[[#This Row],[_Res4Text]]&amp;"[")-1))))</f>
        <v/>
      </c>
      <c r="EI1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6" s="43" t="n">
        <f aca="false">IF(OR(NOT(Tasks[[#This Row],[_IsLeaf]]=1),Tasks[[#This Row],[_Res4Row]]=0),0,N(Tasks[[#This Row],[_Days]])*HoursPerDay*IF(Tasks[[#This Row],[_Res4Units]]="",DefaultUnits,Tasks[[#This Row],[_Res4Units]]))</f>
        <v>0</v>
      </c>
      <c r="EK126" s="43" t="n">
        <f aca="false">IF(AND(AND(Tasks[[#This Row],[_IsLeaf]]=1,Tasks[[#This Row],[_LeafTotalWork]]&gt;0),Tasks[[#This Row],[_Res4Work]]&gt;0),Tasks[[#This Row],[_Res4Work]]/(Tasks[[#This Row],[_FinishWorkday]]-Tasks[[#This Row],[_StartWorkday]]+1),0)</f>
        <v>0</v>
      </c>
      <c r="EL126" s="43" t="n">
        <f aca="false">Tasks[[#This Row],[_Res4WorkPerWD]]*MAX(0,Tasks[[#This Row],[_StartWorkday]]-1)</f>
        <v>0</v>
      </c>
      <c r="EM126" s="43" t="n">
        <f aca="false">Tasks[[#This Row],[_Res4Work]]*Tasks[[#This Row],[_LeafProgress]]</f>
        <v>0</v>
      </c>
      <c r="EN126" s="43" t="n">
        <f aca="false">IF(ISNUMBER(Tasks[[#This Row],[% Complete]]),Tasks[[#This Row],[% Complete]],IF(Tasks[[#This Row],[Stage]]="",0,IFERROR(INDEX(stg_Pct,MATCH(Tasks[[#This Row],[Stage]],stg_Name,0)),0)))</f>
        <v>0</v>
      </c>
      <c r="EO126" s="43" t="n">
        <f aca="false">IF(NOT(Tasks[[#This Row],[_IsLeaf]]=1),0,IF(N(Tasks[[#This Row],[Actual Finish]])&gt;0,1,MIN(1,Tasks[[#This Row],[_Pct]])))</f>
        <v>0</v>
      </c>
      <c r="EP126" s="43" t="n">
        <f aca="false">IF(OR(NOT(Tasks[[#This Row],[_IsLeaf]]=1),Tasks[[#This Row],[_Res1Row]]=0),0,N(Tasks[[#This Row],[_Days]])*HoursPerDay*IF(Tasks[[#This Row],[_Units1]]="",DefaultUnits,Tasks[[#This Row],[_Units1]]))</f>
        <v>0</v>
      </c>
      <c r="EQ126" s="43" t="n">
        <f aca="false">Tasks[[#This Row],[_LeafWork]]+Tasks[[#This Row],[_Res2Work]]+Tasks[[#This Row],[_Res3Work]]+Tasks[[#This Row],[_Res4Work]]</f>
        <v>0</v>
      </c>
      <c r="ER12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6" s="43" t="n">
        <f aca="false">IF(NOT(Tasks[[#This Row],[_IsLeaf]]=1),0,MAX(_xlfn.MAXIFS(Tasks[_Row],Tasks[_Pred1UID],Tasks[[#This Row],[UID]]),_xlfn.MAXIFS(Tasks[_Row],Tasks[_Pred2UID],Tasks[[#This Row],[UID]]),_xlfn.MAXIFS(Tasks[_Row],Tasks[_Pred3UID],Tasks[[#This Row],[UID]]),_xlfn.MAXIFS(Tasks[_Row],Tasks[_Pred4UID],Tasks[[#This Row],[UID]])))</f>
        <v>0</v>
      </c>
      <c r="FA12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6" s="91" t="str">
        <f aca="false">IF(NOT(Tasks[[#This Row],[_IsLeaf]]=1),"",IF(N(Tasks[[#This Row],[_Days]])&lt;=0,Tasks[[#This Row],[_LeafLateFinish]],WORKDAY.INTL(Tasks[[#This Row],[_LeafLateFinish]],-(Tasks[[#This Row],[_Days]]-1),WorkWeek,Holidays)))</f>
        <v/>
      </c>
      <c r="FD12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6" s="90" t="b">
        <f aca="false">AND(Tasks[[#This Row],[_IsLeaf]]=1,Tasks[[#This Row],[_LeafProgress]]&lt;1,N(Tasks[[#This Row],[_LeafTotalSlack]])&lt;=CriticalSlackDays)</f>
        <v>0</v>
      </c>
      <c r="FF126" s="43" t="n">
        <f aca="false">IF(AND(Tasks[[#This Row],[_IsLeaf]]=1,Tasks[[#This Row],[_ConstraintCode]]=1,Tasks[[#This Row],[Mode]]&lt;&gt;"Manual",N(Tasks[[#This Row],[Actual Start]])=0),MAX(0,N(Tasks[[#This Row],[Free Slack]])),0)</f>
        <v>0</v>
      </c>
      <c r="FG126" s="91" t="str">
        <f aca="false">IF(NOT(Tasks[[#This Row],[_IsLeaf]]=1),"",IF(Tasks[[#This Row],[_AlapShift]]=0,Tasks[[#This Row],[_LeafCalcStart]],WORKDAY.INTL(Tasks[[#This Row],[_LeafCalcStart]],Tasks[[#This Row],[_AlapShift]],WorkWeek,Holidays)))</f>
        <v/>
      </c>
      <c r="FH126" s="91" t="str">
        <f aca="false">IF(NOT(Tasks[[#This Row],[_IsLeaf]]=1),"",IF(Tasks[[#This Row],[_AlapShift]]=0,Tasks[[#This Row],[_LeafCalcFinish]],WORKDAY.INTL(Tasks[[#This Row],[_LeafCalcFinish]],Tasks[[#This Row],[_AlapShift]],WorkWeek,Holidays)))</f>
        <v/>
      </c>
      <c r="FI126" s="91" t="str">
        <f aca="false">IF(NOT(Tasks[[#This Row],[_IsLeaf]]=1),"",IF(Tasks[[#This Row],[_AlapShift]]=0,Tasks[[#This Row],[_LeafFcstStart]],WORKDAY.INTL(Tasks[[#This Row],[_LeafFcstStart]],Tasks[[#This Row],[_AlapShift]],WorkWeek,Holidays)))</f>
        <v/>
      </c>
      <c r="FJ126" s="91" t="str">
        <f aca="false">IF(NOT(Tasks[[#This Row],[_IsLeaf]]=1),"",IF(Tasks[[#This Row],[_AlapShift]]=0,Tasks[[#This Row],[_LeafFcstFinish]],WORKDAY.INTL(Tasks[[#This Row],[_LeafFcstFinish]],Tasks[[#This Row],[_AlapShift]],WorkWeek,Holidays)))</f>
        <v/>
      </c>
      <c r="FK126" s="91" t="str">
        <f aca="false">IF(Tasks[[#This Row],[Task Name]]="","",IF(Tasks[[#This Row],[_IsSummary]],MIN(INDEX(Tasks[_ShownCalcStart],Tasks[[#This Row],[_Row]]+1):INDEX(Tasks[_ShownCalcStart],Tasks[[#This Row],[_Row]]+Tasks[[#This Row],[_Descendants]])),Tasks[[#This Row],[_ShownCalcStart]]))</f>
        <v/>
      </c>
      <c r="FL126" s="91" t="str">
        <f aca="false">IF(Tasks[[#This Row],[Task Name]]="","",IF(Tasks[[#This Row],[_IsSummary]],MAX(INDEX(Tasks[_ShownCalcFinish],Tasks[[#This Row],[_Row]]+1):INDEX(Tasks[_ShownCalcFinish],Tasks[[#This Row],[_Row]]+Tasks[[#This Row],[_Descendants]])),Tasks[[#This Row],[_ShownCalcFinish]]))</f>
        <v/>
      </c>
      <c r="FM1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6" s="43" t="n">
        <f aca="false">IF(AND(Tasks[[#This Row],[_IsLeaf]]=1,Tasks[[#This Row],[_LeafTotalWork]]&gt;0),NETWORKDAYS.INTL(ProjectStart,Tasks[[#This Row],[_ShownFcstStart]],WorkWeek,Holidays),0)</f>
        <v>0</v>
      </c>
      <c r="FZ126" s="43" t="n">
        <f aca="false">IF(AND(Tasks[[#This Row],[_IsLeaf]]=1,Tasks[[#This Row],[_LeafTotalWork]]&gt;0),MAX(Tasks[[#This Row],[_StartWorkday]],NETWORKDAYS.INTL(ProjectStart,Tasks[[#This Row],[_ShownFcstFinish]],WorkWeek,Holidays)),0)</f>
        <v>0</v>
      </c>
      <c r="GA126" s="43" t="n">
        <f aca="false">IF(AND(Tasks[[#This Row],[_IsLeaf]]=1,Tasks[[#This Row],[_LeafTotalWork]]&gt;0),Tasks[[#This Row],[_LeafWork]]/(Tasks[[#This Row],[_FinishWorkday]]-Tasks[[#This Row],[_StartWorkday]]+1),0)</f>
        <v>0</v>
      </c>
      <c r="GB126" s="43" t="n">
        <f aca="false">Tasks[[#This Row],[_WorkPerWorkday]]*(Tasks[[#This Row],[_StartWorkday]]-1)</f>
        <v>-0</v>
      </c>
      <c r="GC126" s="43" t="n">
        <f aca="false">IF(Tasks[[#This Row],[_IsLeaf]]=1,MAX(N(Tasks[[#This Row],[_Days]]),0.1),0)</f>
        <v>0</v>
      </c>
      <c r="GD126" s="43" t="n">
        <f aca="false">Tasks[[#This Row],[_WeightDur]]*Tasks[[#This Row],[_LeafProgress]]</f>
        <v>0</v>
      </c>
      <c r="GE126" s="43" t="n">
        <f aca="false">Tasks[[#This Row],[_WeightDur]]*Tasks[[#This Row],[_PlannedPct]]</f>
        <v>0</v>
      </c>
      <c r="GF1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6" s="43" t="str">
        <f aca="false">IF(AND(Tasks[[#This Row],[_IsLeaf]]=1,N(Tasks[[#This Row],[_Days]])=0,Tasks[[#This Row],[_LeafProgress]]&lt;1),Tasks[[#This Row],[_ShownFcstFinish]]+Tasks[[#This Row],[_Row]]/100000,"")</f>
        <v/>
      </c>
      <c r="GH1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6" s="43" t="str">
        <f aca="false">IF(Tasks[[#This Row],[Task Name]]="","",LEFT(Tasks[[#This Row],[WBS]],FIND(".",Tasks[[#This Row],[WBS]]&amp;".")-1))</f>
        <v/>
      </c>
      <c r="GJ126" s="43" t="str">
        <f aca="false">IF(AND(Tasks[[#This Row],[Task Name]]&lt;&gt;"",Tasks[[#This Row],[_Level]]=1),Tasks[[#This Row],[_Row]],"")</f>
        <v/>
      </c>
      <c r="GK126" s="43" t="str">
        <f aca="false">IF(AND(Tasks[[#This Row],[_IsLeaf]]=1,N(Tasks[[#This Row],[_Days]])=0),Tasks[[#This Row],[Planned Finish]]+Tasks[[#This Row],[_Row]]/100000,"")</f>
        <v/>
      </c>
      <c r="GL126" s="43" t="str">
        <f aca="false">IF(AND(Tasks[[#This Row],[_IsLeaf]]=1,Tasks[[#This Row],[_LeafProgress]]&lt;1,OR(N(Tasks[[#This Row],[Finish Var]])&gt;0,Tasks[[#This Row],[Status]]="Late Start")),MAX(0,Tasks[[#This Row],[Finish Var]])+1-Tasks[[#This Row],[_Row]]/1000000,"")</f>
        <v/>
      </c>
      <c r="GM126" s="43" t="str">
        <f aca="false">IF(AND(Tasks[[#This Row],[_IsLeaf]]=1,N(Tasks[[#This Row],[Actual Start]])=0,Tasks[[#This Row],[_ShownFcstStart]]&gt;=StatusDate,Tasks[[#This Row],[_ShownFcstStart]]&lt;=LookaheadEnd),Tasks[[#This Row],[_ShownFcstStart]]+Tasks[[#This Row],[_Row]]/100000,"")</f>
        <v/>
      </c>
      <c r="GN126" s="43" t="str">
        <f aca="false">IF(AND(Tasks[[#This Row],[_IsLeaf]]=1,Tasks[[#This Row],[_LeafProgress]]&lt;1,Tasks[[#This Row],[_ShownFcstFinish]]&gt;=StatusDate,Tasks[[#This Row],[_ShownFcstFinish]]&lt;=LookaheadEnd),Tasks[[#This Row],[_ShownFcstFinish]]+Tasks[[#This Row],[_Row]]/100000,"")</f>
        <v/>
      </c>
      <c r="GO126" s="43" t="str">
        <f aca="false">IF(Tasks[[#This Row],[_LeafCritical]],Tasks[[#This Row],[_ShownFcstStart]]+Tasks[[#This Row],[_Row]]/100000,"")</f>
        <v/>
      </c>
      <c r="GP126" s="43" t="n">
        <f aca="false">Tasks[[#This Row],[_LeafWork]]*Tasks[[#This Row],[_LeafProgress]]</f>
        <v>0</v>
      </c>
      <c r="GQ126" s="91" t="str">
        <f aca="false">IF(AND(Tasks[[#This Row],[_IsLeaf]]=1,Tasks[[#This Row],[_LeafProgress]]&gt;=1),IF(N(Tasks[[#This Row],[Actual Finish]])&gt;0,Tasks[[#This Row],[Actual Finish]],Tasks[[#This Row],[_ShownFcstFinish]]),"")</f>
        <v/>
      </c>
      <c r="GR126" s="43" t="n">
        <f aca="false">IF(Tasks[[#This Row],[_IsLeaf]]=1,N(Tasks[[#This Row],[Story Points]]),0)</f>
        <v>0</v>
      </c>
      <c r="GS126" s="43" t="str">
        <f aca="false">""</f>
        <v/>
      </c>
      <c r="GT126" s="90" t="b">
        <f aca="false">IF(Tasks[[#This Row],[Task Name]]="",FALSE(),AND(Tasks[[#This Row],[_IsLeaf]]=1,N(Tasks[[#This Row],[_Days]])=0))</f>
        <v>0</v>
      </c>
      <c r="GU126" s="91" t="n">
        <f aca="false">IF(Tasks[[#This Row],[Task Name]]="",0,IF(AND(Tasks[[#This Row],[_IsLeaf]]=1,NOT(Tasks[[#This Row],[_IsMilestone]]),N(Tasks[[#This Row],[Progress]])&gt;0),Tasks[[#This Row],[Start]],0))</f>
        <v>0</v>
      </c>
      <c r="GV126" s="91" t="n">
        <f aca="false">IF(Tasks[[#This Row],[_DoneFrom]]=0,0,IF(Tasks[[#This Row],[Progress]]&gt;=1,Tasks[[#This Row],[Finish]],MAX(Tasks[[#This Row],[_DoneFrom]],Tasks[[#This Row],[Start]]+ROUND((Tasks[[#This Row],[Finish]]-Tasks[[#This Row],[Start]]+1)*Tasks[[#This Row],[Progress]],0)-1)))</f>
        <v>0</v>
      </c>
      <c r="GW126" s="91" t="n">
        <f aca="false">IF(Tasks[[#This Row],[Task Name]]="",0,IF(OR(NOT(Tasks[[#This Row],[_IsLeaf]]=1),Tasks[[#This Row],[_IsMilestone]],N(Tasks[[#This Row],[Progress]])&gt;=1),0,IF(Tasks[[#This Row],[_DoneTo]]&gt;0,Tasks[[#This Row],[_DoneTo]]+1,Tasks[[#This Row],[Start]])))</f>
        <v>0</v>
      </c>
      <c r="GX126" s="91" t="n">
        <f aca="false">IF(Tasks[[#This Row],[_RemFrom]]=0,0,Tasks[[#This Row],[Finish]])</f>
        <v>0</v>
      </c>
      <c r="GY126" s="90" t="b">
        <f aca="false">IF(Tasks[[#This Row],[Task Name]]="",FALSE(),OR(NOT(BaselineSet),N(Tasks[[#This Row],[Baseline Start]])&gt;0))</f>
        <v>0</v>
      </c>
      <c r="GZ12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6" s="92" t="str">
        <f aca="false">IF(Tasks[[#This Row],[_IsLeaf]]=1,Tasks[[#This Row],[_Row]],"")</f>
        <v/>
      </c>
      <c r="HD126" s="92" t="str">
        <f aca="false">IFERROR(INDEX(Tasks[UID],SMALL(Tasks[_PickKey],Tasks[[#This Row],[_Row]]))&amp;" "&amp;INDEX(Tasks[Task Name],SMALL(Tasks[_PickKey],Tasks[[#This Row],[_Row]])),"")</f>
        <v/>
      </c>
      <c r="HE126" s="43" t="str">
        <f aca="false">IF(Tasks[[#This Row],[Task Name]]="","",IF(Tasks[[#This Row],[_IsSummary]],NETWORKDAYS.INTL(Tasks[[#This Row],[Start]],Tasks[[#This Row],[Finish]],WorkWeek,Holidays),N(Tasks[[#This Row],[_Days]])))</f>
        <v/>
      </c>
      <c r="HF126" s="43" t="n">
        <f aca="false">IF(Tasks[[#This Row],[Expected]]="",0,((Tasks[[#This Row],[Pessimistic]]-Tasks[[#This Row],[Optimistic]])/6)^2)</f>
        <v>0</v>
      </c>
      <c r="HG126" s="43" t="n">
        <f aca="false">IF(Tasks[[#This Row],[Expected]]="",0,Tasks[[#This Row],[Expected]]-N(Tasks[[#This Row],[_Days]]))</f>
        <v>0</v>
      </c>
    </row>
    <row r="127" customFormat="false" ht="15" hidden="false" customHeight="false" outlineLevel="0" collapsed="false">
      <c r="A127" s="21" t="str">
        <f aca="false">IF(Tasks[[#This Row],[Task Name]]="","",COUNTA(Tasks[[#Headers],[Task Name]]:Tasks[[#This Row],[Task Name]])-1)</f>
        <v/>
      </c>
      <c r="B127" s="22" t="n">
        <v>135</v>
      </c>
      <c r="C127" s="22"/>
      <c r="D127" s="23"/>
      <c r="E127" s="22"/>
      <c r="F127" s="23"/>
      <c r="G127" s="22"/>
      <c r="H127" s="22"/>
      <c r="I127" s="23"/>
      <c r="J127" s="22"/>
      <c r="K127" s="22"/>
      <c r="L127" s="23"/>
      <c r="M127" s="22"/>
      <c r="N127" s="22"/>
      <c r="O127" s="23"/>
      <c r="P127" s="22"/>
      <c r="Q127" s="22"/>
      <c r="R127" s="23"/>
      <c r="S127" s="23"/>
      <c r="T127" s="84"/>
      <c r="U127" s="23"/>
      <c r="V127" s="84"/>
      <c r="W127" s="23"/>
      <c r="X127" s="84"/>
      <c r="Y127" s="23"/>
      <c r="Z127" s="84"/>
      <c r="AA127" s="23"/>
      <c r="AB127" s="23"/>
      <c r="AC127" s="7"/>
      <c r="AD127" s="7"/>
      <c r="AE127" s="63" t="str">
        <f aca="false">IF(Tasks[[#This Row],[Task Name]]="","",IF(Tasks[[#This Row],[_IsSummary]],MIN(INDEX(Tasks[_ShownFcstStart],Tasks[[#This Row],[_Row]]+1):INDEX(Tasks[_ShownFcstStart],Tasks[[#This Row],[_Row]]+Tasks[[#This Row],[_Descendants]])),Tasks[[#This Row],[_ShownFcstStart]]))</f>
        <v/>
      </c>
      <c r="AF127" s="63" t="str">
        <f aca="false">IF(Tasks[[#This Row],[Task Name]]="","",IF(Tasks[[#This Row],[_IsSummary]],MAX(INDEX(Tasks[_ShownFcstFinish],Tasks[[#This Row],[_Row]]+1):INDEX(Tasks[_ShownFcstFinish],Tasks[[#This Row],[_Row]]+Tasks[[#This Row],[_Descendants]])),Tasks[[#This Row],[_ShownFcstFinish]]))</f>
        <v/>
      </c>
      <c r="AG127" s="21" t="str">
        <f aca="false">""</f>
        <v/>
      </c>
      <c r="AH127" s="23"/>
      <c r="AI1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7" s="7"/>
      <c r="AK127" s="22"/>
      <c r="AL127" s="23"/>
      <c r="AM127" s="7"/>
      <c r="AN127" s="47" t="str">
        <f aca="false">IF(Tasks[[#This Row],[Task Name]]="","",IF(Tasks[[#This Row],[Finish]]&gt;=Tasks[[#This Row],[Planned Finish]],NETWORKDAYS.INTL(Tasks[[#This Row],[Planned Finish]],Tasks[[#This Row],[Finish]],WorkWeek,Holidays)-1,1-NETWORKDAYS.INTL(Tasks[[#This Row],[Finish]],Tasks[[#This Row],[Planned Finish]],WorkWeek,Holidays)))</f>
        <v/>
      </c>
      <c r="AO127" s="21" t="str">
        <f aca="false">IF(Tasks[[#This Row],[Task Name]]="","",IF(Tasks[[#This Row],[Progress]]&gt;=1,"Complete",IF(OR(N(Tasks[[#This Row],[Actual Start]])&gt;0,Tasks[[#This Row],[Progress]]&gt;0),IF(Tasks[[#This Row],[Finish Var]]&gt;0,"Behind","In Progress"),IF(Tasks[[#This Row],[Planned Start]]&lt;StatusDate,"Late Start","Not Started"))))</f>
        <v/>
      </c>
      <c r="AP127" s="21" t="str">
        <f aca="false">IF(Tasks[[#This Row],[Task Name]]="","",IF(IF(Tasks[[#This Row],[_IsSummary]],COUNTIF(INDEX(Tasks[_LeafCritical],Tasks[[#This Row],[_Row]]+1):INDEX(Tasks[_LeafCritical],Tasks[[#This Row],[_Row]]+Tasks[[#This Row],[_Descendants]]),TRUE())&gt;0,Tasks[[#This Row],[_LeafCritical]]),"Yes",""))</f>
        <v/>
      </c>
      <c r="AQ127" s="63" t="str">
        <f aca="false">IF(Tasks[[#This Row],[Task Name]]="","",IF(N(Tasks[[#This Row],[Baseline Start]])&gt;0,Tasks[[#This Row],[Baseline Start]],Tasks[[#This Row],[_CalcStart]]))</f>
        <v/>
      </c>
      <c r="AR127" s="63" t="str">
        <f aca="false">IF(Tasks[[#This Row],[Task Name]]="","",IF(N(Tasks[[#This Row],[Baseline Finish]])&gt;0,Tasks[[#This Row],[Baseline Finish]],Tasks[[#This Row],[_CalcFinish]]))</f>
        <v/>
      </c>
      <c r="AS127" s="47" t="str">
        <f aca="false">IF(Tasks[[#This Row],[Task Name]]="","",IF(Tasks[[#This Row],[Start]]&gt;=Tasks[[#This Row],[Planned Start]],NETWORKDAYS.INTL(Tasks[[#This Row],[Planned Start]],Tasks[[#This Row],[Start]],WorkWeek,Holidays)-1,1-NETWORKDAYS.INTL(Tasks[[#This Row],[Start]],Tasks[[#This Row],[Planned Start]],WorkWeek,Holidays)))</f>
        <v/>
      </c>
      <c r="AT127" s="63" t="str">
        <f aca="false">IF(Tasks[[#This Row],[Task Name]]="","",IF(Tasks[[#This Row],[_IsSummary]],MIN(INDEX(Tasks[_LeafLateStart],Tasks[[#This Row],[_Row]]+1):INDEX(Tasks[_LeafLateStart],Tasks[[#This Row],[_Row]]+Tasks[[#This Row],[_Descendants]])),Tasks[[#This Row],[_LeafLateStart]]))</f>
        <v/>
      </c>
      <c r="AU127" s="63" t="str">
        <f aca="false">IF(Tasks[[#This Row],[Task Name]]="","",IF(Tasks[[#This Row],[_IsSummary]],MAX(INDEX(Tasks[_LeafLateFinish],Tasks[[#This Row],[_Row]]+1):INDEX(Tasks[_LeafLateFinish],Tasks[[#This Row],[_Row]]+Tasks[[#This Row],[_Descendants]])),Tasks[[#This Row],[_LeafLateFinish]]))</f>
        <v/>
      </c>
      <c r="AV127" s="47" t="str">
        <f aca="false">IF(Tasks[[#This Row],[Task Name]]="","",IF(Tasks[[#This Row],[_IsSummary]],MIN(INDEX(Tasks[_LeafTotalSlack],Tasks[[#This Row],[_Row]]+1):INDEX(Tasks[_LeafTotalSlack],Tasks[[#This Row],[_Row]]+Tasks[[#This Row],[_Descendants]])),Tasks[[#This Row],[_LeafTotalSlack]]))</f>
        <v/>
      </c>
      <c r="AW1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5"/>
      <c r="BA12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t="str">
        <f aca="false">IF(Tasks[[#This Row],[Task Name]]="","",IF(Tasks[[#This Row],[_Level]]&lt;=OutlineShowLevel,"Yes","No"))</f>
        <v/>
      </c>
      <c r="BE127" s="86" t="str">
        <f aca="false">IF(Tasks[[#This Row],[Task Name]]="","",IF(Tasks[[#This Row],[_IsSummary]],SUM(INDEX(Tasks[_LeafTotalWork],Tasks[[#This Row],[_Row]]+1):INDEX(Tasks[_LeafTotalWork],Tasks[[#This Row],[_Row]]+Tasks[[#This Row],[_Descendants]])),Tasks[[#This Row],[_LeafTotalWork]]))</f>
        <v/>
      </c>
      <c r="BF127" s="23"/>
      <c r="BG1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t="str">
        <f aca="false">""</f>
        <v/>
      </c>
      <c r="BI127" s="87"/>
      <c r="BJ127" s="22"/>
      <c r="BK127" s="47" t="str">
        <f aca="false">IF(OR(Tasks[[#This Row],[Task Name]]="",Tasks[[#This Row],[Baseline Duration]]=""),"",Tasks[[#This Row],[_SpanDays]]-N(Tasks[[#This Row],[Baseline Duration]]))</f>
        <v/>
      </c>
      <c r="BL127" s="86" t="str">
        <f aca="false">IF(OR(Tasks[[#This Row],[Task Name]]="",Tasks[[#This Row],[Baseline Work]]=""),"",Tasks[[#This Row],[Work]]-N(Tasks[[#This Row],[Baseline Work]]))</f>
        <v/>
      </c>
      <c r="BM127" s="63" t="str">
        <f aca="false">IF(Tasks[[#This Row],[Task Name]]="","",IF(OR(TakeBaseline="Yes",N(Tasks[[#This Row],[Baseline Start]])=0),Tasks[[#This Row],[Start]],Tasks[[#This Row],[Baseline Start]]))</f>
        <v/>
      </c>
      <c r="BN127" s="63" t="str">
        <f aca="false">IF(Tasks[[#This Row],[Task Name]]="","",IF(OR(TakeBaseline="Yes",N(Tasks[[#This Row],[Baseline Finish]])=0),Tasks[[#This Row],[Finish]],Tasks[[#This Row],[Baseline Finish]]))</f>
        <v/>
      </c>
      <c r="BO127" s="21" t="str">
        <f aca="false">IF(Tasks[[#This Row],[Task Name]]="","",IF(OR(TakeBaseline="Yes",N(Tasks[[#This Row],[Baseline Duration]])=0),Tasks[[#This Row],[_SpanDays]],Tasks[[#This Row],[Baseline Duration]]))</f>
        <v/>
      </c>
      <c r="BP127" s="86" t="str">
        <f aca="false">IF(Tasks[[#This Row],[Task Name]]="","",IF(OR(TakeBaseline="Yes",N(Tasks[[#This Row],[Baseline Work]])=0),Tasks[[#This Row],[Work]],Tasks[[#This Row],[Baseline Work]]))</f>
        <v/>
      </c>
      <c r="BQ127" s="7"/>
      <c r="BR127" s="7"/>
      <c r="BS127" s="22"/>
      <c r="BT127" s="88"/>
      <c r="BU127" s="23"/>
      <c r="BV127" s="23"/>
      <c r="BW127" s="23"/>
      <c r="BX127" s="89" t="str">
        <f aca="false">IF(AND(Tasks[[#This Row],[_IsLeaf]]=1,ISNUMBER(Tasks[[#This Row],[Optimistic]]),ISNUMBER(Tasks[[#This Row],[Pessimistic]])),ROUND((Tasks[[#This Row],[Optimistic]]+4*N(Tasks[[#This Row],[_Days]])+Tasks[[#This Row],[Pessimistic]])/6,1),"")</f>
        <v/>
      </c>
      <c r="BY127" s="87"/>
      <c r="BZ127" s="87"/>
      <c r="CA127" s="22"/>
      <c r="CB127" s="43" t="str">
        <f aca="false">IF(Tasks[[#This Row],[Task Name]]="","",MAX(1,N(Tasks[[#This Row],[Level]])))</f>
        <v/>
      </c>
      <c r="CC127" s="43" t="n">
        <f aca="false">ROW()-ROW(Tasks[[#Headers],[ID]])</f>
        <v>122</v>
      </c>
      <c r="CD127" s="43" t="n">
        <f aca="false">IF(OR(Tasks[[#This Row],[Task Name]]="",Tasks[[#This Row],[_Level]]&lt;=1),0,IFERROR(LOOKUP(2,1/(Tasks[[#Headers],[_Level]]:Tasks[[#This Row],[_Level]]=Tasks[[#This Row],[_Level]]-1),ROW(Tasks[[#Headers],[_Level]]:Tasks[[#This Row],[_Level]])),0))</f>
        <v>0</v>
      </c>
      <c r="CE127" s="43" t="n">
        <f aca="false">IFERROR(N(INDEX(Tasks[_Level],Tasks[[#This Row],[_Row]]+1)),0)</f>
        <v>0</v>
      </c>
      <c r="CF127" s="90" t="b">
        <f aca="false">AND(Tasks[[#This Row],[Task Name]]&lt;&gt;"",Tasks[[#This Row],[_NextLevel]]&gt;Tasks[[#This Row],[_Level]])</f>
        <v>0</v>
      </c>
      <c r="CG127" s="43" t="n">
        <f aca="false">IF(Tasks[[#This Row],[_IsSummary]],COUNTIF(Tasks[WBS],Tasks[[#This Row],[WBS]]&amp;".*"),0)</f>
        <v>0</v>
      </c>
      <c r="CH127" s="43" t="n">
        <f aca="false">IF(AND(Tasks[[#This Row],[Task Name]]&lt;&gt;"",NOT(Tasks[[#This Row],[_IsSummary]])),1,0)</f>
        <v>0</v>
      </c>
      <c r="CI127" s="43" t="n">
        <f aca="false">IF(N(Tasks[[#This Row],[_Pred1UID]])=0,0,IFERROR(MATCH(Tasks[[#This Row],[_Pred1UID]],Tasks[UID],0),-1))</f>
        <v>0</v>
      </c>
      <c r="CJ127" s="43" t="n">
        <f aca="false">IF(N(Tasks[[#This Row],[_Pred2UID]])=0,0,IFERROR(MATCH(Tasks[[#This Row],[_Pred2UID]],Tasks[UID],0),-1))</f>
        <v>0</v>
      </c>
      <c r="CK127" s="43" t="n">
        <f aca="false">IF(N(Tasks[[#This Row],[_Pred3UID]])=0,0,IFERROR(MATCH(Tasks[[#This Row],[_Pred3UID]],Tasks[UID],0),-1))</f>
        <v>0</v>
      </c>
      <c r="CL127" s="43" t="n">
        <f aca="false">IF(N(Tasks[[#This Row],[_Pred4UID]])=0,0,IFERROR(MATCH(Tasks[[#This Row],[_Pred4UID]],Tasks[UID],0),-1))</f>
        <v>0</v>
      </c>
      <c r="CM12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7" s="91" t="n">
        <f aca="false">IF(OR(Tasks[[#This Row],[_ConstraintCode]]=2,Tasks[[#This Row],[_ConstraintCode]]=3,Tasks[[#This Row],[_ConstraintCode]]=4,Tasks[[#This Row],[_ConstraintCode]]=6),Tasks[[#This Row],[_ConstraintStart]],0)</f>
        <v>0</v>
      </c>
      <c r="CP127" s="91" t="n">
        <f aca="false">IF(OR(Tasks[[#This Row],[_ConstraintCode]]=2,Tasks[[#This Row],[_ConstraintCode]]=3,Tasks[[#This Row],[_ConstraintCode]]=5,Tasks[[#This Row],[_ConstraintCode]]=7),Tasks[[#This Row],[_ConstraintStart]],2958465)</f>
        <v>2958465</v>
      </c>
      <c r="CQ12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7" s="91" t="str">
        <f aca="false">IF(NOT(Tasks[[#This Row],[_IsLeaf]]=1),"",IF(N(Tasks[[#This Row],[_Days]])&lt;=0,Tasks[[#This Row],[_LeafCalcStart]],WORKDAY.INTL(Tasks[[#This Row],[_LeafCalcStart]],Tasks[[#This Row],[_Days]]-1,WorkWeek,Holidays)))</f>
        <v/>
      </c>
      <c r="CS12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7" s="43" t="str">
        <f aca="false">IF(Tasks[[#This Row],[_Predecessors]]="","",TRIM(MID(SUBSTITUTE(SUBSTITUTE(SUBSTITUTE(UPPER(Tasks[[#This Row],[_Predecessors]]),";",",")," ",""),",",REPT(" ",99)),1,99)))</f>
        <v/>
      </c>
      <c r="CV127" s="43" t="str">
        <f aca="false">IF(Tasks[[#This Row],[_Pred1Text]]="","",IFERROR(VALUE(LEFT(Tasks[[#This Row],[_Pred1Text]],MIN(FIND("F",Tasks[[#This Row],[_Pred1Text]]&amp;"F"),FIND("S",Tasks[[#This Row],[_Pred1Text]]&amp;"S"),FIND("+",Tasks[[#This Row],[_Pred1Text]]&amp;"+"),FIND("-",Tasks[[#This Row],[_Pred1Text]]&amp;"-"))-1)),""))</f>
        <v/>
      </c>
      <c r="CW1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7" s="43" t="str">
        <f aca="false">IF(Tasks[[#This Row],[_Pred1Text]]="","",TRIM(MID(SUBSTITUTE(SUBSTITUTE(SUBSTITUTE(UPPER(Tasks[[#This Row],[_Predecessors]]),";",",")," ",""),",",REPT(" ",99)),100,99)))</f>
        <v/>
      </c>
      <c r="CZ127" s="43" t="str">
        <f aca="false">IF(Tasks[[#This Row],[_Pred2Text]]="","",IFERROR(VALUE(LEFT(Tasks[[#This Row],[_Pred2Text]],MIN(FIND("F",Tasks[[#This Row],[_Pred2Text]]&amp;"F"),FIND("S",Tasks[[#This Row],[_Pred2Text]]&amp;"S"),FIND("+",Tasks[[#This Row],[_Pred2Text]]&amp;"+"),FIND("-",Tasks[[#This Row],[_Pred2Text]]&amp;"-"))-1)),""))</f>
        <v/>
      </c>
      <c r="DA1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7" s="43" t="str">
        <f aca="false">IF(Tasks[[#This Row],[_Pred2Text]]="","",TRIM(MID(SUBSTITUTE(SUBSTITUTE(SUBSTITUTE(UPPER(Tasks[[#This Row],[_Predecessors]]),";",",")," ",""),",",REPT(" ",99)),199,99)))</f>
        <v/>
      </c>
      <c r="DD127" s="43" t="str">
        <f aca="false">IF(Tasks[[#This Row],[_Pred3Text]]="","",IFERROR(VALUE(LEFT(Tasks[[#This Row],[_Pred3Text]],MIN(FIND("F",Tasks[[#This Row],[_Pred3Text]]&amp;"F"),FIND("S",Tasks[[#This Row],[_Pred3Text]]&amp;"S"),FIND("+",Tasks[[#This Row],[_Pred3Text]]&amp;"+"),FIND("-",Tasks[[#This Row],[_Pred3Text]]&amp;"-"))-1)),""))</f>
        <v/>
      </c>
      <c r="DE1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7" s="43" t="str">
        <f aca="false">IF(Tasks[[#This Row],[_Pred3Text]]="","",TRIM(MID(SUBSTITUTE(SUBSTITUTE(SUBSTITUTE(UPPER(Tasks[[#This Row],[_Predecessors]]),";",",")," ",""),",",REPT(" ",99)),298,99)))</f>
        <v/>
      </c>
      <c r="DH127" s="43" t="str">
        <f aca="false">IF(Tasks[[#This Row],[_Pred4Text]]="","",IFERROR(VALUE(LEFT(Tasks[[#This Row],[_Pred4Text]],MIN(FIND("F",Tasks[[#This Row],[_Pred4Text]]&amp;"F"),FIND("S",Tasks[[#This Row],[_Pred4Text]]&amp;"S"),FIND("+",Tasks[[#This Row],[_Pred4Text]]&amp;"+"),FIND("-",Tasks[[#This Row],[_Pred4Text]]&amp;"-"))-1)),""))</f>
        <v/>
      </c>
      <c r="DI1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7" s="43" t="str">
        <f aca="false">IF(OR(Tasks[[#This Row],[Task Name]]="",Tasks[[#This Row],[_Resources]]=""),"",TRIM(MID(SUBSTITUTE(Tasks[[#This Row],[_Resources]],",",REPT(" ",99)),1,99)))</f>
        <v/>
      </c>
      <c r="DL127" s="43" t="str">
        <f aca="false">IF(Tasks[[#This Row],[_Res1Text]]="","",TRIM(MID(SUBSTITUTE(Tasks[[#This Row],[_Resources]],",",REPT(" ",99)),100,99)))</f>
        <v/>
      </c>
      <c r="DM127" s="43" t="str">
        <f aca="false">IF(Tasks[[#This Row],[_Res2Text]]="","",TRIM(MID(SUBSTITUTE(Tasks[[#This Row],[_Resources]],",",REPT(" ",99)),199,99)))</f>
        <v/>
      </c>
      <c r="DN127" s="43" t="str">
        <f aca="false">IF(Tasks[[#This Row],[_Res3Text]]="","",TRIM(MID(SUBSTITUTE(Tasks[[#This Row],[_Resources]],",",REPT(" ",99)),298,99)))</f>
        <v/>
      </c>
      <c r="DO127" s="43" t="n">
        <f aca="false">IF(Tasks[[#This Row],[_Res1Text]]="",0,IFERROR(MATCH(TRIM(LEFT(Tasks[[#This Row],[_Res1Text]],FIND("[",Tasks[[#This Row],[_Res1Text]]&amp;"[")-1)),res_Name,0),IFERROR(MATCH(TRIM(LEFT(Tasks[[#This Row],[_Res1Text]],FIND("[",Tasks[[#This Row],[_Res1Text]]&amp;"[")-1)),res_Initials,0),0)))</f>
        <v>0</v>
      </c>
      <c r="DP127" s="43" t="n">
        <f aca="false">IF(Tasks[[#This Row],[_Res2Text]]="",0,IFERROR(MATCH(TRIM(LEFT(Tasks[[#This Row],[_Res2Text]],FIND("[",Tasks[[#This Row],[_Res2Text]]&amp;"[")-1)),res_Name,0),IFERROR(MATCH(TRIM(LEFT(Tasks[[#This Row],[_Res2Text]],FIND("[",Tasks[[#This Row],[_Res2Text]]&amp;"[")-1)),res_Initials,0),0)))</f>
        <v>0</v>
      </c>
      <c r="DQ127" s="43" t="n">
        <f aca="false">IF(Tasks[[#This Row],[_Res3Text]]="",0,IFERROR(MATCH(TRIM(LEFT(Tasks[[#This Row],[_Res3Text]],FIND("[",Tasks[[#This Row],[_Res3Text]]&amp;"[")-1)),res_Name,0),IFERROR(MATCH(TRIM(LEFT(Tasks[[#This Row],[_Res3Text]],FIND("[",Tasks[[#This Row],[_Res3Text]]&amp;"[")-1)),res_Initials,0),0)))</f>
        <v>0</v>
      </c>
      <c r="DR127" s="43" t="n">
        <f aca="false">IF(Tasks[[#This Row],[_Res4Text]]="",0,IFERROR(MATCH(TRIM(LEFT(Tasks[[#This Row],[_Res4Text]],FIND("[",Tasks[[#This Row],[_Res4Text]]&amp;"[")-1)),res_Name,0),IFERROR(MATCH(TRIM(LEFT(Tasks[[#This Row],[_Res4Text]],FIND("[",Tasks[[#This Row],[_Res4Text]]&amp;"[")-1)),res_Initials,0),0)))</f>
        <v>0</v>
      </c>
      <c r="DS127" s="43" t="str">
        <f aca="false">IF(Tasks[[#This Row],[_Res1Text]]="","",IF(Tasks[[#This Row],[_Res1Row]]&gt;0,INDEX(res_Name,Tasks[[#This Row],[_Res1Row]]),TRIM(LEFT(Tasks[[#This Row],[_Res1Text]],FIND("[",Tasks[[#This Row],[_Res1Text]]&amp;"[")-1))))</f>
        <v/>
      </c>
      <c r="DT1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7" s="43" t="n">
        <f aca="false">IF(NOT(Tasks[[#This Row],[_IsLeaf]]=1),0,(Tasks[[#This Row],[_Resource1]]&lt;&gt;"")+(Tasks[[#This Row],[_Res2]]&lt;&gt;"")+(Tasks[[#This Row],[_Res3]]&lt;&gt;"")+(Tasks[[#This Row],[_Res4]]&lt;&gt;""))</f>
        <v>0</v>
      </c>
      <c r="DV127" s="43" t="str">
        <f aca="false">IF(Tasks[[#This Row],[_Res2Text]]="","",IF(Tasks[[#This Row],[_Res2Row]]&gt;0,INDEX(res_Name,Tasks[[#This Row],[_Res2Row]]),TRIM(LEFT(Tasks[[#This Row],[_Res2Text]],FIND("[",Tasks[[#This Row],[_Res2Text]]&amp;"[")-1))))</f>
        <v/>
      </c>
      <c r="DW1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7" s="43" t="n">
        <f aca="false">IF(OR(NOT(Tasks[[#This Row],[_IsLeaf]]=1),Tasks[[#This Row],[_Res2Row]]=0),0,N(Tasks[[#This Row],[_Days]])*HoursPerDay*IF(Tasks[[#This Row],[_Res2Units]]="",DefaultUnits,Tasks[[#This Row],[_Res2Units]]))</f>
        <v>0</v>
      </c>
      <c r="DY127" s="43" t="n">
        <f aca="false">IF(AND(AND(Tasks[[#This Row],[_IsLeaf]]=1,Tasks[[#This Row],[_LeafTotalWork]]&gt;0),Tasks[[#This Row],[_Res2Work]]&gt;0),Tasks[[#This Row],[_Res2Work]]/(Tasks[[#This Row],[_FinishWorkday]]-Tasks[[#This Row],[_StartWorkday]]+1),0)</f>
        <v>0</v>
      </c>
      <c r="DZ127" s="43" t="n">
        <f aca="false">Tasks[[#This Row],[_Res2WorkPerWD]]*MAX(0,Tasks[[#This Row],[_StartWorkday]]-1)</f>
        <v>0</v>
      </c>
      <c r="EA127" s="43" t="n">
        <f aca="false">Tasks[[#This Row],[_Res2Work]]*Tasks[[#This Row],[_LeafProgress]]</f>
        <v>0</v>
      </c>
      <c r="EB127" s="43" t="str">
        <f aca="false">IF(Tasks[[#This Row],[_Res3Text]]="","",IF(Tasks[[#This Row],[_Res3Row]]&gt;0,INDEX(res_Name,Tasks[[#This Row],[_Res3Row]]),TRIM(LEFT(Tasks[[#This Row],[_Res3Text]],FIND("[",Tasks[[#This Row],[_Res3Text]]&amp;"[")-1))))</f>
        <v/>
      </c>
      <c r="EC1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7" s="43" t="n">
        <f aca="false">IF(OR(NOT(Tasks[[#This Row],[_IsLeaf]]=1),Tasks[[#This Row],[_Res3Row]]=0),0,N(Tasks[[#This Row],[_Days]])*HoursPerDay*IF(Tasks[[#This Row],[_Res3Units]]="",DefaultUnits,Tasks[[#This Row],[_Res3Units]]))</f>
        <v>0</v>
      </c>
      <c r="EE127" s="43" t="n">
        <f aca="false">IF(AND(AND(Tasks[[#This Row],[_IsLeaf]]=1,Tasks[[#This Row],[_LeafTotalWork]]&gt;0),Tasks[[#This Row],[_Res3Work]]&gt;0),Tasks[[#This Row],[_Res3Work]]/(Tasks[[#This Row],[_FinishWorkday]]-Tasks[[#This Row],[_StartWorkday]]+1),0)</f>
        <v>0</v>
      </c>
      <c r="EF127" s="43" t="n">
        <f aca="false">Tasks[[#This Row],[_Res3WorkPerWD]]*MAX(0,Tasks[[#This Row],[_StartWorkday]]-1)</f>
        <v>0</v>
      </c>
      <c r="EG127" s="43" t="n">
        <f aca="false">Tasks[[#This Row],[_Res3Work]]*Tasks[[#This Row],[_LeafProgress]]</f>
        <v>0</v>
      </c>
      <c r="EH127" s="43" t="str">
        <f aca="false">IF(Tasks[[#This Row],[_Res4Text]]="","",IF(Tasks[[#This Row],[_Res4Row]]&gt;0,INDEX(res_Name,Tasks[[#This Row],[_Res4Row]]),TRIM(LEFT(Tasks[[#This Row],[_Res4Text]],FIND("[",Tasks[[#This Row],[_Res4Text]]&amp;"[")-1))))</f>
        <v/>
      </c>
      <c r="EI1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7" s="43" t="n">
        <f aca="false">IF(OR(NOT(Tasks[[#This Row],[_IsLeaf]]=1),Tasks[[#This Row],[_Res4Row]]=0),0,N(Tasks[[#This Row],[_Days]])*HoursPerDay*IF(Tasks[[#This Row],[_Res4Units]]="",DefaultUnits,Tasks[[#This Row],[_Res4Units]]))</f>
        <v>0</v>
      </c>
      <c r="EK127" s="43" t="n">
        <f aca="false">IF(AND(AND(Tasks[[#This Row],[_IsLeaf]]=1,Tasks[[#This Row],[_LeafTotalWork]]&gt;0),Tasks[[#This Row],[_Res4Work]]&gt;0),Tasks[[#This Row],[_Res4Work]]/(Tasks[[#This Row],[_FinishWorkday]]-Tasks[[#This Row],[_StartWorkday]]+1),0)</f>
        <v>0</v>
      </c>
      <c r="EL127" s="43" t="n">
        <f aca="false">Tasks[[#This Row],[_Res4WorkPerWD]]*MAX(0,Tasks[[#This Row],[_StartWorkday]]-1)</f>
        <v>0</v>
      </c>
      <c r="EM127" s="43" t="n">
        <f aca="false">Tasks[[#This Row],[_Res4Work]]*Tasks[[#This Row],[_LeafProgress]]</f>
        <v>0</v>
      </c>
      <c r="EN127" s="43" t="n">
        <f aca="false">IF(ISNUMBER(Tasks[[#This Row],[% Complete]]),Tasks[[#This Row],[% Complete]],IF(Tasks[[#This Row],[Stage]]="",0,IFERROR(INDEX(stg_Pct,MATCH(Tasks[[#This Row],[Stage]],stg_Name,0)),0)))</f>
        <v>0</v>
      </c>
      <c r="EO127" s="43" t="n">
        <f aca="false">IF(NOT(Tasks[[#This Row],[_IsLeaf]]=1),0,IF(N(Tasks[[#This Row],[Actual Finish]])&gt;0,1,MIN(1,Tasks[[#This Row],[_Pct]])))</f>
        <v>0</v>
      </c>
      <c r="EP127" s="43" t="n">
        <f aca="false">IF(OR(NOT(Tasks[[#This Row],[_IsLeaf]]=1),Tasks[[#This Row],[_Res1Row]]=0),0,N(Tasks[[#This Row],[_Days]])*HoursPerDay*IF(Tasks[[#This Row],[_Units1]]="",DefaultUnits,Tasks[[#This Row],[_Units1]]))</f>
        <v>0</v>
      </c>
      <c r="EQ127" s="43" t="n">
        <f aca="false">Tasks[[#This Row],[_LeafWork]]+Tasks[[#This Row],[_Res2Work]]+Tasks[[#This Row],[_Res3Work]]+Tasks[[#This Row],[_Res4Work]]</f>
        <v>0</v>
      </c>
      <c r="ER12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7" s="43" t="n">
        <f aca="false">IF(NOT(Tasks[[#This Row],[_IsLeaf]]=1),0,MAX(_xlfn.MAXIFS(Tasks[_Row],Tasks[_Pred1UID],Tasks[[#This Row],[UID]]),_xlfn.MAXIFS(Tasks[_Row],Tasks[_Pred2UID],Tasks[[#This Row],[UID]]),_xlfn.MAXIFS(Tasks[_Row],Tasks[_Pred3UID],Tasks[[#This Row],[UID]]),_xlfn.MAXIFS(Tasks[_Row],Tasks[_Pred4UID],Tasks[[#This Row],[UID]])))</f>
        <v>0</v>
      </c>
      <c r="FA12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7" s="91" t="str">
        <f aca="false">IF(NOT(Tasks[[#This Row],[_IsLeaf]]=1),"",IF(N(Tasks[[#This Row],[_Days]])&lt;=0,Tasks[[#This Row],[_LeafLateFinish]],WORKDAY.INTL(Tasks[[#This Row],[_LeafLateFinish]],-(Tasks[[#This Row],[_Days]]-1),WorkWeek,Holidays)))</f>
        <v/>
      </c>
      <c r="FD12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7" s="90" t="b">
        <f aca="false">AND(Tasks[[#This Row],[_IsLeaf]]=1,Tasks[[#This Row],[_LeafProgress]]&lt;1,N(Tasks[[#This Row],[_LeafTotalSlack]])&lt;=CriticalSlackDays)</f>
        <v>0</v>
      </c>
      <c r="FF127" s="43" t="n">
        <f aca="false">IF(AND(Tasks[[#This Row],[_IsLeaf]]=1,Tasks[[#This Row],[_ConstraintCode]]=1,Tasks[[#This Row],[Mode]]&lt;&gt;"Manual",N(Tasks[[#This Row],[Actual Start]])=0),MAX(0,N(Tasks[[#This Row],[Free Slack]])),0)</f>
        <v>0</v>
      </c>
      <c r="FG127" s="91" t="str">
        <f aca="false">IF(NOT(Tasks[[#This Row],[_IsLeaf]]=1),"",IF(Tasks[[#This Row],[_AlapShift]]=0,Tasks[[#This Row],[_LeafCalcStart]],WORKDAY.INTL(Tasks[[#This Row],[_LeafCalcStart]],Tasks[[#This Row],[_AlapShift]],WorkWeek,Holidays)))</f>
        <v/>
      </c>
      <c r="FH127" s="91" t="str">
        <f aca="false">IF(NOT(Tasks[[#This Row],[_IsLeaf]]=1),"",IF(Tasks[[#This Row],[_AlapShift]]=0,Tasks[[#This Row],[_LeafCalcFinish]],WORKDAY.INTL(Tasks[[#This Row],[_LeafCalcFinish]],Tasks[[#This Row],[_AlapShift]],WorkWeek,Holidays)))</f>
        <v/>
      </c>
      <c r="FI127" s="91" t="str">
        <f aca="false">IF(NOT(Tasks[[#This Row],[_IsLeaf]]=1),"",IF(Tasks[[#This Row],[_AlapShift]]=0,Tasks[[#This Row],[_LeafFcstStart]],WORKDAY.INTL(Tasks[[#This Row],[_LeafFcstStart]],Tasks[[#This Row],[_AlapShift]],WorkWeek,Holidays)))</f>
        <v/>
      </c>
      <c r="FJ127" s="91" t="str">
        <f aca="false">IF(NOT(Tasks[[#This Row],[_IsLeaf]]=1),"",IF(Tasks[[#This Row],[_AlapShift]]=0,Tasks[[#This Row],[_LeafFcstFinish]],WORKDAY.INTL(Tasks[[#This Row],[_LeafFcstFinish]],Tasks[[#This Row],[_AlapShift]],WorkWeek,Holidays)))</f>
        <v/>
      </c>
      <c r="FK127" s="91" t="str">
        <f aca="false">IF(Tasks[[#This Row],[Task Name]]="","",IF(Tasks[[#This Row],[_IsSummary]],MIN(INDEX(Tasks[_ShownCalcStart],Tasks[[#This Row],[_Row]]+1):INDEX(Tasks[_ShownCalcStart],Tasks[[#This Row],[_Row]]+Tasks[[#This Row],[_Descendants]])),Tasks[[#This Row],[_ShownCalcStart]]))</f>
        <v/>
      </c>
      <c r="FL127" s="91" t="str">
        <f aca="false">IF(Tasks[[#This Row],[Task Name]]="","",IF(Tasks[[#This Row],[_IsSummary]],MAX(INDEX(Tasks[_ShownCalcFinish],Tasks[[#This Row],[_Row]]+1):INDEX(Tasks[_ShownCalcFinish],Tasks[[#This Row],[_Row]]+Tasks[[#This Row],[_Descendants]])),Tasks[[#This Row],[_ShownCalcFinish]]))</f>
        <v/>
      </c>
      <c r="FM1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7" s="43" t="n">
        <f aca="false">IF(AND(Tasks[[#This Row],[_IsLeaf]]=1,Tasks[[#This Row],[_LeafTotalWork]]&gt;0),NETWORKDAYS.INTL(ProjectStart,Tasks[[#This Row],[_ShownFcstStart]],WorkWeek,Holidays),0)</f>
        <v>0</v>
      </c>
      <c r="FZ127" s="43" t="n">
        <f aca="false">IF(AND(Tasks[[#This Row],[_IsLeaf]]=1,Tasks[[#This Row],[_LeafTotalWork]]&gt;0),MAX(Tasks[[#This Row],[_StartWorkday]],NETWORKDAYS.INTL(ProjectStart,Tasks[[#This Row],[_ShownFcstFinish]],WorkWeek,Holidays)),0)</f>
        <v>0</v>
      </c>
      <c r="GA127" s="43" t="n">
        <f aca="false">IF(AND(Tasks[[#This Row],[_IsLeaf]]=1,Tasks[[#This Row],[_LeafTotalWork]]&gt;0),Tasks[[#This Row],[_LeafWork]]/(Tasks[[#This Row],[_FinishWorkday]]-Tasks[[#This Row],[_StartWorkday]]+1),0)</f>
        <v>0</v>
      </c>
      <c r="GB127" s="43" t="n">
        <f aca="false">Tasks[[#This Row],[_WorkPerWorkday]]*(Tasks[[#This Row],[_StartWorkday]]-1)</f>
        <v>-0</v>
      </c>
      <c r="GC127" s="43" t="n">
        <f aca="false">IF(Tasks[[#This Row],[_IsLeaf]]=1,MAX(N(Tasks[[#This Row],[_Days]]),0.1),0)</f>
        <v>0</v>
      </c>
      <c r="GD127" s="43" t="n">
        <f aca="false">Tasks[[#This Row],[_WeightDur]]*Tasks[[#This Row],[_LeafProgress]]</f>
        <v>0</v>
      </c>
      <c r="GE127" s="43" t="n">
        <f aca="false">Tasks[[#This Row],[_WeightDur]]*Tasks[[#This Row],[_PlannedPct]]</f>
        <v>0</v>
      </c>
      <c r="GF1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7" s="43" t="str">
        <f aca="false">IF(AND(Tasks[[#This Row],[_IsLeaf]]=1,N(Tasks[[#This Row],[_Days]])=0,Tasks[[#This Row],[_LeafProgress]]&lt;1),Tasks[[#This Row],[_ShownFcstFinish]]+Tasks[[#This Row],[_Row]]/100000,"")</f>
        <v/>
      </c>
      <c r="GH1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7" s="43" t="str">
        <f aca="false">IF(Tasks[[#This Row],[Task Name]]="","",LEFT(Tasks[[#This Row],[WBS]],FIND(".",Tasks[[#This Row],[WBS]]&amp;".")-1))</f>
        <v/>
      </c>
      <c r="GJ127" s="43" t="str">
        <f aca="false">IF(AND(Tasks[[#This Row],[Task Name]]&lt;&gt;"",Tasks[[#This Row],[_Level]]=1),Tasks[[#This Row],[_Row]],"")</f>
        <v/>
      </c>
      <c r="GK127" s="43" t="str">
        <f aca="false">IF(AND(Tasks[[#This Row],[_IsLeaf]]=1,N(Tasks[[#This Row],[_Days]])=0),Tasks[[#This Row],[Planned Finish]]+Tasks[[#This Row],[_Row]]/100000,"")</f>
        <v/>
      </c>
      <c r="GL127" s="43" t="str">
        <f aca="false">IF(AND(Tasks[[#This Row],[_IsLeaf]]=1,Tasks[[#This Row],[_LeafProgress]]&lt;1,OR(N(Tasks[[#This Row],[Finish Var]])&gt;0,Tasks[[#This Row],[Status]]="Late Start")),MAX(0,Tasks[[#This Row],[Finish Var]])+1-Tasks[[#This Row],[_Row]]/1000000,"")</f>
        <v/>
      </c>
      <c r="GM127" s="43" t="str">
        <f aca="false">IF(AND(Tasks[[#This Row],[_IsLeaf]]=1,N(Tasks[[#This Row],[Actual Start]])=0,Tasks[[#This Row],[_ShownFcstStart]]&gt;=StatusDate,Tasks[[#This Row],[_ShownFcstStart]]&lt;=LookaheadEnd),Tasks[[#This Row],[_ShownFcstStart]]+Tasks[[#This Row],[_Row]]/100000,"")</f>
        <v/>
      </c>
      <c r="GN127" s="43" t="str">
        <f aca="false">IF(AND(Tasks[[#This Row],[_IsLeaf]]=1,Tasks[[#This Row],[_LeafProgress]]&lt;1,Tasks[[#This Row],[_ShownFcstFinish]]&gt;=StatusDate,Tasks[[#This Row],[_ShownFcstFinish]]&lt;=LookaheadEnd),Tasks[[#This Row],[_ShownFcstFinish]]+Tasks[[#This Row],[_Row]]/100000,"")</f>
        <v/>
      </c>
      <c r="GO127" s="43" t="str">
        <f aca="false">IF(Tasks[[#This Row],[_LeafCritical]],Tasks[[#This Row],[_ShownFcstStart]]+Tasks[[#This Row],[_Row]]/100000,"")</f>
        <v/>
      </c>
      <c r="GP127" s="43" t="n">
        <f aca="false">Tasks[[#This Row],[_LeafWork]]*Tasks[[#This Row],[_LeafProgress]]</f>
        <v>0</v>
      </c>
      <c r="GQ127" s="91" t="str">
        <f aca="false">IF(AND(Tasks[[#This Row],[_IsLeaf]]=1,Tasks[[#This Row],[_LeafProgress]]&gt;=1),IF(N(Tasks[[#This Row],[Actual Finish]])&gt;0,Tasks[[#This Row],[Actual Finish]],Tasks[[#This Row],[_ShownFcstFinish]]),"")</f>
        <v/>
      </c>
      <c r="GR127" s="43" t="n">
        <f aca="false">IF(Tasks[[#This Row],[_IsLeaf]]=1,N(Tasks[[#This Row],[Story Points]]),0)</f>
        <v>0</v>
      </c>
      <c r="GS127" s="43" t="str">
        <f aca="false">""</f>
        <v/>
      </c>
      <c r="GT127" s="90" t="b">
        <f aca="false">IF(Tasks[[#This Row],[Task Name]]="",FALSE(),AND(Tasks[[#This Row],[_IsLeaf]]=1,N(Tasks[[#This Row],[_Days]])=0))</f>
        <v>0</v>
      </c>
      <c r="GU127" s="91" t="n">
        <f aca="false">IF(Tasks[[#This Row],[Task Name]]="",0,IF(AND(Tasks[[#This Row],[_IsLeaf]]=1,NOT(Tasks[[#This Row],[_IsMilestone]]),N(Tasks[[#This Row],[Progress]])&gt;0),Tasks[[#This Row],[Start]],0))</f>
        <v>0</v>
      </c>
      <c r="GV127" s="91" t="n">
        <f aca="false">IF(Tasks[[#This Row],[_DoneFrom]]=0,0,IF(Tasks[[#This Row],[Progress]]&gt;=1,Tasks[[#This Row],[Finish]],MAX(Tasks[[#This Row],[_DoneFrom]],Tasks[[#This Row],[Start]]+ROUND((Tasks[[#This Row],[Finish]]-Tasks[[#This Row],[Start]]+1)*Tasks[[#This Row],[Progress]],0)-1)))</f>
        <v>0</v>
      </c>
      <c r="GW127" s="91" t="n">
        <f aca="false">IF(Tasks[[#This Row],[Task Name]]="",0,IF(OR(NOT(Tasks[[#This Row],[_IsLeaf]]=1),Tasks[[#This Row],[_IsMilestone]],N(Tasks[[#This Row],[Progress]])&gt;=1),0,IF(Tasks[[#This Row],[_DoneTo]]&gt;0,Tasks[[#This Row],[_DoneTo]]+1,Tasks[[#This Row],[Start]])))</f>
        <v>0</v>
      </c>
      <c r="GX127" s="91" t="n">
        <f aca="false">IF(Tasks[[#This Row],[_RemFrom]]=0,0,Tasks[[#This Row],[Finish]])</f>
        <v>0</v>
      </c>
      <c r="GY127" s="90" t="b">
        <f aca="false">IF(Tasks[[#This Row],[Task Name]]="",FALSE(),OR(NOT(BaselineSet),N(Tasks[[#This Row],[Baseline Start]])&gt;0))</f>
        <v>0</v>
      </c>
      <c r="GZ12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7" s="92" t="str">
        <f aca="false">IF(Tasks[[#This Row],[_IsLeaf]]=1,Tasks[[#This Row],[_Row]],"")</f>
        <v/>
      </c>
      <c r="HD127" s="92" t="str">
        <f aca="false">IFERROR(INDEX(Tasks[UID],SMALL(Tasks[_PickKey],Tasks[[#This Row],[_Row]]))&amp;" "&amp;INDEX(Tasks[Task Name],SMALL(Tasks[_PickKey],Tasks[[#This Row],[_Row]])),"")</f>
        <v/>
      </c>
      <c r="HE127" s="43" t="str">
        <f aca="false">IF(Tasks[[#This Row],[Task Name]]="","",IF(Tasks[[#This Row],[_IsSummary]],NETWORKDAYS.INTL(Tasks[[#This Row],[Start]],Tasks[[#This Row],[Finish]],WorkWeek,Holidays),N(Tasks[[#This Row],[_Days]])))</f>
        <v/>
      </c>
      <c r="HF127" s="43" t="n">
        <f aca="false">IF(Tasks[[#This Row],[Expected]]="",0,((Tasks[[#This Row],[Pessimistic]]-Tasks[[#This Row],[Optimistic]])/6)^2)</f>
        <v>0</v>
      </c>
      <c r="HG127" s="43" t="n">
        <f aca="false">IF(Tasks[[#This Row],[Expected]]="",0,Tasks[[#This Row],[Expected]]-N(Tasks[[#This Row],[_Days]]))</f>
        <v>0</v>
      </c>
    </row>
    <row r="128" customFormat="false" ht="15" hidden="false" customHeight="false" outlineLevel="0" collapsed="false">
      <c r="A128" s="21" t="str">
        <f aca="false">IF(Tasks[[#This Row],[Task Name]]="","",COUNTA(Tasks[[#Headers],[Task Name]]:Tasks[[#This Row],[Task Name]])-1)</f>
        <v/>
      </c>
      <c r="B128" s="22" t="n">
        <v>136</v>
      </c>
      <c r="C128" s="22"/>
      <c r="D128" s="23"/>
      <c r="E128" s="22"/>
      <c r="F128" s="23"/>
      <c r="G128" s="22"/>
      <c r="H128" s="22"/>
      <c r="I128" s="23"/>
      <c r="J128" s="22"/>
      <c r="K128" s="22"/>
      <c r="L128" s="23"/>
      <c r="M128" s="22"/>
      <c r="N128" s="22"/>
      <c r="O128" s="23"/>
      <c r="P128" s="22"/>
      <c r="Q128" s="22"/>
      <c r="R128" s="23"/>
      <c r="S128" s="23"/>
      <c r="T128" s="84"/>
      <c r="U128" s="23"/>
      <c r="V128" s="84"/>
      <c r="W128" s="23"/>
      <c r="X128" s="84"/>
      <c r="Y128" s="23"/>
      <c r="Z128" s="84"/>
      <c r="AA128" s="23"/>
      <c r="AB128" s="23"/>
      <c r="AC128" s="7"/>
      <c r="AD128" s="7"/>
      <c r="AE128" s="63" t="str">
        <f aca="false">IF(Tasks[[#This Row],[Task Name]]="","",IF(Tasks[[#This Row],[_IsSummary]],MIN(INDEX(Tasks[_ShownFcstStart],Tasks[[#This Row],[_Row]]+1):INDEX(Tasks[_ShownFcstStart],Tasks[[#This Row],[_Row]]+Tasks[[#This Row],[_Descendants]])),Tasks[[#This Row],[_ShownFcstStart]]))</f>
        <v/>
      </c>
      <c r="AF128" s="63" t="str">
        <f aca="false">IF(Tasks[[#This Row],[Task Name]]="","",IF(Tasks[[#This Row],[_IsSummary]],MAX(INDEX(Tasks[_ShownFcstFinish],Tasks[[#This Row],[_Row]]+1):INDEX(Tasks[_ShownFcstFinish],Tasks[[#This Row],[_Row]]+Tasks[[#This Row],[_Descendants]])),Tasks[[#This Row],[_ShownFcstFinish]]))</f>
        <v/>
      </c>
      <c r="AG128" s="21" t="str">
        <f aca="false">""</f>
        <v/>
      </c>
      <c r="AH128" s="23"/>
      <c r="AI1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8" s="7"/>
      <c r="AK128" s="22"/>
      <c r="AL128" s="23"/>
      <c r="AM128" s="7"/>
      <c r="AN128" s="47" t="str">
        <f aca="false">IF(Tasks[[#This Row],[Task Name]]="","",IF(Tasks[[#This Row],[Finish]]&gt;=Tasks[[#This Row],[Planned Finish]],NETWORKDAYS.INTL(Tasks[[#This Row],[Planned Finish]],Tasks[[#This Row],[Finish]],WorkWeek,Holidays)-1,1-NETWORKDAYS.INTL(Tasks[[#This Row],[Finish]],Tasks[[#This Row],[Planned Finish]],WorkWeek,Holidays)))</f>
        <v/>
      </c>
      <c r="AO128" s="21" t="str">
        <f aca="false">IF(Tasks[[#This Row],[Task Name]]="","",IF(Tasks[[#This Row],[Progress]]&gt;=1,"Complete",IF(OR(N(Tasks[[#This Row],[Actual Start]])&gt;0,Tasks[[#This Row],[Progress]]&gt;0),IF(Tasks[[#This Row],[Finish Var]]&gt;0,"Behind","In Progress"),IF(Tasks[[#This Row],[Planned Start]]&lt;StatusDate,"Late Start","Not Started"))))</f>
        <v/>
      </c>
      <c r="AP128" s="21" t="str">
        <f aca="false">IF(Tasks[[#This Row],[Task Name]]="","",IF(IF(Tasks[[#This Row],[_IsSummary]],COUNTIF(INDEX(Tasks[_LeafCritical],Tasks[[#This Row],[_Row]]+1):INDEX(Tasks[_LeafCritical],Tasks[[#This Row],[_Row]]+Tasks[[#This Row],[_Descendants]]),TRUE())&gt;0,Tasks[[#This Row],[_LeafCritical]]),"Yes",""))</f>
        <v/>
      </c>
      <c r="AQ128" s="63" t="str">
        <f aca="false">IF(Tasks[[#This Row],[Task Name]]="","",IF(N(Tasks[[#This Row],[Baseline Start]])&gt;0,Tasks[[#This Row],[Baseline Start]],Tasks[[#This Row],[_CalcStart]]))</f>
        <v/>
      </c>
      <c r="AR128" s="63" t="str">
        <f aca="false">IF(Tasks[[#This Row],[Task Name]]="","",IF(N(Tasks[[#This Row],[Baseline Finish]])&gt;0,Tasks[[#This Row],[Baseline Finish]],Tasks[[#This Row],[_CalcFinish]]))</f>
        <v/>
      </c>
      <c r="AS128" s="47" t="str">
        <f aca="false">IF(Tasks[[#This Row],[Task Name]]="","",IF(Tasks[[#This Row],[Start]]&gt;=Tasks[[#This Row],[Planned Start]],NETWORKDAYS.INTL(Tasks[[#This Row],[Planned Start]],Tasks[[#This Row],[Start]],WorkWeek,Holidays)-1,1-NETWORKDAYS.INTL(Tasks[[#This Row],[Start]],Tasks[[#This Row],[Planned Start]],WorkWeek,Holidays)))</f>
        <v/>
      </c>
      <c r="AT128" s="63" t="str">
        <f aca="false">IF(Tasks[[#This Row],[Task Name]]="","",IF(Tasks[[#This Row],[_IsSummary]],MIN(INDEX(Tasks[_LeafLateStart],Tasks[[#This Row],[_Row]]+1):INDEX(Tasks[_LeafLateStart],Tasks[[#This Row],[_Row]]+Tasks[[#This Row],[_Descendants]])),Tasks[[#This Row],[_LeafLateStart]]))</f>
        <v/>
      </c>
      <c r="AU128" s="63" t="str">
        <f aca="false">IF(Tasks[[#This Row],[Task Name]]="","",IF(Tasks[[#This Row],[_IsSummary]],MAX(INDEX(Tasks[_LeafLateFinish],Tasks[[#This Row],[_Row]]+1):INDEX(Tasks[_LeafLateFinish],Tasks[[#This Row],[_Row]]+Tasks[[#This Row],[_Descendants]])),Tasks[[#This Row],[_LeafLateFinish]]))</f>
        <v/>
      </c>
      <c r="AV128" s="47" t="str">
        <f aca="false">IF(Tasks[[#This Row],[Task Name]]="","",IF(Tasks[[#This Row],[_IsSummary]],MIN(INDEX(Tasks[_LeafTotalSlack],Tasks[[#This Row],[_Row]]+1):INDEX(Tasks[_LeafTotalSlack],Tasks[[#This Row],[_Row]]+Tasks[[#This Row],[_Descendants]])),Tasks[[#This Row],[_LeafTotalSlack]]))</f>
        <v/>
      </c>
      <c r="AW1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5"/>
      <c r="BA12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t="str">
        <f aca="false">IF(Tasks[[#This Row],[Task Name]]="","",IF(Tasks[[#This Row],[_Level]]&lt;=OutlineShowLevel,"Yes","No"))</f>
        <v/>
      </c>
      <c r="BE128" s="86" t="str">
        <f aca="false">IF(Tasks[[#This Row],[Task Name]]="","",IF(Tasks[[#This Row],[_IsSummary]],SUM(INDEX(Tasks[_LeafTotalWork],Tasks[[#This Row],[_Row]]+1):INDEX(Tasks[_LeafTotalWork],Tasks[[#This Row],[_Row]]+Tasks[[#This Row],[_Descendants]])),Tasks[[#This Row],[_LeafTotalWork]]))</f>
        <v/>
      </c>
      <c r="BF128" s="23"/>
      <c r="BG1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t="str">
        <f aca="false">""</f>
        <v/>
      </c>
      <c r="BI128" s="87"/>
      <c r="BJ128" s="22"/>
      <c r="BK128" s="47" t="str">
        <f aca="false">IF(OR(Tasks[[#This Row],[Task Name]]="",Tasks[[#This Row],[Baseline Duration]]=""),"",Tasks[[#This Row],[_SpanDays]]-N(Tasks[[#This Row],[Baseline Duration]]))</f>
        <v/>
      </c>
      <c r="BL128" s="86" t="str">
        <f aca="false">IF(OR(Tasks[[#This Row],[Task Name]]="",Tasks[[#This Row],[Baseline Work]]=""),"",Tasks[[#This Row],[Work]]-N(Tasks[[#This Row],[Baseline Work]]))</f>
        <v/>
      </c>
      <c r="BM128" s="63" t="str">
        <f aca="false">IF(Tasks[[#This Row],[Task Name]]="","",IF(OR(TakeBaseline="Yes",N(Tasks[[#This Row],[Baseline Start]])=0),Tasks[[#This Row],[Start]],Tasks[[#This Row],[Baseline Start]]))</f>
        <v/>
      </c>
      <c r="BN128" s="63" t="str">
        <f aca="false">IF(Tasks[[#This Row],[Task Name]]="","",IF(OR(TakeBaseline="Yes",N(Tasks[[#This Row],[Baseline Finish]])=0),Tasks[[#This Row],[Finish]],Tasks[[#This Row],[Baseline Finish]]))</f>
        <v/>
      </c>
      <c r="BO128" s="21" t="str">
        <f aca="false">IF(Tasks[[#This Row],[Task Name]]="","",IF(OR(TakeBaseline="Yes",N(Tasks[[#This Row],[Baseline Duration]])=0),Tasks[[#This Row],[_SpanDays]],Tasks[[#This Row],[Baseline Duration]]))</f>
        <v/>
      </c>
      <c r="BP128" s="86" t="str">
        <f aca="false">IF(Tasks[[#This Row],[Task Name]]="","",IF(OR(TakeBaseline="Yes",N(Tasks[[#This Row],[Baseline Work]])=0),Tasks[[#This Row],[Work]],Tasks[[#This Row],[Baseline Work]]))</f>
        <v/>
      </c>
      <c r="BQ128" s="7"/>
      <c r="BR128" s="7"/>
      <c r="BS128" s="22"/>
      <c r="BT128" s="88"/>
      <c r="BU128" s="23"/>
      <c r="BV128" s="23"/>
      <c r="BW128" s="23"/>
      <c r="BX128" s="89" t="str">
        <f aca="false">IF(AND(Tasks[[#This Row],[_IsLeaf]]=1,ISNUMBER(Tasks[[#This Row],[Optimistic]]),ISNUMBER(Tasks[[#This Row],[Pessimistic]])),ROUND((Tasks[[#This Row],[Optimistic]]+4*N(Tasks[[#This Row],[_Days]])+Tasks[[#This Row],[Pessimistic]])/6,1),"")</f>
        <v/>
      </c>
      <c r="BY128" s="87"/>
      <c r="BZ128" s="87"/>
      <c r="CA128" s="22"/>
      <c r="CB128" s="43" t="str">
        <f aca="false">IF(Tasks[[#This Row],[Task Name]]="","",MAX(1,N(Tasks[[#This Row],[Level]])))</f>
        <v/>
      </c>
      <c r="CC128" s="43" t="n">
        <f aca="false">ROW()-ROW(Tasks[[#Headers],[ID]])</f>
        <v>123</v>
      </c>
      <c r="CD128" s="43" t="n">
        <f aca="false">IF(OR(Tasks[[#This Row],[Task Name]]="",Tasks[[#This Row],[_Level]]&lt;=1),0,IFERROR(LOOKUP(2,1/(Tasks[[#Headers],[_Level]]:Tasks[[#This Row],[_Level]]=Tasks[[#This Row],[_Level]]-1),ROW(Tasks[[#Headers],[_Level]]:Tasks[[#This Row],[_Level]])),0))</f>
        <v>0</v>
      </c>
      <c r="CE128" s="43" t="n">
        <f aca="false">IFERROR(N(INDEX(Tasks[_Level],Tasks[[#This Row],[_Row]]+1)),0)</f>
        <v>0</v>
      </c>
      <c r="CF128" s="90" t="b">
        <f aca="false">AND(Tasks[[#This Row],[Task Name]]&lt;&gt;"",Tasks[[#This Row],[_NextLevel]]&gt;Tasks[[#This Row],[_Level]])</f>
        <v>0</v>
      </c>
      <c r="CG128" s="43" t="n">
        <f aca="false">IF(Tasks[[#This Row],[_IsSummary]],COUNTIF(Tasks[WBS],Tasks[[#This Row],[WBS]]&amp;".*"),0)</f>
        <v>0</v>
      </c>
      <c r="CH128" s="43" t="n">
        <f aca="false">IF(AND(Tasks[[#This Row],[Task Name]]&lt;&gt;"",NOT(Tasks[[#This Row],[_IsSummary]])),1,0)</f>
        <v>0</v>
      </c>
      <c r="CI128" s="43" t="n">
        <f aca="false">IF(N(Tasks[[#This Row],[_Pred1UID]])=0,0,IFERROR(MATCH(Tasks[[#This Row],[_Pred1UID]],Tasks[UID],0),-1))</f>
        <v>0</v>
      </c>
      <c r="CJ128" s="43" t="n">
        <f aca="false">IF(N(Tasks[[#This Row],[_Pred2UID]])=0,0,IFERROR(MATCH(Tasks[[#This Row],[_Pred2UID]],Tasks[UID],0),-1))</f>
        <v>0</v>
      </c>
      <c r="CK128" s="43" t="n">
        <f aca="false">IF(N(Tasks[[#This Row],[_Pred3UID]])=0,0,IFERROR(MATCH(Tasks[[#This Row],[_Pred3UID]],Tasks[UID],0),-1))</f>
        <v>0</v>
      </c>
      <c r="CL128" s="43" t="n">
        <f aca="false">IF(N(Tasks[[#This Row],[_Pred4UID]])=0,0,IFERROR(MATCH(Tasks[[#This Row],[_Pred4UID]],Tasks[UID],0),-1))</f>
        <v>0</v>
      </c>
      <c r="CM12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8" s="91" t="n">
        <f aca="false">IF(OR(Tasks[[#This Row],[_ConstraintCode]]=2,Tasks[[#This Row],[_ConstraintCode]]=3,Tasks[[#This Row],[_ConstraintCode]]=4,Tasks[[#This Row],[_ConstraintCode]]=6),Tasks[[#This Row],[_ConstraintStart]],0)</f>
        <v>0</v>
      </c>
      <c r="CP128" s="91" t="n">
        <f aca="false">IF(OR(Tasks[[#This Row],[_ConstraintCode]]=2,Tasks[[#This Row],[_ConstraintCode]]=3,Tasks[[#This Row],[_ConstraintCode]]=5,Tasks[[#This Row],[_ConstraintCode]]=7),Tasks[[#This Row],[_ConstraintStart]],2958465)</f>
        <v>2958465</v>
      </c>
      <c r="CQ12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8" s="91" t="str">
        <f aca="false">IF(NOT(Tasks[[#This Row],[_IsLeaf]]=1),"",IF(N(Tasks[[#This Row],[_Days]])&lt;=0,Tasks[[#This Row],[_LeafCalcStart]],WORKDAY.INTL(Tasks[[#This Row],[_LeafCalcStart]],Tasks[[#This Row],[_Days]]-1,WorkWeek,Holidays)))</f>
        <v/>
      </c>
      <c r="CS12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8" s="43" t="str">
        <f aca="false">IF(Tasks[[#This Row],[_Predecessors]]="","",TRIM(MID(SUBSTITUTE(SUBSTITUTE(SUBSTITUTE(UPPER(Tasks[[#This Row],[_Predecessors]]),";",",")," ",""),",",REPT(" ",99)),1,99)))</f>
        <v/>
      </c>
      <c r="CV128" s="43" t="str">
        <f aca="false">IF(Tasks[[#This Row],[_Pred1Text]]="","",IFERROR(VALUE(LEFT(Tasks[[#This Row],[_Pred1Text]],MIN(FIND("F",Tasks[[#This Row],[_Pred1Text]]&amp;"F"),FIND("S",Tasks[[#This Row],[_Pred1Text]]&amp;"S"),FIND("+",Tasks[[#This Row],[_Pred1Text]]&amp;"+"),FIND("-",Tasks[[#This Row],[_Pred1Text]]&amp;"-"))-1)),""))</f>
        <v/>
      </c>
      <c r="CW1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8" s="43" t="str">
        <f aca="false">IF(Tasks[[#This Row],[_Pred1Text]]="","",TRIM(MID(SUBSTITUTE(SUBSTITUTE(SUBSTITUTE(UPPER(Tasks[[#This Row],[_Predecessors]]),";",",")," ",""),",",REPT(" ",99)),100,99)))</f>
        <v/>
      </c>
      <c r="CZ128" s="43" t="str">
        <f aca="false">IF(Tasks[[#This Row],[_Pred2Text]]="","",IFERROR(VALUE(LEFT(Tasks[[#This Row],[_Pred2Text]],MIN(FIND("F",Tasks[[#This Row],[_Pred2Text]]&amp;"F"),FIND("S",Tasks[[#This Row],[_Pred2Text]]&amp;"S"),FIND("+",Tasks[[#This Row],[_Pred2Text]]&amp;"+"),FIND("-",Tasks[[#This Row],[_Pred2Text]]&amp;"-"))-1)),""))</f>
        <v/>
      </c>
      <c r="DA1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8" s="43" t="str">
        <f aca="false">IF(Tasks[[#This Row],[_Pred2Text]]="","",TRIM(MID(SUBSTITUTE(SUBSTITUTE(SUBSTITUTE(UPPER(Tasks[[#This Row],[_Predecessors]]),";",",")," ",""),",",REPT(" ",99)),199,99)))</f>
        <v/>
      </c>
      <c r="DD128" s="43" t="str">
        <f aca="false">IF(Tasks[[#This Row],[_Pred3Text]]="","",IFERROR(VALUE(LEFT(Tasks[[#This Row],[_Pred3Text]],MIN(FIND("F",Tasks[[#This Row],[_Pred3Text]]&amp;"F"),FIND("S",Tasks[[#This Row],[_Pred3Text]]&amp;"S"),FIND("+",Tasks[[#This Row],[_Pred3Text]]&amp;"+"),FIND("-",Tasks[[#This Row],[_Pred3Text]]&amp;"-"))-1)),""))</f>
        <v/>
      </c>
      <c r="DE1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8" s="43" t="str">
        <f aca="false">IF(Tasks[[#This Row],[_Pred3Text]]="","",TRIM(MID(SUBSTITUTE(SUBSTITUTE(SUBSTITUTE(UPPER(Tasks[[#This Row],[_Predecessors]]),";",",")," ",""),",",REPT(" ",99)),298,99)))</f>
        <v/>
      </c>
      <c r="DH128" s="43" t="str">
        <f aca="false">IF(Tasks[[#This Row],[_Pred4Text]]="","",IFERROR(VALUE(LEFT(Tasks[[#This Row],[_Pred4Text]],MIN(FIND("F",Tasks[[#This Row],[_Pred4Text]]&amp;"F"),FIND("S",Tasks[[#This Row],[_Pred4Text]]&amp;"S"),FIND("+",Tasks[[#This Row],[_Pred4Text]]&amp;"+"),FIND("-",Tasks[[#This Row],[_Pred4Text]]&amp;"-"))-1)),""))</f>
        <v/>
      </c>
      <c r="DI1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8" s="43" t="str">
        <f aca="false">IF(OR(Tasks[[#This Row],[Task Name]]="",Tasks[[#This Row],[_Resources]]=""),"",TRIM(MID(SUBSTITUTE(Tasks[[#This Row],[_Resources]],",",REPT(" ",99)),1,99)))</f>
        <v/>
      </c>
      <c r="DL128" s="43" t="str">
        <f aca="false">IF(Tasks[[#This Row],[_Res1Text]]="","",TRIM(MID(SUBSTITUTE(Tasks[[#This Row],[_Resources]],",",REPT(" ",99)),100,99)))</f>
        <v/>
      </c>
      <c r="DM128" s="43" t="str">
        <f aca="false">IF(Tasks[[#This Row],[_Res2Text]]="","",TRIM(MID(SUBSTITUTE(Tasks[[#This Row],[_Resources]],",",REPT(" ",99)),199,99)))</f>
        <v/>
      </c>
      <c r="DN128" s="43" t="str">
        <f aca="false">IF(Tasks[[#This Row],[_Res3Text]]="","",TRIM(MID(SUBSTITUTE(Tasks[[#This Row],[_Resources]],",",REPT(" ",99)),298,99)))</f>
        <v/>
      </c>
      <c r="DO128" s="43" t="n">
        <f aca="false">IF(Tasks[[#This Row],[_Res1Text]]="",0,IFERROR(MATCH(TRIM(LEFT(Tasks[[#This Row],[_Res1Text]],FIND("[",Tasks[[#This Row],[_Res1Text]]&amp;"[")-1)),res_Name,0),IFERROR(MATCH(TRIM(LEFT(Tasks[[#This Row],[_Res1Text]],FIND("[",Tasks[[#This Row],[_Res1Text]]&amp;"[")-1)),res_Initials,0),0)))</f>
        <v>0</v>
      </c>
      <c r="DP128" s="43" t="n">
        <f aca="false">IF(Tasks[[#This Row],[_Res2Text]]="",0,IFERROR(MATCH(TRIM(LEFT(Tasks[[#This Row],[_Res2Text]],FIND("[",Tasks[[#This Row],[_Res2Text]]&amp;"[")-1)),res_Name,0),IFERROR(MATCH(TRIM(LEFT(Tasks[[#This Row],[_Res2Text]],FIND("[",Tasks[[#This Row],[_Res2Text]]&amp;"[")-1)),res_Initials,0),0)))</f>
        <v>0</v>
      </c>
      <c r="DQ128" s="43" t="n">
        <f aca="false">IF(Tasks[[#This Row],[_Res3Text]]="",0,IFERROR(MATCH(TRIM(LEFT(Tasks[[#This Row],[_Res3Text]],FIND("[",Tasks[[#This Row],[_Res3Text]]&amp;"[")-1)),res_Name,0),IFERROR(MATCH(TRIM(LEFT(Tasks[[#This Row],[_Res3Text]],FIND("[",Tasks[[#This Row],[_Res3Text]]&amp;"[")-1)),res_Initials,0),0)))</f>
        <v>0</v>
      </c>
      <c r="DR128" s="43" t="n">
        <f aca="false">IF(Tasks[[#This Row],[_Res4Text]]="",0,IFERROR(MATCH(TRIM(LEFT(Tasks[[#This Row],[_Res4Text]],FIND("[",Tasks[[#This Row],[_Res4Text]]&amp;"[")-1)),res_Name,0),IFERROR(MATCH(TRIM(LEFT(Tasks[[#This Row],[_Res4Text]],FIND("[",Tasks[[#This Row],[_Res4Text]]&amp;"[")-1)),res_Initials,0),0)))</f>
        <v>0</v>
      </c>
      <c r="DS128" s="43" t="str">
        <f aca="false">IF(Tasks[[#This Row],[_Res1Text]]="","",IF(Tasks[[#This Row],[_Res1Row]]&gt;0,INDEX(res_Name,Tasks[[#This Row],[_Res1Row]]),TRIM(LEFT(Tasks[[#This Row],[_Res1Text]],FIND("[",Tasks[[#This Row],[_Res1Text]]&amp;"[")-1))))</f>
        <v/>
      </c>
      <c r="DT12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8" s="43" t="n">
        <f aca="false">IF(NOT(Tasks[[#This Row],[_IsLeaf]]=1),0,(Tasks[[#This Row],[_Resource1]]&lt;&gt;"")+(Tasks[[#This Row],[_Res2]]&lt;&gt;"")+(Tasks[[#This Row],[_Res3]]&lt;&gt;"")+(Tasks[[#This Row],[_Res4]]&lt;&gt;""))</f>
        <v>0</v>
      </c>
      <c r="DV128" s="43" t="str">
        <f aca="false">IF(Tasks[[#This Row],[_Res2Text]]="","",IF(Tasks[[#This Row],[_Res2Row]]&gt;0,INDEX(res_Name,Tasks[[#This Row],[_Res2Row]]),TRIM(LEFT(Tasks[[#This Row],[_Res2Text]],FIND("[",Tasks[[#This Row],[_Res2Text]]&amp;"[")-1))))</f>
        <v/>
      </c>
      <c r="DW1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8" s="43" t="n">
        <f aca="false">IF(OR(NOT(Tasks[[#This Row],[_IsLeaf]]=1),Tasks[[#This Row],[_Res2Row]]=0),0,N(Tasks[[#This Row],[_Days]])*HoursPerDay*IF(Tasks[[#This Row],[_Res2Units]]="",DefaultUnits,Tasks[[#This Row],[_Res2Units]]))</f>
        <v>0</v>
      </c>
      <c r="DY128" s="43" t="n">
        <f aca="false">IF(AND(AND(Tasks[[#This Row],[_IsLeaf]]=1,Tasks[[#This Row],[_LeafTotalWork]]&gt;0),Tasks[[#This Row],[_Res2Work]]&gt;0),Tasks[[#This Row],[_Res2Work]]/(Tasks[[#This Row],[_FinishWorkday]]-Tasks[[#This Row],[_StartWorkday]]+1),0)</f>
        <v>0</v>
      </c>
      <c r="DZ128" s="43" t="n">
        <f aca="false">Tasks[[#This Row],[_Res2WorkPerWD]]*MAX(0,Tasks[[#This Row],[_StartWorkday]]-1)</f>
        <v>0</v>
      </c>
      <c r="EA128" s="43" t="n">
        <f aca="false">Tasks[[#This Row],[_Res2Work]]*Tasks[[#This Row],[_LeafProgress]]</f>
        <v>0</v>
      </c>
      <c r="EB128" s="43" t="str">
        <f aca="false">IF(Tasks[[#This Row],[_Res3Text]]="","",IF(Tasks[[#This Row],[_Res3Row]]&gt;0,INDEX(res_Name,Tasks[[#This Row],[_Res3Row]]),TRIM(LEFT(Tasks[[#This Row],[_Res3Text]],FIND("[",Tasks[[#This Row],[_Res3Text]]&amp;"[")-1))))</f>
        <v/>
      </c>
      <c r="EC1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8" s="43" t="n">
        <f aca="false">IF(OR(NOT(Tasks[[#This Row],[_IsLeaf]]=1),Tasks[[#This Row],[_Res3Row]]=0),0,N(Tasks[[#This Row],[_Days]])*HoursPerDay*IF(Tasks[[#This Row],[_Res3Units]]="",DefaultUnits,Tasks[[#This Row],[_Res3Units]]))</f>
        <v>0</v>
      </c>
      <c r="EE128" s="43" t="n">
        <f aca="false">IF(AND(AND(Tasks[[#This Row],[_IsLeaf]]=1,Tasks[[#This Row],[_LeafTotalWork]]&gt;0),Tasks[[#This Row],[_Res3Work]]&gt;0),Tasks[[#This Row],[_Res3Work]]/(Tasks[[#This Row],[_FinishWorkday]]-Tasks[[#This Row],[_StartWorkday]]+1),0)</f>
        <v>0</v>
      </c>
      <c r="EF128" s="43" t="n">
        <f aca="false">Tasks[[#This Row],[_Res3WorkPerWD]]*MAX(0,Tasks[[#This Row],[_StartWorkday]]-1)</f>
        <v>0</v>
      </c>
      <c r="EG128" s="43" t="n">
        <f aca="false">Tasks[[#This Row],[_Res3Work]]*Tasks[[#This Row],[_LeafProgress]]</f>
        <v>0</v>
      </c>
      <c r="EH128" s="43" t="str">
        <f aca="false">IF(Tasks[[#This Row],[_Res4Text]]="","",IF(Tasks[[#This Row],[_Res4Row]]&gt;0,INDEX(res_Name,Tasks[[#This Row],[_Res4Row]]),TRIM(LEFT(Tasks[[#This Row],[_Res4Text]],FIND("[",Tasks[[#This Row],[_Res4Text]]&amp;"[")-1))))</f>
        <v/>
      </c>
      <c r="EI1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8" s="43" t="n">
        <f aca="false">IF(OR(NOT(Tasks[[#This Row],[_IsLeaf]]=1),Tasks[[#This Row],[_Res4Row]]=0),0,N(Tasks[[#This Row],[_Days]])*HoursPerDay*IF(Tasks[[#This Row],[_Res4Units]]="",DefaultUnits,Tasks[[#This Row],[_Res4Units]]))</f>
        <v>0</v>
      </c>
      <c r="EK128" s="43" t="n">
        <f aca="false">IF(AND(AND(Tasks[[#This Row],[_IsLeaf]]=1,Tasks[[#This Row],[_LeafTotalWork]]&gt;0),Tasks[[#This Row],[_Res4Work]]&gt;0),Tasks[[#This Row],[_Res4Work]]/(Tasks[[#This Row],[_FinishWorkday]]-Tasks[[#This Row],[_StartWorkday]]+1),0)</f>
        <v>0</v>
      </c>
      <c r="EL128" s="43" t="n">
        <f aca="false">Tasks[[#This Row],[_Res4WorkPerWD]]*MAX(0,Tasks[[#This Row],[_StartWorkday]]-1)</f>
        <v>0</v>
      </c>
      <c r="EM128" s="43" t="n">
        <f aca="false">Tasks[[#This Row],[_Res4Work]]*Tasks[[#This Row],[_LeafProgress]]</f>
        <v>0</v>
      </c>
      <c r="EN128" s="43" t="n">
        <f aca="false">IF(ISNUMBER(Tasks[[#This Row],[% Complete]]),Tasks[[#This Row],[% Complete]],IF(Tasks[[#This Row],[Stage]]="",0,IFERROR(INDEX(stg_Pct,MATCH(Tasks[[#This Row],[Stage]],stg_Name,0)),0)))</f>
        <v>0</v>
      </c>
      <c r="EO128" s="43" t="n">
        <f aca="false">IF(NOT(Tasks[[#This Row],[_IsLeaf]]=1),0,IF(N(Tasks[[#This Row],[Actual Finish]])&gt;0,1,MIN(1,Tasks[[#This Row],[_Pct]])))</f>
        <v>0</v>
      </c>
      <c r="EP128" s="43" t="n">
        <f aca="false">IF(OR(NOT(Tasks[[#This Row],[_IsLeaf]]=1),Tasks[[#This Row],[_Res1Row]]=0),0,N(Tasks[[#This Row],[_Days]])*HoursPerDay*IF(Tasks[[#This Row],[_Units1]]="",DefaultUnits,Tasks[[#This Row],[_Units1]]))</f>
        <v>0</v>
      </c>
      <c r="EQ128" s="43" t="n">
        <f aca="false">Tasks[[#This Row],[_LeafWork]]+Tasks[[#This Row],[_Res2Work]]+Tasks[[#This Row],[_Res3Work]]+Tasks[[#This Row],[_Res4Work]]</f>
        <v>0</v>
      </c>
      <c r="ER12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8" s="43" t="n">
        <f aca="false">IF(NOT(Tasks[[#This Row],[_IsLeaf]]=1),0,MAX(_xlfn.MAXIFS(Tasks[_Row],Tasks[_Pred1UID],Tasks[[#This Row],[UID]]),_xlfn.MAXIFS(Tasks[_Row],Tasks[_Pred2UID],Tasks[[#This Row],[UID]]),_xlfn.MAXIFS(Tasks[_Row],Tasks[_Pred3UID],Tasks[[#This Row],[UID]]),_xlfn.MAXIFS(Tasks[_Row],Tasks[_Pred4UID],Tasks[[#This Row],[UID]])))</f>
        <v>0</v>
      </c>
      <c r="FA12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8" s="91" t="str">
        <f aca="false">IF(NOT(Tasks[[#This Row],[_IsLeaf]]=1),"",IF(N(Tasks[[#This Row],[_Days]])&lt;=0,Tasks[[#This Row],[_LeafLateFinish]],WORKDAY.INTL(Tasks[[#This Row],[_LeafLateFinish]],-(Tasks[[#This Row],[_Days]]-1),WorkWeek,Holidays)))</f>
        <v/>
      </c>
      <c r="FD12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8" s="90" t="b">
        <f aca="false">AND(Tasks[[#This Row],[_IsLeaf]]=1,Tasks[[#This Row],[_LeafProgress]]&lt;1,N(Tasks[[#This Row],[_LeafTotalSlack]])&lt;=CriticalSlackDays)</f>
        <v>0</v>
      </c>
      <c r="FF128" s="43" t="n">
        <f aca="false">IF(AND(Tasks[[#This Row],[_IsLeaf]]=1,Tasks[[#This Row],[_ConstraintCode]]=1,Tasks[[#This Row],[Mode]]&lt;&gt;"Manual",N(Tasks[[#This Row],[Actual Start]])=0),MAX(0,N(Tasks[[#This Row],[Free Slack]])),0)</f>
        <v>0</v>
      </c>
      <c r="FG128" s="91" t="str">
        <f aca="false">IF(NOT(Tasks[[#This Row],[_IsLeaf]]=1),"",IF(Tasks[[#This Row],[_AlapShift]]=0,Tasks[[#This Row],[_LeafCalcStart]],WORKDAY.INTL(Tasks[[#This Row],[_LeafCalcStart]],Tasks[[#This Row],[_AlapShift]],WorkWeek,Holidays)))</f>
        <v/>
      </c>
      <c r="FH128" s="91" t="str">
        <f aca="false">IF(NOT(Tasks[[#This Row],[_IsLeaf]]=1),"",IF(Tasks[[#This Row],[_AlapShift]]=0,Tasks[[#This Row],[_LeafCalcFinish]],WORKDAY.INTL(Tasks[[#This Row],[_LeafCalcFinish]],Tasks[[#This Row],[_AlapShift]],WorkWeek,Holidays)))</f>
        <v/>
      </c>
      <c r="FI128" s="91" t="str">
        <f aca="false">IF(NOT(Tasks[[#This Row],[_IsLeaf]]=1),"",IF(Tasks[[#This Row],[_AlapShift]]=0,Tasks[[#This Row],[_LeafFcstStart]],WORKDAY.INTL(Tasks[[#This Row],[_LeafFcstStart]],Tasks[[#This Row],[_AlapShift]],WorkWeek,Holidays)))</f>
        <v/>
      </c>
      <c r="FJ128" s="91" t="str">
        <f aca="false">IF(NOT(Tasks[[#This Row],[_IsLeaf]]=1),"",IF(Tasks[[#This Row],[_AlapShift]]=0,Tasks[[#This Row],[_LeafFcstFinish]],WORKDAY.INTL(Tasks[[#This Row],[_LeafFcstFinish]],Tasks[[#This Row],[_AlapShift]],WorkWeek,Holidays)))</f>
        <v/>
      </c>
      <c r="FK128" s="91" t="str">
        <f aca="false">IF(Tasks[[#This Row],[Task Name]]="","",IF(Tasks[[#This Row],[_IsSummary]],MIN(INDEX(Tasks[_ShownCalcStart],Tasks[[#This Row],[_Row]]+1):INDEX(Tasks[_ShownCalcStart],Tasks[[#This Row],[_Row]]+Tasks[[#This Row],[_Descendants]])),Tasks[[#This Row],[_ShownCalcStart]]))</f>
        <v/>
      </c>
      <c r="FL128" s="91" t="str">
        <f aca="false">IF(Tasks[[#This Row],[Task Name]]="","",IF(Tasks[[#This Row],[_IsSummary]],MAX(INDEX(Tasks[_ShownCalcFinish],Tasks[[#This Row],[_Row]]+1):INDEX(Tasks[_ShownCalcFinish],Tasks[[#This Row],[_Row]]+Tasks[[#This Row],[_Descendants]])),Tasks[[#This Row],[_ShownCalcFinish]]))</f>
        <v/>
      </c>
      <c r="FM1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8" s="43" t="n">
        <f aca="false">IF(AND(Tasks[[#This Row],[_IsLeaf]]=1,Tasks[[#This Row],[_LeafTotalWork]]&gt;0),NETWORKDAYS.INTL(ProjectStart,Tasks[[#This Row],[_ShownFcstStart]],WorkWeek,Holidays),0)</f>
        <v>0</v>
      </c>
      <c r="FZ128" s="43" t="n">
        <f aca="false">IF(AND(Tasks[[#This Row],[_IsLeaf]]=1,Tasks[[#This Row],[_LeafTotalWork]]&gt;0),MAX(Tasks[[#This Row],[_StartWorkday]],NETWORKDAYS.INTL(ProjectStart,Tasks[[#This Row],[_ShownFcstFinish]],WorkWeek,Holidays)),0)</f>
        <v>0</v>
      </c>
      <c r="GA128" s="43" t="n">
        <f aca="false">IF(AND(Tasks[[#This Row],[_IsLeaf]]=1,Tasks[[#This Row],[_LeafTotalWork]]&gt;0),Tasks[[#This Row],[_LeafWork]]/(Tasks[[#This Row],[_FinishWorkday]]-Tasks[[#This Row],[_StartWorkday]]+1),0)</f>
        <v>0</v>
      </c>
      <c r="GB128" s="43" t="n">
        <f aca="false">Tasks[[#This Row],[_WorkPerWorkday]]*(Tasks[[#This Row],[_StartWorkday]]-1)</f>
        <v>-0</v>
      </c>
      <c r="GC128" s="43" t="n">
        <f aca="false">IF(Tasks[[#This Row],[_IsLeaf]]=1,MAX(N(Tasks[[#This Row],[_Days]]),0.1),0)</f>
        <v>0</v>
      </c>
      <c r="GD128" s="43" t="n">
        <f aca="false">Tasks[[#This Row],[_WeightDur]]*Tasks[[#This Row],[_LeafProgress]]</f>
        <v>0</v>
      </c>
      <c r="GE128" s="43" t="n">
        <f aca="false">Tasks[[#This Row],[_WeightDur]]*Tasks[[#This Row],[_PlannedPct]]</f>
        <v>0</v>
      </c>
      <c r="GF1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8" s="43" t="str">
        <f aca="false">IF(AND(Tasks[[#This Row],[_IsLeaf]]=1,N(Tasks[[#This Row],[_Days]])=0,Tasks[[#This Row],[_LeafProgress]]&lt;1),Tasks[[#This Row],[_ShownFcstFinish]]+Tasks[[#This Row],[_Row]]/100000,"")</f>
        <v/>
      </c>
      <c r="GH1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8" s="43" t="str">
        <f aca="false">IF(Tasks[[#This Row],[Task Name]]="","",LEFT(Tasks[[#This Row],[WBS]],FIND(".",Tasks[[#This Row],[WBS]]&amp;".")-1))</f>
        <v/>
      </c>
      <c r="GJ128" s="43" t="str">
        <f aca="false">IF(AND(Tasks[[#This Row],[Task Name]]&lt;&gt;"",Tasks[[#This Row],[_Level]]=1),Tasks[[#This Row],[_Row]],"")</f>
        <v/>
      </c>
      <c r="GK128" s="43" t="str">
        <f aca="false">IF(AND(Tasks[[#This Row],[_IsLeaf]]=1,N(Tasks[[#This Row],[_Days]])=0),Tasks[[#This Row],[Planned Finish]]+Tasks[[#This Row],[_Row]]/100000,"")</f>
        <v/>
      </c>
      <c r="GL128" s="43" t="str">
        <f aca="false">IF(AND(Tasks[[#This Row],[_IsLeaf]]=1,Tasks[[#This Row],[_LeafProgress]]&lt;1,OR(N(Tasks[[#This Row],[Finish Var]])&gt;0,Tasks[[#This Row],[Status]]="Late Start")),MAX(0,Tasks[[#This Row],[Finish Var]])+1-Tasks[[#This Row],[_Row]]/1000000,"")</f>
        <v/>
      </c>
      <c r="GM128" s="43" t="str">
        <f aca="false">IF(AND(Tasks[[#This Row],[_IsLeaf]]=1,N(Tasks[[#This Row],[Actual Start]])=0,Tasks[[#This Row],[_ShownFcstStart]]&gt;=StatusDate,Tasks[[#This Row],[_ShownFcstStart]]&lt;=LookaheadEnd),Tasks[[#This Row],[_ShownFcstStart]]+Tasks[[#This Row],[_Row]]/100000,"")</f>
        <v/>
      </c>
      <c r="GN128" s="43" t="str">
        <f aca="false">IF(AND(Tasks[[#This Row],[_IsLeaf]]=1,Tasks[[#This Row],[_LeafProgress]]&lt;1,Tasks[[#This Row],[_ShownFcstFinish]]&gt;=StatusDate,Tasks[[#This Row],[_ShownFcstFinish]]&lt;=LookaheadEnd),Tasks[[#This Row],[_ShownFcstFinish]]+Tasks[[#This Row],[_Row]]/100000,"")</f>
        <v/>
      </c>
      <c r="GO128" s="43" t="str">
        <f aca="false">IF(Tasks[[#This Row],[_LeafCritical]],Tasks[[#This Row],[_ShownFcstStart]]+Tasks[[#This Row],[_Row]]/100000,"")</f>
        <v/>
      </c>
      <c r="GP128" s="43" t="n">
        <f aca="false">Tasks[[#This Row],[_LeafWork]]*Tasks[[#This Row],[_LeafProgress]]</f>
        <v>0</v>
      </c>
      <c r="GQ128" s="91" t="str">
        <f aca="false">IF(AND(Tasks[[#This Row],[_IsLeaf]]=1,Tasks[[#This Row],[_LeafProgress]]&gt;=1),IF(N(Tasks[[#This Row],[Actual Finish]])&gt;0,Tasks[[#This Row],[Actual Finish]],Tasks[[#This Row],[_ShownFcstFinish]]),"")</f>
        <v/>
      </c>
      <c r="GR128" s="43" t="n">
        <f aca="false">IF(Tasks[[#This Row],[_IsLeaf]]=1,N(Tasks[[#This Row],[Story Points]]),0)</f>
        <v>0</v>
      </c>
      <c r="GS128" s="43" t="str">
        <f aca="false">""</f>
        <v/>
      </c>
      <c r="GT128" s="90" t="b">
        <f aca="false">IF(Tasks[[#This Row],[Task Name]]="",FALSE(),AND(Tasks[[#This Row],[_IsLeaf]]=1,N(Tasks[[#This Row],[_Days]])=0))</f>
        <v>0</v>
      </c>
      <c r="GU128" s="91" t="n">
        <f aca="false">IF(Tasks[[#This Row],[Task Name]]="",0,IF(AND(Tasks[[#This Row],[_IsLeaf]]=1,NOT(Tasks[[#This Row],[_IsMilestone]]),N(Tasks[[#This Row],[Progress]])&gt;0),Tasks[[#This Row],[Start]],0))</f>
        <v>0</v>
      </c>
      <c r="GV128" s="91" t="n">
        <f aca="false">IF(Tasks[[#This Row],[_DoneFrom]]=0,0,IF(Tasks[[#This Row],[Progress]]&gt;=1,Tasks[[#This Row],[Finish]],MAX(Tasks[[#This Row],[_DoneFrom]],Tasks[[#This Row],[Start]]+ROUND((Tasks[[#This Row],[Finish]]-Tasks[[#This Row],[Start]]+1)*Tasks[[#This Row],[Progress]],0)-1)))</f>
        <v>0</v>
      </c>
      <c r="GW128" s="91" t="n">
        <f aca="false">IF(Tasks[[#This Row],[Task Name]]="",0,IF(OR(NOT(Tasks[[#This Row],[_IsLeaf]]=1),Tasks[[#This Row],[_IsMilestone]],N(Tasks[[#This Row],[Progress]])&gt;=1),0,IF(Tasks[[#This Row],[_DoneTo]]&gt;0,Tasks[[#This Row],[_DoneTo]]+1,Tasks[[#This Row],[Start]])))</f>
        <v>0</v>
      </c>
      <c r="GX128" s="91" t="n">
        <f aca="false">IF(Tasks[[#This Row],[_RemFrom]]=0,0,Tasks[[#This Row],[Finish]])</f>
        <v>0</v>
      </c>
      <c r="GY128" s="90" t="b">
        <f aca="false">IF(Tasks[[#This Row],[Task Name]]="",FALSE(),OR(NOT(BaselineSet),N(Tasks[[#This Row],[Baseline Start]])&gt;0))</f>
        <v>0</v>
      </c>
      <c r="GZ12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8" s="92" t="str">
        <f aca="false">IF(Tasks[[#This Row],[_IsLeaf]]=1,Tasks[[#This Row],[_Row]],"")</f>
        <v/>
      </c>
      <c r="HD128" s="92" t="str">
        <f aca="false">IFERROR(INDEX(Tasks[UID],SMALL(Tasks[_PickKey],Tasks[[#This Row],[_Row]]))&amp;" "&amp;INDEX(Tasks[Task Name],SMALL(Tasks[_PickKey],Tasks[[#This Row],[_Row]])),"")</f>
        <v/>
      </c>
      <c r="HE128" s="43" t="str">
        <f aca="false">IF(Tasks[[#This Row],[Task Name]]="","",IF(Tasks[[#This Row],[_IsSummary]],NETWORKDAYS.INTL(Tasks[[#This Row],[Start]],Tasks[[#This Row],[Finish]],WorkWeek,Holidays),N(Tasks[[#This Row],[_Days]])))</f>
        <v/>
      </c>
      <c r="HF128" s="43" t="n">
        <f aca="false">IF(Tasks[[#This Row],[Expected]]="",0,((Tasks[[#This Row],[Pessimistic]]-Tasks[[#This Row],[Optimistic]])/6)^2)</f>
        <v>0</v>
      </c>
      <c r="HG128" s="43" t="n">
        <f aca="false">IF(Tasks[[#This Row],[Expected]]="",0,Tasks[[#This Row],[Expected]]-N(Tasks[[#This Row],[_Days]]))</f>
        <v>0</v>
      </c>
    </row>
    <row r="129" customFormat="false" ht="15" hidden="false" customHeight="false" outlineLevel="0" collapsed="false">
      <c r="A129" s="21" t="str">
        <f aca="false">IF(Tasks[[#This Row],[Task Name]]="","",COUNTA(Tasks[[#Headers],[Task Name]]:Tasks[[#This Row],[Task Name]])-1)</f>
        <v/>
      </c>
      <c r="B129" s="22" t="n">
        <v>137</v>
      </c>
      <c r="C129" s="22"/>
      <c r="D129" s="23"/>
      <c r="E129" s="22"/>
      <c r="F129" s="23"/>
      <c r="G129" s="22"/>
      <c r="H129" s="22"/>
      <c r="I129" s="23"/>
      <c r="J129" s="22"/>
      <c r="K129" s="22"/>
      <c r="L129" s="23"/>
      <c r="M129" s="22"/>
      <c r="N129" s="22"/>
      <c r="O129" s="23"/>
      <c r="P129" s="22"/>
      <c r="Q129" s="22"/>
      <c r="R129" s="23"/>
      <c r="S129" s="23"/>
      <c r="T129" s="84"/>
      <c r="U129" s="23"/>
      <c r="V129" s="84"/>
      <c r="W129" s="23"/>
      <c r="X129" s="84"/>
      <c r="Y129" s="23"/>
      <c r="Z129" s="84"/>
      <c r="AA129" s="23"/>
      <c r="AB129" s="23"/>
      <c r="AC129" s="7"/>
      <c r="AD129" s="7"/>
      <c r="AE129" s="63" t="str">
        <f aca="false">IF(Tasks[[#This Row],[Task Name]]="","",IF(Tasks[[#This Row],[_IsSummary]],MIN(INDEX(Tasks[_ShownFcstStart],Tasks[[#This Row],[_Row]]+1):INDEX(Tasks[_ShownFcstStart],Tasks[[#This Row],[_Row]]+Tasks[[#This Row],[_Descendants]])),Tasks[[#This Row],[_ShownFcstStart]]))</f>
        <v/>
      </c>
      <c r="AF129" s="63" t="str">
        <f aca="false">IF(Tasks[[#This Row],[Task Name]]="","",IF(Tasks[[#This Row],[_IsSummary]],MAX(INDEX(Tasks[_ShownFcstFinish],Tasks[[#This Row],[_Row]]+1):INDEX(Tasks[_ShownFcstFinish],Tasks[[#This Row],[_Row]]+Tasks[[#This Row],[_Descendants]])),Tasks[[#This Row],[_ShownFcstFinish]]))</f>
        <v/>
      </c>
      <c r="AG129" s="21" t="str">
        <f aca="false">""</f>
        <v/>
      </c>
      <c r="AH129" s="23"/>
      <c r="AI1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9" s="7"/>
      <c r="AK129" s="22"/>
      <c r="AL129" s="23"/>
      <c r="AM129" s="7"/>
      <c r="AN129" s="47" t="str">
        <f aca="false">IF(Tasks[[#This Row],[Task Name]]="","",IF(Tasks[[#This Row],[Finish]]&gt;=Tasks[[#This Row],[Planned Finish]],NETWORKDAYS.INTL(Tasks[[#This Row],[Planned Finish]],Tasks[[#This Row],[Finish]],WorkWeek,Holidays)-1,1-NETWORKDAYS.INTL(Tasks[[#This Row],[Finish]],Tasks[[#This Row],[Planned Finish]],WorkWeek,Holidays)))</f>
        <v/>
      </c>
      <c r="AO129" s="21" t="str">
        <f aca="false">IF(Tasks[[#This Row],[Task Name]]="","",IF(Tasks[[#This Row],[Progress]]&gt;=1,"Complete",IF(OR(N(Tasks[[#This Row],[Actual Start]])&gt;0,Tasks[[#This Row],[Progress]]&gt;0),IF(Tasks[[#This Row],[Finish Var]]&gt;0,"Behind","In Progress"),IF(Tasks[[#This Row],[Planned Start]]&lt;StatusDate,"Late Start","Not Started"))))</f>
        <v/>
      </c>
      <c r="AP129" s="21" t="str">
        <f aca="false">IF(Tasks[[#This Row],[Task Name]]="","",IF(IF(Tasks[[#This Row],[_IsSummary]],COUNTIF(INDEX(Tasks[_LeafCritical],Tasks[[#This Row],[_Row]]+1):INDEX(Tasks[_LeafCritical],Tasks[[#This Row],[_Row]]+Tasks[[#This Row],[_Descendants]]),TRUE())&gt;0,Tasks[[#This Row],[_LeafCritical]]),"Yes",""))</f>
        <v/>
      </c>
      <c r="AQ129" s="63" t="str">
        <f aca="false">IF(Tasks[[#This Row],[Task Name]]="","",IF(N(Tasks[[#This Row],[Baseline Start]])&gt;0,Tasks[[#This Row],[Baseline Start]],Tasks[[#This Row],[_CalcStart]]))</f>
        <v/>
      </c>
      <c r="AR129" s="63" t="str">
        <f aca="false">IF(Tasks[[#This Row],[Task Name]]="","",IF(N(Tasks[[#This Row],[Baseline Finish]])&gt;0,Tasks[[#This Row],[Baseline Finish]],Tasks[[#This Row],[_CalcFinish]]))</f>
        <v/>
      </c>
      <c r="AS129" s="47" t="str">
        <f aca="false">IF(Tasks[[#This Row],[Task Name]]="","",IF(Tasks[[#This Row],[Start]]&gt;=Tasks[[#This Row],[Planned Start]],NETWORKDAYS.INTL(Tasks[[#This Row],[Planned Start]],Tasks[[#This Row],[Start]],WorkWeek,Holidays)-1,1-NETWORKDAYS.INTL(Tasks[[#This Row],[Start]],Tasks[[#This Row],[Planned Start]],WorkWeek,Holidays)))</f>
        <v/>
      </c>
      <c r="AT129" s="63" t="str">
        <f aca="false">IF(Tasks[[#This Row],[Task Name]]="","",IF(Tasks[[#This Row],[_IsSummary]],MIN(INDEX(Tasks[_LeafLateStart],Tasks[[#This Row],[_Row]]+1):INDEX(Tasks[_LeafLateStart],Tasks[[#This Row],[_Row]]+Tasks[[#This Row],[_Descendants]])),Tasks[[#This Row],[_LeafLateStart]]))</f>
        <v/>
      </c>
      <c r="AU129" s="63" t="str">
        <f aca="false">IF(Tasks[[#This Row],[Task Name]]="","",IF(Tasks[[#This Row],[_IsSummary]],MAX(INDEX(Tasks[_LeafLateFinish],Tasks[[#This Row],[_Row]]+1):INDEX(Tasks[_LeafLateFinish],Tasks[[#This Row],[_Row]]+Tasks[[#This Row],[_Descendants]])),Tasks[[#This Row],[_LeafLateFinish]]))</f>
        <v/>
      </c>
      <c r="AV129" s="47" t="str">
        <f aca="false">IF(Tasks[[#This Row],[Task Name]]="","",IF(Tasks[[#This Row],[_IsSummary]],MIN(INDEX(Tasks[_LeafTotalSlack],Tasks[[#This Row],[_Row]]+1):INDEX(Tasks[_LeafTotalSlack],Tasks[[#This Row],[_Row]]+Tasks[[#This Row],[_Descendants]])),Tasks[[#This Row],[_LeafTotalSlack]]))</f>
        <v/>
      </c>
      <c r="AW1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5"/>
      <c r="BA12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t="str">
        <f aca="false">IF(Tasks[[#This Row],[Task Name]]="","",IF(Tasks[[#This Row],[_Level]]&lt;=OutlineShowLevel,"Yes","No"))</f>
        <v/>
      </c>
      <c r="BE129" s="86" t="str">
        <f aca="false">IF(Tasks[[#This Row],[Task Name]]="","",IF(Tasks[[#This Row],[_IsSummary]],SUM(INDEX(Tasks[_LeafTotalWork],Tasks[[#This Row],[_Row]]+1):INDEX(Tasks[_LeafTotalWork],Tasks[[#This Row],[_Row]]+Tasks[[#This Row],[_Descendants]])),Tasks[[#This Row],[_LeafTotalWork]]))</f>
        <v/>
      </c>
      <c r="BF129" s="23"/>
      <c r="BG1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t="str">
        <f aca="false">""</f>
        <v/>
      </c>
      <c r="BI129" s="87"/>
      <c r="BJ129" s="22"/>
      <c r="BK129" s="47" t="str">
        <f aca="false">IF(OR(Tasks[[#This Row],[Task Name]]="",Tasks[[#This Row],[Baseline Duration]]=""),"",Tasks[[#This Row],[_SpanDays]]-N(Tasks[[#This Row],[Baseline Duration]]))</f>
        <v/>
      </c>
      <c r="BL129" s="86" t="str">
        <f aca="false">IF(OR(Tasks[[#This Row],[Task Name]]="",Tasks[[#This Row],[Baseline Work]]=""),"",Tasks[[#This Row],[Work]]-N(Tasks[[#This Row],[Baseline Work]]))</f>
        <v/>
      </c>
      <c r="BM129" s="63" t="str">
        <f aca="false">IF(Tasks[[#This Row],[Task Name]]="","",IF(OR(TakeBaseline="Yes",N(Tasks[[#This Row],[Baseline Start]])=0),Tasks[[#This Row],[Start]],Tasks[[#This Row],[Baseline Start]]))</f>
        <v/>
      </c>
      <c r="BN129" s="63" t="str">
        <f aca="false">IF(Tasks[[#This Row],[Task Name]]="","",IF(OR(TakeBaseline="Yes",N(Tasks[[#This Row],[Baseline Finish]])=0),Tasks[[#This Row],[Finish]],Tasks[[#This Row],[Baseline Finish]]))</f>
        <v/>
      </c>
      <c r="BO129" s="21" t="str">
        <f aca="false">IF(Tasks[[#This Row],[Task Name]]="","",IF(OR(TakeBaseline="Yes",N(Tasks[[#This Row],[Baseline Duration]])=0),Tasks[[#This Row],[_SpanDays]],Tasks[[#This Row],[Baseline Duration]]))</f>
        <v/>
      </c>
      <c r="BP129" s="86" t="str">
        <f aca="false">IF(Tasks[[#This Row],[Task Name]]="","",IF(OR(TakeBaseline="Yes",N(Tasks[[#This Row],[Baseline Work]])=0),Tasks[[#This Row],[Work]],Tasks[[#This Row],[Baseline Work]]))</f>
        <v/>
      </c>
      <c r="BQ129" s="7"/>
      <c r="BR129" s="7"/>
      <c r="BS129" s="22"/>
      <c r="BT129" s="88"/>
      <c r="BU129" s="23"/>
      <c r="BV129" s="23"/>
      <c r="BW129" s="23"/>
      <c r="BX129" s="89" t="str">
        <f aca="false">IF(AND(Tasks[[#This Row],[_IsLeaf]]=1,ISNUMBER(Tasks[[#This Row],[Optimistic]]),ISNUMBER(Tasks[[#This Row],[Pessimistic]])),ROUND((Tasks[[#This Row],[Optimistic]]+4*N(Tasks[[#This Row],[_Days]])+Tasks[[#This Row],[Pessimistic]])/6,1),"")</f>
        <v/>
      </c>
      <c r="BY129" s="87"/>
      <c r="BZ129" s="87"/>
      <c r="CA129" s="22"/>
      <c r="CB129" s="43" t="str">
        <f aca="false">IF(Tasks[[#This Row],[Task Name]]="","",MAX(1,N(Tasks[[#This Row],[Level]])))</f>
        <v/>
      </c>
      <c r="CC129" s="43" t="n">
        <f aca="false">ROW()-ROW(Tasks[[#Headers],[ID]])</f>
        <v>124</v>
      </c>
      <c r="CD129" s="43" t="n">
        <f aca="false">IF(OR(Tasks[[#This Row],[Task Name]]="",Tasks[[#This Row],[_Level]]&lt;=1),0,IFERROR(LOOKUP(2,1/(Tasks[[#Headers],[_Level]]:Tasks[[#This Row],[_Level]]=Tasks[[#This Row],[_Level]]-1),ROW(Tasks[[#Headers],[_Level]]:Tasks[[#This Row],[_Level]])),0))</f>
        <v>0</v>
      </c>
      <c r="CE129" s="43" t="n">
        <f aca="false">IFERROR(N(INDEX(Tasks[_Level],Tasks[[#This Row],[_Row]]+1)),0)</f>
        <v>0</v>
      </c>
      <c r="CF129" s="90" t="b">
        <f aca="false">AND(Tasks[[#This Row],[Task Name]]&lt;&gt;"",Tasks[[#This Row],[_NextLevel]]&gt;Tasks[[#This Row],[_Level]])</f>
        <v>0</v>
      </c>
      <c r="CG129" s="43" t="n">
        <f aca="false">IF(Tasks[[#This Row],[_IsSummary]],COUNTIF(Tasks[WBS],Tasks[[#This Row],[WBS]]&amp;".*"),0)</f>
        <v>0</v>
      </c>
      <c r="CH129" s="43" t="n">
        <f aca="false">IF(AND(Tasks[[#This Row],[Task Name]]&lt;&gt;"",NOT(Tasks[[#This Row],[_IsSummary]])),1,0)</f>
        <v>0</v>
      </c>
      <c r="CI129" s="43" t="n">
        <f aca="false">IF(N(Tasks[[#This Row],[_Pred1UID]])=0,0,IFERROR(MATCH(Tasks[[#This Row],[_Pred1UID]],Tasks[UID],0),-1))</f>
        <v>0</v>
      </c>
      <c r="CJ129" s="43" t="n">
        <f aca="false">IF(N(Tasks[[#This Row],[_Pred2UID]])=0,0,IFERROR(MATCH(Tasks[[#This Row],[_Pred2UID]],Tasks[UID],0),-1))</f>
        <v>0</v>
      </c>
      <c r="CK129" s="43" t="n">
        <f aca="false">IF(N(Tasks[[#This Row],[_Pred3UID]])=0,0,IFERROR(MATCH(Tasks[[#This Row],[_Pred3UID]],Tasks[UID],0),-1))</f>
        <v>0</v>
      </c>
      <c r="CL129" s="43" t="n">
        <f aca="false">IF(N(Tasks[[#This Row],[_Pred4UID]])=0,0,IFERROR(MATCH(Tasks[[#This Row],[_Pred4UID]],Tasks[UID],0),-1))</f>
        <v>0</v>
      </c>
      <c r="CM12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9" s="91" t="n">
        <f aca="false">IF(OR(Tasks[[#This Row],[_ConstraintCode]]=2,Tasks[[#This Row],[_ConstraintCode]]=3,Tasks[[#This Row],[_ConstraintCode]]=4,Tasks[[#This Row],[_ConstraintCode]]=6),Tasks[[#This Row],[_ConstraintStart]],0)</f>
        <v>0</v>
      </c>
      <c r="CP129" s="91" t="n">
        <f aca="false">IF(OR(Tasks[[#This Row],[_ConstraintCode]]=2,Tasks[[#This Row],[_ConstraintCode]]=3,Tasks[[#This Row],[_ConstraintCode]]=5,Tasks[[#This Row],[_ConstraintCode]]=7),Tasks[[#This Row],[_ConstraintStart]],2958465)</f>
        <v>2958465</v>
      </c>
      <c r="CQ12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9" s="91" t="str">
        <f aca="false">IF(NOT(Tasks[[#This Row],[_IsLeaf]]=1),"",IF(N(Tasks[[#This Row],[_Days]])&lt;=0,Tasks[[#This Row],[_LeafCalcStart]],WORKDAY.INTL(Tasks[[#This Row],[_LeafCalcStart]],Tasks[[#This Row],[_Days]]-1,WorkWeek,Holidays)))</f>
        <v/>
      </c>
      <c r="CS12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9" s="43" t="str">
        <f aca="false">IF(Tasks[[#This Row],[_Predecessors]]="","",TRIM(MID(SUBSTITUTE(SUBSTITUTE(SUBSTITUTE(UPPER(Tasks[[#This Row],[_Predecessors]]),";",",")," ",""),",",REPT(" ",99)),1,99)))</f>
        <v/>
      </c>
      <c r="CV129" s="43" t="str">
        <f aca="false">IF(Tasks[[#This Row],[_Pred1Text]]="","",IFERROR(VALUE(LEFT(Tasks[[#This Row],[_Pred1Text]],MIN(FIND("F",Tasks[[#This Row],[_Pred1Text]]&amp;"F"),FIND("S",Tasks[[#This Row],[_Pred1Text]]&amp;"S"),FIND("+",Tasks[[#This Row],[_Pred1Text]]&amp;"+"),FIND("-",Tasks[[#This Row],[_Pred1Text]]&amp;"-"))-1)),""))</f>
        <v/>
      </c>
      <c r="CW1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9" s="43" t="str">
        <f aca="false">IF(Tasks[[#This Row],[_Pred1Text]]="","",TRIM(MID(SUBSTITUTE(SUBSTITUTE(SUBSTITUTE(UPPER(Tasks[[#This Row],[_Predecessors]]),";",",")," ",""),",",REPT(" ",99)),100,99)))</f>
        <v/>
      </c>
      <c r="CZ129" s="43" t="str">
        <f aca="false">IF(Tasks[[#This Row],[_Pred2Text]]="","",IFERROR(VALUE(LEFT(Tasks[[#This Row],[_Pred2Text]],MIN(FIND("F",Tasks[[#This Row],[_Pred2Text]]&amp;"F"),FIND("S",Tasks[[#This Row],[_Pred2Text]]&amp;"S"),FIND("+",Tasks[[#This Row],[_Pred2Text]]&amp;"+"),FIND("-",Tasks[[#This Row],[_Pred2Text]]&amp;"-"))-1)),""))</f>
        <v/>
      </c>
      <c r="DA1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9" s="43" t="str">
        <f aca="false">IF(Tasks[[#This Row],[_Pred2Text]]="","",TRIM(MID(SUBSTITUTE(SUBSTITUTE(SUBSTITUTE(UPPER(Tasks[[#This Row],[_Predecessors]]),";",",")," ",""),",",REPT(" ",99)),199,99)))</f>
        <v/>
      </c>
      <c r="DD129" s="43" t="str">
        <f aca="false">IF(Tasks[[#This Row],[_Pred3Text]]="","",IFERROR(VALUE(LEFT(Tasks[[#This Row],[_Pred3Text]],MIN(FIND("F",Tasks[[#This Row],[_Pred3Text]]&amp;"F"),FIND("S",Tasks[[#This Row],[_Pred3Text]]&amp;"S"),FIND("+",Tasks[[#This Row],[_Pred3Text]]&amp;"+"),FIND("-",Tasks[[#This Row],[_Pred3Text]]&amp;"-"))-1)),""))</f>
        <v/>
      </c>
      <c r="DE1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9" s="43" t="str">
        <f aca="false">IF(Tasks[[#This Row],[_Pred3Text]]="","",TRIM(MID(SUBSTITUTE(SUBSTITUTE(SUBSTITUTE(UPPER(Tasks[[#This Row],[_Predecessors]]),";",",")," ",""),",",REPT(" ",99)),298,99)))</f>
        <v/>
      </c>
      <c r="DH129" s="43" t="str">
        <f aca="false">IF(Tasks[[#This Row],[_Pred4Text]]="","",IFERROR(VALUE(LEFT(Tasks[[#This Row],[_Pred4Text]],MIN(FIND("F",Tasks[[#This Row],[_Pred4Text]]&amp;"F"),FIND("S",Tasks[[#This Row],[_Pred4Text]]&amp;"S"),FIND("+",Tasks[[#This Row],[_Pred4Text]]&amp;"+"),FIND("-",Tasks[[#This Row],[_Pred4Text]]&amp;"-"))-1)),""))</f>
        <v/>
      </c>
      <c r="DI1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9" s="43" t="str">
        <f aca="false">IF(OR(Tasks[[#This Row],[Task Name]]="",Tasks[[#This Row],[_Resources]]=""),"",TRIM(MID(SUBSTITUTE(Tasks[[#This Row],[_Resources]],",",REPT(" ",99)),1,99)))</f>
        <v/>
      </c>
      <c r="DL129" s="43" t="str">
        <f aca="false">IF(Tasks[[#This Row],[_Res1Text]]="","",TRIM(MID(SUBSTITUTE(Tasks[[#This Row],[_Resources]],",",REPT(" ",99)),100,99)))</f>
        <v/>
      </c>
      <c r="DM129" s="43" t="str">
        <f aca="false">IF(Tasks[[#This Row],[_Res2Text]]="","",TRIM(MID(SUBSTITUTE(Tasks[[#This Row],[_Resources]],",",REPT(" ",99)),199,99)))</f>
        <v/>
      </c>
      <c r="DN129" s="43" t="str">
        <f aca="false">IF(Tasks[[#This Row],[_Res3Text]]="","",TRIM(MID(SUBSTITUTE(Tasks[[#This Row],[_Resources]],",",REPT(" ",99)),298,99)))</f>
        <v/>
      </c>
      <c r="DO129" s="43" t="n">
        <f aca="false">IF(Tasks[[#This Row],[_Res1Text]]="",0,IFERROR(MATCH(TRIM(LEFT(Tasks[[#This Row],[_Res1Text]],FIND("[",Tasks[[#This Row],[_Res1Text]]&amp;"[")-1)),res_Name,0),IFERROR(MATCH(TRIM(LEFT(Tasks[[#This Row],[_Res1Text]],FIND("[",Tasks[[#This Row],[_Res1Text]]&amp;"[")-1)),res_Initials,0),0)))</f>
        <v>0</v>
      </c>
      <c r="DP129" s="43" t="n">
        <f aca="false">IF(Tasks[[#This Row],[_Res2Text]]="",0,IFERROR(MATCH(TRIM(LEFT(Tasks[[#This Row],[_Res2Text]],FIND("[",Tasks[[#This Row],[_Res2Text]]&amp;"[")-1)),res_Name,0),IFERROR(MATCH(TRIM(LEFT(Tasks[[#This Row],[_Res2Text]],FIND("[",Tasks[[#This Row],[_Res2Text]]&amp;"[")-1)),res_Initials,0),0)))</f>
        <v>0</v>
      </c>
      <c r="DQ129" s="43" t="n">
        <f aca="false">IF(Tasks[[#This Row],[_Res3Text]]="",0,IFERROR(MATCH(TRIM(LEFT(Tasks[[#This Row],[_Res3Text]],FIND("[",Tasks[[#This Row],[_Res3Text]]&amp;"[")-1)),res_Name,0),IFERROR(MATCH(TRIM(LEFT(Tasks[[#This Row],[_Res3Text]],FIND("[",Tasks[[#This Row],[_Res3Text]]&amp;"[")-1)),res_Initials,0),0)))</f>
        <v>0</v>
      </c>
      <c r="DR129" s="43" t="n">
        <f aca="false">IF(Tasks[[#This Row],[_Res4Text]]="",0,IFERROR(MATCH(TRIM(LEFT(Tasks[[#This Row],[_Res4Text]],FIND("[",Tasks[[#This Row],[_Res4Text]]&amp;"[")-1)),res_Name,0),IFERROR(MATCH(TRIM(LEFT(Tasks[[#This Row],[_Res4Text]],FIND("[",Tasks[[#This Row],[_Res4Text]]&amp;"[")-1)),res_Initials,0),0)))</f>
        <v>0</v>
      </c>
      <c r="DS129" s="43" t="str">
        <f aca="false">IF(Tasks[[#This Row],[_Res1Text]]="","",IF(Tasks[[#This Row],[_Res1Row]]&gt;0,INDEX(res_Name,Tasks[[#This Row],[_Res1Row]]),TRIM(LEFT(Tasks[[#This Row],[_Res1Text]],FIND("[",Tasks[[#This Row],[_Res1Text]]&amp;"[")-1))))</f>
        <v/>
      </c>
      <c r="DT1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9" s="43" t="n">
        <f aca="false">IF(NOT(Tasks[[#This Row],[_IsLeaf]]=1),0,(Tasks[[#This Row],[_Resource1]]&lt;&gt;"")+(Tasks[[#This Row],[_Res2]]&lt;&gt;"")+(Tasks[[#This Row],[_Res3]]&lt;&gt;"")+(Tasks[[#This Row],[_Res4]]&lt;&gt;""))</f>
        <v>0</v>
      </c>
      <c r="DV129" s="43" t="str">
        <f aca="false">IF(Tasks[[#This Row],[_Res2Text]]="","",IF(Tasks[[#This Row],[_Res2Row]]&gt;0,INDEX(res_Name,Tasks[[#This Row],[_Res2Row]]),TRIM(LEFT(Tasks[[#This Row],[_Res2Text]],FIND("[",Tasks[[#This Row],[_Res2Text]]&amp;"[")-1))))</f>
        <v/>
      </c>
      <c r="DW1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9" s="43" t="n">
        <f aca="false">IF(OR(NOT(Tasks[[#This Row],[_IsLeaf]]=1),Tasks[[#This Row],[_Res2Row]]=0),0,N(Tasks[[#This Row],[_Days]])*HoursPerDay*IF(Tasks[[#This Row],[_Res2Units]]="",DefaultUnits,Tasks[[#This Row],[_Res2Units]]))</f>
        <v>0</v>
      </c>
      <c r="DY129" s="43" t="n">
        <f aca="false">IF(AND(AND(Tasks[[#This Row],[_IsLeaf]]=1,Tasks[[#This Row],[_LeafTotalWork]]&gt;0),Tasks[[#This Row],[_Res2Work]]&gt;0),Tasks[[#This Row],[_Res2Work]]/(Tasks[[#This Row],[_FinishWorkday]]-Tasks[[#This Row],[_StartWorkday]]+1),0)</f>
        <v>0</v>
      </c>
      <c r="DZ129" s="43" t="n">
        <f aca="false">Tasks[[#This Row],[_Res2WorkPerWD]]*MAX(0,Tasks[[#This Row],[_StartWorkday]]-1)</f>
        <v>0</v>
      </c>
      <c r="EA129" s="43" t="n">
        <f aca="false">Tasks[[#This Row],[_Res2Work]]*Tasks[[#This Row],[_LeafProgress]]</f>
        <v>0</v>
      </c>
      <c r="EB129" s="43" t="str">
        <f aca="false">IF(Tasks[[#This Row],[_Res3Text]]="","",IF(Tasks[[#This Row],[_Res3Row]]&gt;0,INDEX(res_Name,Tasks[[#This Row],[_Res3Row]]),TRIM(LEFT(Tasks[[#This Row],[_Res3Text]],FIND("[",Tasks[[#This Row],[_Res3Text]]&amp;"[")-1))))</f>
        <v/>
      </c>
      <c r="EC1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9" s="43" t="n">
        <f aca="false">IF(OR(NOT(Tasks[[#This Row],[_IsLeaf]]=1),Tasks[[#This Row],[_Res3Row]]=0),0,N(Tasks[[#This Row],[_Days]])*HoursPerDay*IF(Tasks[[#This Row],[_Res3Units]]="",DefaultUnits,Tasks[[#This Row],[_Res3Units]]))</f>
        <v>0</v>
      </c>
      <c r="EE129" s="43" t="n">
        <f aca="false">IF(AND(AND(Tasks[[#This Row],[_IsLeaf]]=1,Tasks[[#This Row],[_LeafTotalWork]]&gt;0),Tasks[[#This Row],[_Res3Work]]&gt;0),Tasks[[#This Row],[_Res3Work]]/(Tasks[[#This Row],[_FinishWorkday]]-Tasks[[#This Row],[_StartWorkday]]+1),0)</f>
        <v>0</v>
      </c>
      <c r="EF129" s="43" t="n">
        <f aca="false">Tasks[[#This Row],[_Res3WorkPerWD]]*MAX(0,Tasks[[#This Row],[_StartWorkday]]-1)</f>
        <v>0</v>
      </c>
      <c r="EG129" s="43" t="n">
        <f aca="false">Tasks[[#This Row],[_Res3Work]]*Tasks[[#This Row],[_LeafProgress]]</f>
        <v>0</v>
      </c>
      <c r="EH129" s="43" t="str">
        <f aca="false">IF(Tasks[[#This Row],[_Res4Text]]="","",IF(Tasks[[#This Row],[_Res4Row]]&gt;0,INDEX(res_Name,Tasks[[#This Row],[_Res4Row]]),TRIM(LEFT(Tasks[[#This Row],[_Res4Text]],FIND("[",Tasks[[#This Row],[_Res4Text]]&amp;"[")-1))))</f>
        <v/>
      </c>
      <c r="EI1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9" s="43" t="n">
        <f aca="false">IF(OR(NOT(Tasks[[#This Row],[_IsLeaf]]=1),Tasks[[#This Row],[_Res4Row]]=0),0,N(Tasks[[#This Row],[_Days]])*HoursPerDay*IF(Tasks[[#This Row],[_Res4Units]]="",DefaultUnits,Tasks[[#This Row],[_Res4Units]]))</f>
        <v>0</v>
      </c>
      <c r="EK129" s="43" t="n">
        <f aca="false">IF(AND(AND(Tasks[[#This Row],[_IsLeaf]]=1,Tasks[[#This Row],[_LeafTotalWork]]&gt;0),Tasks[[#This Row],[_Res4Work]]&gt;0),Tasks[[#This Row],[_Res4Work]]/(Tasks[[#This Row],[_FinishWorkday]]-Tasks[[#This Row],[_StartWorkday]]+1),0)</f>
        <v>0</v>
      </c>
      <c r="EL129" s="43" t="n">
        <f aca="false">Tasks[[#This Row],[_Res4WorkPerWD]]*MAX(0,Tasks[[#This Row],[_StartWorkday]]-1)</f>
        <v>0</v>
      </c>
      <c r="EM129" s="43" t="n">
        <f aca="false">Tasks[[#This Row],[_Res4Work]]*Tasks[[#This Row],[_LeafProgress]]</f>
        <v>0</v>
      </c>
      <c r="EN129" s="43" t="n">
        <f aca="false">IF(ISNUMBER(Tasks[[#This Row],[% Complete]]),Tasks[[#This Row],[% Complete]],IF(Tasks[[#This Row],[Stage]]="",0,IFERROR(INDEX(stg_Pct,MATCH(Tasks[[#This Row],[Stage]],stg_Name,0)),0)))</f>
        <v>0</v>
      </c>
      <c r="EO129" s="43" t="n">
        <f aca="false">IF(NOT(Tasks[[#This Row],[_IsLeaf]]=1),0,IF(N(Tasks[[#This Row],[Actual Finish]])&gt;0,1,MIN(1,Tasks[[#This Row],[_Pct]])))</f>
        <v>0</v>
      </c>
      <c r="EP129" s="43" t="n">
        <f aca="false">IF(OR(NOT(Tasks[[#This Row],[_IsLeaf]]=1),Tasks[[#This Row],[_Res1Row]]=0),0,N(Tasks[[#This Row],[_Days]])*HoursPerDay*IF(Tasks[[#This Row],[_Units1]]="",DefaultUnits,Tasks[[#This Row],[_Units1]]))</f>
        <v>0</v>
      </c>
      <c r="EQ129" s="43" t="n">
        <f aca="false">Tasks[[#This Row],[_LeafWork]]+Tasks[[#This Row],[_Res2Work]]+Tasks[[#This Row],[_Res3Work]]+Tasks[[#This Row],[_Res4Work]]</f>
        <v>0</v>
      </c>
      <c r="ER12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9" s="43" t="n">
        <f aca="false">IF(NOT(Tasks[[#This Row],[_IsLeaf]]=1),0,MAX(_xlfn.MAXIFS(Tasks[_Row],Tasks[_Pred1UID],Tasks[[#This Row],[UID]]),_xlfn.MAXIFS(Tasks[_Row],Tasks[_Pred2UID],Tasks[[#This Row],[UID]]),_xlfn.MAXIFS(Tasks[_Row],Tasks[_Pred3UID],Tasks[[#This Row],[UID]]),_xlfn.MAXIFS(Tasks[_Row],Tasks[_Pred4UID],Tasks[[#This Row],[UID]])))</f>
        <v>0</v>
      </c>
      <c r="FA12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9" s="91" t="str">
        <f aca="false">IF(NOT(Tasks[[#This Row],[_IsLeaf]]=1),"",IF(N(Tasks[[#This Row],[_Days]])&lt;=0,Tasks[[#This Row],[_LeafLateFinish]],WORKDAY.INTL(Tasks[[#This Row],[_LeafLateFinish]],-(Tasks[[#This Row],[_Days]]-1),WorkWeek,Holidays)))</f>
        <v/>
      </c>
      <c r="FD12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9" s="90" t="b">
        <f aca="false">AND(Tasks[[#This Row],[_IsLeaf]]=1,Tasks[[#This Row],[_LeafProgress]]&lt;1,N(Tasks[[#This Row],[_LeafTotalSlack]])&lt;=CriticalSlackDays)</f>
        <v>0</v>
      </c>
      <c r="FF129" s="43" t="n">
        <f aca="false">IF(AND(Tasks[[#This Row],[_IsLeaf]]=1,Tasks[[#This Row],[_ConstraintCode]]=1,Tasks[[#This Row],[Mode]]&lt;&gt;"Manual",N(Tasks[[#This Row],[Actual Start]])=0),MAX(0,N(Tasks[[#This Row],[Free Slack]])),0)</f>
        <v>0</v>
      </c>
      <c r="FG129" s="91" t="str">
        <f aca="false">IF(NOT(Tasks[[#This Row],[_IsLeaf]]=1),"",IF(Tasks[[#This Row],[_AlapShift]]=0,Tasks[[#This Row],[_LeafCalcStart]],WORKDAY.INTL(Tasks[[#This Row],[_LeafCalcStart]],Tasks[[#This Row],[_AlapShift]],WorkWeek,Holidays)))</f>
        <v/>
      </c>
      <c r="FH129" s="91" t="str">
        <f aca="false">IF(NOT(Tasks[[#This Row],[_IsLeaf]]=1),"",IF(Tasks[[#This Row],[_AlapShift]]=0,Tasks[[#This Row],[_LeafCalcFinish]],WORKDAY.INTL(Tasks[[#This Row],[_LeafCalcFinish]],Tasks[[#This Row],[_AlapShift]],WorkWeek,Holidays)))</f>
        <v/>
      </c>
      <c r="FI129" s="91" t="str">
        <f aca="false">IF(NOT(Tasks[[#This Row],[_IsLeaf]]=1),"",IF(Tasks[[#This Row],[_AlapShift]]=0,Tasks[[#This Row],[_LeafFcstStart]],WORKDAY.INTL(Tasks[[#This Row],[_LeafFcstStart]],Tasks[[#This Row],[_AlapShift]],WorkWeek,Holidays)))</f>
        <v/>
      </c>
      <c r="FJ129" s="91" t="str">
        <f aca="false">IF(NOT(Tasks[[#This Row],[_IsLeaf]]=1),"",IF(Tasks[[#This Row],[_AlapShift]]=0,Tasks[[#This Row],[_LeafFcstFinish]],WORKDAY.INTL(Tasks[[#This Row],[_LeafFcstFinish]],Tasks[[#This Row],[_AlapShift]],WorkWeek,Holidays)))</f>
        <v/>
      </c>
      <c r="FK129" s="91" t="str">
        <f aca="false">IF(Tasks[[#This Row],[Task Name]]="","",IF(Tasks[[#This Row],[_IsSummary]],MIN(INDEX(Tasks[_ShownCalcStart],Tasks[[#This Row],[_Row]]+1):INDEX(Tasks[_ShownCalcStart],Tasks[[#This Row],[_Row]]+Tasks[[#This Row],[_Descendants]])),Tasks[[#This Row],[_ShownCalcStart]]))</f>
        <v/>
      </c>
      <c r="FL129" s="91" t="str">
        <f aca="false">IF(Tasks[[#This Row],[Task Name]]="","",IF(Tasks[[#This Row],[_IsSummary]],MAX(INDEX(Tasks[_ShownCalcFinish],Tasks[[#This Row],[_Row]]+1):INDEX(Tasks[_ShownCalcFinish],Tasks[[#This Row],[_Row]]+Tasks[[#This Row],[_Descendants]])),Tasks[[#This Row],[_ShownCalcFinish]]))</f>
        <v/>
      </c>
      <c r="FM1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9" s="43" t="n">
        <f aca="false">IF(AND(Tasks[[#This Row],[_IsLeaf]]=1,Tasks[[#This Row],[_LeafTotalWork]]&gt;0),NETWORKDAYS.INTL(ProjectStart,Tasks[[#This Row],[_ShownFcstStart]],WorkWeek,Holidays),0)</f>
        <v>0</v>
      </c>
      <c r="FZ129" s="43" t="n">
        <f aca="false">IF(AND(Tasks[[#This Row],[_IsLeaf]]=1,Tasks[[#This Row],[_LeafTotalWork]]&gt;0),MAX(Tasks[[#This Row],[_StartWorkday]],NETWORKDAYS.INTL(ProjectStart,Tasks[[#This Row],[_ShownFcstFinish]],WorkWeek,Holidays)),0)</f>
        <v>0</v>
      </c>
      <c r="GA129" s="43" t="n">
        <f aca="false">IF(AND(Tasks[[#This Row],[_IsLeaf]]=1,Tasks[[#This Row],[_LeafTotalWork]]&gt;0),Tasks[[#This Row],[_LeafWork]]/(Tasks[[#This Row],[_FinishWorkday]]-Tasks[[#This Row],[_StartWorkday]]+1),0)</f>
        <v>0</v>
      </c>
      <c r="GB129" s="43" t="n">
        <f aca="false">Tasks[[#This Row],[_WorkPerWorkday]]*(Tasks[[#This Row],[_StartWorkday]]-1)</f>
        <v>-0</v>
      </c>
      <c r="GC129" s="43" t="n">
        <f aca="false">IF(Tasks[[#This Row],[_IsLeaf]]=1,MAX(N(Tasks[[#This Row],[_Days]]),0.1),0)</f>
        <v>0</v>
      </c>
      <c r="GD129" s="43" t="n">
        <f aca="false">Tasks[[#This Row],[_WeightDur]]*Tasks[[#This Row],[_LeafProgress]]</f>
        <v>0</v>
      </c>
      <c r="GE129" s="43" t="n">
        <f aca="false">Tasks[[#This Row],[_WeightDur]]*Tasks[[#This Row],[_PlannedPct]]</f>
        <v>0</v>
      </c>
      <c r="GF1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9" s="43" t="str">
        <f aca="false">IF(AND(Tasks[[#This Row],[_IsLeaf]]=1,N(Tasks[[#This Row],[_Days]])=0,Tasks[[#This Row],[_LeafProgress]]&lt;1),Tasks[[#This Row],[_ShownFcstFinish]]+Tasks[[#This Row],[_Row]]/100000,"")</f>
        <v/>
      </c>
      <c r="GH1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9" s="43" t="str">
        <f aca="false">IF(Tasks[[#This Row],[Task Name]]="","",LEFT(Tasks[[#This Row],[WBS]],FIND(".",Tasks[[#This Row],[WBS]]&amp;".")-1))</f>
        <v/>
      </c>
      <c r="GJ129" s="43" t="str">
        <f aca="false">IF(AND(Tasks[[#This Row],[Task Name]]&lt;&gt;"",Tasks[[#This Row],[_Level]]=1),Tasks[[#This Row],[_Row]],"")</f>
        <v/>
      </c>
      <c r="GK129" s="43" t="str">
        <f aca="false">IF(AND(Tasks[[#This Row],[_IsLeaf]]=1,N(Tasks[[#This Row],[_Days]])=0),Tasks[[#This Row],[Planned Finish]]+Tasks[[#This Row],[_Row]]/100000,"")</f>
        <v/>
      </c>
      <c r="GL129" s="43" t="str">
        <f aca="false">IF(AND(Tasks[[#This Row],[_IsLeaf]]=1,Tasks[[#This Row],[_LeafProgress]]&lt;1,OR(N(Tasks[[#This Row],[Finish Var]])&gt;0,Tasks[[#This Row],[Status]]="Late Start")),MAX(0,Tasks[[#This Row],[Finish Var]])+1-Tasks[[#This Row],[_Row]]/1000000,"")</f>
        <v/>
      </c>
      <c r="GM129" s="43" t="str">
        <f aca="false">IF(AND(Tasks[[#This Row],[_IsLeaf]]=1,N(Tasks[[#This Row],[Actual Start]])=0,Tasks[[#This Row],[_ShownFcstStart]]&gt;=StatusDate,Tasks[[#This Row],[_ShownFcstStart]]&lt;=LookaheadEnd),Tasks[[#This Row],[_ShownFcstStart]]+Tasks[[#This Row],[_Row]]/100000,"")</f>
        <v/>
      </c>
      <c r="GN129" s="43" t="str">
        <f aca="false">IF(AND(Tasks[[#This Row],[_IsLeaf]]=1,Tasks[[#This Row],[_LeafProgress]]&lt;1,Tasks[[#This Row],[_ShownFcstFinish]]&gt;=StatusDate,Tasks[[#This Row],[_ShownFcstFinish]]&lt;=LookaheadEnd),Tasks[[#This Row],[_ShownFcstFinish]]+Tasks[[#This Row],[_Row]]/100000,"")</f>
        <v/>
      </c>
      <c r="GO129" s="43" t="str">
        <f aca="false">IF(Tasks[[#This Row],[_LeafCritical]],Tasks[[#This Row],[_ShownFcstStart]]+Tasks[[#This Row],[_Row]]/100000,"")</f>
        <v/>
      </c>
      <c r="GP129" s="43" t="n">
        <f aca="false">Tasks[[#This Row],[_LeafWork]]*Tasks[[#This Row],[_LeafProgress]]</f>
        <v>0</v>
      </c>
      <c r="GQ129" s="91" t="str">
        <f aca="false">IF(AND(Tasks[[#This Row],[_IsLeaf]]=1,Tasks[[#This Row],[_LeafProgress]]&gt;=1),IF(N(Tasks[[#This Row],[Actual Finish]])&gt;0,Tasks[[#This Row],[Actual Finish]],Tasks[[#This Row],[_ShownFcstFinish]]),"")</f>
        <v/>
      </c>
      <c r="GR129" s="43" t="n">
        <f aca="false">IF(Tasks[[#This Row],[_IsLeaf]]=1,N(Tasks[[#This Row],[Story Points]]),0)</f>
        <v>0</v>
      </c>
      <c r="GS129" s="43" t="str">
        <f aca="false">""</f>
        <v/>
      </c>
      <c r="GT129" s="90" t="b">
        <f aca="false">IF(Tasks[[#This Row],[Task Name]]="",FALSE(),AND(Tasks[[#This Row],[_IsLeaf]]=1,N(Tasks[[#This Row],[_Days]])=0))</f>
        <v>0</v>
      </c>
      <c r="GU129" s="91" t="n">
        <f aca="false">IF(Tasks[[#This Row],[Task Name]]="",0,IF(AND(Tasks[[#This Row],[_IsLeaf]]=1,NOT(Tasks[[#This Row],[_IsMilestone]]),N(Tasks[[#This Row],[Progress]])&gt;0),Tasks[[#This Row],[Start]],0))</f>
        <v>0</v>
      </c>
      <c r="GV129" s="91" t="n">
        <f aca="false">IF(Tasks[[#This Row],[_DoneFrom]]=0,0,IF(Tasks[[#This Row],[Progress]]&gt;=1,Tasks[[#This Row],[Finish]],MAX(Tasks[[#This Row],[_DoneFrom]],Tasks[[#This Row],[Start]]+ROUND((Tasks[[#This Row],[Finish]]-Tasks[[#This Row],[Start]]+1)*Tasks[[#This Row],[Progress]],0)-1)))</f>
        <v>0</v>
      </c>
      <c r="GW129" s="91" t="n">
        <f aca="false">IF(Tasks[[#This Row],[Task Name]]="",0,IF(OR(NOT(Tasks[[#This Row],[_IsLeaf]]=1),Tasks[[#This Row],[_IsMilestone]],N(Tasks[[#This Row],[Progress]])&gt;=1),0,IF(Tasks[[#This Row],[_DoneTo]]&gt;0,Tasks[[#This Row],[_DoneTo]]+1,Tasks[[#This Row],[Start]])))</f>
        <v>0</v>
      </c>
      <c r="GX129" s="91" t="n">
        <f aca="false">IF(Tasks[[#This Row],[_RemFrom]]=0,0,Tasks[[#This Row],[Finish]])</f>
        <v>0</v>
      </c>
      <c r="GY129" s="90" t="b">
        <f aca="false">IF(Tasks[[#This Row],[Task Name]]="",FALSE(),OR(NOT(BaselineSet),N(Tasks[[#This Row],[Baseline Start]])&gt;0))</f>
        <v>0</v>
      </c>
      <c r="GZ12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9" s="92" t="str">
        <f aca="false">IF(Tasks[[#This Row],[_IsLeaf]]=1,Tasks[[#This Row],[_Row]],"")</f>
        <v/>
      </c>
      <c r="HD129" s="92" t="str">
        <f aca="false">IFERROR(INDEX(Tasks[UID],SMALL(Tasks[_PickKey],Tasks[[#This Row],[_Row]]))&amp;" "&amp;INDEX(Tasks[Task Name],SMALL(Tasks[_PickKey],Tasks[[#This Row],[_Row]])),"")</f>
        <v/>
      </c>
      <c r="HE129" s="43" t="str">
        <f aca="false">IF(Tasks[[#This Row],[Task Name]]="","",IF(Tasks[[#This Row],[_IsSummary]],NETWORKDAYS.INTL(Tasks[[#This Row],[Start]],Tasks[[#This Row],[Finish]],WorkWeek,Holidays),N(Tasks[[#This Row],[_Days]])))</f>
        <v/>
      </c>
      <c r="HF129" s="43" t="n">
        <f aca="false">IF(Tasks[[#This Row],[Expected]]="",0,((Tasks[[#This Row],[Pessimistic]]-Tasks[[#This Row],[Optimistic]])/6)^2)</f>
        <v>0</v>
      </c>
      <c r="HG129" s="43" t="n">
        <f aca="false">IF(Tasks[[#This Row],[Expected]]="",0,Tasks[[#This Row],[Expected]]-N(Tasks[[#This Row],[_Days]]))</f>
        <v>0</v>
      </c>
    </row>
    <row r="130" customFormat="false" ht="15" hidden="false" customHeight="false" outlineLevel="0" collapsed="false">
      <c r="A130" s="21" t="str">
        <f aca="false">IF(Tasks[[#This Row],[Task Name]]="","",COUNTA(Tasks[[#Headers],[Task Name]]:Tasks[[#This Row],[Task Name]])-1)</f>
        <v/>
      </c>
      <c r="B130" s="22" t="n">
        <v>138</v>
      </c>
      <c r="C130" s="22"/>
      <c r="D130" s="23"/>
      <c r="E130" s="22"/>
      <c r="F130" s="23"/>
      <c r="G130" s="22"/>
      <c r="H130" s="22"/>
      <c r="I130" s="23"/>
      <c r="J130" s="22"/>
      <c r="K130" s="22"/>
      <c r="L130" s="23"/>
      <c r="M130" s="22"/>
      <c r="N130" s="22"/>
      <c r="O130" s="23"/>
      <c r="P130" s="22"/>
      <c r="Q130" s="22"/>
      <c r="R130" s="23"/>
      <c r="S130" s="23"/>
      <c r="T130" s="84"/>
      <c r="U130" s="23"/>
      <c r="V130" s="84"/>
      <c r="W130" s="23"/>
      <c r="X130" s="84"/>
      <c r="Y130" s="23"/>
      <c r="Z130" s="84"/>
      <c r="AA130" s="23"/>
      <c r="AB130" s="23"/>
      <c r="AC130" s="7"/>
      <c r="AD130" s="7"/>
      <c r="AE130" s="63" t="str">
        <f aca="false">IF(Tasks[[#This Row],[Task Name]]="","",IF(Tasks[[#This Row],[_IsSummary]],MIN(INDEX(Tasks[_ShownFcstStart],Tasks[[#This Row],[_Row]]+1):INDEX(Tasks[_ShownFcstStart],Tasks[[#This Row],[_Row]]+Tasks[[#This Row],[_Descendants]])),Tasks[[#This Row],[_ShownFcstStart]]))</f>
        <v/>
      </c>
      <c r="AF130" s="63" t="str">
        <f aca="false">IF(Tasks[[#This Row],[Task Name]]="","",IF(Tasks[[#This Row],[_IsSummary]],MAX(INDEX(Tasks[_ShownFcstFinish],Tasks[[#This Row],[_Row]]+1):INDEX(Tasks[_ShownFcstFinish],Tasks[[#This Row],[_Row]]+Tasks[[#This Row],[_Descendants]])),Tasks[[#This Row],[_ShownFcstFinish]]))</f>
        <v/>
      </c>
      <c r="AG130" s="21" t="str">
        <f aca="false">""</f>
        <v/>
      </c>
      <c r="AH130" s="23"/>
      <c r="AI1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0" s="7"/>
      <c r="AK130" s="22"/>
      <c r="AL130" s="23"/>
      <c r="AM130" s="7"/>
      <c r="AN130" s="47" t="str">
        <f aca="false">IF(Tasks[[#This Row],[Task Name]]="","",IF(Tasks[[#This Row],[Finish]]&gt;=Tasks[[#This Row],[Planned Finish]],NETWORKDAYS.INTL(Tasks[[#This Row],[Planned Finish]],Tasks[[#This Row],[Finish]],WorkWeek,Holidays)-1,1-NETWORKDAYS.INTL(Tasks[[#This Row],[Finish]],Tasks[[#This Row],[Planned Finish]],WorkWeek,Holidays)))</f>
        <v/>
      </c>
      <c r="AO130" s="21" t="str">
        <f aca="false">IF(Tasks[[#This Row],[Task Name]]="","",IF(Tasks[[#This Row],[Progress]]&gt;=1,"Complete",IF(OR(N(Tasks[[#This Row],[Actual Start]])&gt;0,Tasks[[#This Row],[Progress]]&gt;0),IF(Tasks[[#This Row],[Finish Var]]&gt;0,"Behind","In Progress"),IF(Tasks[[#This Row],[Planned Start]]&lt;StatusDate,"Late Start","Not Started"))))</f>
        <v/>
      </c>
      <c r="AP130" s="21" t="str">
        <f aca="false">IF(Tasks[[#This Row],[Task Name]]="","",IF(IF(Tasks[[#This Row],[_IsSummary]],COUNTIF(INDEX(Tasks[_LeafCritical],Tasks[[#This Row],[_Row]]+1):INDEX(Tasks[_LeafCritical],Tasks[[#This Row],[_Row]]+Tasks[[#This Row],[_Descendants]]),TRUE())&gt;0,Tasks[[#This Row],[_LeafCritical]]),"Yes",""))</f>
        <v/>
      </c>
      <c r="AQ130" s="63" t="str">
        <f aca="false">IF(Tasks[[#This Row],[Task Name]]="","",IF(N(Tasks[[#This Row],[Baseline Start]])&gt;0,Tasks[[#This Row],[Baseline Start]],Tasks[[#This Row],[_CalcStart]]))</f>
        <v/>
      </c>
      <c r="AR130" s="63" t="str">
        <f aca="false">IF(Tasks[[#This Row],[Task Name]]="","",IF(N(Tasks[[#This Row],[Baseline Finish]])&gt;0,Tasks[[#This Row],[Baseline Finish]],Tasks[[#This Row],[_CalcFinish]]))</f>
        <v/>
      </c>
      <c r="AS130" s="47" t="str">
        <f aca="false">IF(Tasks[[#This Row],[Task Name]]="","",IF(Tasks[[#This Row],[Start]]&gt;=Tasks[[#This Row],[Planned Start]],NETWORKDAYS.INTL(Tasks[[#This Row],[Planned Start]],Tasks[[#This Row],[Start]],WorkWeek,Holidays)-1,1-NETWORKDAYS.INTL(Tasks[[#This Row],[Start]],Tasks[[#This Row],[Planned Start]],WorkWeek,Holidays)))</f>
        <v/>
      </c>
      <c r="AT130" s="63" t="str">
        <f aca="false">IF(Tasks[[#This Row],[Task Name]]="","",IF(Tasks[[#This Row],[_IsSummary]],MIN(INDEX(Tasks[_LeafLateStart],Tasks[[#This Row],[_Row]]+1):INDEX(Tasks[_LeafLateStart],Tasks[[#This Row],[_Row]]+Tasks[[#This Row],[_Descendants]])),Tasks[[#This Row],[_LeafLateStart]]))</f>
        <v/>
      </c>
      <c r="AU130" s="63" t="str">
        <f aca="false">IF(Tasks[[#This Row],[Task Name]]="","",IF(Tasks[[#This Row],[_IsSummary]],MAX(INDEX(Tasks[_LeafLateFinish],Tasks[[#This Row],[_Row]]+1):INDEX(Tasks[_LeafLateFinish],Tasks[[#This Row],[_Row]]+Tasks[[#This Row],[_Descendants]])),Tasks[[#This Row],[_LeafLateFinish]]))</f>
        <v/>
      </c>
      <c r="AV130" s="47" t="str">
        <f aca="false">IF(Tasks[[#This Row],[Task Name]]="","",IF(Tasks[[#This Row],[_IsSummary]],MIN(INDEX(Tasks[_LeafTotalSlack],Tasks[[#This Row],[_Row]]+1):INDEX(Tasks[_LeafTotalSlack],Tasks[[#This Row],[_Row]]+Tasks[[#This Row],[_Descendants]])),Tasks[[#This Row],[_LeafTotalSlack]]))</f>
        <v/>
      </c>
      <c r="AW1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5"/>
      <c r="BA13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t="str">
        <f aca="false">IF(Tasks[[#This Row],[Task Name]]="","",IF(Tasks[[#This Row],[_Level]]&lt;=OutlineShowLevel,"Yes","No"))</f>
        <v/>
      </c>
      <c r="BE130" s="86" t="str">
        <f aca="false">IF(Tasks[[#This Row],[Task Name]]="","",IF(Tasks[[#This Row],[_IsSummary]],SUM(INDEX(Tasks[_LeafTotalWork],Tasks[[#This Row],[_Row]]+1):INDEX(Tasks[_LeafTotalWork],Tasks[[#This Row],[_Row]]+Tasks[[#This Row],[_Descendants]])),Tasks[[#This Row],[_LeafTotalWork]]))</f>
        <v/>
      </c>
      <c r="BF130" s="23"/>
      <c r="BG1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t="str">
        <f aca="false">""</f>
        <v/>
      </c>
      <c r="BI130" s="87"/>
      <c r="BJ130" s="22"/>
      <c r="BK130" s="47" t="str">
        <f aca="false">IF(OR(Tasks[[#This Row],[Task Name]]="",Tasks[[#This Row],[Baseline Duration]]=""),"",Tasks[[#This Row],[_SpanDays]]-N(Tasks[[#This Row],[Baseline Duration]]))</f>
        <v/>
      </c>
      <c r="BL130" s="86" t="str">
        <f aca="false">IF(OR(Tasks[[#This Row],[Task Name]]="",Tasks[[#This Row],[Baseline Work]]=""),"",Tasks[[#This Row],[Work]]-N(Tasks[[#This Row],[Baseline Work]]))</f>
        <v/>
      </c>
      <c r="BM130" s="63" t="str">
        <f aca="false">IF(Tasks[[#This Row],[Task Name]]="","",IF(OR(TakeBaseline="Yes",N(Tasks[[#This Row],[Baseline Start]])=0),Tasks[[#This Row],[Start]],Tasks[[#This Row],[Baseline Start]]))</f>
        <v/>
      </c>
      <c r="BN130" s="63" t="str">
        <f aca="false">IF(Tasks[[#This Row],[Task Name]]="","",IF(OR(TakeBaseline="Yes",N(Tasks[[#This Row],[Baseline Finish]])=0),Tasks[[#This Row],[Finish]],Tasks[[#This Row],[Baseline Finish]]))</f>
        <v/>
      </c>
      <c r="BO130" s="21" t="str">
        <f aca="false">IF(Tasks[[#This Row],[Task Name]]="","",IF(OR(TakeBaseline="Yes",N(Tasks[[#This Row],[Baseline Duration]])=0),Tasks[[#This Row],[_SpanDays]],Tasks[[#This Row],[Baseline Duration]]))</f>
        <v/>
      </c>
      <c r="BP130" s="86" t="str">
        <f aca="false">IF(Tasks[[#This Row],[Task Name]]="","",IF(OR(TakeBaseline="Yes",N(Tasks[[#This Row],[Baseline Work]])=0),Tasks[[#This Row],[Work]],Tasks[[#This Row],[Baseline Work]]))</f>
        <v/>
      </c>
      <c r="BQ130" s="7"/>
      <c r="BR130" s="7"/>
      <c r="BS130" s="22"/>
      <c r="BT130" s="88"/>
      <c r="BU130" s="23"/>
      <c r="BV130" s="23"/>
      <c r="BW130" s="23"/>
      <c r="BX130" s="89" t="str">
        <f aca="false">IF(AND(Tasks[[#This Row],[_IsLeaf]]=1,ISNUMBER(Tasks[[#This Row],[Optimistic]]),ISNUMBER(Tasks[[#This Row],[Pessimistic]])),ROUND((Tasks[[#This Row],[Optimistic]]+4*N(Tasks[[#This Row],[_Days]])+Tasks[[#This Row],[Pessimistic]])/6,1),"")</f>
        <v/>
      </c>
      <c r="BY130" s="87"/>
      <c r="BZ130" s="87"/>
      <c r="CA130" s="22"/>
      <c r="CB130" s="43" t="str">
        <f aca="false">IF(Tasks[[#This Row],[Task Name]]="","",MAX(1,N(Tasks[[#This Row],[Level]])))</f>
        <v/>
      </c>
      <c r="CC130" s="43" t="n">
        <f aca="false">ROW()-ROW(Tasks[[#Headers],[ID]])</f>
        <v>125</v>
      </c>
      <c r="CD130" s="43" t="n">
        <f aca="false">IF(OR(Tasks[[#This Row],[Task Name]]="",Tasks[[#This Row],[_Level]]&lt;=1),0,IFERROR(LOOKUP(2,1/(Tasks[[#Headers],[_Level]]:Tasks[[#This Row],[_Level]]=Tasks[[#This Row],[_Level]]-1),ROW(Tasks[[#Headers],[_Level]]:Tasks[[#This Row],[_Level]])),0))</f>
        <v>0</v>
      </c>
      <c r="CE130" s="43" t="n">
        <f aca="false">IFERROR(N(INDEX(Tasks[_Level],Tasks[[#This Row],[_Row]]+1)),0)</f>
        <v>0</v>
      </c>
      <c r="CF130" s="90" t="b">
        <f aca="false">AND(Tasks[[#This Row],[Task Name]]&lt;&gt;"",Tasks[[#This Row],[_NextLevel]]&gt;Tasks[[#This Row],[_Level]])</f>
        <v>0</v>
      </c>
      <c r="CG130" s="43" t="n">
        <f aca="false">IF(Tasks[[#This Row],[_IsSummary]],COUNTIF(Tasks[WBS],Tasks[[#This Row],[WBS]]&amp;".*"),0)</f>
        <v>0</v>
      </c>
      <c r="CH130" s="43" t="n">
        <f aca="false">IF(AND(Tasks[[#This Row],[Task Name]]&lt;&gt;"",NOT(Tasks[[#This Row],[_IsSummary]])),1,0)</f>
        <v>0</v>
      </c>
      <c r="CI130" s="43" t="n">
        <f aca="false">IF(N(Tasks[[#This Row],[_Pred1UID]])=0,0,IFERROR(MATCH(Tasks[[#This Row],[_Pred1UID]],Tasks[UID],0),-1))</f>
        <v>0</v>
      </c>
      <c r="CJ130" s="43" t="n">
        <f aca="false">IF(N(Tasks[[#This Row],[_Pred2UID]])=0,0,IFERROR(MATCH(Tasks[[#This Row],[_Pred2UID]],Tasks[UID],0),-1))</f>
        <v>0</v>
      </c>
      <c r="CK130" s="43" t="n">
        <f aca="false">IF(N(Tasks[[#This Row],[_Pred3UID]])=0,0,IFERROR(MATCH(Tasks[[#This Row],[_Pred3UID]],Tasks[UID],0),-1))</f>
        <v>0</v>
      </c>
      <c r="CL130" s="43" t="n">
        <f aca="false">IF(N(Tasks[[#This Row],[_Pred4UID]])=0,0,IFERROR(MATCH(Tasks[[#This Row],[_Pred4UID]],Tasks[UID],0),-1))</f>
        <v>0</v>
      </c>
      <c r="CM13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0" s="91" t="n">
        <f aca="false">IF(OR(Tasks[[#This Row],[_ConstraintCode]]=2,Tasks[[#This Row],[_ConstraintCode]]=3,Tasks[[#This Row],[_ConstraintCode]]=4,Tasks[[#This Row],[_ConstraintCode]]=6),Tasks[[#This Row],[_ConstraintStart]],0)</f>
        <v>0</v>
      </c>
      <c r="CP130" s="91" t="n">
        <f aca="false">IF(OR(Tasks[[#This Row],[_ConstraintCode]]=2,Tasks[[#This Row],[_ConstraintCode]]=3,Tasks[[#This Row],[_ConstraintCode]]=5,Tasks[[#This Row],[_ConstraintCode]]=7),Tasks[[#This Row],[_ConstraintStart]],2958465)</f>
        <v>2958465</v>
      </c>
      <c r="CQ13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0" s="91" t="str">
        <f aca="false">IF(NOT(Tasks[[#This Row],[_IsLeaf]]=1),"",IF(N(Tasks[[#This Row],[_Days]])&lt;=0,Tasks[[#This Row],[_LeafCalcStart]],WORKDAY.INTL(Tasks[[#This Row],[_LeafCalcStart]],Tasks[[#This Row],[_Days]]-1,WorkWeek,Holidays)))</f>
        <v/>
      </c>
      <c r="CS13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0" s="43" t="str">
        <f aca="false">IF(Tasks[[#This Row],[_Predecessors]]="","",TRIM(MID(SUBSTITUTE(SUBSTITUTE(SUBSTITUTE(UPPER(Tasks[[#This Row],[_Predecessors]]),";",",")," ",""),",",REPT(" ",99)),1,99)))</f>
        <v/>
      </c>
      <c r="CV130" s="43" t="str">
        <f aca="false">IF(Tasks[[#This Row],[_Pred1Text]]="","",IFERROR(VALUE(LEFT(Tasks[[#This Row],[_Pred1Text]],MIN(FIND("F",Tasks[[#This Row],[_Pred1Text]]&amp;"F"),FIND("S",Tasks[[#This Row],[_Pred1Text]]&amp;"S"),FIND("+",Tasks[[#This Row],[_Pred1Text]]&amp;"+"),FIND("-",Tasks[[#This Row],[_Pred1Text]]&amp;"-"))-1)),""))</f>
        <v/>
      </c>
      <c r="CW1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0" s="43" t="str">
        <f aca="false">IF(Tasks[[#This Row],[_Pred1Text]]="","",TRIM(MID(SUBSTITUTE(SUBSTITUTE(SUBSTITUTE(UPPER(Tasks[[#This Row],[_Predecessors]]),";",",")," ",""),",",REPT(" ",99)),100,99)))</f>
        <v/>
      </c>
      <c r="CZ130" s="43" t="str">
        <f aca="false">IF(Tasks[[#This Row],[_Pred2Text]]="","",IFERROR(VALUE(LEFT(Tasks[[#This Row],[_Pred2Text]],MIN(FIND("F",Tasks[[#This Row],[_Pred2Text]]&amp;"F"),FIND("S",Tasks[[#This Row],[_Pred2Text]]&amp;"S"),FIND("+",Tasks[[#This Row],[_Pred2Text]]&amp;"+"),FIND("-",Tasks[[#This Row],[_Pred2Text]]&amp;"-"))-1)),""))</f>
        <v/>
      </c>
      <c r="DA1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0" s="43" t="str">
        <f aca="false">IF(Tasks[[#This Row],[_Pred2Text]]="","",TRIM(MID(SUBSTITUTE(SUBSTITUTE(SUBSTITUTE(UPPER(Tasks[[#This Row],[_Predecessors]]),";",",")," ",""),",",REPT(" ",99)),199,99)))</f>
        <v/>
      </c>
      <c r="DD130" s="43" t="str">
        <f aca="false">IF(Tasks[[#This Row],[_Pred3Text]]="","",IFERROR(VALUE(LEFT(Tasks[[#This Row],[_Pred3Text]],MIN(FIND("F",Tasks[[#This Row],[_Pred3Text]]&amp;"F"),FIND("S",Tasks[[#This Row],[_Pred3Text]]&amp;"S"),FIND("+",Tasks[[#This Row],[_Pred3Text]]&amp;"+"),FIND("-",Tasks[[#This Row],[_Pred3Text]]&amp;"-"))-1)),""))</f>
        <v/>
      </c>
      <c r="DE1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0" s="43" t="str">
        <f aca="false">IF(Tasks[[#This Row],[_Pred3Text]]="","",TRIM(MID(SUBSTITUTE(SUBSTITUTE(SUBSTITUTE(UPPER(Tasks[[#This Row],[_Predecessors]]),";",",")," ",""),",",REPT(" ",99)),298,99)))</f>
        <v/>
      </c>
      <c r="DH130" s="43" t="str">
        <f aca="false">IF(Tasks[[#This Row],[_Pred4Text]]="","",IFERROR(VALUE(LEFT(Tasks[[#This Row],[_Pred4Text]],MIN(FIND("F",Tasks[[#This Row],[_Pred4Text]]&amp;"F"),FIND("S",Tasks[[#This Row],[_Pred4Text]]&amp;"S"),FIND("+",Tasks[[#This Row],[_Pred4Text]]&amp;"+"),FIND("-",Tasks[[#This Row],[_Pred4Text]]&amp;"-"))-1)),""))</f>
        <v/>
      </c>
      <c r="DI1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0" s="43" t="str">
        <f aca="false">IF(OR(Tasks[[#This Row],[Task Name]]="",Tasks[[#This Row],[_Resources]]=""),"",TRIM(MID(SUBSTITUTE(Tasks[[#This Row],[_Resources]],",",REPT(" ",99)),1,99)))</f>
        <v/>
      </c>
      <c r="DL130" s="43" t="str">
        <f aca="false">IF(Tasks[[#This Row],[_Res1Text]]="","",TRIM(MID(SUBSTITUTE(Tasks[[#This Row],[_Resources]],",",REPT(" ",99)),100,99)))</f>
        <v/>
      </c>
      <c r="DM130" s="43" t="str">
        <f aca="false">IF(Tasks[[#This Row],[_Res2Text]]="","",TRIM(MID(SUBSTITUTE(Tasks[[#This Row],[_Resources]],",",REPT(" ",99)),199,99)))</f>
        <v/>
      </c>
      <c r="DN130" s="43" t="str">
        <f aca="false">IF(Tasks[[#This Row],[_Res3Text]]="","",TRIM(MID(SUBSTITUTE(Tasks[[#This Row],[_Resources]],",",REPT(" ",99)),298,99)))</f>
        <v/>
      </c>
      <c r="DO130" s="43" t="n">
        <f aca="false">IF(Tasks[[#This Row],[_Res1Text]]="",0,IFERROR(MATCH(TRIM(LEFT(Tasks[[#This Row],[_Res1Text]],FIND("[",Tasks[[#This Row],[_Res1Text]]&amp;"[")-1)),res_Name,0),IFERROR(MATCH(TRIM(LEFT(Tasks[[#This Row],[_Res1Text]],FIND("[",Tasks[[#This Row],[_Res1Text]]&amp;"[")-1)),res_Initials,0),0)))</f>
        <v>0</v>
      </c>
      <c r="DP130" s="43" t="n">
        <f aca="false">IF(Tasks[[#This Row],[_Res2Text]]="",0,IFERROR(MATCH(TRIM(LEFT(Tasks[[#This Row],[_Res2Text]],FIND("[",Tasks[[#This Row],[_Res2Text]]&amp;"[")-1)),res_Name,0),IFERROR(MATCH(TRIM(LEFT(Tasks[[#This Row],[_Res2Text]],FIND("[",Tasks[[#This Row],[_Res2Text]]&amp;"[")-1)),res_Initials,0),0)))</f>
        <v>0</v>
      </c>
      <c r="DQ130" s="43" t="n">
        <f aca="false">IF(Tasks[[#This Row],[_Res3Text]]="",0,IFERROR(MATCH(TRIM(LEFT(Tasks[[#This Row],[_Res3Text]],FIND("[",Tasks[[#This Row],[_Res3Text]]&amp;"[")-1)),res_Name,0),IFERROR(MATCH(TRIM(LEFT(Tasks[[#This Row],[_Res3Text]],FIND("[",Tasks[[#This Row],[_Res3Text]]&amp;"[")-1)),res_Initials,0),0)))</f>
        <v>0</v>
      </c>
      <c r="DR130" s="43" t="n">
        <f aca="false">IF(Tasks[[#This Row],[_Res4Text]]="",0,IFERROR(MATCH(TRIM(LEFT(Tasks[[#This Row],[_Res4Text]],FIND("[",Tasks[[#This Row],[_Res4Text]]&amp;"[")-1)),res_Name,0),IFERROR(MATCH(TRIM(LEFT(Tasks[[#This Row],[_Res4Text]],FIND("[",Tasks[[#This Row],[_Res4Text]]&amp;"[")-1)),res_Initials,0),0)))</f>
        <v>0</v>
      </c>
      <c r="DS130" s="43" t="str">
        <f aca="false">IF(Tasks[[#This Row],[_Res1Text]]="","",IF(Tasks[[#This Row],[_Res1Row]]&gt;0,INDEX(res_Name,Tasks[[#This Row],[_Res1Row]]),TRIM(LEFT(Tasks[[#This Row],[_Res1Text]],FIND("[",Tasks[[#This Row],[_Res1Text]]&amp;"[")-1))))</f>
        <v/>
      </c>
      <c r="DT1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0" s="43" t="n">
        <f aca="false">IF(NOT(Tasks[[#This Row],[_IsLeaf]]=1),0,(Tasks[[#This Row],[_Resource1]]&lt;&gt;"")+(Tasks[[#This Row],[_Res2]]&lt;&gt;"")+(Tasks[[#This Row],[_Res3]]&lt;&gt;"")+(Tasks[[#This Row],[_Res4]]&lt;&gt;""))</f>
        <v>0</v>
      </c>
      <c r="DV130" s="43" t="str">
        <f aca="false">IF(Tasks[[#This Row],[_Res2Text]]="","",IF(Tasks[[#This Row],[_Res2Row]]&gt;0,INDEX(res_Name,Tasks[[#This Row],[_Res2Row]]),TRIM(LEFT(Tasks[[#This Row],[_Res2Text]],FIND("[",Tasks[[#This Row],[_Res2Text]]&amp;"[")-1))))</f>
        <v/>
      </c>
      <c r="DW1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0" s="43" t="n">
        <f aca="false">IF(OR(NOT(Tasks[[#This Row],[_IsLeaf]]=1),Tasks[[#This Row],[_Res2Row]]=0),0,N(Tasks[[#This Row],[_Days]])*HoursPerDay*IF(Tasks[[#This Row],[_Res2Units]]="",DefaultUnits,Tasks[[#This Row],[_Res2Units]]))</f>
        <v>0</v>
      </c>
      <c r="DY130" s="43" t="n">
        <f aca="false">IF(AND(AND(Tasks[[#This Row],[_IsLeaf]]=1,Tasks[[#This Row],[_LeafTotalWork]]&gt;0),Tasks[[#This Row],[_Res2Work]]&gt;0),Tasks[[#This Row],[_Res2Work]]/(Tasks[[#This Row],[_FinishWorkday]]-Tasks[[#This Row],[_StartWorkday]]+1),0)</f>
        <v>0</v>
      </c>
      <c r="DZ130" s="43" t="n">
        <f aca="false">Tasks[[#This Row],[_Res2WorkPerWD]]*MAX(0,Tasks[[#This Row],[_StartWorkday]]-1)</f>
        <v>0</v>
      </c>
      <c r="EA130" s="43" t="n">
        <f aca="false">Tasks[[#This Row],[_Res2Work]]*Tasks[[#This Row],[_LeafProgress]]</f>
        <v>0</v>
      </c>
      <c r="EB130" s="43" t="str">
        <f aca="false">IF(Tasks[[#This Row],[_Res3Text]]="","",IF(Tasks[[#This Row],[_Res3Row]]&gt;0,INDEX(res_Name,Tasks[[#This Row],[_Res3Row]]),TRIM(LEFT(Tasks[[#This Row],[_Res3Text]],FIND("[",Tasks[[#This Row],[_Res3Text]]&amp;"[")-1))))</f>
        <v/>
      </c>
      <c r="EC1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0" s="43" t="n">
        <f aca="false">IF(OR(NOT(Tasks[[#This Row],[_IsLeaf]]=1),Tasks[[#This Row],[_Res3Row]]=0),0,N(Tasks[[#This Row],[_Days]])*HoursPerDay*IF(Tasks[[#This Row],[_Res3Units]]="",DefaultUnits,Tasks[[#This Row],[_Res3Units]]))</f>
        <v>0</v>
      </c>
      <c r="EE130" s="43" t="n">
        <f aca="false">IF(AND(AND(Tasks[[#This Row],[_IsLeaf]]=1,Tasks[[#This Row],[_LeafTotalWork]]&gt;0),Tasks[[#This Row],[_Res3Work]]&gt;0),Tasks[[#This Row],[_Res3Work]]/(Tasks[[#This Row],[_FinishWorkday]]-Tasks[[#This Row],[_StartWorkday]]+1),0)</f>
        <v>0</v>
      </c>
      <c r="EF130" s="43" t="n">
        <f aca="false">Tasks[[#This Row],[_Res3WorkPerWD]]*MAX(0,Tasks[[#This Row],[_StartWorkday]]-1)</f>
        <v>0</v>
      </c>
      <c r="EG130" s="43" t="n">
        <f aca="false">Tasks[[#This Row],[_Res3Work]]*Tasks[[#This Row],[_LeafProgress]]</f>
        <v>0</v>
      </c>
      <c r="EH130" s="43" t="str">
        <f aca="false">IF(Tasks[[#This Row],[_Res4Text]]="","",IF(Tasks[[#This Row],[_Res4Row]]&gt;0,INDEX(res_Name,Tasks[[#This Row],[_Res4Row]]),TRIM(LEFT(Tasks[[#This Row],[_Res4Text]],FIND("[",Tasks[[#This Row],[_Res4Text]]&amp;"[")-1))))</f>
        <v/>
      </c>
      <c r="EI1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0" s="43" t="n">
        <f aca="false">IF(OR(NOT(Tasks[[#This Row],[_IsLeaf]]=1),Tasks[[#This Row],[_Res4Row]]=0),0,N(Tasks[[#This Row],[_Days]])*HoursPerDay*IF(Tasks[[#This Row],[_Res4Units]]="",DefaultUnits,Tasks[[#This Row],[_Res4Units]]))</f>
        <v>0</v>
      </c>
      <c r="EK130" s="43" t="n">
        <f aca="false">IF(AND(AND(Tasks[[#This Row],[_IsLeaf]]=1,Tasks[[#This Row],[_LeafTotalWork]]&gt;0),Tasks[[#This Row],[_Res4Work]]&gt;0),Tasks[[#This Row],[_Res4Work]]/(Tasks[[#This Row],[_FinishWorkday]]-Tasks[[#This Row],[_StartWorkday]]+1),0)</f>
        <v>0</v>
      </c>
      <c r="EL130" s="43" t="n">
        <f aca="false">Tasks[[#This Row],[_Res4WorkPerWD]]*MAX(0,Tasks[[#This Row],[_StartWorkday]]-1)</f>
        <v>0</v>
      </c>
      <c r="EM130" s="43" t="n">
        <f aca="false">Tasks[[#This Row],[_Res4Work]]*Tasks[[#This Row],[_LeafProgress]]</f>
        <v>0</v>
      </c>
      <c r="EN130" s="43" t="n">
        <f aca="false">IF(ISNUMBER(Tasks[[#This Row],[% Complete]]),Tasks[[#This Row],[% Complete]],IF(Tasks[[#This Row],[Stage]]="",0,IFERROR(INDEX(stg_Pct,MATCH(Tasks[[#This Row],[Stage]],stg_Name,0)),0)))</f>
        <v>0</v>
      </c>
      <c r="EO130" s="43" t="n">
        <f aca="false">IF(NOT(Tasks[[#This Row],[_IsLeaf]]=1),0,IF(N(Tasks[[#This Row],[Actual Finish]])&gt;0,1,MIN(1,Tasks[[#This Row],[_Pct]])))</f>
        <v>0</v>
      </c>
      <c r="EP130" s="43" t="n">
        <f aca="false">IF(OR(NOT(Tasks[[#This Row],[_IsLeaf]]=1),Tasks[[#This Row],[_Res1Row]]=0),0,N(Tasks[[#This Row],[_Days]])*HoursPerDay*IF(Tasks[[#This Row],[_Units1]]="",DefaultUnits,Tasks[[#This Row],[_Units1]]))</f>
        <v>0</v>
      </c>
      <c r="EQ130" s="43" t="n">
        <f aca="false">Tasks[[#This Row],[_LeafWork]]+Tasks[[#This Row],[_Res2Work]]+Tasks[[#This Row],[_Res3Work]]+Tasks[[#This Row],[_Res4Work]]</f>
        <v>0</v>
      </c>
      <c r="ER13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0" s="43" t="n">
        <f aca="false">IF(NOT(Tasks[[#This Row],[_IsLeaf]]=1),0,MAX(_xlfn.MAXIFS(Tasks[_Row],Tasks[_Pred1UID],Tasks[[#This Row],[UID]]),_xlfn.MAXIFS(Tasks[_Row],Tasks[_Pred2UID],Tasks[[#This Row],[UID]]),_xlfn.MAXIFS(Tasks[_Row],Tasks[_Pred3UID],Tasks[[#This Row],[UID]]),_xlfn.MAXIFS(Tasks[_Row],Tasks[_Pred4UID],Tasks[[#This Row],[UID]])))</f>
        <v>0</v>
      </c>
      <c r="FA13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0" s="91" t="str">
        <f aca="false">IF(NOT(Tasks[[#This Row],[_IsLeaf]]=1),"",IF(N(Tasks[[#This Row],[_Days]])&lt;=0,Tasks[[#This Row],[_LeafLateFinish]],WORKDAY.INTL(Tasks[[#This Row],[_LeafLateFinish]],-(Tasks[[#This Row],[_Days]]-1),WorkWeek,Holidays)))</f>
        <v/>
      </c>
      <c r="FD13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0" s="90" t="b">
        <f aca="false">AND(Tasks[[#This Row],[_IsLeaf]]=1,Tasks[[#This Row],[_LeafProgress]]&lt;1,N(Tasks[[#This Row],[_LeafTotalSlack]])&lt;=CriticalSlackDays)</f>
        <v>0</v>
      </c>
      <c r="FF130" s="43" t="n">
        <f aca="false">IF(AND(Tasks[[#This Row],[_IsLeaf]]=1,Tasks[[#This Row],[_ConstraintCode]]=1,Tasks[[#This Row],[Mode]]&lt;&gt;"Manual",N(Tasks[[#This Row],[Actual Start]])=0),MAX(0,N(Tasks[[#This Row],[Free Slack]])),0)</f>
        <v>0</v>
      </c>
      <c r="FG130" s="91" t="str">
        <f aca="false">IF(NOT(Tasks[[#This Row],[_IsLeaf]]=1),"",IF(Tasks[[#This Row],[_AlapShift]]=0,Tasks[[#This Row],[_LeafCalcStart]],WORKDAY.INTL(Tasks[[#This Row],[_LeafCalcStart]],Tasks[[#This Row],[_AlapShift]],WorkWeek,Holidays)))</f>
        <v/>
      </c>
      <c r="FH130" s="91" t="str">
        <f aca="false">IF(NOT(Tasks[[#This Row],[_IsLeaf]]=1),"",IF(Tasks[[#This Row],[_AlapShift]]=0,Tasks[[#This Row],[_LeafCalcFinish]],WORKDAY.INTL(Tasks[[#This Row],[_LeafCalcFinish]],Tasks[[#This Row],[_AlapShift]],WorkWeek,Holidays)))</f>
        <v/>
      </c>
      <c r="FI130" s="91" t="str">
        <f aca="false">IF(NOT(Tasks[[#This Row],[_IsLeaf]]=1),"",IF(Tasks[[#This Row],[_AlapShift]]=0,Tasks[[#This Row],[_LeafFcstStart]],WORKDAY.INTL(Tasks[[#This Row],[_LeafFcstStart]],Tasks[[#This Row],[_AlapShift]],WorkWeek,Holidays)))</f>
        <v/>
      </c>
      <c r="FJ130" s="91" t="str">
        <f aca="false">IF(NOT(Tasks[[#This Row],[_IsLeaf]]=1),"",IF(Tasks[[#This Row],[_AlapShift]]=0,Tasks[[#This Row],[_LeafFcstFinish]],WORKDAY.INTL(Tasks[[#This Row],[_LeafFcstFinish]],Tasks[[#This Row],[_AlapShift]],WorkWeek,Holidays)))</f>
        <v/>
      </c>
      <c r="FK130" s="91" t="str">
        <f aca="false">IF(Tasks[[#This Row],[Task Name]]="","",IF(Tasks[[#This Row],[_IsSummary]],MIN(INDEX(Tasks[_ShownCalcStart],Tasks[[#This Row],[_Row]]+1):INDEX(Tasks[_ShownCalcStart],Tasks[[#This Row],[_Row]]+Tasks[[#This Row],[_Descendants]])),Tasks[[#This Row],[_ShownCalcStart]]))</f>
        <v/>
      </c>
      <c r="FL130" s="91" t="str">
        <f aca="false">IF(Tasks[[#This Row],[Task Name]]="","",IF(Tasks[[#This Row],[_IsSummary]],MAX(INDEX(Tasks[_ShownCalcFinish],Tasks[[#This Row],[_Row]]+1):INDEX(Tasks[_ShownCalcFinish],Tasks[[#This Row],[_Row]]+Tasks[[#This Row],[_Descendants]])),Tasks[[#This Row],[_ShownCalcFinish]]))</f>
        <v/>
      </c>
      <c r="FM1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0" s="43" t="n">
        <f aca="false">IF(AND(Tasks[[#This Row],[_IsLeaf]]=1,Tasks[[#This Row],[_LeafTotalWork]]&gt;0),NETWORKDAYS.INTL(ProjectStart,Tasks[[#This Row],[_ShownFcstStart]],WorkWeek,Holidays),0)</f>
        <v>0</v>
      </c>
      <c r="FZ130" s="43" t="n">
        <f aca="false">IF(AND(Tasks[[#This Row],[_IsLeaf]]=1,Tasks[[#This Row],[_LeafTotalWork]]&gt;0),MAX(Tasks[[#This Row],[_StartWorkday]],NETWORKDAYS.INTL(ProjectStart,Tasks[[#This Row],[_ShownFcstFinish]],WorkWeek,Holidays)),0)</f>
        <v>0</v>
      </c>
      <c r="GA130" s="43" t="n">
        <f aca="false">IF(AND(Tasks[[#This Row],[_IsLeaf]]=1,Tasks[[#This Row],[_LeafTotalWork]]&gt;0),Tasks[[#This Row],[_LeafWork]]/(Tasks[[#This Row],[_FinishWorkday]]-Tasks[[#This Row],[_StartWorkday]]+1),0)</f>
        <v>0</v>
      </c>
      <c r="GB130" s="43" t="n">
        <f aca="false">Tasks[[#This Row],[_WorkPerWorkday]]*(Tasks[[#This Row],[_StartWorkday]]-1)</f>
        <v>-0</v>
      </c>
      <c r="GC130" s="43" t="n">
        <f aca="false">IF(Tasks[[#This Row],[_IsLeaf]]=1,MAX(N(Tasks[[#This Row],[_Days]]),0.1),0)</f>
        <v>0</v>
      </c>
      <c r="GD130" s="43" t="n">
        <f aca="false">Tasks[[#This Row],[_WeightDur]]*Tasks[[#This Row],[_LeafProgress]]</f>
        <v>0</v>
      </c>
      <c r="GE130" s="43" t="n">
        <f aca="false">Tasks[[#This Row],[_WeightDur]]*Tasks[[#This Row],[_PlannedPct]]</f>
        <v>0</v>
      </c>
      <c r="GF1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0" s="43" t="str">
        <f aca="false">IF(AND(Tasks[[#This Row],[_IsLeaf]]=1,N(Tasks[[#This Row],[_Days]])=0,Tasks[[#This Row],[_LeafProgress]]&lt;1),Tasks[[#This Row],[_ShownFcstFinish]]+Tasks[[#This Row],[_Row]]/100000,"")</f>
        <v/>
      </c>
      <c r="GH1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0" s="43" t="str">
        <f aca="false">IF(Tasks[[#This Row],[Task Name]]="","",LEFT(Tasks[[#This Row],[WBS]],FIND(".",Tasks[[#This Row],[WBS]]&amp;".")-1))</f>
        <v/>
      </c>
      <c r="GJ130" s="43" t="str">
        <f aca="false">IF(AND(Tasks[[#This Row],[Task Name]]&lt;&gt;"",Tasks[[#This Row],[_Level]]=1),Tasks[[#This Row],[_Row]],"")</f>
        <v/>
      </c>
      <c r="GK130" s="43" t="str">
        <f aca="false">IF(AND(Tasks[[#This Row],[_IsLeaf]]=1,N(Tasks[[#This Row],[_Days]])=0),Tasks[[#This Row],[Planned Finish]]+Tasks[[#This Row],[_Row]]/100000,"")</f>
        <v/>
      </c>
      <c r="GL130" s="43" t="str">
        <f aca="false">IF(AND(Tasks[[#This Row],[_IsLeaf]]=1,Tasks[[#This Row],[_LeafProgress]]&lt;1,OR(N(Tasks[[#This Row],[Finish Var]])&gt;0,Tasks[[#This Row],[Status]]="Late Start")),MAX(0,Tasks[[#This Row],[Finish Var]])+1-Tasks[[#This Row],[_Row]]/1000000,"")</f>
        <v/>
      </c>
      <c r="GM130" s="43" t="str">
        <f aca="false">IF(AND(Tasks[[#This Row],[_IsLeaf]]=1,N(Tasks[[#This Row],[Actual Start]])=0,Tasks[[#This Row],[_ShownFcstStart]]&gt;=StatusDate,Tasks[[#This Row],[_ShownFcstStart]]&lt;=LookaheadEnd),Tasks[[#This Row],[_ShownFcstStart]]+Tasks[[#This Row],[_Row]]/100000,"")</f>
        <v/>
      </c>
      <c r="GN130" s="43" t="str">
        <f aca="false">IF(AND(Tasks[[#This Row],[_IsLeaf]]=1,Tasks[[#This Row],[_LeafProgress]]&lt;1,Tasks[[#This Row],[_ShownFcstFinish]]&gt;=StatusDate,Tasks[[#This Row],[_ShownFcstFinish]]&lt;=LookaheadEnd),Tasks[[#This Row],[_ShownFcstFinish]]+Tasks[[#This Row],[_Row]]/100000,"")</f>
        <v/>
      </c>
      <c r="GO130" s="43" t="str">
        <f aca="false">IF(Tasks[[#This Row],[_LeafCritical]],Tasks[[#This Row],[_ShownFcstStart]]+Tasks[[#This Row],[_Row]]/100000,"")</f>
        <v/>
      </c>
      <c r="GP130" s="43" t="n">
        <f aca="false">Tasks[[#This Row],[_LeafWork]]*Tasks[[#This Row],[_LeafProgress]]</f>
        <v>0</v>
      </c>
      <c r="GQ130" s="91" t="str">
        <f aca="false">IF(AND(Tasks[[#This Row],[_IsLeaf]]=1,Tasks[[#This Row],[_LeafProgress]]&gt;=1),IF(N(Tasks[[#This Row],[Actual Finish]])&gt;0,Tasks[[#This Row],[Actual Finish]],Tasks[[#This Row],[_ShownFcstFinish]]),"")</f>
        <v/>
      </c>
      <c r="GR130" s="43" t="n">
        <f aca="false">IF(Tasks[[#This Row],[_IsLeaf]]=1,N(Tasks[[#This Row],[Story Points]]),0)</f>
        <v>0</v>
      </c>
      <c r="GS130" s="43" t="str">
        <f aca="false">""</f>
        <v/>
      </c>
      <c r="GT130" s="90" t="b">
        <f aca="false">IF(Tasks[[#This Row],[Task Name]]="",FALSE(),AND(Tasks[[#This Row],[_IsLeaf]]=1,N(Tasks[[#This Row],[_Days]])=0))</f>
        <v>0</v>
      </c>
      <c r="GU130" s="91" t="n">
        <f aca="false">IF(Tasks[[#This Row],[Task Name]]="",0,IF(AND(Tasks[[#This Row],[_IsLeaf]]=1,NOT(Tasks[[#This Row],[_IsMilestone]]),N(Tasks[[#This Row],[Progress]])&gt;0),Tasks[[#This Row],[Start]],0))</f>
        <v>0</v>
      </c>
      <c r="GV130" s="91" t="n">
        <f aca="false">IF(Tasks[[#This Row],[_DoneFrom]]=0,0,IF(Tasks[[#This Row],[Progress]]&gt;=1,Tasks[[#This Row],[Finish]],MAX(Tasks[[#This Row],[_DoneFrom]],Tasks[[#This Row],[Start]]+ROUND((Tasks[[#This Row],[Finish]]-Tasks[[#This Row],[Start]]+1)*Tasks[[#This Row],[Progress]],0)-1)))</f>
        <v>0</v>
      </c>
      <c r="GW130" s="91" t="n">
        <f aca="false">IF(Tasks[[#This Row],[Task Name]]="",0,IF(OR(NOT(Tasks[[#This Row],[_IsLeaf]]=1),Tasks[[#This Row],[_IsMilestone]],N(Tasks[[#This Row],[Progress]])&gt;=1),0,IF(Tasks[[#This Row],[_DoneTo]]&gt;0,Tasks[[#This Row],[_DoneTo]]+1,Tasks[[#This Row],[Start]])))</f>
        <v>0</v>
      </c>
      <c r="GX130" s="91" t="n">
        <f aca="false">IF(Tasks[[#This Row],[_RemFrom]]=0,0,Tasks[[#This Row],[Finish]])</f>
        <v>0</v>
      </c>
      <c r="GY130" s="90" t="b">
        <f aca="false">IF(Tasks[[#This Row],[Task Name]]="",FALSE(),OR(NOT(BaselineSet),N(Tasks[[#This Row],[Baseline Start]])&gt;0))</f>
        <v>0</v>
      </c>
      <c r="GZ13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0" s="92" t="str">
        <f aca="false">IF(Tasks[[#This Row],[_IsLeaf]]=1,Tasks[[#This Row],[_Row]],"")</f>
        <v/>
      </c>
      <c r="HD130" s="92" t="str">
        <f aca="false">IFERROR(INDEX(Tasks[UID],SMALL(Tasks[_PickKey],Tasks[[#This Row],[_Row]]))&amp;" "&amp;INDEX(Tasks[Task Name],SMALL(Tasks[_PickKey],Tasks[[#This Row],[_Row]])),"")</f>
        <v/>
      </c>
      <c r="HE130" s="43" t="str">
        <f aca="false">IF(Tasks[[#This Row],[Task Name]]="","",IF(Tasks[[#This Row],[_IsSummary]],NETWORKDAYS.INTL(Tasks[[#This Row],[Start]],Tasks[[#This Row],[Finish]],WorkWeek,Holidays),N(Tasks[[#This Row],[_Days]])))</f>
        <v/>
      </c>
      <c r="HF130" s="43" t="n">
        <f aca="false">IF(Tasks[[#This Row],[Expected]]="",0,((Tasks[[#This Row],[Pessimistic]]-Tasks[[#This Row],[Optimistic]])/6)^2)</f>
        <v>0</v>
      </c>
      <c r="HG130" s="43" t="n">
        <f aca="false">IF(Tasks[[#This Row],[Expected]]="",0,Tasks[[#This Row],[Expected]]-N(Tasks[[#This Row],[_Days]]))</f>
        <v>0</v>
      </c>
    </row>
    <row r="131" customFormat="false" ht="15" hidden="false" customHeight="false" outlineLevel="0" collapsed="false">
      <c r="A131" s="21" t="str">
        <f aca="false">IF(Tasks[[#This Row],[Task Name]]="","",COUNTA(Tasks[[#Headers],[Task Name]]:Tasks[[#This Row],[Task Name]])-1)</f>
        <v/>
      </c>
      <c r="B131" s="22" t="n">
        <v>139</v>
      </c>
      <c r="C131" s="22"/>
      <c r="D131" s="23"/>
      <c r="E131" s="22"/>
      <c r="F131" s="23"/>
      <c r="G131" s="22"/>
      <c r="H131" s="22"/>
      <c r="I131" s="23"/>
      <c r="J131" s="22"/>
      <c r="K131" s="22"/>
      <c r="L131" s="23"/>
      <c r="M131" s="22"/>
      <c r="N131" s="22"/>
      <c r="O131" s="23"/>
      <c r="P131" s="22"/>
      <c r="Q131" s="22"/>
      <c r="R131" s="23"/>
      <c r="S131" s="23"/>
      <c r="T131" s="84"/>
      <c r="U131" s="23"/>
      <c r="V131" s="84"/>
      <c r="W131" s="23"/>
      <c r="X131" s="84"/>
      <c r="Y131" s="23"/>
      <c r="Z131" s="84"/>
      <c r="AA131" s="23"/>
      <c r="AB131" s="23"/>
      <c r="AC131" s="7"/>
      <c r="AD131" s="7"/>
      <c r="AE131" s="63" t="str">
        <f aca="false">IF(Tasks[[#This Row],[Task Name]]="","",IF(Tasks[[#This Row],[_IsSummary]],MIN(INDEX(Tasks[_ShownFcstStart],Tasks[[#This Row],[_Row]]+1):INDEX(Tasks[_ShownFcstStart],Tasks[[#This Row],[_Row]]+Tasks[[#This Row],[_Descendants]])),Tasks[[#This Row],[_ShownFcstStart]]))</f>
        <v/>
      </c>
      <c r="AF131" s="63" t="str">
        <f aca="false">IF(Tasks[[#This Row],[Task Name]]="","",IF(Tasks[[#This Row],[_IsSummary]],MAX(INDEX(Tasks[_ShownFcstFinish],Tasks[[#This Row],[_Row]]+1):INDEX(Tasks[_ShownFcstFinish],Tasks[[#This Row],[_Row]]+Tasks[[#This Row],[_Descendants]])),Tasks[[#This Row],[_ShownFcstFinish]]))</f>
        <v/>
      </c>
      <c r="AG131" s="21" t="str">
        <f aca="false">""</f>
        <v/>
      </c>
      <c r="AH131" s="23"/>
      <c r="AI1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1" s="7"/>
      <c r="AK131" s="22"/>
      <c r="AL131" s="23"/>
      <c r="AM131" s="7"/>
      <c r="AN131" s="47" t="str">
        <f aca="false">IF(Tasks[[#This Row],[Task Name]]="","",IF(Tasks[[#This Row],[Finish]]&gt;=Tasks[[#This Row],[Planned Finish]],NETWORKDAYS.INTL(Tasks[[#This Row],[Planned Finish]],Tasks[[#This Row],[Finish]],WorkWeek,Holidays)-1,1-NETWORKDAYS.INTL(Tasks[[#This Row],[Finish]],Tasks[[#This Row],[Planned Finish]],WorkWeek,Holidays)))</f>
        <v/>
      </c>
      <c r="AO131" s="21" t="str">
        <f aca="false">IF(Tasks[[#This Row],[Task Name]]="","",IF(Tasks[[#This Row],[Progress]]&gt;=1,"Complete",IF(OR(N(Tasks[[#This Row],[Actual Start]])&gt;0,Tasks[[#This Row],[Progress]]&gt;0),IF(Tasks[[#This Row],[Finish Var]]&gt;0,"Behind","In Progress"),IF(Tasks[[#This Row],[Planned Start]]&lt;StatusDate,"Late Start","Not Started"))))</f>
        <v/>
      </c>
      <c r="AP131" s="21" t="str">
        <f aca="false">IF(Tasks[[#This Row],[Task Name]]="","",IF(IF(Tasks[[#This Row],[_IsSummary]],COUNTIF(INDEX(Tasks[_LeafCritical],Tasks[[#This Row],[_Row]]+1):INDEX(Tasks[_LeafCritical],Tasks[[#This Row],[_Row]]+Tasks[[#This Row],[_Descendants]]),TRUE())&gt;0,Tasks[[#This Row],[_LeafCritical]]),"Yes",""))</f>
        <v/>
      </c>
      <c r="AQ131" s="63" t="str">
        <f aca="false">IF(Tasks[[#This Row],[Task Name]]="","",IF(N(Tasks[[#This Row],[Baseline Start]])&gt;0,Tasks[[#This Row],[Baseline Start]],Tasks[[#This Row],[_CalcStart]]))</f>
        <v/>
      </c>
      <c r="AR131" s="63" t="str">
        <f aca="false">IF(Tasks[[#This Row],[Task Name]]="","",IF(N(Tasks[[#This Row],[Baseline Finish]])&gt;0,Tasks[[#This Row],[Baseline Finish]],Tasks[[#This Row],[_CalcFinish]]))</f>
        <v/>
      </c>
      <c r="AS131" s="47" t="str">
        <f aca="false">IF(Tasks[[#This Row],[Task Name]]="","",IF(Tasks[[#This Row],[Start]]&gt;=Tasks[[#This Row],[Planned Start]],NETWORKDAYS.INTL(Tasks[[#This Row],[Planned Start]],Tasks[[#This Row],[Start]],WorkWeek,Holidays)-1,1-NETWORKDAYS.INTL(Tasks[[#This Row],[Start]],Tasks[[#This Row],[Planned Start]],WorkWeek,Holidays)))</f>
        <v/>
      </c>
      <c r="AT131" s="63" t="str">
        <f aca="false">IF(Tasks[[#This Row],[Task Name]]="","",IF(Tasks[[#This Row],[_IsSummary]],MIN(INDEX(Tasks[_LeafLateStart],Tasks[[#This Row],[_Row]]+1):INDEX(Tasks[_LeafLateStart],Tasks[[#This Row],[_Row]]+Tasks[[#This Row],[_Descendants]])),Tasks[[#This Row],[_LeafLateStart]]))</f>
        <v/>
      </c>
      <c r="AU131" s="63" t="str">
        <f aca="false">IF(Tasks[[#This Row],[Task Name]]="","",IF(Tasks[[#This Row],[_IsSummary]],MAX(INDEX(Tasks[_LeafLateFinish],Tasks[[#This Row],[_Row]]+1):INDEX(Tasks[_LeafLateFinish],Tasks[[#This Row],[_Row]]+Tasks[[#This Row],[_Descendants]])),Tasks[[#This Row],[_LeafLateFinish]]))</f>
        <v/>
      </c>
      <c r="AV131" s="47" t="str">
        <f aca="false">IF(Tasks[[#This Row],[Task Name]]="","",IF(Tasks[[#This Row],[_IsSummary]],MIN(INDEX(Tasks[_LeafTotalSlack],Tasks[[#This Row],[_Row]]+1):INDEX(Tasks[_LeafTotalSlack],Tasks[[#This Row],[_Row]]+Tasks[[#This Row],[_Descendants]])),Tasks[[#This Row],[_LeafTotalSlack]]))</f>
        <v/>
      </c>
      <c r="AW1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5"/>
      <c r="BA13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t="str">
        <f aca="false">IF(Tasks[[#This Row],[Task Name]]="","",IF(Tasks[[#This Row],[_Level]]&lt;=OutlineShowLevel,"Yes","No"))</f>
        <v/>
      </c>
      <c r="BE131" s="86" t="str">
        <f aca="false">IF(Tasks[[#This Row],[Task Name]]="","",IF(Tasks[[#This Row],[_IsSummary]],SUM(INDEX(Tasks[_LeafTotalWork],Tasks[[#This Row],[_Row]]+1):INDEX(Tasks[_LeafTotalWork],Tasks[[#This Row],[_Row]]+Tasks[[#This Row],[_Descendants]])),Tasks[[#This Row],[_LeafTotalWork]]))</f>
        <v/>
      </c>
      <c r="BF131" s="23"/>
      <c r="BG1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t="str">
        <f aca="false">""</f>
        <v/>
      </c>
      <c r="BI131" s="87"/>
      <c r="BJ131" s="22"/>
      <c r="BK131" s="47" t="str">
        <f aca="false">IF(OR(Tasks[[#This Row],[Task Name]]="",Tasks[[#This Row],[Baseline Duration]]=""),"",Tasks[[#This Row],[_SpanDays]]-N(Tasks[[#This Row],[Baseline Duration]]))</f>
        <v/>
      </c>
      <c r="BL131" s="86" t="str">
        <f aca="false">IF(OR(Tasks[[#This Row],[Task Name]]="",Tasks[[#This Row],[Baseline Work]]=""),"",Tasks[[#This Row],[Work]]-N(Tasks[[#This Row],[Baseline Work]]))</f>
        <v/>
      </c>
      <c r="BM131" s="63" t="str">
        <f aca="false">IF(Tasks[[#This Row],[Task Name]]="","",IF(OR(TakeBaseline="Yes",N(Tasks[[#This Row],[Baseline Start]])=0),Tasks[[#This Row],[Start]],Tasks[[#This Row],[Baseline Start]]))</f>
        <v/>
      </c>
      <c r="BN131" s="63" t="str">
        <f aca="false">IF(Tasks[[#This Row],[Task Name]]="","",IF(OR(TakeBaseline="Yes",N(Tasks[[#This Row],[Baseline Finish]])=0),Tasks[[#This Row],[Finish]],Tasks[[#This Row],[Baseline Finish]]))</f>
        <v/>
      </c>
      <c r="BO131" s="21" t="str">
        <f aca="false">IF(Tasks[[#This Row],[Task Name]]="","",IF(OR(TakeBaseline="Yes",N(Tasks[[#This Row],[Baseline Duration]])=0),Tasks[[#This Row],[_SpanDays]],Tasks[[#This Row],[Baseline Duration]]))</f>
        <v/>
      </c>
      <c r="BP131" s="86" t="str">
        <f aca="false">IF(Tasks[[#This Row],[Task Name]]="","",IF(OR(TakeBaseline="Yes",N(Tasks[[#This Row],[Baseline Work]])=0),Tasks[[#This Row],[Work]],Tasks[[#This Row],[Baseline Work]]))</f>
        <v/>
      </c>
      <c r="BQ131" s="7"/>
      <c r="BR131" s="7"/>
      <c r="BS131" s="22"/>
      <c r="BT131" s="88"/>
      <c r="BU131" s="23"/>
      <c r="BV131" s="23"/>
      <c r="BW131" s="23"/>
      <c r="BX131" s="89" t="str">
        <f aca="false">IF(AND(Tasks[[#This Row],[_IsLeaf]]=1,ISNUMBER(Tasks[[#This Row],[Optimistic]]),ISNUMBER(Tasks[[#This Row],[Pessimistic]])),ROUND((Tasks[[#This Row],[Optimistic]]+4*N(Tasks[[#This Row],[_Days]])+Tasks[[#This Row],[Pessimistic]])/6,1),"")</f>
        <v/>
      </c>
      <c r="BY131" s="87"/>
      <c r="BZ131" s="87"/>
      <c r="CA131" s="22"/>
      <c r="CB131" s="43" t="str">
        <f aca="false">IF(Tasks[[#This Row],[Task Name]]="","",MAX(1,N(Tasks[[#This Row],[Level]])))</f>
        <v/>
      </c>
      <c r="CC131" s="43" t="n">
        <f aca="false">ROW()-ROW(Tasks[[#Headers],[ID]])</f>
        <v>126</v>
      </c>
      <c r="CD131" s="43" t="n">
        <f aca="false">IF(OR(Tasks[[#This Row],[Task Name]]="",Tasks[[#This Row],[_Level]]&lt;=1),0,IFERROR(LOOKUP(2,1/(Tasks[[#Headers],[_Level]]:Tasks[[#This Row],[_Level]]=Tasks[[#This Row],[_Level]]-1),ROW(Tasks[[#Headers],[_Level]]:Tasks[[#This Row],[_Level]])),0))</f>
        <v>0</v>
      </c>
      <c r="CE131" s="43" t="n">
        <f aca="false">IFERROR(N(INDEX(Tasks[_Level],Tasks[[#This Row],[_Row]]+1)),0)</f>
        <v>0</v>
      </c>
      <c r="CF131" s="90" t="b">
        <f aca="false">AND(Tasks[[#This Row],[Task Name]]&lt;&gt;"",Tasks[[#This Row],[_NextLevel]]&gt;Tasks[[#This Row],[_Level]])</f>
        <v>0</v>
      </c>
      <c r="CG131" s="43" t="n">
        <f aca="false">IF(Tasks[[#This Row],[_IsSummary]],COUNTIF(Tasks[WBS],Tasks[[#This Row],[WBS]]&amp;".*"),0)</f>
        <v>0</v>
      </c>
      <c r="CH131" s="43" t="n">
        <f aca="false">IF(AND(Tasks[[#This Row],[Task Name]]&lt;&gt;"",NOT(Tasks[[#This Row],[_IsSummary]])),1,0)</f>
        <v>0</v>
      </c>
      <c r="CI131" s="43" t="n">
        <f aca="false">IF(N(Tasks[[#This Row],[_Pred1UID]])=0,0,IFERROR(MATCH(Tasks[[#This Row],[_Pred1UID]],Tasks[UID],0),-1))</f>
        <v>0</v>
      </c>
      <c r="CJ131" s="43" t="n">
        <f aca="false">IF(N(Tasks[[#This Row],[_Pred2UID]])=0,0,IFERROR(MATCH(Tasks[[#This Row],[_Pred2UID]],Tasks[UID],0),-1))</f>
        <v>0</v>
      </c>
      <c r="CK131" s="43" t="n">
        <f aca="false">IF(N(Tasks[[#This Row],[_Pred3UID]])=0,0,IFERROR(MATCH(Tasks[[#This Row],[_Pred3UID]],Tasks[UID],0),-1))</f>
        <v>0</v>
      </c>
      <c r="CL131" s="43" t="n">
        <f aca="false">IF(N(Tasks[[#This Row],[_Pred4UID]])=0,0,IFERROR(MATCH(Tasks[[#This Row],[_Pred4UID]],Tasks[UID],0),-1))</f>
        <v>0</v>
      </c>
      <c r="CM13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1" s="91" t="n">
        <f aca="false">IF(OR(Tasks[[#This Row],[_ConstraintCode]]=2,Tasks[[#This Row],[_ConstraintCode]]=3,Tasks[[#This Row],[_ConstraintCode]]=4,Tasks[[#This Row],[_ConstraintCode]]=6),Tasks[[#This Row],[_ConstraintStart]],0)</f>
        <v>0</v>
      </c>
      <c r="CP131" s="91" t="n">
        <f aca="false">IF(OR(Tasks[[#This Row],[_ConstraintCode]]=2,Tasks[[#This Row],[_ConstraintCode]]=3,Tasks[[#This Row],[_ConstraintCode]]=5,Tasks[[#This Row],[_ConstraintCode]]=7),Tasks[[#This Row],[_ConstraintStart]],2958465)</f>
        <v>2958465</v>
      </c>
      <c r="CQ13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1" s="91" t="str">
        <f aca="false">IF(NOT(Tasks[[#This Row],[_IsLeaf]]=1),"",IF(N(Tasks[[#This Row],[_Days]])&lt;=0,Tasks[[#This Row],[_LeafCalcStart]],WORKDAY.INTL(Tasks[[#This Row],[_LeafCalcStart]],Tasks[[#This Row],[_Days]]-1,WorkWeek,Holidays)))</f>
        <v/>
      </c>
      <c r="CS13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1" s="43" t="str">
        <f aca="false">IF(Tasks[[#This Row],[_Predecessors]]="","",TRIM(MID(SUBSTITUTE(SUBSTITUTE(SUBSTITUTE(UPPER(Tasks[[#This Row],[_Predecessors]]),";",",")," ",""),",",REPT(" ",99)),1,99)))</f>
        <v/>
      </c>
      <c r="CV131" s="43" t="str">
        <f aca="false">IF(Tasks[[#This Row],[_Pred1Text]]="","",IFERROR(VALUE(LEFT(Tasks[[#This Row],[_Pred1Text]],MIN(FIND("F",Tasks[[#This Row],[_Pred1Text]]&amp;"F"),FIND("S",Tasks[[#This Row],[_Pred1Text]]&amp;"S"),FIND("+",Tasks[[#This Row],[_Pred1Text]]&amp;"+"),FIND("-",Tasks[[#This Row],[_Pred1Text]]&amp;"-"))-1)),""))</f>
        <v/>
      </c>
      <c r="CW1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1" s="43" t="str">
        <f aca="false">IF(Tasks[[#This Row],[_Pred1Text]]="","",TRIM(MID(SUBSTITUTE(SUBSTITUTE(SUBSTITUTE(UPPER(Tasks[[#This Row],[_Predecessors]]),";",",")," ",""),",",REPT(" ",99)),100,99)))</f>
        <v/>
      </c>
      <c r="CZ131" s="43" t="str">
        <f aca="false">IF(Tasks[[#This Row],[_Pred2Text]]="","",IFERROR(VALUE(LEFT(Tasks[[#This Row],[_Pred2Text]],MIN(FIND("F",Tasks[[#This Row],[_Pred2Text]]&amp;"F"),FIND("S",Tasks[[#This Row],[_Pred2Text]]&amp;"S"),FIND("+",Tasks[[#This Row],[_Pred2Text]]&amp;"+"),FIND("-",Tasks[[#This Row],[_Pred2Text]]&amp;"-"))-1)),""))</f>
        <v/>
      </c>
      <c r="DA1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1" s="43" t="str">
        <f aca="false">IF(Tasks[[#This Row],[_Pred2Text]]="","",TRIM(MID(SUBSTITUTE(SUBSTITUTE(SUBSTITUTE(UPPER(Tasks[[#This Row],[_Predecessors]]),";",",")," ",""),",",REPT(" ",99)),199,99)))</f>
        <v/>
      </c>
      <c r="DD131" s="43" t="str">
        <f aca="false">IF(Tasks[[#This Row],[_Pred3Text]]="","",IFERROR(VALUE(LEFT(Tasks[[#This Row],[_Pred3Text]],MIN(FIND("F",Tasks[[#This Row],[_Pred3Text]]&amp;"F"),FIND("S",Tasks[[#This Row],[_Pred3Text]]&amp;"S"),FIND("+",Tasks[[#This Row],[_Pred3Text]]&amp;"+"),FIND("-",Tasks[[#This Row],[_Pred3Text]]&amp;"-"))-1)),""))</f>
        <v/>
      </c>
      <c r="DE1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1" s="43" t="str">
        <f aca="false">IF(Tasks[[#This Row],[_Pred3Text]]="","",TRIM(MID(SUBSTITUTE(SUBSTITUTE(SUBSTITUTE(UPPER(Tasks[[#This Row],[_Predecessors]]),";",",")," ",""),",",REPT(" ",99)),298,99)))</f>
        <v/>
      </c>
      <c r="DH131" s="43" t="str">
        <f aca="false">IF(Tasks[[#This Row],[_Pred4Text]]="","",IFERROR(VALUE(LEFT(Tasks[[#This Row],[_Pred4Text]],MIN(FIND("F",Tasks[[#This Row],[_Pred4Text]]&amp;"F"),FIND("S",Tasks[[#This Row],[_Pred4Text]]&amp;"S"),FIND("+",Tasks[[#This Row],[_Pred4Text]]&amp;"+"),FIND("-",Tasks[[#This Row],[_Pred4Text]]&amp;"-"))-1)),""))</f>
        <v/>
      </c>
      <c r="DI1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1" s="43" t="str">
        <f aca="false">IF(OR(Tasks[[#This Row],[Task Name]]="",Tasks[[#This Row],[_Resources]]=""),"",TRIM(MID(SUBSTITUTE(Tasks[[#This Row],[_Resources]],",",REPT(" ",99)),1,99)))</f>
        <v/>
      </c>
      <c r="DL131" s="43" t="str">
        <f aca="false">IF(Tasks[[#This Row],[_Res1Text]]="","",TRIM(MID(SUBSTITUTE(Tasks[[#This Row],[_Resources]],",",REPT(" ",99)),100,99)))</f>
        <v/>
      </c>
      <c r="DM131" s="43" t="str">
        <f aca="false">IF(Tasks[[#This Row],[_Res2Text]]="","",TRIM(MID(SUBSTITUTE(Tasks[[#This Row],[_Resources]],",",REPT(" ",99)),199,99)))</f>
        <v/>
      </c>
      <c r="DN131" s="43" t="str">
        <f aca="false">IF(Tasks[[#This Row],[_Res3Text]]="","",TRIM(MID(SUBSTITUTE(Tasks[[#This Row],[_Resources]],",",REPT(" ",99)),298,99)))</f>
        <v/>
      </c>
      <c r="DO131" s="43" t="n">
        <f aca="false">IF(Tasks[[#This Row],[_Res1Text]]="",0,IFERROR(MATCH(TRIM(LEFT(Tasks[[#This Row],[_Res1Text]],FIND("[",Tasks[[#This Row],[_Res1Text]]&amp;"[")-1)),res_Name,0),IFERROR(MATCH(TRIM(LEFT(Tasks[[#This Row],[_Res1Text]],FIND("[",Tasks[[#This Row],[_Res1Text]]&amp;"[")-1)),res_Initials,0),0)))</f>
        <v>0</v>
      </c>
      <c r="DP131" s="43" t="n">
        <f aca="false">IF(Tasks[[#This Row],[_Res2Text]]="",0,IFERROR(MATCH(TRIM(LEFT(Tasks[[#This Row],[_Res2Text]],FIND("[",Tasks[[#This Row],[_Res2Text]]&amp;"[")-1)),res_Name,0),IFERROR(MATCH(TRIM(LEFT(Tasks[[#This Row],[_Res2Text]],FIND("[",Tasks[[#This Row],[_Res2Text]]&amp;"[")-1)),res_Initials,0),0)))</f>
        <v>0</v>
      </c>
      <c r="DQ131" s="43" t="n">
        <f aca="false">IF(Tasks[[#This Row],[_Res3Text]]="",0,IFERROR(MATCH(TRIM(LEFT(Tasks[[#This Row],[_Res3Text]],FIND("[",Tasks[[#This Row],[_Res3Text]]&amp;"[")-1)),res_Name,0),IFERROR(MATCH(TRIM(LEFT(Tasks[[#This Row],[_Res3Text]],FIND("[",Tasks[[#This Row],[_Res3Text]]&amp;"[")-1)),res_Initials,0),0)))</f>
        <v>0</v>
      </c>
      <c r="DR131" s="43" t="n">
        <f aca="false">IF(Tasks[[#This Row],[_Res4Text]]="",0,IFERROR(MATCH(TRIM(LEFT(Tasks[[#This Row],[_Res4Text]],FIND("[",Tasks[[#This Row],[_Res4Text]]&amp;"[")-1)),res_Name,0),IFERROR(MATCH(TRIM(LEFT(Tasks[[#This Row],[_Res4Text]],FIND("[",Tasks[[#This Row],[_Res4Text]]&amp;"[")-1)),res_Initials,0),0)))</f>
        <v>0</v>
      </c>
      <c r="DS131" s="43" t="str">
        <f aca="false">IF(Tasks[[#This Row],[_Res1Text]]="","",IF(Tasks[[#This Row],[_Res1Row]]&gt;0,INDEX(res_Name,Tasks[[#This Row],[_Res1Row]]),TRIM(LEFT(Tasks[[#This Row],[_Res1Text]],FIND("[",Tasks[[#This Row],[_Res1Text]]&amp;"[")-1))))</f>
        <v/>
      </c>
      <c r="DT13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1" s="43" t="n">
        <f aca="false">IF(NOT(Tasks[[#This Row],[_IsLeaf]]=1),0,(Tasks[[#This Row],[_Resource1]]&lt;&gt;"")+(Tasks[[#This Row],[_Res2]]&lt;&gt;"")+(Tasks[[#This Row],[_Res3]]&lt;&gt;"")+(Tasks[[#This Row],[_Res4]]&lt;&gt;""))</f>
        <v>0</v>
      </c>
      <c r="DV131" s="43" t="str">
        <f aca="false">IF(Tasks[[#This Row],[_Res2Text]]="","",IF(Tasks[[#This Row],[_Res2Row]]&gt;0,INDEX(res_Name,Tasks[[#This Row],[_Res2Row]]),TRIM(LEFT(Tasks[[#This Row],[_Res2Text]],FIND("[",Tasks[[#This Row],[_Res2Text]]&amp;"[")-1))))</f>
        <v/>
      </c>
      <c r="DW1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1" s="43" t="n">
        <f aca="false">IF(OR(NOT(Tasks[[#This Row],[_IsLeaf]]=1),Tasks[[#This Row],[_Res2Row]]=0),0,N(Tasks[[#This Row],[_Days]])*HoursPerDay*IF(Tasks[[#This Row],[_Res2Units]]="",DefaultUnits,Tasks[[#This Row],[_Res2Units]]))</f>
        <v>0</v>
      </c>
      <c r="DY131" s="43" t="n">
        <f aca="false">IF(AND(AND(Tasks[[#This Row],[_IsLeaf]]=1,Tasks[[#This Row],[_LeafTotalWork]]&gt;0),Tasks[[#This Row],[_Res2Work]]&gt;0),Tasks[[#This Row],[_Res2Work]]/(Tasks[[#This Row],[_FinishWorkday]]-Tasks[[#This Row],[_StartWorkday]]+1),0)</f>
        <v>0</v>
      </c>
      <c r="DZ131" s="43" t="n">
        <f aca="false">Tasks[[#This Row],[_Res2WorkPerWD]]*MAX(0,Tasks[[#This Row],[_StartWorkday]]-1)</f>
        <v>0</v>
      </c>
      <c r="EA131" s="43" t="n">
        <f aca="false">Tasks[[#This Row],[_Res2Work]]*Tasks[[#This Row],[_LeafProgress]]</f>
        <v>0</v>
      </c>
      <c r="EB131" s="43" t="str">
        <f aca="false">IF(Tasks[[#This Row],[_Res3Text]]="","",IF(Tasks[[#This Row],[_Res3Row]]&gt;0,INDEX(res_Name,Tasks[[#This Row],[_Res3Row]]),TRIM(LEFT(Tasks[[#This Row],[_Res3Text]],FIND("[",Tasks[[#This Row],[_Res3Text]]&amp;"[")-1))))</f>
        <v/>
      </c>
      <c r="EC1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1" s="43" t="n">
        <f aca="false">IF(OR(NOT(Tasks[[#This Row],[_IsLeaf]]=1),Tasks[[#This Row],[_Res3Row]]=0),0,N(Tasks[[#This Row],[_Days]])*HoursPerDay*IF(Tasks[[#This Row],[_Res3Units]]="",DefaultUnits,Tasks[[#This Row],[_Res3Units]]))</f>
        <v>0</v>
      </c>
      <c r="EE131" s="43" t="n">
        <f aca="false">IF(AND(AND(Tasks[[#This Row],[_IsLeaf]]=1,Tasks[[#This Row],[_LeafTotalWork]]&gt;0),Tasks[[#This Row],[_Res3Work]]&gt;0),Tasks[[#This Row],[_Res3Work]]/(Tasks[[#This Row],[_FinishWorkday]]-Tasks[[#This Row],[_StartWorkday]]+1),0)</f>
        <v>0</v>
      </c>
      <c r="EF131" s="43" t="n">
        <f aca="false">Tasks[[#This Row],[_Res3WorkPerWD]]*MAX(0,Tasks[[#This Row],[_StartWorkday]]-1)</f>
        <v>0</v>
      </c>
      <c r="EG131" s="43" t="n">
        <f aca="false">Tasks[[#This Row],[_Res3Work]]*Tasks[[#This Row],[_LeafProgress]]</f>
        <v>0</v>
      </c>
      <c r="EH131" s="43" t="str">
        <f aca="false">IF(Tasks[[#This Row],[_Res4Text]]="","",IF(Tasks[[#This Row],[_Res4Row]]&gt;0,INDEX(res_Name,Tasks[[#This Row],[_Res4Row]]),TRIM(LEFT(Tasks[[#This Row],[_Res4Text]],FIND("[",Tasks[[#This Row],[_Res4Text]]&amp;"[")-1))))</f>
        <v/>
      </c>
      <c r="EI1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1" s="43" t="n">
        <f aca="false">IF(OR(NOT(Tasks[[#This Row],[_IsLeaf]]=1),Tasks[[#This Row],[_Res4Row]]=0),0,N(Tasks[[#This Row],[_Days]])*HoursPerDay*IF(Tasks[[#This Row],[_Res4Units]]="",DefaultUnits,Tasks[[#This Row],[_Res4Units]]))</f>
        <v>0</v>
      </c>
      <c r="EK131" s="43" t="n">
        <f aca="false">IF(AND(AND(Tasks[[#This Row],[_IsLeaf]]=1,Tasks[[#This Row],[_LeafTotalWork]]&gt;0),Tasks[[#This Row],[_Res4Work]]&gt;0),Tasks[[#This Row],[_Res4Work]]/(Tasks[[#This Row],[_FinishWorkday]]-Tasks[[#This Row],[_StartWorkday]]+1),0)</f>
        <v>0</v>
      </c>
      <c r="EL131" s="43" t="n">
        <f aca="false">Tasks[[#This Row],[_Res4WorkPerWD]]*MAX(0,Tasks[[#This Row],[_StartWorkday]]-1)</f>
        <v>0</v>
      </c>
      <c r="EM131" s="43" t="n">
        <f aca="false">Tasks[[#This Row],[_Res4Work]]*Tasks[[#This Row],[_LeafProgress]]</f>
        <v>0</v>
      </c>
      <c r="EN131" s="43" t="n">
        <f aca="false">IF(ISNUMBER(Tasks[[#This Row],[% Complete]]),Tasks[[#This Row],[% Complete]],IF(Tasks[[#This Row],[Stage]]="",0,IFERROR(INDEX(stg_Pct,MATCH(Tasks[[#This Row],[Stage]],stg_Name,0)),0)))</f>
        <v>0</v>
      </c>
      <c r="EO131" s="43" t="n">
        <f aca="false">IF(NOT(Tasks[[#This Row],[_IsLeaf]]=1),0,IF(N(Tasks[[#This Row],[Actual Finish]])&gt;0,1,MIN(1,Tasks[[#This Row],[_Pct]])))</f>
        <v>0</v>
      </c>
      <c r="EP131" s="43" t="n">
        <f aca="false">IF(OR(NOT(Tasks[[#This Row],[_IsLeaf]]=1),Tasks[[#This Row],[_Res1Row]]=0),0,N(Tasks[[#This Row],[_Days]])*HoursPerDay*IF(Tasks[[#This Row],[_Units1]]="",DefaultUnits,Tasks[[#This Row],[_Units1]]))</f>
        <v>0</v>
      </c>
      <c r="EQ131" s="43" t="n">
        <f aca="false">Tasks[[#This Row],[_LeafWork]]+Tasks[[#This Row],[_Res2Work]]+Tasks[[#This Row],[_Res3Work]]+Tasks[[#This Row],[_Res4Work]]</f>
        <v>0</v>
      </c>
      <c r="ER13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1" s="43" t="n">
        <f aca="false">IF(NOT(Tasks[[#This Row],[_IsLeaf]]=1),0,MAX(_xlfn.MAXIFS(Tasks[_Row],Tasks[_Pred1UID],Tasks[[#This Row],[UID]]),_xlfn.MAXIFS(Tasks[_Row],Tasks[_Pred2UID],Tasks[[#This Row],[UID]]),_xlfn.MAXIFS(Tasks[_Row],Tasks[_Pred3UID],Tasks[[#This Row],[UID]]),_xlfn.MAXIFS(Tasks[_Row],Tasks[_Pred4UID],Tasks[[#This Row],[UID]])))</f>
        <v>0</v>
      </c>
      <c r="FA13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1" s="91" t="str">
        <f aca="false">IF(NOT(Tasks[[#This Row],[_IsLeaf]]=1),"",IF(N(Tasks[[#This Row],[_Days]])&lt;=0,Tasks[[#This Row],[_LeafLateFinish]],WORKDAY.INTL(Tasks[[#This Row],[_LeafLateFinish]],-(Tasks[[#This Row],[_Days]]-1),WorkWeek,Holidays)))</f>
        <v/>
      </c>
      <c r="FD13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1" s="90" t="b">
        <f aca="false">AND(Tasks[[#This Row],[_IsLeaf]]=1,Tasks[[#This Row],[_LeafProgress]]&lt;1,N(Tasks[[#This Row],[_LeafTotalSlack]])&lt;=CriticalSlackDays)</f>
        <v>0</v>
      </c>
      <c r="FF131" s="43" t="n">
        <f aca="false">IF(AND(Tasks[[#This Row],[_IsLeaf]]=1,Tasks[[#This Row],[_ConstraintCode]]=1,Tasks[[#This Row],[Mode]]&lt;&gt;"Manual",N(Tasks[[#This Row],[Actual Start]])=0),MAX(0,N(Tasks[[#This Row],[Free Slack]])),0)</f>
        <v>0</v>
      </c>
      <c r="FG131" s="91" t="str">
        <f aca="false">IF(NOT(Tasks[[#This Row],[_IsLeaf]]=1),"",IF(Tasks[[#This Row],[_AlapShift]]=0,Tasks[[#This Row],[_LeafCalcStart]],WORKDAY.INTL(Tasks[[#This Row],[_LeafCalcStart]],Tasks[[#This Row],[_AlapShift]],WorkWeek,Holidays)))</f>
        <v/>
      </c>
      <c r="FH131" s="91" t="str">
        <f aca="false">IF(NOT(Tasks[[#This Row],[_IsLeaf]]=1),"",IF(Tasks[[#This Row],[_AlapShift]]=0,Tasks[[#This Row],[_LeafCalcFinish]],WORKDAY.INTL(Tasks[[#This Row],[_LeafCalcFinish]],Tasks[[#This Row],[_AlapShift]],WorkWeek,Holidays)))</f>
        <v/>
      </c>
      <c r="FI131" s="91" t="str">
        <f aca="false">IF(NOT(Tasks[[#This Row],[_IsLeaf]]=1),"",IF(Tasks[[#This Row],[_AlapShift]]=0,Tasks[[#This Row],[_LeafFcstStart]],WORKDAY.INTL(Tasks[[#This Row],[_LeafFcstStart]],Tasks[[#This Row],[_AlapShift]],WorkWeek,Holidays)))</f>
        <v/>
      </c>
      <c r="FJ131" s="91" t="str">
        <f aca="false">IF(NOT(Tasks[[#This Row],[_IsLeaf]]=1),"",IF(Tasks[[#This Row],[_AlapShift]]=0,Tasks[[#This Row],[_LeafFcstFinish]],WORKDAY.INTL(Tasks[[#This Row],[_LeafFcstFinish]],Tasks[[#This Row],[_AlapShift]],WorkWeek,Holidays)))</f>
        <v/>
      </c>
      <c r="FK131" s="91" t="str">
        <f aca="false">IF(Tasks[[#This Row],[Task Name]]="","",IF(Tasks[[#This Row],[_IsSummary]],MIN(INDEX(Tasks[_ShownCalcStart],Tasks[[#This Row],[_Row]]+1):INDEX(Tasks[_ShownCalcStart],Tasks[[#This Row],[_Row]]+Tasks[[#This Row],[_Descendants]])),Tasks[[#This Row],[_ShownCalcStart]]))</f>
        <v/>
      </c>
      <c r="FL131" s="91" t="str">
        <f aca="false">IF(Tasks[[#This Row],[Task Name]]="","",IF(Tasks[[#This Row],[_IsSummary]],MAX(INDEX(Tasks[_ShownCalcFinish],Tasks[[#This Row],[_Row]]+1):INDEX(Tasks[_ShownCalcFinish],Tasks[[#This Row],[_Row]]+Tasks[[#This Row],[_Descendants]])),Tasks[[#This Row],[_ShownCalcFinish]]))</f>
        <v/>
      </c>
      <c r="FM1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1" s="43" t="n">
        <f aca="false">IF(AND(Tasks[[#This Row],[_IsLeaf]]=1,Tasks[[#This Row],[_LeafTotalWork]]&gt;0),NETWORKDAYS.INTL(ProjectStart,Tasks[[#This Row],[_ShownFcstStart]],WorkWeek,Holidays),0)</f>
        <v>0</v>
      </c>
      <c r="FZ131" s="43" t="n">
        <f aca="false">IF(AND(Tasks[[#This Row],[_IsLeaf]]=1,Tasks[[#This Row],[_LeafTotalWork]]&gt;0),MAX(Tasks[[#This Row],[_StartWorkday]],NETWORKDAYS.INTL(ProjectStart,Tasks[[#This Row],[_ShownFcstFinish]],WorkWeek,Holidays)),0)</f>
        <v>0</v>
      </c>
      <c r="GA131" s="43" t="n">
        <f aca="false">IF(AND(Tasks[[#This Row],[_IsLeaf]]=1,Tasks[[#This Row],[_LeafTotalWork]]&gt;0),Tasks[[#This Row],[_LeafWork]]/(Tasks[[#This Row],[_FinishWorkday]]-Tasks[[#This Row],[_StartWorkday]]+1),0)</f>
        <v>0</v>
      </c>
      <c r="GB131" s="43" t="n">
        <f aca="false">Tasks[[#This Row],[_WorkPerWorkday]]*(Tasks[[#This Row],[_StartWorkday]]-1)</f>
        <v>-0</v>
      </c>
      <c r="GC131" s="43" t="n">
        <f aca="false">IF(Tasks[[#This Row],[_IsLeaf]]=1,MAX(N(Tasks[[#This Row],[_Days]]),0.1),0)</f>
        <v>0</v>
      </c>
      <c r="GD131" s="43" t="n">
        <f aca="false">Tasks[[#This Row],[_WeightDur]]*Tasks[[#This Row],[_LeafProgress]]</f>
        <v>0</v>
      </c>
      <c r="GE131" s="43" t="n">
        <f aca="false">Tasks[[#This Row],[_WeightDur]]*Tasks[[#This Row],[_PlannedPct]]</f>
        <v>0</v>
      </c>
      <c r="GF1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1" s="43" t="str">
        <f aca="false">IF(AND(Tasks[[#This Row],[_IsLeaf]]=1,N(Tasks[[#This Row],[_Days]])=0,Tasks[[#This Row],[_LeafProgress]]&lt;1),Tasks[[#This Row],[_ShownFcstFinish]]+Tasks[[#This Row],[_Row]]/100000,"")</f>
        <v/>
      </c>
      <c r="GH1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1" s="43" t="str">
        <f aca="false">IF(Tasks[[#This Row],[Task Name]]="","",LEFT(Tasks[[#This Row],[WBS]],FIND(".",Tasks[[#This Row],[WBS]]&amp;".")-1))</f>
        <v/>
      </c>
      <c r="GJ131" s="43" t="str">
        <f aca="false">IF(AND(Tasks[[#This Row],[Task Name]]&lt;&gt;"",Tasks[[#This Row],[_Level]]=1),Tasks[[#This Row],[_Row]],"")</f>
        <v/>
      </c>
      <c r="GK131" s="43" t="str">
        <f aca="false">IF(AND(Tasks[[#This Row],[_IsLeaf]]=1,N(Tasks[[#This Row],[_Days]])=0),Tasks[[#This Row],[Planned Finish]]+Tasks[[#This Row],[_Row]]/100000,"")</f>
        <v/>
      </c>
      <c r="GL131" s="43" t="str">
        <f aca="false">IF(AND(Tasks[[#This Row],[_IsLeaf]]=1,Tasks[[#This Row],[_LeafProgress]]&lt;1,OR(N(Tasks[[#This Row],[Finish Var]])&gt;0,Tasks[[#This Row],[Status]]="Late Start")),MAX(0,Tasks[[#This Row],[Finish Var]])+1-Tasks[[#This Row],[_Row]]/1000000,"")</f>
        <v/>
      </c>
      <c r="GM131" s="43" t="str">
        <f aca="false">IF(AND(Tasks[[#This Row],[_IsLeaf]]=1,N(Tasks[[#This Row],[Actual Start]])=0,Tasks[[#This Row],[_ShownFcstStart]]&gt;=StatusDate,Tasks[[#This Row],[_ShownFcstStart]]&lt;=LookaheadEnd),Tasks[[#This Row],[_ShownFcstStart]]+Tasks[[#This Row],[_Row]]/100000,"")</f>
        <v/>
      </c>
      <c r="GN131" s="43" t="str">
        <f aca="false">IF(AND(Tasks[[#This Row],[_IsLeaf]]=1,Tasks[[#This Row],[_LeafProgress]]&lt;1,Tasks[[#This Row],[_ShownFcstFinish]]&gt;=StatusDate,Tasks[[#This Row],[_ShownFcstFinish]]&lt;=LookaheadEnd),Tasks[[#This Row],[_ShownFcstFinish]]+Tasks[[#This Row],[_Row]]/100000,"")</f>
        <v/>
      </c>
      <c r="GO131" s="43" t="str">
        <f aca="false">IF(Tasks[[#This Row],[_LeafCritical]],Tasks[[#This Row],[_ShownFcstStart]]+Tasks[[#This Row],[_Row]]/100000,"")</f>
        <v/>
      </c>
      <c r="GP131" s="43" t="n">
        <f aca="false">Tasks[[#This Row],[_LeafWork]]*Tasks[[#This Row],[_LeafProgress]]</f>
        <v>0</v>
      </c>
      <c r="GQ131" s="91" t="str">
        <f aca="false">IF(AND(Tasks[[#This Row],[_IsLeaf]]=1,Tasks[[#This Row],[_LeafProgress]]&gt;=1),IF(N(Tasks[[#This Row],[Actual Finish]])&gt;0,Tasks[[#This Row],[Actual Finish]],Tasks[[#This Row],[_ShownFcstFinish]]),"")</f>
        <v/>
      </c>
      <c r="GR131" s="43" t="n">
        <f aca="false">IF(Tasks[[#This Row],[_IsLeaf]]=1,N(Tasks[[#This Row],[Story Points]]),0)</f>
        <v>0</v>
      </c>
      <c r="GS131" s="43" t="str">
        <f aca="false">""</f>
        <v/>
      </c>
      <c r="GT131" s="90" t="b">
        <f aca="false">IF(Tasks[[#This Row],[Task Name]]="",FALSE(),AND(Tasks[[#This Row],[_IsLeaf]]=1,N(Tasks[[#This Row],[_Days]])=0))</f>
        <v>0</v>
      </c>
      <c r="GU131" s="91" t="n">
        <f aca="false">IF(Tasks[[#This Row],[Task Name]]="",0,IF(AND(Tasks[[#This Row],[_IsLeaf]]=1,NOT(Tasks[[#This Row],[_IsMilestone]]),N(Tasks[[#This Row],[Progress]])&gt;0),Tasks[[#This Row],[Start]],0))</f>
        <v>0</v>
      </c>
      <c r="GV131" s="91" t="n">
        <f aca="false">IF(Tasks[[#This Row],[_DoneFrom]]=0,0,IF(Tasks[[#This Row],[Progress]]&gt;=1,Tasks[[#This Row],[Finish]],MAX(Tasks[[#This Row],[_DoneFrom]],Tasks[[#This Row],[Start]]+ROUND((Tasks[[#This Row],[Finish]]-Tasks[[#This Row],[Start]]+1)*Tasks[[#This Row],[Progress]],0)-1)))</f>
        <v>0</v>
      </c>
      <c r="GW131" s="91" t="n">
        <f aca="false">IF(Tasks[[#This Row],[Task Name]]="",0,IF(OR(NOT(Tasks[[#This Row],[_IsLeaf]]=1),Tasks[[#This Row],[_IsMilestone]],N(Tasks[[#This Row],[Progress]])&gt;=1),0,IF(Tasks[[#This Row],[_DoneTo]]&gt;0,Tasks[[#This Row],[_DoneTo]]+1,Tasks[[#This Row],[Start]])))</f>
        <v>0</v>
      </c>
      <c r="GX131" s="91" t="n">
        <f aca="false">IF(Tasks[[#This Row],[_RemFrom]]=0,0,Tasks[[#This Row],[Finish]])</f>
        <v>0</v>
      </c>
      <c r="GY131" s="90" t="b">
        <f aca="false">IF(Tasks[[#This Row],[Task Name]]="",FALSE(),OR(NOT(BaselineSet),N(Tasks[[#This Row],[Baseline Start]])&gt;0))</f>
        <v>0</v>
      </c>
      <c r="GZ13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1" s="92" t="str">
        <f aca="false">IF(Tasks[[#This Row],[_IsLeaf]]=1,Tasks[[#This Row],[_Row]],"")</f>
        <v/>
      </c>
      <c r="HD131" s="92" t="str">
        <f aca="false">IFERROR(INDEX(Tasks[UID],SMALL(Tasks[_PickKey],Tasks[[#This Row],[_Row]]))&amp;" "&amp;INDEX(Tasks[Task Name],SMALL(Tasks[_PickKey],Tasks[[#This Row],[_Row]])),"")</f>
        <v/>
      </c>
      <c r="HE131" s="43" t="str">
        <f aca="false">IF(Tasks[[#This Row],[Task Name]]="","",IF(Tasks[[#This Row],[_IsSummary]],NETWORKDAYS.INTL(Tasks[[#This Row],[Start]],Tasks[[#This Row],[Finish]],WorkWeek,Holidays),N(Tasks[[#This Row],[_Days]])))</f>
        <v/>
      </c>
      <c r="HF131" s="43" t="n">
        <f aca="false">IF(Tasks[[#This Row],[Expected]]="",0,((Tasks[[#This Row],[Pessimistic]]-Tasks[[#This Row],[Optimistic]])/6)^2)</f>
        <v>0</v>
      </c>
      <c r="HG131" s="43" t="n">
        <f aca="false">IF(Tasks[[#This Row],[Expected]]="",0,Tasks[[#This Row],[Expected]]-N(Tasks[[#This Row],[_Days]]))</f>
        <v>0</v>
      </c>
    </row>
    <row r="132" customFormat="false" ht="15" hidden="false" customHeight="false" outlineLevel="0" collapsed="false">
      <c r="A132" s="21" t="str">
        <f aca="false">IF(Tasks[[#This Row],[Task Name]]="","",COUNTA(Tasks[[#Headers],[Task Name]]:Tasks[[#This Row],[Task Name]])-1)</f>
        <v/>
      </c>
      <c r="B132" s="22" t="n">
        <v>140</v>
      </c>
      <c r="C132" s="22"/>
      <c r="D132" s="23"/>
      <c r="E132" s="22"/>
      <c r="F132" s="23"/>
      <c r="G132" s="22"/>
      <c r="H132" s="22"/>
      <c r="I132" s="23"/>
      <c r="J132" s="22"/>
      <c r="K132" s="22"/>
      <c r="L132" s="23"/>
      <c r="M132" s="22"/>
      <c r="N132" s="22"/>
      <c r="O132" s="23"/>
      <c r="P132" s="22"/>
      <c r="Q132" s="22"/>
      <c r="R132" s="23"/>
      <c r="S132" s="23"/>
      <c r="T132" s="84"/>
      <c r="U132" s="23"/>
      <c r="V132" s="84"/>
      <c r="W132" s="23"/>
      <c r="X132" s="84"/>
      <c r="Y132" s="23"/>
      <c r="Z132" s="84"/>
      <c r="AA132" s="23"/>
      <c r="AB132" s="23"/>
      <c r="AC132" s="7"/>
      <c r="AD132" s="7"/>
      <c r="AE132" s="63" t="str">
        <f aca="false">IF(Tasks[[#This Row],[Task Name]]="","",IF(Tasks[[#This Row],[_IsSummary]],MIN(INDEX(Tasks[_ShownFcstStart],Tasks[[#This Row],[_Row]]+1):INDEX(Tasks[_ShownFcstStart],Tasks[[#This Row],[_Row]]+Tasks[[#This Row],[_Descendants]])),Tasks[[#This Row],[_ShownFcstStart]]))</f>
        <v/>
      </c>
      <c r="AF132" s="63" t="str">
        <f aca="false">IF(Tasks[[#This Row],[Task Name]]="","",IF(Tasks[[#This Row],[_IsSummary]],MAX(INDEX(Tasks[_ShownFcstFinish],Tasks[[#This Row],[_Row]]+1):INDEX(Tasks[_ShownFcstFinish],Tasks[[#This Row],[_Row]]+Tasks[[#This Row],[_Descendants]])),Tasks[[#This Row],[_ShownFcstFinish]]))</f>
        <v/>
      </c>
      <c r="AG132" s="21" t="str">
        <f aca="false">""</f>
        <v/>
      </c>
      <c r="AH132" s="23"/>
      <c r="AI1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2" s="7"/>
      <c r="AK132" s="22"/>
      <c r="AL132" s="23"/>
      <c r="AM132" s="7"/>
      <c r="AN132" s="47" t="str">
        <f aca="false">IF(Tasks[[#This Row],[Task Name]]="","",IF(Tasks[[#This Row],[Finish]]&gt;=Tasks[[#This Row],[Planned Finish]],NETWORKDAYS.INTL(Tasks[[#This Row],[Planned Finish]],Tasks[[#This Row],[Finish]],WorkWeek,Holidays)-1,1-NETWORKDAYS.INTL(Tasks[[#This Row],[Finish]],Tasks[[#This Row],[Planned Finish]],WorkWeek,Holidays)))</f>
        <v/>
      </c>
      <c r="AO132" s="21" t="str">
        <f aca="false">IF(Tasks[[#This Row],[Task Name]]="","",IF(Tasks[[#This Row],[Progress]]&gt;=1,"Complete",IF(OR(N(Tasks[[#This Row],[Actual Start]])&gt;0,Tasks[[#This Row],[Progress]]&gt;0),IF(Tasks[[#This Row],[Finish Var]]&gt;0,"Behind","In Progress"),IF(Tasks[[#This Row],[Planned Start]]&lt;StatusDate,"Late Start","Not Started"))))</f>
        <v/>
      </c>
      <c r="AP132" s="21" t="str">
        <f aca="false">IF(Tasks[[#This Row],[Task Name]]="","",IF(IF(Tasks[[#This Row],[_IsSummary]],COUNTIF(INDEX(Tasks[_LeafCritical],Tasks[[#This Row],[_Row]]+1):INDEX(Tasks[_LeafCritical],Tasks[[#This Row],[_Row]]+Tasks[[#This Row],[_Descendants]]),TRUE())&gt;0,Tasks[[#This Row],[_LeafCritical]]),"Yes",""))</f>
        <v/>
      </c>
      <c r="AQ132" s="63" t="str">
        <f aca="false">IF(Tasks[[#This Row],[Task Name]]="","",IF(N(Tasks[[#This Row],[Baseline Start]])&gt;0,Tasks[[#This Row],[Baseline Start]],Tasks[[#This Row],[_CalcStart]]))</f>
        <v/>
      </c>
      <c r="AR132" s="63" t="str">
        <f aca="false">IF(Tasks[[#This Row],[Task Name]]="","",IF(N(Tasks[[#This Row],[Baseline Finish]])&gt;0,Tasks[[#This Row],[Baseline Finish]],Tasks[[#This Row],[_CalcFinish]]))</f>
        <v/>
      </c>
      <c r="AS132" s="47" t="str">
        <f aca="false">IF(Tasks[[#This Row],[Task Name]]="","",IF(Tasks[[#This Row],[Start]]&gt;=Tasks[[#This Row],[Planned Start]],NETWORKDAYS.INTL(Tasks[[#This Row],[Planned Start]],Tasks[[#This Row],[Start]],WorkWeek,Holidays)-1,1-NETWORKDAYS.INTL(Tasks[[#This Row],[Start]],Tasks[[#This Row],[Planned Start]],WorkWeek,Holidays)))</f>
        <v/>
      </c>
      <c r="AT132" s="63" t="str">
        <f aca="false">IF(Tasks[[#This Row],[Task Name]]="","",IF(Tasks[[#This Row],[_IsSummary]],MIN(INDEX(Tasks[_LeafLateStart],Tasks[[#This Row],[_Row]]+1):INDEX(Tasks[_LeafLateStart],Tasks[[#This Row],[_Row]]+Tasks[[#This Row],[_Descendants]])),Tasks[[#This Row],[_LeafLateStart]]))</f>
        <v/>
      </c>
      <c r="AU132" s="63" t="str">
        <f aca="false">IF(Tasks[[#This Row],[Task Name]]="","",IF(Tasks[[#This Row],[_IsSummary]],MAX(INDEX(Tasks[_LeafLateFinish],Tasks[[#This Row],[_Row]]+1):INDEX(Tasks[_LeafLateFinish],Tasks[[#This Row],[_Row]]+Tasks[[#This Row],[_Descendants]])),Tasks[[#This Row],[_LeafLateFinish]]))</f>
        <v/>
      </c>
      <c r="AV132" s="47" t="str">
        <f aca="false">IF(Tasks[[#This Row],[Task Name]]="","",IF(Tasks[[#This Row],[_IsSummary]],MIN(INDEX(Tasks[_LeafTotalSlack],Tasks[[#This Row],[_Row]]+1):INDEX(Tasks[_LeafTotalSlack],Tasks[[#This Row],[_Row]]+Tasks[[#This Row],[_Descendants]])),Tasks[[#This Row],[_LeafTotalSlack]]))</f>
        <v/>
      </c>
      <c r="AW1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5"/>
      <c r="BA13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t="str">
        <f aca="false">IF(Tasks[[#This Row],[Task Name]]="","",IF(Tasks[[#This Row],[_Level]]&lt;=OutlineShowLevel,"Yes","No"))</f>
        <v/>
      </c>
      <c r="BE132" s="86" t="str">
        <f aca="false">IF(Tasks[[#This Row],[Task Name]]="","",IF(Tasks[[#This Row],[_IsSummary]],SUM(INDEX(Tasks[_LeafTotalWork],Tasks[[#This Row],[_Row]]+1):INDEX(Tasks[_LeafTotalWork],Tasks[[#This Row],[_Row]]+Tasks[[#This Row],[_Descendants]])),Tasks[[#This Row],[_LeafTotalWork]]))</f>
        <v/>
      </c>
      <c r="BF132" s="23"/>
      <c r="BG1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t="str">
        <f aca="false">""</f>
        <v/>
      </c>
      <c r="BI132" s="87"/>
      <c r="BJ132" s="22"/>
      <c r="BK132" s="47" t="str">
        <f aca="false">IF(OR(Tasks[[#This Row],[Task Name]]="",Tasks[[#This Row],[Baseline Duration]]=""),"",Tasks[[#This Row],[_SpanDays]]-N(Tasks[[#This Row],[Baseline Duration]]))</f>
        <v/>
      </c>
      <c r="BL132" s="86" t="str">
        <f aca="false">IF(OR(Tasks[[#This Row],[Task Name]]="",Tasks[[#This Row],[Baseline Work]]=""),"",Tasks[[#This Row],[Work]]-N(Tasks[[#This Row],[Baseline Work]]))</f>
        <v/>
      </c>
      <c r="BM132" s="63" t="str">
        <f aca="false">IF(Tasks[[#This Row],[Task Name]]="","",IF(OR(TakeBaseline="Yes",N(Tasks[[#This Row],[Baseline Start]])=0),Tasks[[#This Row],[Start]],Tasks[[#This Row],[Baseline Start]]))</f>
        <v/>
      </c>
      <c r="BN132" s="63" t="str">
        <f aca="false">IF(Tasks[[#This Row],[Task Name]]="","",IF(OR(TakeBaseline="Yes",N(Tasks[[#This Row],[Baseline Finish]])=0),Tasks[[#This Row],[Finish]],Tasks[[#This Row],[Baseline Finish]]))</f>
        <v/>
      </c>
      <c r="BO132" s="21" t="str">
        <f aca="false">IF(Tasks[[#This Row],[Task Name]]="","",IF(OR(TakeBaseline="Yes",N(Tasks[[#This Row],[Baseline Duration]])=0),Tasks[[#This Row],[_SpanDays]],Tasks[[#This Row],[Baseline Duration]]))</f>
        <v/>
      </c>
      <c r="BP132" s="86" t="str">
        <f aca="false">IF(Tasks[[#This Row],[Task Name]]="","",IF(OR(TakeBaseline="Yes",N(Tasks[[#This Row],[Baseline Work]])=0),Tasks[[#This Row],[Work]],Tasks[[#This Row],[Baseline Work]]))</f>
        <v/>
      </c>
      <c r="BQ132" s="7"/>
      <c r="BR132" s="7"/>
      <c r="BS132" s="22"/>
      <c r="BT132" s="88"/>
      <c r="BU132" s="23"/>
      <c r="BV132" s="23"/>
      <c r="BW132" s="23"/>
      <c r="BX132" s="89" t="str">
        <f aca="false">IF(AND(Tasks[[#This Row],[_IsLeaf]]=1,ISNUMBER(Tasks[[#This Row],[Optimistic]]),ISNUMBER(Tasks[[#This Row],[Pessimistic]])),ROUND((Tasks[[#This Row],[Optimistic]]+4*N(Tasks[[#This Row],[_Days]])+Tasks[[#This Row],[Pessimistic]])/6,1),"")</f>
        <v/>
      </c>
      <c r="BY132" s="87"/>
      <c r="BZ132" s="87"/>
      <c r="CA132" s="22"/>
      <c r="CB132" s="43" t="str">
        <f aca="false">IF(Tasks[[#This Row],[Task Name]]="","",MAX(1,N(Tasks[[#This Row],[Level]])))</f>
        <v/>
      </c>
      <c r="CC132" s="43" t="n">
        <f aca="false">ROW()-ROW(Tasks[[#Headers],[ID]])</f>
        <v>127</v>
      </c>
      <c r="CD132" s="43" t="n">
        <f aca="false">IF(OR(Tasks[[#This Row],[Task Name]]="",Tasks[[#This Row],[_Level]]&lt;=1),0,IFERROR(LOOKUP(2,1/(Tasks[[#Headers],[_Level]]:Tasks[[#This Row],[_Level]]=Tasks[[#This Row],[_Level]]-1),ROW(Tasks[[#Headers],[_Level]]:Tasks[[#This Row],[_Level]])),0))</f>
        <v>0</v>
      </c>
      <c r="CE132" s="43" t="n">
        <f aca="false">IFERROR(N(INDEX(Tasks[_Level],Tasks[[#This Row],[_Row]]+1)),0)</f>
        <v>0</v>
      </c>
      <c r="CF132" s="90" t="b">
        <f aca="false">AND(Tasks[[#This Row],[Task Name]]&lt;&gt;"",Tasks[[#This Row],[_NextLevel]]&gt;Tasks[[#This Row],[_Level]])</f>
        <v>0</v>
      </c>
      <c r="CG132" s="43" t="n">
        <f aca="false">IF(Tasks[[#This Row],[_IsSummary]],COUNTIF(Tasks[WBS],Tasks[[#This Row],[WBS]]&amp;".*"),0)</f>
        <v>0</v>
      </c>
      <c r="CH132" s="43" t="n">
        <f aca="false">IF(AND(Tasks[[#This Row],[Task Name]]&lt;&gt;"",NOT(Tasks[[#This Row],[_IsSummary]])),1,0)</f>
        <v>0</v>
      </c>
      <c r="CI132" s="43" t="n">
        <f aca="false">IF(N(Tasks[[#This Row],[_Pred1UID]])=0,0,IFERROR(MATCH(Tasks[[#This Row],[_Pred1UID]],Tasks[UID],0),-1))</f>
        <v>0</v>
      </c>
      <c r="CJ132" s="43" t="n">
        <f aca="false">IF(N(Tasks[[#This Row],[_Pred2UID]])=0,0,IFERROR(MATCH(Tasks[[#This Row],[_Pred2UID]],Tasks[UID],0),-1))</f>
        <v>0</v>
      </c>
      <c r="CK132" s="43" t="n">
        <f aca="false">IF(N(Tasks[[#This Row],[_Pred3UID]])=0,0,IFERROR(MATCH(Tasks[[#This Row],[_Pred3UID]],Tasks[UID],0),-1))</f>
        <v>0</v>
      </c>
      <c r="CL132" s="43" t="n">
        <f aca="false">IF(N(Tasks[[#This Row],[_Pred4UID]])=0,0,IFERROR(MATCH(Tasks[[#This Row],[_Pred4UID]],Tasks[UID],0),-1))</f>
        <v>0</v>
      </c>
      <c r="CM1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2" s="91" t="n">
        <f aca="false">IF(OR(Tasks[[#This Row],[_ConstraintCode]]=2,Tasks[[#This Row],[_ConstraintCode]]=3,Tasks[[#This Row],[_ConstraintCode]]=4,Tasks[[#This Row],[_ConstraintCode]]=6),Tasks[[#This Row],[_ConstraintStart]],0)</f>
        <v>0</v>
      </c>
      <c r="CP132" s="91" t="n">
        <f aca="false">IF(OR(Tasks[[#This Row],[_ConstraintCode]]=2,Tasks[[#This Row],[_ConstraintCode]]=3,Tasks[[#This Row],[_ConstraintCode]]=5,Tasks[[#This Row],[_ConstraintCode]]=7),Tasks[[#This Row],[_ConstraintStart]],2958465)</f>
        <v>2958465</v>
      </c>
      <c r="CQ1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2" s="91" t="str">
        <f aca="false">IF(NOT(Tasks[[#This Row],[_IsLeaf]]=1),"",IF(N(Tasks[[#This Row],[_Days]])&lt;=0,Tasks[[#This Row],[_LeafCalcStart]],WORKDAY.INTL(Tasks[[#This Row],[_LeafCalcStart]],Tasks[[#This Row],[_Days]]-1,WorkWeek,Holidays)))</f>
        <v/>
      </c>
      <c r="CS1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2" s="43" t="str">
        <f aca="false">IF(Tasks[[#This Row],[_Predecessors]]="","",TRIM(MID(SUBSTITUTE(SUBSTITUTE(SUBSTITUTE(UPPER(Tasks[[#This Row],[_Predecessors]]),";",",")," ",""),",",REPT(" ",99)),1,99)))</f>
        <v/>
      </c>
      <c r="CV132" s="43" t="str">
        <f aca="false">IF(Tasks[[#This Row],[_Pred1Text]]="","",IFERROR(VALUE(LEFT(Tasks[[#This Row],[_Pred1Text]],MIN(FIND("F",Tasks[[#This Row],[_Pred1Text]]&amp;"F"),FIND("S",Tasks[[#This Row],[_Pred1Text]]&amp;"S"),FIND("+",Tasks[[#This Row],[_Pred1Text]]&amp;"+"),FIND("-",Tasks[[#This Row],[_Pred1Text]]&amp;"-"))-1)),""))</f>
        <v/>
      </c>
      <c r="CW1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2" s="43" t="str">
        <f aca="false">IF(Tasks[[#This Row],[_Pred1Text]]="","",TRIM(MID(SUBSTITUTE(SUBSTITUTE(SUBSTITUTE(UPPER(Tasks[[#This Row],[_Predecessors]]),";",",")," ",""),",",REPT(" ",99)),100,99)))</f>
        <v/>
      </c>
      <c r="CZ132" s="43" t="str">
        <f aca="false">IF(Tasks[[#This Row],[_Pred2Text]]="","",IFERROR(VALUE(LEFT(Tasks[[#This Row],[_Pred2Text]],MIN(FIND("F",Tasks[[#This Row],[_Pred2Text]]&amp;"F"),FIND("S",Tasks[[#This Row],[_Pred2Text]]&amp;"S"),FIND("+",Tasks[[#This Row],[_Pred2Text]]&amp;"+"),FIND("-",Tasks[[#This Row],[_Pred2Text]]&amp;"-"))-1)),""))</f>
        <v/>
      </c>
      <c r="DA1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2" s="43" t="str">
        <f aca="false">IF(Tasks[[#This Row],[_Pred2Text]]="","",TRIM(MID(SUBSTITUTE(SUBSTITUTE(SUBSTITUTE(UPPER(Tasks[[#This Row],[_Predecessors]]),";",",")," ",""),",",REPT(" ",99)),199,99)))</f>
        <v/>
      </c>
      <c r="DD132" s="43" t="str">
        <f aca="false">IF(Tasks[[#This Row],[_Pred3Text]]="","",IFERROR(VALUE(LEFT(Tasks[[#This Row],[_Pred3Text]],MIN(FIND("F",Tasks[[#This Row],[_Pred3Text]]&amp;"F"),FIND("S",Tasks[[#This Row],[_Pred3Text]]&amp;"S"),FIND("+",Tasks[[#This Row],[_Pred3Text]]&amp;"+"),FIND("-",Tasks[[#This Row],[_Pred3Text]]&amp;"-"))-1)),""))</f>
        <v/>
      </c>
      <c r="DE1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2" s="43" t="str">
        <f aca="false">IF(Tasks[[#This Row],[_Pred3Text]]="","",TRIM(MID(SUBSTITUTE(SUBSTITUTE(SUBSTITUTE(UPPER(Tasks[[#This Row],[_Predecessors]]),";",",")," ",""),",",REPT(" ",99)),298,99)))</f>
        <v/>
      </c>
      <c r="DH132" s="43" t="str">
        <f aca="false">IF(Tasks[[#This Row],[_Pred4Text]]="","",IFERROR(VALUE(LEFT(Tasks[[#This Row],[_Pred4Text]],MIN(FIND("F",Tasks[[#This Row],[_Pred4Text]]&amp;"F"),FIND("S",Tasks[[#This Row],[_Pred4Text]]&amp;"S"),FIND("+",Tasks[[#This Row],[_Pred4Text]]&amp;"+"),FIND("-",Tasks[[#This Row],[_Pred4Text]]&amp;"-"))-1)),""))</f>
        <v/>
      </c>
      <c r="DI1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2" s="43" t="str">
        <f aca="false">IF(OR(Tasks[[#This Row],[Task Name]]="",Tasks[[#This Row],[_Resources]]=""),"",TRIM(MID(SUBSTITUTE(Tasks[[#This Row],[_Resources]],",",REPT(" ",99)),1,99)))</f>
        <v/>
      </c>
      <c r="DL132" s="43" t="str">
        <f aca="false">IF(Tasks[[#This Row],[_Res1Text]]="","",TRIM(MID(SUBSTITUTE(Tasks[[#This Row],[_Resources]],",",REPT(" ",99)),100,99)))</f>
        <v/>
      </c>
      <c r="DM132" s="43" t="str">
        <f aca="false">IF(Tasks[[#This Row],[_Res2Text]]="","",TRIM(MID(SUBSTITUTE(Tasks[[#This Row],[_Resources]],",",REPT(" ",99)),199,99)))</f>
        <v/>
      </c>
      <c r="DN132" s="43" t="str">
        <f aca="false">IF(Tasks[[#This Row],[_Res3Text]]="","",TRIM(MID(SUBSTITUTE(Tasks[[#This Row],[_Resources]],",",REPT(" ",99)),298,99)))</f>
        <v/>
      </c>
      <c r="DO132" s="43" t="n">
        <f aca="false">IF(Tasks[[#This Row],[_Res1Text]]="",0,IFERROR(MATCH(TRIM(LEFT(Tasks[[#This Row],[_Res1Text]],FIND("[",Tasks[[#This Row],[_Res1Text]]&amp;"[")-1)),res_Name,0),IFERROR(MATCH(TRIM(LEFT(Tasks[[#This Row],[_Res1Text]],FIND("[",Tasks[[#This Row],[_Res1Text]]&amp;"[")-1)),res_Initials,0),0)))</f>
        <v>0</v>
      </c>
      <c r="DP132" s="43" t="n">
        <f aca="false">IF(Tasks[[#This Row],[_Res2Text]]="",0,IFERROR(MATCH(TRIM(LEFT(Tasks[[#This Row],[_Res2Text]],FIND("[",Tasks[[#This Row],[_Res2Text]]&amp;"[")-1)),res_Name,0),IFERROR(MATCH(TRIM(LEFT(Tasks[[#This Row],[_Res2Text]],FIND("[",Tasks[[#This Row],[_Res2Text]]&amp;"[")-1)),res_Initials,0),0)))</f>
        <v>0</v>
      </c>
      <c r="DQ132" s="43" t="n">
        <f aca="false">IF(Tasks[[#This Row],[_Res3Text]]="",0,IFERROR(MATCH(TRIM(LEFT(Tasks[[#This Row],[_Res3Text]],FIND("[",Tasks[[#This Row],[_Res3Text]]&amp;"[")-1)),res_Name,0),IFERROR(MATCH(TRIM(LEFT(Tasks[[#This Row],[_Res3Text]],FIND("[",Tasks[[#This Row],[_Res3Text]]&amp;"[")-1)),res_Initials,0),0)))</f>
        <v>0</v>
      </c>
      <c r="DR132" s="43" t="n">
        <f aca="false">IF(Tasks[[#This Row],[_Res4Text]]="",0,IFERROR(MATCH(TRIM(LEFT(Tasks[[#This Row],[_Res4Text]],FIND("[",Tasks[[#This Row],[_Res4Text]]&amp;"[")-1)),res_Name,0),IFERROR(MATCH(TRIM(LEFT(Tasks[[#This Row],[_Res4Text]],FIND("[",Tasks[[#This Row],[_Res4Text]]&amp;"[")-1)),res_Initials,0),0)))</f>
        <v>0</v>
      </c>
      <c r="DS132" s="43" t="str">
        <f aca="false">IF(Tasks[[#This Row],[_Res1Text]]="","",IF(Tasks[[#This Row],[_Res1Row]]&gt;0,INDEX(res_Name,Tasks[[#This Row],[_Res1Row]]),TRIM(LEFT(Tasks[[#This Row],[_Res1Text]],FIND("[",Tasks[[#This Row],[_Res1Text]]&amp;"[")-1))))</f>
        <v/>
      </c>
      <c r="DT1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2" s="43" t="n">
        <f aca="false">IF(NOT(Tasks[[#This Row],[_IsLeaf]]=1),0,(Tasks[[#This Row],[_Resource1]]&lt;&gt;"")+(Tasks[[#This Row],[_Res2]]&lt;&gt;"")+(Tasks[[#This Row],[_Res3]]&lt;&gt;"")+(Tasks[[#This Row],[_Res4]]&lt;&gt;""))</f>
        <v>0</v>
      </c>
      <c r="DV132" s="43" t="str">
        <f aca="false">IF(Tasks[[#This Row],[_Res2Text]]="","",IF(Tasks[[#This Row],[_Res2Row]]&gt;0,INDEX(res_Name,Tasks[[#This Row],[_Res2Row]]),TRIM(LEFT(Tasks[[#This Row],[_Res2Text]],FIND("[",Tasks[[#This Row],[_Res2Text]]&amp;"[")-1))))</f>
        <v/>
      </c>
      <c r="DW1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2" s="43" t="n">
        <f aca="false">IF(OR(NOT(Tasks[[#This Row],[_IsLeaf]]=1),Tasks[[#This Row],[_Res2Row]]=0),0,N(Tasks[[#This Row],[_Days]])*HoursPerDay*IF(Tasks[[#This Row],[_Res2Units]]="",DefaultUnits,Tasks[[#This Row],[_Res2Units]]))</f>
        <v>0</v>
      </c>
      <c r="DY132" s="43" t="n">
        <f aca="false">IF(AND(AND(Tasks[[#This Row],[_IsLeaf]]=1,Tasks[[#This Row],[_LeafTotalWork]]&gt;0),Tasks[[#This Row],[_Res2Work]]&gt;0),Tasks[[#This Row],[_Res2Work]]/(Tasks[[#This Row],[_FinishWorkday]]-Tasks[[#This Row],[_StartWorkday]]+1),0)</f>
        <v>0</v>
      </c>
      <c r="DZ132" s="43" t="n">
        <f aca="false">Tasks[[#This Row],[_Res2WorkPerWD]]*MAX(0,Tasks[[#This Row],[_StartWorkday]]-1)</f>
        <v>0</v>
      </c>
      <c r="EA132" s="43" t="n">
        <f aca="false">Tasks[[#This Row],[_Res2Work]]*Tasks[[#This Row],[_LeafProgress]]</f>
        <v>0</v>
      </c>
      <c r="EB132" s="43" t="str">
        <f aca="false">IF(Tasks[[#This Row],[_Res3Text]]="","",IF(Tasks[[#This Row],[_Res3Row]]&gt;0,INDEX(res_Name,Tasks[[#This Row],[_Res3Row]]),TRIM(LEFT(Tasks[[#This Row],[_Res3Text]],FIND("[",Tasks[[#This Row],[_Res3Text]]&amp;"[")-1))))</f>
        <v/>
      </c>
      <c r="EC1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2" s="43" t="n">
        <f aca="false">IF(OR(NOT(Tasks[[#This Row],[_IsLeaf]]=1),Tasks[[#This Row],[_Res3Row]]=0),0,N(Tasks[[#This Row],[_Days]])*HoursPerDay*IF(Tasks[[#This Row],[_Res3Units]]="",DefaultUnits,Tasks[[#This Row],[_Res3Units]]))</f>
        <v>0</v>
      </c>
      <c r="EE132" s="43" t="n">
        <f aca="false">IF(AND(AND(Tasks[[#This Row],[_IsLeaf]]=1,Tasks[[#This Row],[_LeafTotalWork]]&gt;0),Tasks[[#This Row],[_Res3Work]]&gt;0),Tasks[[#This Row],[_Res3Work]]/(Tasks[[#This Row],[_FinishWorkday]]-Tasks[[#This Row],[_StartWorkday]]+1),0)</f>
        <v>0</v>
      </c>
      <c r="EF132" s="43" t="n">
        <f aca="false">Tasks[[#This Row],[_Res3WorkPerWD]]*MAX(0,Tasks[[#This Row],[_StartWorkday]]-1)</f>
        <v>0</v>
      </c>
      <c r="EG132" s="43" t="n">
        <f aca="false">Tasks[[#This Row],[_Res3Work]]*Tasks[[#This Row],[_LeafProgress]]</f>
        <v>0</v>
      </c>
      <c r="EH132" s="43" t="str">
        <f aca="false">IF(Tasks[[#This Row],[_Res4Text]]="","",IF(Tasks[[#This Row],[_Res4Row]]&gt;0,INDEX(res_Name,Tasks[[#This Row],[_Res4Row]]),TRIM(LEFT(Tasks[[#This Row],[_Res4Text]],FIND("[",Tasks[[#This Row],[_Res4Text]]&amp;"[")-1))))</f>
        <v/>
      </c>
      <c r="EI1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2" s="43" t="n">
        <f aca="false">IF(OR(NOT(Tasks[[#This Row],[_IsLeaf]]=1),Tasks[[#This Row],[_Res4Row]]=0),0,N(Tasks[[#This Row],[_Days]])*HoursPerDay*IF(Tasks[[#This Row],[_Res4Units]]="",DefaultUnits,Tasks[[#This Row],[_Res4Units]]))</f>
        <v>0</v>
      </c>
      <c r="EK132" s="43" t="n">
        <f aca="false">IF(AND(AND(Tasks[[#This Row],[_IsLeaf]]=1,Tasks[[#This Row],[_LeafTotalWork]]&gt;0),Tasks[[#This Row],[_Res4Work]]&gt;0),Tasks[[#This Row],[_Res4Work]]/(Tasks[[#This Row],[_FinishWorkday]]-Tasks[[#This Row],[_StartWorkday]]+1),0)</f>
        <v>0</v>
      </c>
      <c r="EL132" s="43" t="n">
        <f aca="false">Tasks[[#This Row],[_Res4WorkPerWD]]*MAX(0,Tasks[[#This Row],[_StartWorkday]]-1)</f>
        <v>0</v>
      </c>
      <c r="EM132" s="43" t="n">
        <f aca="false">Tasks[[#This Row],[_Res4Work]]*Tasks[[#This Row],[_LeafProgress]]</f>
        <v>0</v>
      </c>
      <c r="EN132" s="43" t="n">
        <f aca="false">IF(ISNUMBER(Tasks[[#This Row],[% Complete]]),Tasks[[#This Row],[% Complete]],IF(Tasks[[#This Row],[Stage]]="",0,IFERROR(INDEX(stg_Pct,MATCH(Tasks[[#This Row],[Stage]],stg_Name,0)),0)))</f>
        <v>0</v>
      </c>
      <c r="EO132" s="43" t="n">
        <f aca="false">IF(NOT(Tasks[[#This Row],[_IsLeaf]]=1),0,IF(N(Tasks[[#This Row],[Actual Finish]])&gt;0,1,MIN(1,Tasks[[#This Row],[_Pct]])))</f>
        <v>0</v>
      </c>
      <c r="EP132" s="43" t="n">
        <f aca="false">IF(OR(NOT(Tasks[[#This Row],[_IsLeaf]]=1),Tasks[[#This Row],[_Res1Row]]=0),0,N(Tasks[[#This Row],[_Days]])*HoursPerDay*IF(Tasks[[#This Row],[_Units1]]="",DefaultUnits,Tasks[[#This Row],[_Units1]]))</f>
        <v>0</v>
      </c>
      <c r="EQ132" s="43" t="n">
        <f aca="false">Tasks[[#This Row],[_LeafWork]]+Tasks[[#This Row],[_Res2Work]]+Tasks[[#This Row],[_Res3Work]]+Tasks[[#This Row],[_Res4Work]]</f>
        <v>0</v>
      </c>
      <c r="ER13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2" s="43" t="n">
        <f aca="false">IF(NOT(Tasks[[#This Row],[_IsLeaf]]=1),0,MAX(_xlfn.MAXIFS(Tasks[_Row],Tasks[_Pred1UID],Tasks[[#This Row],[UID]]),_xlfn.MAXIFS(Tasks[_Row],Tasks[_Pred2UID],Tasks[[#This Row],[UID]]),_xlfn.MAXIFS(Tasks[_Row],Tasks[_Pred3UID],Tasks[[#This Row],[UID]]),_xlfn.MAXIFS(Tasks[_Row],Tasks[_Pred4UID],Tasks[[#This Row],[UID]])))</f>
        <v>0</v>
      </c>
      <c r="FA1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2" s="91" t="str">
        <f aca="false">IF(NOT(Tasks[[#This Row],[_IsLeaf]]=1),"",IF(N(Tasks[[#This Row],[_Days]])&lt;=0,Tasks[[#This Row],[_LeafLateFinish]],WORKDAY.INTL(Tasks[[#This Row],[_LeafLateFinish]],-(Tasks[[#This Row],[_Days]]-1),WorkWeek,Holidays)))</f>
        <v/>
      </c>
      <c r="FD1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2" s="90" t="b">
        <f aca="false">AND(Tasks[[#This Row],[_IsLeaf]]=1,Tasks[[#This Row],[_LeafProgress]]&lt;1,N(Tasks[[#This Row],[_LeafTotalSlack]])&lt;=CriticalSlackDays)</f>
        <v>0</v>
      </c>
      <c r="FF132" s="43" t="n">
        <f aca="false">IF(AND(Tasks[[#This Row],[_IsLeaf]]=1,Tasks[[#This Row],[_ConstraintCode]]=1,Tasks[[#This Row],[Mode]]&lt;&gt;"Manual",N(Tasks[[#This Row],[Actual Start]])=0),MAX(0,N(Tasks[[#This Row],[Free Slack]])),0)</f>
        <v>0</v>
      </c>
      <c r="FG132" s="91" t="str">
        <f aca="false">IF(NOT(Tasks[[#This Row],[_IsLeaf]]=1),"",IF(Tasks[[#This Row],[_AlapShift]]=0,Tasks[[#This Row],[_LeafCalcStart]],WORKDAY.INTL(Tasks[[#This Row],[_LeafCalcStart]],Tasks[[#This Row],[_AlapShift]],WorkWeek,Holidays)))</f>
        <v/>
      </c>
      <c r="FH132" s="91" t="str">
        <f aca="false">IF(NOT(Tasks[[#This Row],[_IsLeaf]]=1),"",IF(Tasks[[#This Row],[_AlapShift]]=0,Tasks[[#This Row],[_LeafCalcFinish]],WORKDAY.INTL(Tasks[[#This Row],[_LeafCalcFinish]],Tasks[[#This Row],[_AlapShift]],WorkWeek,Holidays)))</f>
        <v/>
      </c>
      <c r="FI132" s="91" t="str">
        <f aca="false">IF(NOT(Tasks[[#This Row],[_IsLeaf]]=1),"",IF(Tasks[[#This Row],[_AlapShift]]=0,Tasks[[#This Row],[_LeafFcstStart]],WORKDAY.INTL(Tasks[[#This Row],[_LeafFcstStart]],Tasks[[#This Row],[_AlapShift]],WorkWeek,Holidays)))</f>
        <v/>
      </c>
      <c r="FJ132" s="91" t="str">
        <f aca="false">IF(NOT(Tasks[[#This Row],[_IsLeaf]]=1),"",IF(Tasks[[#This Row],[_AlapShift]]=0,Tasks[[#This Row],[_LeafFcstFinish]],WORKDAY.INTL(Tasks[[#This Row],[_LeafFcstFinish]],Tasks[[#This Row],[_AlapShift]],WorkWeek,Holidays)))</f>
        <v/>
      </c>
      <c r="FK132" s="91" t="str">
        <f aca="false">IF(Tasks[[#This Row],[Task Name]]="","",IF(Tasks[[#This Row],[_IsSummary]],MIN(INDEX(Tasks[_ShownCalcStart],Tasks[[#This Row],[_Row]]+1):INDEX(Tasks[_ShownCalcStart],Tasks[[#This Row],[_Row]]+Tasks[[#This Row],[_Descendants]])),Tasks[[#This Row],[_ShownCalcStart]]))</f>
        <v/>
      </c>
      <c r="FL132" s="91" t="str">
        <f aca="false">IF(Tasks[[#This Row],[Task Name]]="","",IF(Tasks[[#This Row],[_IsSummary]],MAX(INDEX(Tasks[_ShownCalcFinish],Tasks[[#This Row],[_Row]]+1):INDEX(Tasks[_ShownCalcFinish],Tasks[[#This Row],[_Row]]+Tasks[[#This Row],[_Descendants]])),Tasks[[#This Row],[_ShownCalcFinish]]))</f>
        <v/>
      </c>
      <c r="FM1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2" s="43" t="n">
        <f aca="false">IF(AND(Tasks[[#This Row],[_IsLeaf]]=1,Tasks[[#This Row],[_LeafTotalWork]]&gt;0),NETWORKDAYS.INTL(ProjectStart,Tasks[[#This Row],[_ShownFcstStart]],WorkWeek,Holidays),0)</f>
        <v>0</v>
      </c>
      <c r="FZ132" s="43" t="n">
        <f aca="false">IF(AND(Tasks[[#This Row],[_IsLeaf]]=1,Tasks[[#This Row],[_LeafTotalWork]]&gt;0),MAX(Tasks[[#This Row],[_StartWorkday]],NETWORKDAYS.INTL(ProjectStart,Tasks[[#This Row],[_ShownFcstFinish]],WorkWeek,Holidays)),0)</f>
        <v>0</v>
      </c>
      <c r="GA132" s="43" t="n">
        <f aca="false">IF(AND(Tasks[[#This Row],[_IsLeaf]]=1,Tasks[[#This Row],[_LeafTotalWork]]&gt;0),Tasks[[#This Row],[_LeafWork]]/(Tasks[[#This Row],[_FinishWorkday]]-Tasks[[#This Row],[_StartWorkday]]+1),0)</f>
        <v>0</v>
      </c>
      <c r="GB132" s="43" t="n">
        <f aca="false">Tasks[[#This Row],[_WorkPerWorkday]]*(Tasks[[#This Row],[_StartWorkday]]-1)</f>
        <v>-0</v>
      </c>
      <c r="GC132" s="43" t="n">
        <f aca="false">IF(Tasks[[#This Row],[_IsLeaf]]=1,MAX(N(Tasks[[#This Row],[_Days]]),0.1),0)</f>
        <v>0</v>
      </c>
      <c r="GD132" s="43" t="n">
        <f aca="false">Tasks[[#This Row],[_WeightDur]]*Tasks[[#This Row],[_LeafProgress]]</f>
        <v>0</v>
      </c>
      <c r="GE132" s="43" t="n">
        <f aca="false">Tasks[[#This Row],[_WeightDur]]*Tasks[[#This Row],[_PlannedPct]]</f>
        <v>0</v>
      </c>
      <c r="GF1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2" s="43" t="str">
        <f aca="false">IF(AND(Tasks[[#This Row],[_IsLeaf]]=1,N(Tasks[[#This Row],[_Days]])=0,Tasks[[#This Row],[_LeafProgress]]&lt;1),Tasks[[#This Row],[_ShownFcstFinish]]+Tasks[[#This Row],[_Row]]/100000,"")</f>
        <v/>
      </c>
      <c r="GH1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2" s="43" t="str">
        <f aca="false">IF(Tasks[[#This Row],[Task Name]]="","",LEFT(Tasks[[#This Row],[WBS]],FIND(".",Tasks[[#This Row],[WBS]]&amp;".")-1))</f>
        <v/>
      </c>
      <c r="GJ132" s="43" t="str">
        <f aca="false">IF(AND(Tasks[[#This Row],[Task Name]]&lt;&gt;"",Tasks[[#This Row],[_Level]]=1),Tasks[[#This Row],[_Row]],"")</f>
        <v/>
      </c>
      <c r="GK132" s="43" t="str">
        <f aca="false">IF(AND(Tasks[[#This Row],[_IsLeaf]]=1,N(Tasks[[#This Row],[_Days]])=0),Tasks[[#This Row],[Planned Finish]]+Tasks[[#This Row],[_Row]]/100000,"")</f>
        <v/>
      </c>
      <c r="GL132" s="43" t="str">
        <f aca="false">IF(AND(Tasks[[#This Row],[_IsLeaf]]=1,Tasks[[#This Row],[_LeafProgress]]&lt;1,OR(N(Tasks[[#This Row],[Finish Var]])&gt;0,Tasks[[#This Row],[Status]]="Late Start")),MAX(0,Tasks[[#This Row],[Finish Var]])+1-Tasks[[#This Row],[_Row]]/1000000,"")</f>
        <v/>
      </c>
      <c r="GM132" s="43" t="str">
        <f aca="false">IF(AND(Tasks[[#This Row],[_IsLeaf]]=1,N(Tasks[[#This Row],[Actual Start]])=0,Tasks[[#This Row],[_ShownFcstStart]]&gt;=StatusDate,Tasks[[#This Row],[_ShownFcstStart]]&lt;=LookaheadEnd),Tasks[[#This Row],[_ShownFcstStart]]+Tasks[[#This Row],[_Row]]/100000,"")</f>
        <v/>
      </c>
      <c r="GN132" s="43" t="str">
        <f aca="false">IF(AND(Tasks[[#This Row],[_IsLeaf]]=1,Tasks[[#This Row],[_LeafProgress]]&lt;1,Tasks[[#This Row],[_ShownFcstFinish]]&gt;=StatusDate,Tasks[[#This Row],[_ShownFcstFinish]]&lt;=LookaheadEnd),Tasks[[#This Row],[_ShownFcstFinish]]+Tasks[[#This Row],[_Row]]/100000,"")</f>
        <v/>
      </c>
      <c r="GO132" s="43" t="str">
        <f aca="false">IF(Tasks[[#This Row],[_LeafCritical]],Tasks[[#This Row],[_ShownFcstStart]]+Tasks[[#This Row],[_Row]]/100000,"")</f>
        <v/>
      </c>
      <c r="GP132" s="43" t="n">
        <f aca="false">Tasks[[#This Row],[_LeafWork]]*Tasks[[#This Row],[_LeafProgress]]</f>
        <v>0</v>
      </c>
      <c r="GQ132" s="91" t="str">
        <f aca="false">IF(AND(Tasks[[#This Row],[_IsLeaf]]=1,Tasks[[#This Row],[_LeafProgress]]&gt;=1),IF(N(Tasks[[#This Row],[Actual Finish]])&gt;0,Tasks[[#This Row],[Actual Finish]],Tasks[[#This Row],[_ShownFcstFinish]]),"")</f>
        <v/>
      </c>
      <c r="GR132" s="43" t="n">
        <f aca="false">IF(Tasks[[#This Row],[_IsLeaf]]=1,N(Tasks[[#This Row],[Story Points]]),0)</f>
        <v>0</v>
      </c>
      <c r="GS132" s="43" t="str">
        <f aca="false">""</f>
        <v/>
      </c>
      <c r="GT132" s="90" t="b">
        <f aca="false">IF(Tasks[[#This Row],[Task Name]]="",FALSE(),AND(Tasks[[#This Row],[_IsLeaf]]=1,N(Tasks[[#This Row],[_Days]])=0))</f>
        <v>0</v>
      </c>
      <c r="GU132" s="91" t="n">
        <f aca="false">IF(Tasks[[#This Row],[Task Name]]="",0,IF(AND(Tasks[[#This Row],[_IsLeaf]]=1,NOT(Tasks[[#This Row],[_IsMilestone]]),N(Tasks[[#This Row],[Progress]])&gt;0),Tasks[[#This Row],[Start]],0))</f>
        <v>0</v>
      </c>
      <c r="GV132" s="91" t="n">
        <f aca="false">IF(Tasks[[#This Row],[_DoneFrom]]=0,0,IF(Tasks[[#This Row],[Progress]]&gt;=1,Tasks[[#This Row],[Finish]],MAX(Tasks[[#This Row],[_DoneFrom]],Tasks[[#This Row],[Start]]+ROUND((Tasks[[#This Row],[Finish]]-Tasks[[#This Row],[Start]]+1)*Tasks[[#This Row],[Progress]],0)-1)))</f>
        <v>0</v>
      </c>
      <c r="GW132" s="91" t="n">
        <f aca="false">IF(Tasks[[#This Row],[Task Name]]="",0,IF(OR(NOT(Tasks[[#This Row],[_IsLeaf]]=1),Tasks[[#This Row],[_IsMilestone]],N(Tasks[[#This Row],[Progress]])&gt;=1),0,IF(Tasks[[#This Row],[_DoneTo]]&gt;0,Tasks[[#This Row],[_DoneTo]]+1,Tasks[[#This Row],[Start]])))</f>
        <v>0</v>
      </c>
      <c r="GX132" s="91" t="n">
        <f aca="false">IF(Tasks[[#This Row],[_RemFrom]]=0,0,Tasks[[#This Row],[Finish]])</f>
        <v>0</v>
      </c>
      <c r="GY132" s="90" t="b">
        <f aca="false">IF(Tasks[[#This Row],[Task Name]]="",FALSE(),OR(NOT(BaselineSet),N(Tasks[[#This Row],[Baseline Start]])&gt;0))</f>
        <v>0</v>
      </c>
      <c r="GZ13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2" s="92" t="str">
        <f aca="false">IF(Tasks[[#This Row],[_IsLeaf]]=1,Tasks[[#This Row],[_Row]],"")</f>
        <v/>
      </c>
      <c r="HD132" s="92" t="str">
        <f aca="false">IFERROR(INDEX(Tasks[UID],SMALL(Tasks[_PickKey],Tasks[[#This Row],[_Row]]))&amp;" "&amp;INDEX(Tasks[Task Name],SMALL(Tasks[_PickKey],Tasks[[#This Row],[_Row]])),"")</f>
        <v/>
      </c>
      <c r="HE132" s="43" t="str">
        <f aca="false">IF(Tasks[[#This Row],[Task Name]]="","",IF(Tasks[[#This Row],[_IsSummary]],NETWORKDAYS.INTL(Tasks[[#This Row],[Start]],Tasks[[#This Row],[Finish]],WorkWeek,Holidays),N(Tasks[[#This Row],[_Days]])))</f>
        <v/>
      </c>
      <c r="HF132" s="43" t="n">
        <f aca="false">IF(Tasks[[#This Row],[Expected]]="",0,((Tasks[[#This Row],[Pessimistic]]-Tasks[[#This Row],[Optimistic]])/6)^2)</f>
        <v>0</v>
      </c>
      <c r="HG132" s="43" t="n">
        <f aca="false">IF(Tasks[[#This Row],[Expected]]="",0,Tasks[[#This Row],[Expected]]-N(Tasks[[#This Row],[_Days]]))</f>
        <v>0</v>
      </c>
    </row>
    <row r="133" customFormat="false" ht="15" hidden="false" customHeight="false" outlineLevel="0" collapsed="false">
      <c r="A133" s="21" t="str">
        <f aca="false">IF(Tasks[[#This Row],[Task Name]]="","",COUNTA(Tasks[[#Headers],[Task Name]]:Tasks[[#This Row],[Task Name]])-1)</f>
        <v/>
      </c>
      <c r="B133" s="22" t="n">
        <v>141</v>
      </c>
      <c r="C133" s="22"/>
      <c r="D133" s="23"/>
      <c r="E133" s="22"/>
      <c r="F133" s="23"/>
      <c r="G133" s="22"/>
      <c r="H133" s="22"/>
      <c r="I133" s="23"/>
      <c r="J133" s="22"/>
      <c r="K133" s="22"/>
      <c r="L133" s="23"/>
      <c r="M133" s="22"/>
      <c r="N133" s="22"/>
      <c r="O133" s="23"/>
      <c r="P133" s="22"/>
      <c r="Q133" s="22"/>
      <c r="R133" s="23"/>
      <c r="S133" s="23"/>
      <c r="T133" s="84"/>
      <c r="U133" s="23"/>
      <c r="V133" s="84"/>
      <c r="W133" s="23"/>
      <c r="X133" s="84"/>
      <c r="Y133" s="23"/>
      <c r="Z133" s="84"/>
      <c r="AA133" s="23"/>
      <c r="AB133" s="23"/>
      <c r="AC133" s="7"/>
      <c r="AD133" s="7"/>
      <c r="AE133" s="63" t="str">
        <f aca="false">IF(Tasks[[#This Row],[Task Name]]="","",IF(Tasks[[#This Row],[_IsSummary]],MIN(INDEX(Tasks[_ShownFcstStart],Tasks[[#This Row],[_Row]]+1):INDEX(Tasks[_ShownFcstStart],Tasks[[#This Row],[_Row]]+Tasks[[#This Row],[_Descendants]])),Tasks[[#This Row],[_ShownFcstStart]]))</f>
        <v/>
      </c>
      <c r="AF133" s="63" t="str">
        <f aca="false">IF(Tasks[[#This Row],[Task Name]]="","",IF(Tasks[[#This Row],[_IsSummary]],MAX(INDEX(Tasks[_ShownFcstFinish],Tasks[[#This Row],[_Row]]+1):INDEX(Tasks[_ShownFcstFinish],Tasks[[#This Row],[_Row]]+Tasks[[#This Row],[_Descendants]])),Tasks[[#This Row],[_ShownFcstFinish]]))</f>
        <v/>
      </c>
      <c r="AG133" s="21" t="str">
        <f aca="false">""</f>
        <v/>
      </c>
      <c r="AH133" s="23"/>
      <c r="AI1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3" s="7"/>
      <c r="AK133" s="22"/>
      <c r="AL133" s="23"/>
      <c r="AM133" s="7"/>
      <c r="AN133" s="47" t="str">
        <f aca="false">IF(Tasks[[#This Row],[Task Name]]="","",IF(Tasks[[#This Row],[Finish]]&gt;=Tasks[[#This Row],[Planned Finish]],NETWORKDAYS.INTL(Tasks[[#This Row],[Planned Finish]],Tasks[[#This Row],[Finish]],WorkWeek,Holidays)-1,1-NETWORKDAYS.INTL(Tasks[[#This Row],[Finish]],Tasks[[#This Row],[Planned Finish]],WorkWeek,Holidays)))</f>
        <v/>
      </c>
      <c r="AO133" s="21" t="str">
        <f aca="false">IF(Tasks[[#This Row],[Task Name]]="","",IF(Tasks[[#This Row],[Progress]]&gt;=1,"Complete",IF(OR(N(Tasks[[#This Row],[Actual Start]])&gt;0,Tasks[[#This Row],[Progress]]&gt;0),IF(Tasks[[#This Row],[Finish Var]]&gt;0,"Behind","In Progress"),IF(Tasks[[#This Row],[Planned Start]]&lt;StatusDate,"Late Start","Not Started"))))</f>
        <v/>
      </c>
      <c r="AP133" s="21" t="str">
        <f aca="false">IF(Tasks[[#This Row],[Task Name]]="","",IF(IF(Tasks[[#This Row],[_IsSummary]],COUNTIF(INDEX(Tasks[_LeafCritical],Tasks[[#This Row],[_Row]]+1):INDEX(Tasks[_LeafCritical],Tasks[[#This Row],[_Row]]+Tasks[[#This Row],[_Descendants]]),TRUE())&gt;0,Tasks[[#This Row],[_LeafCritical]]),"Yes",""))</f>
        <v/>
      </c>
      <c r="AQ133" s="63" t="str">
        <f aca="false">IF(Tasks[[#This Row],[Task Name]]="","",IF(N(Tasks[[#This Row],[Baseline Start]])&gt;0,Tasks[[#This Row],[Baseline Start]],Tasks[[#This Row],[_CalcStart]]))</f>
        <v/>
      </c>
      <c r="AR133" s="63" t="str">
        <f aca="false">IF(Tasks[[#This Row],[Task Name]]="","",IF(N(Tasks[[#This Row],[Baseline Finish]])&gt;0,Tasks[[#This Row],[Baseline Finish]],Tasks[[#This Row],[_CalcFinish]]))</f>
        <v/>
      </c>
      <c r="AS133" s="47" t="str">
        <f aca="false">IF(Tasks[[#This Row],[Task Name]]="","",IF(Tasks[[#This Row],[Start]]&gt;=Tasks[[#This Row],[Planned Start]],NETWORKDAYS.INTL(Tasks[[#This Row],[Planned Start]],Tasks[[#This Row],[Start]],WorkWeek,Holidays)-1,1-NETWORKDAYS.INTL(Tasks[[#This Row],[Start]],Tasks[[#This Row],[Planned Start]],WorkWeek,Holidays)))</f>
        <v/>
      </c>
      <c r="AT133" s="63" t="str">
        <f aca="false">IF(Tasks[[#This Row],[Task Name]]="","",IF(Tasks[[#This Row],[_IsSummary]],MIN(INDEX(Tasks[_LeafLateStart],Tasks[[#This Row],[_Row]]+1):INDEX(Tasks[_LeafLateStart],Tasks[[#This Row],[_Row]]+Tasks[[#This Row],[_Descendants]])),Tasks[[#This Row],[_LeafLateStart]]))</f>
        <v/>
      </c>
      <c r="AU133" s="63" t="str">
        <f aca="false">IF(Tasks[[#This Row],[Task Name]]="","",IF(Tasks[[#This Row],[_IsSummary]],MAX(INDEX(Tasks[_LeafLateFinish],Tasks[[#This Row],[_Row]]+1):INDEX(Tasks[_LeafLateFinish],Tasks[[#This Row],[_Row]]+Tasks[[#This Row],[_Descendants]])),Tasks[[#This Row],[_LeafLateFinish]]))</f>
        <v/>
      </c>
      <c r="AV133" s="47" t="str">
        <f aca="false">IF(Tasks[[#This Row],[Task Name]]="","",IF(Tasks[[#This Row],[_IsSummary]],MIN(INDEX(Tasks[_LeafTotalSlack],Tasks[[#This Row],[_Row]]+1):INDEX(Tasks[_LeafTotalSlack],Tasks[[#This Row],[_Row]]+Tasks[[#This Row],[_Descendants]])),Tasks[[#This Row],[_LeafTotalSlack]]))</f>
        <v/>
      </c>
      <c r="AW1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5"/>
      <c r="BA13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t="str">
        <f aca="false">IF(Tasks[[#This Row],[Task Name]]="","",IF(Tasks[[#This Row],[_Level]]&lt;=OutlineShowLevel,"Yes","No"))</f>
        <v/>
      </c>
      <c r="BE133" s="86" t="str">
        <f aca="false">IF(Tasks[[#This Row],[Task Name]]="","",IF(Tasks[[#This Row],[_IsSummary]],SUM(INDEX(Tasks[_LeafTotalWork],Tasks[[#This Row],[_Row]]+1):INDEX(Tasks[_LeafTotalWork],Tasks[[#This Row],[_Row]]+Tasks[[#This Row],[_Descendants]])),Tasks[[#This Row],[_LeafTotalWork]]))</f>
        <v/>
      </c>
      <c r="BF133" s="23"/>
      <c r="BG1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t="str">
        <f aca="false">""</f>
        <v/>
      </c>
      <c r="BI133" s="87"/>
      <c r="BJ133" s="22"/>
      <c r="BK133" s="47" t="str">
        <f aca="false">IF(OR(Tasks[[#This Row],[Task Name]]="",Tasks[[#This Row],[Baseline Duration]]=""),"",Tasks[[#This Row],[_SpanDays]]-N(Tasks[[#This Row],[Baseline Duration]]))</f>
        <v/>
      </c>
      <c r="BL133" s="86" t="str">
        <f aca="false">IF(OR(Tasks[[#This Row],[Task Name]]="",Tasks[[#This Row],[Baseline Work]]=""),"",Tasks[[#This Row],[Work]]-N(Tasks[[#This Row],[Baseline Work]]))</f>
        <v/>
      </c>
      <c r="BM133" s="63" t="str">
        <f aca="false">IF(Tasks[[#This Row],[Task Name]]="","",IF(OR(TakeBaseline="Yes",N(Tasks[[#This Row],[Baseline Start]])=0),Tasks[[#This Row],[Start]],Tasks[[#This Row],[Baseline Start]]))</f>
        <v/>
      </c>
      <c r="BN133" s="63" t="str">
        <f aca="false">IF(Tasks[[#This Row],[Task Name]]="","",IF(OR(TakeBaseline="Yes",N(Tasks[[#This Row],[Baseline Finish]])=0),Tasks[[#This Row],[Finish]],Tasks[[#This Row],[Baseline Finish]]))</f>
        <v/>
      </c>
      <c r="BO133" s="21" t="str">
        <f aca="false">IF(Tasks[[#This Row],[Task Name]]="","",IF(OR(TakeBaseline="Yes",N(Tasks[[#This Row],[Baseline Duration]])=0),Tasks[[#This Row],[_SpanDays]],Tasks[[#This Row],[Baseline Duration]]))</f>
        <v/>
      </c>
      <c r="BP133" s="86" t="str">
        <f aca="false">IF(Tasks[[#This Row],[Task Name]]="","",IF(OR(TakeBaseline="Yes",N(Tasks[[#This Row],[Baseline Work]])=0),Tasks[[#This Row],[Work]],Tasks[[#This Row],[Baseline Work]]))</f>
        <v/>
      </c>
      <c r="BQ133" s="7"/>
      <c r="BR133" s="7"/>
      <c r="BS133" s="22"/>
      <c r="BT133" s="88"/>
      <c r="BU133" s="23"/>
      <c r="BV133" s="23"/>
      <c r="BW133" s="23"/>
      <c r="BX133" s="89" t="str">
        <f aca="false">IF(AND(Tasks[[#This Row],[_IsLeaf]]=1,ISNUMBER(Tasks[[#This Row],[Optimistic]]),ISNUMBER(Tasks[[#This Row],[Pessimistic]])),ROUND((Tasks[[#This Row],[Optimistic]]+4*N(Tasks[[#This Row],[_Days]])+Tasks[[#This Row],[Pessimistic]])/6,1),"")</f>
        <v/>
      </c>
      <c r="BY133" s="87"/>
      <c r="BZ133" s="87"/>
      <c r="CA133" s="22"/>
      <c r="CB133" s="43" t="str">
        <f aca="false">IF(Tasks[[#This Row],[Task Name]]="","",MAX(1,N(Tasks[[#This Row],[Level]])))</f>
        <v/>
      </c>
      <c r="CC133" s="43" t="n">
        <f aca="false">ROW()-ROW(Tasks[[#Headers],[ID]])</f>
        <v>128</v>
      </c>
      <c r="CD133" s="43" t="n">
        <f aca="false">IF(OR(Tasks[[#This Row],[Task Name]]="",Tasks[[#This Row],[_Level]]&lt;=1),0,IFERROR(LOOKUP(2,1/(Tasks[[#Headers],[_Level]]:Tasks[[#This Row],[_Level]]=Tasks[[#This Row],[_Level]]-1),ROW(Tasks[[#Headers],[_Level]]:Tasks[[#This Row],[_Level]])),0))</f>
        <v>0</v>
      </c>
      <c r="CE133" s="43" t="n">
        <f aca="false">IFERROR(N(INDEX(Tasks[_Level],Tasks[[#This Row],[_Row]]+1)),0)</f>
        <v>0</v>
      </c>
      <c r="CF133" s="90" t="b">
        <f aca="false">AND(Tasks[[#This Row],[Task Name]]&lt;&gt;"",Tasks[[#This Row],[_NextLevel]]&gt;Tasks[[#This Row],[_Level]])</f>
        <v>0</v>
      </c>
      <c r="CG133" s="43" t="n">
        <f aca="false">IF(Tasks[[#This Row],[_IsSummary]],COUNTIF(Tasks[WBS],Tasks[[#This Row],[WBS]]&amp;".*"),0)</f>
        <v>0</v>
      </c>
      <c r="CH133" s="43" t="n">
        <f aca="false">IF(AND(Tasks[[#This Row],[Task Name]]&lt;&gt;"",NOT(Tasks[[#This Row],[_IsSummary]])),1,0)</f>
        <v>0</v>
      </c>
      <c r="CI133" s="43" t="n">
        <f aca="false">IF(N(Tasks[[#This Row],[_Pred1UID]])=0,0,IFERROR(MATCH(Tasks[[#This Row],[_Pred1UID]],Tasks[UID],0),-1))</f>
        <v>0</v>
      </c>
      <c r="CJ133" s="43" t="n">
        <f aca="false">IF(N(Tasks[[#This Row],[_Pred2UID]])=0,0,IFERROR(MATCH(Tasks[[#This Row],[_Pred2UID]],Tasks[UID],0),-1))</f>
        <v>0</v>
      </c>
      <c r="CK133" s="43" t="n">
        <f aca="false">IF(N(Tasks[[#This Row],[_Pred3UID]])=0,0,IFERROR(MATCH(Tasks[[#This Row],[_Pred3UID]],Tasks[UID],0),-1))</f>
        <v>0</v>
      </c>
      <c r="CL133" s="43" t="n">
        <f aca="false">IF(N(Tasks[[#This Row],[_Pred4UID]])=0,0,IFERROR(MATCH(Tasks[[#This Row],[_Pred4UID]],Tasks[UID],0),-1))</f>
        <v>0</v>
      </c>
      <c r="CM13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3" s="91" t="n">
        <f aca="false">IF(OR(Tasks[[#This Row],[_ConstraintCode]]=2,Tasks[[#This Row],[_ConstraintCode]]=3,Tasks[[#This Row],[_ConstraintCode]]=4,Tasks[[#This Row],[_ConstraintCode]]=6),Tasks[[#This Row],[_ConstraintStart]],0)</f>
        <v>0</v>
      </c>
      <c r="CP133" s="91" t="n">
        <f aca="false">IF(OR(Tasks[[#This Row],[_ConstraintCode]]=2,Tasks[[#This Row],[_ConstraintCode]]=3,Tasks[[#This Row],[_ConstraintCode]]=5,Tasks[[#This Row],[_ConstraintCode]]=7),Tasks[[#This Row],[_ConstraintStart]],2958465)</f>
        <v>2958465</v>
      </c>
      <c r="CQ13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3" s="91" t="str">
        <f aca="false">IF(NOT(Tasks[[#This Row],[_IsLeaf]]=1),"",IF(N(Tasks[[#This Row],[_Days]])&lt;=0,Tasks[[#This Row],[_LeafCalcStart]],WORKDAY.INTL(Tasks[[#This Row],[_LeafCalcStart]],Tasks[[#This Row],[_Days]]-1,WorkWeek,Holidays)))</f>
        <v/>
      </c>
      <c r="CS13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3" s="43" t="str">
        <f aca="false">IF(Tasks[[#This Row],[_Predecessors]]="","",TRIM(MID(SUBSTITUTE(SUBSTITUTE(SUBSTITUTE(UPPER(Tasks[[#This Row],[_Predecessors]]),";",",")," ",""),",",REPT(" ",99)),1,99)))</f>
        <v/>
      </c>
      <c r="CV133" s="43" t="str">
        <f aca="false">IF(Tasks[[#This Row],[_Pred1Text]]="","",IFERROR(VALUE(LEFT(Tasks[[#This Row],[_Pred1Text]],MIN(FIND("F",Tasks[[#This Row],[_Pred1Text]]&amp;"F"),FIND("S",Tasks[[#This Row],[_Pred1Text]]&amp;"S"),FIND("+",Tasks[[#This Row],[_Pred1Text]]&amp;"+"),FIND("-",Tasks[[#This Row],[_Pred1Text]]&amp;"-"))-1)),""))</f>
        <v/>
      </c>
      <c r="CW1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3" s="43" t="str">
        <f aca="false">IF(Tasks[[#This Row],[_Pred1Text]]="","",TRIM(MID(SUBSTITUTE(SUBSTITUTE(SUBSTITUTE(UPPER(Tasks[[#This Row],[_Predecessors]]),";",",")," ",""),",",REPT(" ",99)),100,99)))</f>
        <v/>
      </c>
      <c r="CZ133" s="43" t="str">
        <f aca="false">IF(Tasks[[#This Row],[_Pred2Text]]="","",IFERROR(VALUE(LEFT(Tasks[[#This Row],[_Pred2Text]],MIN(FIND("F",Tasks[[#This Row],[_Pred2Text]]&amp;"F"),FIND("S",Tasks[[#This Row],[_Pred2Text]]&amp;"S"),FIND("+",Tasks[[#This Row],[_Pred2Text]]&amp;"+"),FIND("-",Tasks[[#This Row],[_Pred2Text]]&amp;"-"))-1)),""))</f>
        <v/>
      </c>
      <c r="DA1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3" s="43" t="str">
        <f aca="false">IF(Tasks[[#This Row],[_Pred2Text]]="","",TRIM(MID(SUBSTITUTE(SUBSTITUTE(SUBSTITUTE(UPPER(Tasks[[#This Row],[_Predecessors]]),";",",")," ",""),",",REPT(" ",99)),199,99)))</f>
        <v/>
      </c>
      <c r="DD133" s="43" t="str">
        <f aca="false">IF(Tasks[[#This Row],[_Pred3Text]]="","",IFERROR(VALUE(LEFT(Tasks[[#This Row],[_Pred3Text]],MIN(FIND("F",Tasks[[#This Row],[_Pred3Text]]&amp;"F"),FIND("S",Tasks[[#This Row],[_Pred3Text]]&amp;"S"),FIND("+",Tasks[[#This Row],[_Pred3Text]]&amp;"+"),FIND("-",Tasks[[#This Row],[_Pred3Text]]&amp;"-"))-1)),""))</f>
        <v/>
      </c>
      <c r="DE1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3" s="43" t="str">
        <f aca="false">IF(Tasks[[#This Row],[_Pred3Text]]="","",TRIM(MID(SUBSTITUTE(SUBSTITUTE(SUBSTITUTE(UPPER(Tasks[[#This Row],[_Predecessors]]),";",",")," ",""),",",REPT(" ",99)),298,99)))</f>
        <v/>
      </c>
      <c r="DH133" s="43" t="str">
        <f aca="false">IF(Tasks[[#This Row],[_Pred4Text]]="","",IFERROR(VALUE(LEFT(Tasks[[#This Row],[_Pred4Text]],MIN(FIND("F",Tasks[[#This Row],[_Pred4Text]]&amp;"F"),FIND("S",Tasks[[#This Row],[_Pred4Text]]&amp;"S"),FIND("+",Tasks[[#This Row],[_Pred4Text]]&amp;"+"),FIND("-",Tasks[[#This Row],[_Pred4Text]]&amp;"-"))-1)),""))</f>
        <v/>
      </c>
      <c r="DI1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3" s="43" t="str">
        <f aca="false">IF(OR(Tasks[[#This Row],[Task Name]]="",Tasks[[#This Row],[_Resources]]=""),"",TRIM(MID(SUBSTITUTE(Tasks[[#This Row],[_Resources]],",",REPT(" ",99)),1,99)))</f>
        <v/>
      </c>
      <c r="DL133" s="43" t="str">
        <f aca="false">IF(Tasks[[#This Row],[_Res1Text]]="","",TRIM(MID(SUBSTITUTE(Tasks[[#This Row],[_Resources]],",",REPT(" ",99)),100,99)))</f>
        <v/>
      </c>
      <c r="DM133" s="43" t="str">
        <f aca="false">IF(Tasks[[#This Row],[_Res2Text]]="","",TRIM(MID(SUBSTITUTE(Tasks[[#This Row],[_Resources]],",",REPT(" ",99)),199,99)))</f>
        <v/>
      </c>
      <c r="DN133" s="43" t="str">
        <f aca="false">IF(Tasks[[#This Row],[_Res3Text]]="","",TRIM(MID(SUBSTITUTE(Tasks[[#This Row],[_Resources]],",",REPT(" ",99)),298,99)))</f>
        <v/>
      </c>
      <c r="DO133" s="43" t="n">
        <f aca="false">IF(Tasks[[#This Row],[_Res1Text]]="",0,IFERROR(MATCH(TRIM(LEFT(Tasks[[#This Row],[_Res1Text]],FIND("[",Tasks[[#This Row],[_Res1Text]]&amp;"[")-1)),res_Name,0),IFERROR(MATCH(TRIM(LEFT(Tasks[[#This Row],[_Res1Text]],FIND("[",Tasks[[#This Row],[_Res1Text]]&amp;"[")-1)),res_Initials,0),0)))</f>
        <v>0</v>
      </c>
      <c r="DP133" s="43" t="n">
        <f aca="false">IF(Tasks[[#This Row],[_Res2Text]]="",0,IFERROR(MATCH(TRIM(LEFT(Tasks[[#This Row],[_Res2Text]],FIND("[",Tasks[[#This Row],[_Res2Text]]&amp;"[")-1)),res_Name,0),IFERROR(MATCH(TRIM(LEFT(Tasks[[#This Row],[_Res2Text]],FIND("[",Tasks[[#This Row],[_Res2Text]]&amp;"[")-1)),res_Initials,0),0)))</f>
        <v>0</v>
      </c>
      <c r="DQ133" s="43" t="n">
        <f aca="false">IF(Tasks[[#This Row],[_Res3Text]]="",0,IFERROR(MATCH(TRIM(LEFT(Tasks[[#This Row],[_Res3Text]],FIND("[",Tasks[[#This Row],[_Res3Text]]&amp;"[")-1)),res_Name,0),IFERROR(MATCH(TRIM(LEFT(Tasks[[#This Row],[_Res3Text]],FIND("[",Tasks[[#This Row],[_Res3Text]]&amp;"[")-1)),res_Initials,0),0)))</f>
        <v>0</v>
      </c>
      <c r="DR133" s="43" t="n">
        <f aca="false">IF(Tasks[[#This Row],[_Res4Text]]="",0,IFERROR(MATCH(TRIM(LEFT(Tasks[[#This Row],[_Res4Text]],FIND("[",Tasks[[#This Row],[_Res4Text]]&amp;"[")-1)),res_Name,0),IFERROR(MATCH(TRIM(LEFT(Tasks[[#This Row],[_Res4Text]],FIND("[",Tasks[[#This Row],[_Res4Text]]&amp;"[")-1)),res_Initials,0),0)))</f>
        <v>0</v>
      </c>
      <c r="DS133" s="43" t="str">
        <f aca="false">IF(Tasks[[#This Row],[_Res1Text]]="","",IF(Tasks[[#This Row],[_Res1Row]]&gt;0,INDEX(res_Name,Tasks[[#This Row],[_Res1Row]]),TRIM(LEFT(Tasks[[#This Row],[_Res1Text]],FIND("[",Tasks[[#This Row],[_Res1Text]]&amp;"[")-1))))</f>
        <v/>
      </c>
      <c r="DT1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3" s="43" t="n">
        <f aca="false">IF(NOT(Tasks[[#This Row],[_IsLeaf]]=1),0,(Tasks[[#This Row],[_Resource1]]&lt;&gt;"")+(Tasks[[#This Row],[_Res2]]&lt;&gt;"")+(Tasks[[#This Row],[_Res3]]&lt;&gt;"")+(Tasks[[#This Row],[_Res4]]&lt;&gt;""))</f>
        <v>0</v>
      </c>
      <c r="DV133" s="43" t="str">
        <f aca="false">IF(Tasks[[#This Row],[_Res2Text]]="","",IF(Tasks[[#This Row],[_Res2Row]]&gt;0,INDEX(res_Name,Tasks[[#This Row],[_Res2Row]]),TRIM(LEFT(Tasks[[#This Row],[_Res2Text]],FIND("[",Tasks[[#This Row],[_Res2Text]]&amp;"[")-1))))</f>
        <v/>
      </c>
      <c r="DW1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3" s="43" t="n">
        <f aca="false">IF(OR(NOT(Tasks[[#This Row],[_IsLeaf]]=1),Tasks[[#This Row],[_Res2Row]]=0),0,N(Tasks[[#This Row],[_Days]])*HoursPerDay*IF(Tasks[[#This Row],[_Res2Units]]="",DefaultUnits,Tasks[[#This Row],[_Res2Units]]))</f>
        <v>0</v>
      </c>
      <c r="DY133" s="43" t="n">
        <f aca="false">IF(AND(AND(Tasks[[#This Row],[_IsLeaf]]=1,Tasks[[#This Row],[_LeafTotalWork]]&gt;0),Tasks[[#This Row],[_Res2Work]]&gt;0),Tasks[[#This Row],[_Res2Work]]/(Tasks[[#This Row],[_FinishWorkday]]-Tasks[[#This Row],[_StartWorkday]]+1),0)</f>
        <v>0</v>
      </c>
      <c r="DZ133" s="43" t="n">
        <f aca="false">Tasks[[#This Row],[_Res2WorkPerWD]]*MAX(0,Tasks[[#This Row],[_StartWorkday]]-1)</f>
        <v>0</v>
      </c>
      <c r="EA133" s="43" t="n">
        <f aca="false">Tasks[[#This Row],[_Res2Work]]*Tasks[[#This Row],[_LeafProgress]]</f>
        <v>0</v>
      </c>
      <c r="EB133" s="43" t="str">
        <f aca="false">IF(Tasks[[#This Row],[_Res3Text]]="","",IF(Tasks[[#This Row],[_Res3Row]]&gt;0,INDEX(res_Name,Tasks[[#This Row],[_Res3Row]]),TRIM(LEFT(Tasks[[#This Row],[_Res3Text]],FIND("[",Tasks[[#This Row],[_Res3Text]]&amp;"[")-1))))</f>
        <v/>
      </c>
      <c r="EC1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3" s="43" t="n">
        <f aca="false">IF(OR(NOT(Tasks[[#This Row],[_IsLeaf]]=1),Tasks[[#This Row],[_Res3Row]]=0),0,N(Tasks[[#This Row],[_Days]])*HoursPerDay*IF(Tasks[[#This Row],[_Res3Units]]="",DefaultUnits,Tasks[[#This Row],[_Res3Units]]))</f>
        <v>0</v>
      </c>
      <c r="EE133" s="43" t="n">
        <f aca="false">IF(AND(AND(Tasks[[#This Row],[_IsLeaf]]=1,Tasks[[#This Row],[_LeafTotalWork]]&gt;0),Tasks[[#This Row],[_Res3Work]]&gt;0),Tasks[[#This Row],[_Res3Work]]/(Tasks[[#This Row],[_FinishWorkday]]-Tasks[[#This Row],[_StartWorkday]]+1),0)</f>
        <v>0</v>
      </c>
      <c r="EF133" s="43" t="n">
        <f aca="false">Tasks[[#This Row],[_Res3WorkPerWD]]*MAX(0,Tasks[[#This Row],[_StartWorkday]]-1)</f>
        <v>0</v>
      </c>
      <c r="EG133" s="43" t="n">
        <f aca="false">Tasks[[#This Row],[_Res3Work]]*Tasks[[#This Row],[_LeafProgress]]</f>
        <v>0</v>
      </c>
      <c r="EH133" s="43" t="str">
        <f aca="false">IF(Tasks[[#This Row],[_Res4Text]]="","",IF(Tasks[[#This Row],[_Res4Row]]&gt;0,INDEX(res_Name,Tasks[[#This Row],[_Res4Row]]),TRIM(LEFT(Tasks[[#This Row],[_Res4Text]],FIND("[",Tasks[[#This Row],[_Res4Text]]&amp;"[")-1))))</f>
        <v/>
      </c>
      <c r="EI1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3" s="43" t="n">
        <f aca="false">IF(OR(NOT(Tasks[[#This Row],[_IsLeaf]]=1),Tasks[[#This Row],[_Res4Row]]=0),0,N(Tasks[[#This Row],[_Days]])*HoursPerDay*IF(Tasks[[#This Row],[_Res4Units]]="",DefaultUnits,Tasks[[#This Row],[_Res4Units]]))</f>
        <v>0</v>
      </c>
      <c r="EK133" s="43" t="n">
        <f aca="false">IF(AND(AND(Tasks[[#This Row],[_IsLeaf]]=1,Tasks[[#This Row],[_LeafTotalWork]]&gt;0),Tasks[[#This Row],[_Res4Work]]&gt;0),Tasks[[#This Row],[_Res4Work]]/(Tasks[[#This Row],[_FinishWorkday]]-Tasks[[#This Row],[_StartWorkday]]+1),0)</f>
        <v>0</v>
      </c>
      <c r="EL133" s="43" t="n">
        <f aca="false">Tasks[[#This Row],[_Res4WorkPerWD]]*MAX(0,Tasks[[#This Row],[_StartWorkday]]-1)</f>
        <v>0</v>
      </c>
      <c r="EM133" s="43" t="n">
        <f aca="false">Tasks[[#This Row],[_Res4Work]]*Tasks[[#This Row],[_LeafProgress]]</f>
        <v>0</v>
      </c>
      <c r="EN133" s="43" t="n">
        <f aca="false">IF(ISNUMBER(Tasks[[#This Row],[% Complete]]),Tasks[[#This Row],[% Complete]],IF(Tasks[[#This Row],[Stage]]="",0,IFERROR(INDEX(stg_Pct,MATCH(Tasks[[#This Row],[Stage]],stg_Name,0)),0)))</f>
        <v>0</v>
      </c>
      <c r="EO133" s="43" t="n">
        <f aca="false">IF(NOT(Tasks[[#This Row],[_IsLeaf]]=1),0,IF(N(Tasks[[#This Row],[Actual Finish]])&gt;0,1,MIN(1,Tasks[[#This Row],[_Pct]])))</f>
        <v>0</v>
      </c>
      <c r="EP133" s="43" t="n">
        <f aca="false">IF(OR(NOT(Tasks[[#This Row],[_IsLeaf]]=1),Tasks[[#This Row],[_Res1Row]]=0),0,N(Tasks[[#This Row],[_Days]])*HoursPerDay*IF(Tasks[[#This Row],[_Units1]]="",DefaultUnits,Tasks[[#This Row],[_Units1]]))</f>
        <v>0</v>
      </c>
      <c r="EQ133" s="43" t="n">
        <f aca="false">Tasks[[#This Row],[_LeafWork]]+Tasks[[#This Row],[_Res2Work]]+Tasks[[#This Row],[_Res3Work]]+Tasks[[#This Row],[_Res4Work]]</f>
        <v>0</v>
      </c>
      <c r="ER13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3" s="43" t="n">
        <f aca="false">IF(NOT(Tasks[[#This Row],[_IsLeaf]]=1),0,MAX(_xlfn.MAXIFS(Tasks[_Row],Tasks[_Pred1UID],Tasks[[#This Row],[UID]]),_xlfn.MAXIFS(Tasks[_Row],Tasks[_Pred2UID],Tasks[[#This Row],[UID]]),_xlfn.MAXIFS(Tasks[_Row],Tasks[_Pred3UID],Tasks[[#This Row],[UID]]),_xlfn.MAXIFS(Tasks[_Row],Tasks[_Pred4UID],Tasks[[#This Row],[UID]])))</f>
        <v>0</v>
      </c>
      <c r="FA13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3" s="91" t="str">
        <f aca="false">IF(NOT(Tasks[[#This Row],[_IsLeaf]]=1),"",IF(N(Tasks[[#This Row],[_Days]])&lt;=0,Tasks[[#This Row],[_LeafLateFinish]],WORKDAY.INTL(Tasks[[#This Row],[_LeafLateFinish]],-(Tasks[[#This Row],[_Days]]-1),WorkWeek,Holidays)))</f>
        <v/>
      </c>
      <c r="FD13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3" s="90" t="b">
        <f aca="false">AND(Tasks[[#This Row],[_IsLeaf]]=1,Tasks[[#This Row],[_LeafProgress]]&lt;1,N(Tasks[[#This Row],[_LeafTotalSlack]])&lt;=CriticalSlackDays)</f>
        <v>0</v>
      </c>
      <c r="FF133" s="43" t="n">
        <f aca="false">IF(AND(Tasks[[#This Row],[_IsLeaf]]=1,Tasks[[#This Row],[_ConstraintCode]]=1,Tasks[[#This Row],[Mode]]&lt;&gt;"Manual",N(Tasks[[#This Row],[Actual Start]])=0),MAX(0,N(Tasks[[#This Row],[Free Slack]])),0)</f>
        <v>0</v>
      </c>
      <c r="FG133" s="91" t="str">
        <f aca="false">IF(NOT(Tasks[[#This Row],[_IsLeaf]]=1),"",IF(Tasks[[#This Row],[_AlapShift]]=0,Tasks[[#This Row],[_LeafCalcStart]],WORKDAY.INTL(Tasks[[#This Row],[_LeafCalcStart]],Tasks[[#This Row],[_AlapShift]],WorkWeek,Holidays)))</f>
        <v/>
      </c>
      <c r="FH133" s="91" t="str">
        <f aca="false">IF(NOT(Tasks[[#This Row],[_IsLeaf]]=1),"",IF(Tasks[[#This Row],[_AlapShift]]=0,Tasks[[#This Row],[_LeafCalcFinish]],WORKDAY.INTL(Tasks[[#This Row],[_LeafCalcFinish]],Tasks[[#This Row],[_AlapShift]],WorkWeek,Holidays)))</f>
        <v/>
      </c>
      <c r="FI133" s="91" t="str">
        <f aca="false">IF(NOT(Tasks[[#This Row],[_IsLeaf]]=1),"",IF(Tasks[[#This Row],[_AlapShift]]=0,Tasks[[#This Row],[_LeafFcstStart]],WORKDAY.INTL(Tasks[[#This Row],[_LeafFcstStart]],Tasks[[#This Row],[_AlapShift]],WorkWeek,Holidays)))</f>
        <v/>
      </c>
      <c r="FJ133" s="91" t="str">
        <f aca="false">IF(NOT(Tasks[[#This Row],[_IsLeaf]]=1),"",IF(Tasks[[#This Row],[_AlapShift]]=0,Tasks[[#This Row],[_LeafFcstFinish]],WORKDAY.INTL(Tasks[[#This Row],[_LeafFcstFinish]],Tasks[[#This Row],[_AlapShift]],WorkWeek,Holidays)))</f>
        <v/>
      </c>
      <c r="FK133" s="91" t="str">
        <f aca="false">IF(Tasks[[#This Row],[Task Name]]="","",IF(Tasks[[#This Row],[_IsSummary]],MIN(INDEX(Tasks[_ShownCalcStart],Tasks[[#This Row],[_Row]]+1):INDEX(Tasks[_ShownCalcStart],Tasks[[#This Row],[_Row]]+Tasks[[#This Row],[_Descendants]])),Tasks[[#This Row],[_ShownCalcStart]]))</f>
        <v/>
      </c>
      <c r="FL133" s="91" t="str">
        <f aca="false">IF(Tasks[[#This Row],[Task Name]]="","",IF(Tasks[[#This Row],[_IsSummary]],MAX(INDEX(Tasks[_ShownCalcFinish],Tasks[[#This Row],[_Row]]+1):INDEX(Tasks[_ShownCalcFinish],Tasks[[#This Row],[_Row]]+Tasks[[#This Row],[_Descendants]])),Tasks[[#This Row],[_ShownCalcFinish]]))</f>
        <v/>
      </c>
      <c r="FM1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3" s="43" t="n">
        <f aca="false">IF(AND(Tasks[[#This Row],[_IsLeaf]]=1,Tasks[[#This Row],[_LeafTotalWork]]&gt;0),NETWORKDAYS.INTL(ProjectStart,Tasks[[#This Row],[_ShownFcstStart]],WorkWeek,Holidays),0)</f>
        <v>0</v>
      </c>
      <c r="FZ133" s="43" t="n">
        <f aca="false">IF(AND(Tasks[[#This Row],[_IsLeaf]]=1,Tasks[[#This Row],[_LeafTotalWork]]&gt;0),MAX(Tasks[[#This Row],[_StartWorkday]],NETWORKDAYS.INTL(ProjectStart,Tasks[[#This Row],[_ShownFcstFinish]],WorkWeek,Holidays)),0)</f>
        <v>0</v>
      </c>
      <c r="GA133" s="43" t="n">
        <f aca="false">IF(AND(Tasks[[#This Row],[_IsLeaf]]=1,Tasks[[#This Row],[_LeafTotalWork]]&gt;0),Tasks[[#This Row],[_LeafWork]]/(Tasks[[#This Row],[_FinishWorkday]]-Tasks[[#This Row],[_StartWorkday]]+1),0)</f>
        <v>0</v>
      </c>
      <c r="GB133" s="43" t="n">
        <f aca="false">Tasks[[#This Row],[_WorkPerWorkday]]*(Tasks[[#This Row],[_StartWorkday]]-1)</f>
        <v>-0</v>
      </c>
      <c r="GC133" s="43" t="n">
        <f aca="false">IF(Tasks[[#This Row],[_IsLeaf]]=1,MAX(N(Tasks[[#This Row],[_Days]]),0.1),0)</f>
        <v>0</v>
      </c>
      <c r="GD133" s="43" t="n">
        <f aca="false">Tasks[[#This Row],[_WeightDur]]*Tasks[[#This Row],[_LeafProgress]]</f>
        <v>0</v>
      </c>
      <c r="GE133" s="43" t="n">
        <f aca="false">Tasks[[#This Row],[_WeightDur]]*Tasks[[#This Row],[_PlannedPct]]</f>
        <v>0</v>
      </c>
      <c r="GF1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3" s="43" t="str">
        <f aca="false">IF(AND(Tasks[[#This Row],[_IsLeaf]]=1,N(Tasks[[#This Row],[_Days]])=0,Tasks[[#This Row],[_LeafProgress]]&lt;1),Tasks[[#This Row],[_ShownFcstFinish]]+Tasks[[#This Row],[_Row]]/100000,"")</f>
        <v/>
      </c>
      <c r="GH1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3" s="43" t="str">
        <f aca="false">IF(Tasks[[#This Row],[Task Name]]="","",LEFT(Tasks[[#This Row],[WBS]],FIND(".",Tasks[[#This Row],[WBS]]&amp;".")-1))</f>
        <v/>
      </c>
      <c r="GJ133" s="43" t="str">
        <f aca="false">IF(AND(Tasks[[#This Row],[Task Name]]&lt;&gt;"",Tasks[[#This Row],[_Level]]=1),Tasks[[#This Row],[_Row]],"")</f>
        <v/>
      </c>
      <c r="GK133" s="43" t="str">
        <f aca="false">IF(AND(Tasks[[#This Row],[_IsLeaf]]=1,N(Tasks[[#This Row],[_Days]])=0),Tasks[[#This Row],[Planned Finish]]+Tasks[[#This Row],[_Row]]/100000,"")</f>
        <v/>
      </c>
      <c r="GL133" s="43" t="str">
        <f aca="false">IF(AND(Tasks[[#This Row],[_IsLeaf]]=1,Tasks[[#This Row],[_LeafProgress]]&lt;1,OR(N(Tasks[[#This Row],[Finish Var]])&gt;0,Tasks[[#This Row],[Status]]="Late Start")),MAX(0,Tasks[[#This Row],[Finish Var]])+1-Tasks[[#This Row],[_Row]]/1000000,"")</f>
        <v/>
      </c>
      <c r="GM133" s="43" t="str">
        <f aca="false">IF(AND(Tasks[[#This Row],[_IsLeaf]]=1,N(Tasks[[#This Row],[Actual Start]])=0,Tasks[[#This Row],[_ShownFcstStart]]&gt;=StatusDate,Tasks[[#This Row],[_ShownFcstStart]]&lt;=LookaheadEnd),Tasks[[#This Row],[_ShownFcstStart]]+Tasks[[#This Row],[_Row]]/100000,"")</f>
        <v/>
      </c>
      <c r="GN133" s="43" t="str">
        <f aca="false">IF(AND(Tasks[[#This Row],[_IsLeaf]]=1,Tasks[[#This Row],[_LeafProgress]]&lt;1,Tasks[[#This Row],[_ShownFcstFinish]]&gt;=StatusDate,Tasks[[#This Row],[_ShownFcstFinish]]&lt;=LookaheadEnd),Tasks[[#This Row],[_ShownFcstFinish]]+Tasks[[#This Row],[_Row]]/100000,"")</f>
        <v/>
      </c>
      <c r="GO133" s="43" t="str">
        <f aca="false">IF(Tasks[[#This Row],[_LeafCritical]],Tasks[[#This Row],[_ShownFcstStart]]+Tasks[[#This Row],[_Row]]/100000,"")</f>
        <v/>
      </c>
      <c r="GP133" s="43" t="n">
        <f aca="false">Tasks[[#This Row],[_LeafWork]]*Tasks[[#This Row],[_LeafProgress]]</f>
        <v>0</v>
      </c>
      <c r="GQ133" s="91" t="str">
        <f aca="false">IF(AND(Tasks[[#This Row],[_IsLeaf]]=1,Tasks[[#This Row],[_LeafProgress]]&gt;=1),IF(N(Tasks[[#This Row],[Actual Finish]])&gt;0,Tasks[[#This Row],[Actual Finish]],Tasks[[#This Row],[_ShownFcstFinish]]),"")</f>
        <v/>
      </c>
      <c r="GR133" s="43" t="n">
        <f aca="false">IF(Tasks[[#This Row],[_IsLeaf]]=1,N(Tasks[[#This Row],[Story Points]]),0)</f>
        <v>0</v>
      </c>
      <c r="GS133" s="43" t="str">
        <f aca="false">""</f>
        <v/>
      </c>
      <c r="GT133" s="90" t="b">
        <f aca="false">IF(Tasks[[#This Row],[Task Name]]="",FALSE(),AND(Tasks[[#This Row],[_IsLeaf]]=1,N(Tasks[[#This Row],[_Days]])=0))</f>
        <v>0</v>
      </c>
      <c r="GU133" s="91" t="n">
        <f aca="false">IF(Tasks[[#This Row],[Task Name]]="",0,IF(AND(Tasks[[#This Row],[_IsLeaf]]=1,NOT(Tasks[[#This Row],[_IsMilestone]]),N(Tasks[[#This Row],[Progress]])&gt;0),Tasks[[#This Row],[Start]],0))</f>
        <v>0</v>
      </c>
      <c r="GV133" s="91" t="n">
        <f aca="false">IF(Tasks[[#This Row],[_DoneFrom]]=0,0,IF(Tasks[[#This Row],[Progress]]&gt;=1,Tasks[[#This Row],[Finish]],MAX(Tasks[[#This Row],[_DoneFrom]],Tasks[[#This Row],[Start]]+ROUND((Tasks[[#This Row],[Finish]]-Tasks[[#This Row],[Start]]+1)*Tasks[[#This Row],[Progress]],0)-1)))</f>
        <v>0</v>
      </c>
      <c r="GW133" s="91" t="n">
        <f aca="false">IF(Tasks[[#This Row],[Task Name]]="",0,IF(OR(NOT(Tasks[[#This Row],[_IsLeaf]]=1),Tasks[[#This Row],[_IsMilestone]],N(Tasks[[#This Row],[Progress]])&gt;=1),0,IF(Tasks[[#This Row],[_DoneTo]]&gt;0,Tasks[[#This Row],[_DoneTo]]+1,Tasks[[#This Row],[Start]])))</f>
        <v>0</v>
      </c>
      <c r="GX133" s="91" t="n">
        <f aca="false">IF(Tasks[[#This Row],[_RemFrom]]=0,0,Tasks[[#This Row],[Finish]])</f>
        <v>0</v>
      </c>
      <c r="GY133" s="90" t="b">
        <f aca="false">IF(Tasks[[#This Row],[Task Name]]="",FALSE(),OR(NOT(BaselineSet),N(Tasks[[#This Row],[Baseline Start]])&gt;0))</f>
        <v>0</v>
      </c>
      <c r="GZ13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3" s="92" t="str">
        <f aca="false">IF(Tasks[[#This Row],[_IsLeaf]]=1,Tasks[[#This Row],[_Row]],"")</f>
        <v/>
      </c>
      <c r="HD133" s="92" t="str">
        <f aca="false">IFERROR(INDEX(Tasks[UID],SMALL(Tasks[_PickKey],Tasks[[#This Row],[_Row]]))&amp;" "&amp;INDEX(Tasks[Task Name],SMALL(Tasks[_PickKey],Tasks[[#This Row],[_Row]])),"")</f>
        <v/>
      </c>
      <c r="HE133" s="43" t="str">
        <f aca="false">IF(Tasks[[#This Row],[Task Name]]="","",IF(Tasks[[#This Row],[_IsSummary]],NETWORKDAYS.INTL(Tasks[[#This Row],[Start]],Tasks[[#This Row],[Finish]],WorkWeek,Holidays),N(Tasks[[#This Row],[_Days]])))</f>
        <v/>
      </c>
      <c r="HF133" s="43" t="n">
        <f aca="false">IF(Tasks[[#This Row],[Expected]]="",0,((Tasks[[#This Row],[Pessimistic]]-Tasks[[#This Row],[Optimistic]])/6)^2)</f>
        <v>0</v>
      </c>
      <c r="HG133" s="43" t="n">
        <f aca="false">IF(Tasks[[#This Row],[Expected]]="",0,Tasks[[#This Row],[Expected]]-N(Tasks[[#This Row],[_Days]]))</f>
        <v>0</v>
      </c>
    </row>
    <row r="134" customFormat="false" ht="15" hidden="false" customHeight="false" outlineLevel="0" collapsed="false">
      <c r="A134" s="21" t="str">
        <f aca="false">IF(Tasks[[#This Row],[Task Name]]="","",COUNTA(Tasks[[#Headers],[Task Name]]:Tasks[[#This Row],[Task Name]])-1)</f>
        <v/>
      </c>
      <c r="B134" s="22" t="n">
        <v>142</v>
      </c>
      <c r="C134" s="22"/>
      <c r="D134" s="23"/>
      <c r="E134" s="22"/>
      <c r="F134" s="23"/>
      <c r="G134" s="22"/>
      <c r="H134" s="22"/>
      <c r="I134" s="23"/>
      <c r="J134" s="22"/>
      <c r="K134" s="22"/>
      <c r="L134" s="23"/>
      <c r="M134" s="22"/>
      <c r="N134" s="22"/>
      <c r="O134" s="23"/>
      <c r="P134" s="22"/>
      <c r="Q134" s="22"/>
      <c r="R134" s="23"/>
      <c r="S134" s="23"/>
      <c r="T134" s="84"/>
      <c r="U134" s="23"/>
      <c r="V134" s="84"/>
      <c r="W134" s="23"/>
      <c r="X134" s="84"/>
      <c r="Y134" s="23"/>
      <c r="Z134" s="84"/>
      <c r="AA134" s="23"/>
      <c r="AB134" s="23"/>
      <c r="AC134" s="7"/>
      <c r="AD134" s="7"/>
      <c r="AE134" s="63" t="str">
        <f aca="false">IF(Tasks[[#This Row],[Task Name]]="","",IF(Tasks[[#This Row],[_IsSummary]],MIN(INDEX(Tasks[_ShownFcstStart],Tasks[[#This Row],[_Row]]+1):INDEX(Tasks[_ShownFcstStart],Tasks[[#This Row],[_Row]]+Tasks[[#This Row],[_Descendants]])),Tasks[[#This Row],[_ShownFcstStart]]))</f>
        <v/>
      </c>
      <c r="AF134" s="63" t="str">
        <f aca="false">IF(Tasks[[#This Row],[Task Name]]="","",IF(Tasks[[#This Row],[_IsSummary]],MAX(INDEX(Tasks[_ShownFcstFinish],Tasks[[#This Row],[_Row]]+1):INDEX(Tasks[_ShownFcstFinish],Tasks[[#This Row],[_Row]]+Tasks[[#This Row],[_Descendants]])),Tasks[[#This Row],[_ShownFcstFinish]]))</f>
        <v/>
      </c>
      <c r="AG134" s="21" t="str">
        <f aca="false">""</f>
        <v/>
      </c>
      <c r="AH134" s="23"/>
      <c r="AI1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4" s="7"/>
      <c r="AK134" s="22"/>
      <c r="AL134" s="23"/>
      <c r="AM134" s="7"/>
      <c r="AN134" s="47" t="str">
        <f aca="false">IF(Tasks[[#This Row],[Task Name]]="","",IF(Tasks[[#This Row],[Finish]]&gt;=Tasks[[#This Row],[Planned Finish]],NETWORKDAYS.INTL(Tasks[[#This Row],[Planned Finish]],Tasks[[#This Row],[Finish]],WorkWeek,Holidays)-1,1-NETWORKDAYS.INTL(Tasks[[#This Row],[Finish]],Tasks[[#This Row],[Planned Finish]],WorkWeek,Holidays)))</f>
        <v/>
      </c>
      <c r="AO134" s="21" t="str">
        <f aca="false">IF(Tasks[[#This Row],[Task Name]]="","",IF(Tasks[[#This Row],[Progress]]&gt;=1,"Complete",IF(OR(N(Tasks[[#This Row],[Actual Start]])&gt;0,Tasks[[#This Row],[Progress]]&gt;0),IF(Tasks[[#This Row],[Finish Var]]&gt;0,"Behind","In Progress"),IF(Tasks[[#This Row],[Planned Start]]&lt;StatusDate,"Late Start","Not Started"))))</f>
        <v/>
      </c>
      <c r="AP134" s="21" t="str">
        <f aca="false">IF(Tasks[[#This Row],[Task Name]]="","",IF(IF(Tasks[[#This Row],[_IsSummary]],COUNTIF(INDEX(Tasks[_LeafCritical],Tasks[[#This Row],[_Row]]+1):INDEX(Tasks[_LeafCritical],Tasks[[#This Row],[_Row]]+Tasks[[#This Row],[_Descendants]]),TRUE())&gt;0,Tasks[[#This Row],[_LeafCritical]]),"Yes",""))</f>
        <v/>
      </c>
      <c r="AQ134" s="63" t="str">
        <f aca="false">IF(Tasks[[#This Row],[Task Name]]="","",IF(N(Tasks[[#This Row],[Baseline Start]])&gt;0,Tasks[[#This Row],[Baseline Start]],Tasks[[#This Row],[_CalcStart]]))</f>
        <v/>
      </c>
      <c r="AR134" s="63" t="str">
        <f aca="false">IF(Tasks[[#This Row],[Task Name]]="","",IF(N(Tasks[[#This Row],[Baseline Finish]])&gt;0,Tasks[[#This Row],[Baseline Finish]],Tasks[[#This Row],[_CalcFinish]]))</f>
        <v/>
      </c>
      <c r="AS134" s="47" t="str">
        <f aca="false">IF(Tasks[[#This Row],[Task Name]]="","",IF(Tasks[[#This Row],[Start]]&gt;=Tasks[[#This Row],[Planned Start]],NETWORKDAYS.INTL(Tasks[[#This Row],[Planned Start]],Tasks[[#This Row],[Start]],WorkWeek,Holidays)-1,1-NETWORKDAYS.INTL(Tasks[[#This Row],[Start]],Tasks[[#This Row],[Planned Start]],WorkWeek,Holidays)))</f>
        <v/>
      </c>
      <c r="AT134" s="63" t="str">
        <f aca="false">IF(Tasks[[#This Row],[Task Name]]="","",IF(Tasks[[#This Row],[_IsSummary]],MIN(INDEX(Tasks[_LeafLateStart],Tasks[[#This Row],[_Row]]+1):INDEX(Tasks[_LeafLateStart],Tasks[[#This Row],[_Row]]+Tasks[[#This Row],[_Descendants]])),Tasks[[#This Row],[_LeafLateStart]]))</f>
        <v/>
      </c>
      <c r="AU134" s="63" t="str">
        <f aca="false">IF(Tasks[[#This Row],[Task Name]]="","",IF(Tasks[[#This Row],[_IsSummary]],MAX(INDEX(Tasks[_LeafLateFinish],Tasks[[#This Row],[_Row]]+1):INDEX(Tasks[_LeafLateFinish],Tasks[[#This Row],[_Row]]+Tasks[[#This Row],[_Descendants]])),Tasks[[#This Row],[_LeafLateFinish]]))</f>
        <v/>
      </c>
      <c r="AV134" s="47" t="str">
        <f aca="false">IF(Tasks[[#This Row],[Task Name]]="","",IF(Tasks[[#This Row],[_IsSummary]],MIN(INDEX(Tasks[_LeafTotalSlack],Tasks[[#This Row],[_Row]]+1):INDEX(Tasks[_LeafTotalSlack],Tasks[[#This Row],[_Row]]+Tasks[[#This Row],[_Descendants]])),Tasks[[#This Row],[_LeafTotalSlack]]))</f>
        <v/>
      </c>
      <c r="AW1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5"/>
      <c r="BA13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t="str">
        <f aca="false">IF(Tasks[[#This Row],[Task Name]]="","",IF(Tasks[[#This Row],[_Level]]&lt;=OutlineShowLevel,"Yes","No"))</f>
        <v/>
      </c>
      <c r="BE134" s="86" t="str">
        <f aca="false">IF(Tasks[[#This Row],[Task Name]]="","",IF(Tasks[[#This Row],[_IsSummary]],SUM(INDEX(Tasks[_LeafTotalWork],Tasks[[#This Row],[_Row]]+1):INDEX(Tasks[_LeafTotalWork],Tasks[[#This Row],[_Row]]+Tasks[[#This Row],[_Descendants]])),Tasks[[#This Row],[_LeafTotalWork]]))</f>
        <v/>
      </c>
      <c r="BF134" s="23"/>
      <c r="BG1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t="str">
        <f aca="false">""</f>
        <v/>
      </c>
      <c r="BI134" s="87"/>
      <c r="BJ134" s="22"/>
      <c r="BK134" s="47" t="str">
        <f aca="false">IF(OR(Tasks[[#This Row],[Task Name]]="",Tasks[[#This Row],[Baseline Duration]]=""),"",Tasks[[#This Row],[_SpanDays]]-N(Tasks[[#This Row],[Baseline Duration]]))</f>
        <v/>
      </c>
      <c r="BL134" s="86" t="str">
        <f aca="false">IF(OR(Tasks[[#This Row],[Task Name]]="",Tasks[[#This Row],[Baseline Work]]=""),"",Tasks[[#This Row],[Work]]-N(Tasks[[#This Row],[Baseline Work]]))</f>
        <v/>
      </c>
      <c r="BM134" s="63" t="str">
        <f aca="false">IF(Tasks[[#This Row],[Task Name]]="","",IF(OR(TakeBaseline="Yes",N(Tasks[[#This Row],[Baseline Start]])=0),Tasks[[#This Row],[Start]],Tasks[[#This Row],[Baseline Start]]))</f>
        <v/>
      </c>
      <c r="BN134" s="63" t="str">
        <f aca="false">IF(Tasks[[#This Row],[Task Name]]="","",IF(OR(TakeBaseline="Yes",N(Tasks[[#This Row],[Baseline Finish]])=0),Tasks[[#This Row],[Finish]],Tasks[[#This Row],[Baseline Finish]]))</f>
        <v/>
      </c>
      <c r="BO134" s="21" t="str">
        <f aca="false">IF(Tasks[[#This Row],[Task Name]]="","",IF(OR(TakeBaseline="Yes",N(Tasks[[#This Row],[Baseline Duration]])=0),Tasks[[#This Row],[_SpanDays]],Tasks[[#This Row],[Baseline Duration]]))</f>
        <v/>
      </c>
      <c r="BP134" s="86" t="str">
        <f aca="false">IF(Tasks[[#This Row],[Task Name]]="","",IF(OR(TakeBaseline="Yes",N(Tasks[[#This Row],[Baseline Work]])=0),Tasks[[#This Row],[Work]],Tasks[[#This Row],[Baseline Work]]))</f>
        <v/>
      </c>
      <c r="BQ134" s="7"/>
      <c r="BR134" s="7"/>
      <c r="BS134" s="22"/>
      <c r="BT134" s="88"/>
      <c r="BU134" s="23"/>
      <c r="BV134" s="23"/>
      <c r="BW134" s="23"/>
      <c r="BX134" s="89" t="str">
        <f aca="false">IF(AND(Tasks[[#This Row],[_IsLeaf]]=1,ISNUMBER(Tasks[[#This Row],[Optimistic]]),ISNUMBER(Tasks[[#This Row],[Pessimistic]])),ROUND((Tasks[[#This Row],[Optimistic]]+4*N(Tasks[[#This Row],[_Days]])+Tasks[[#This Row],[Pessimistic]])/6,1),"")</f>
        <v/>
      </c>
      <c r="BY134" s="87"/>
      <c r="BZ134" s="87"/>
      <c r="CA134" s="22"/>
      <c r="CB134" s="43" t="str">
        <f aca="false">IF(Tasks[[#This Row],[Task Name]]="","",MAX(1,N(Tasks[[#This Row],[Level]])))</f>
        <v/>
      </c>
      <c r="CC134" s="43" t="n">
        <f aca="false">ROW()-ROW(Tasks[[#Headers],[ID]])</f>
        <v>129</v>
      </c>
      <c r="CD134" s="43" t="n">
        <f aca="false">IF(OR(Tasks[[#This Row],[Task Name]]="",Tasks[[#This Row],[_Level]]&lt;=1),0,IFERROR(LOOKUP(2,1/(Tasks[[#Headers],[_Level]]:Tasks[[#This Row],[_Level]]=Tasks[[#This Row],[_Level]]-1),ROW(Tasks[[#Headers],[_Level]]:Tasks[[#This Row],[_Level]])),0))</f>
        <v>0</v>
      </c>
      <c r="CE134" s="43" t="n">
        <f aca="false">IFERROR(N(INDEX(Tasks[_Level],Tasks[[#This Row],[_Row]]+1)),0)</f>
        <v>0</v>
      </c>
      <c r="CF134" s="90" t="b">
        <f aca="false">AND(Tasks[[#This Row],[Task Name]]&lt;&gt;"",Tasks[[#This Row],[_NextLevel]]&gt;Tasks[[#This Row],[_Level]])</f>
        <v>0</v>
      </c>
      <c r="CG134" s="43" t="n">
        <f aca="false">IF(Tasks[[#This Row],[_IsSummary]],COUNTIF(Tasks[WBS],Tasks[[#This Row],[WBS]]&amp;".*"),0)</f>
        <v>0</v>
      </c>
      <c r="CH134" s="43" t="n">
        <f aca="false">IF(AND(Tasks[[#This Row],[Task Name]]&lt;&gt;"",NOT(Tasks[[#This Row],[_IsSummary]])),1,0)</f>
        <v>0</v>
      </c>
      <c r="CI134" s="43" t="n">
        <f aca="false">IF(N(Tasks[[#This Row],[_Pred1UID]])=0,0,IFERROR(MATCH(Tasks[[#This Row],[_Pred1UID]],Tasks[UID],0),-1))</f>
        <v>0</v>
      </c>
      <c r="CJ134" s="43" t="n">
        <f aca="false">IF(N(Tasks[[#This Row],[_Pred2UID]])=0,0,IFERROR(MATCH(Tasks[[#This Row],[_Pred2UID]],Tasks[UID],0),-1))</f>
        <v>0</v>
      </c>
      <c r="CK134" s="43" t="n">
        <f aca="false">IF(N(Tasks[[#This Row],[_Pred3UID]])=0,0,IFERROR(MATCH(Tasks[[#This Row],[_Pred3UID]],Tasks[UID],0),-1))</f>
        <v>0</v>
      </c>
      <c r="CL134" s="43" t="n">
        <f aca="false">IF(N(Tasks[[#This Row],[_Pred4UID]])=0,0,IFERROR(MATCH(Tasks[[#This Row],[_Pred4UID]],Tasks[UID],0),-1))</f>
        <v>0</v>
      </c>
      <c r="CM13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4" s="91" t="n">
        <f aca="false">IF(OR(Tasks[[#This Row],[_ConstraintCode]]=2,Tasks[[#This Row],[_ConstraintCode]]=3,Tasks[[#This Row],[_ConstraintCode]]=4,Tasks[[#This Row],[_ConstraintCode]]=6),Tasks[[#This Row],[_ConstraintStart]],0)</f>
        <v>0</v>
      </c>
      <c r="CP134" s="91" t="n">
        <f aca="false">IF(OR(Tasks[[#This Row],[_ConstraintCode]]=2,Tasks[[#This Row],[_ConstraintCode]]=3,Tasks[[#This Row],[_ConstraintCode]]=5,Tasks[[#This Row],[_ConstraintCode]]=7),Tasks[[#This Row],[_ConstraintStart]],2958465)</f>
        <v>2958465</v>
      </c>
      <c r="CQ13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4" s="91" t="str">
        <f aca="false">IF(NOT(Tasks[[#This Row],[_IsLeaf]]=1),"",IF(N(Tasks[[#This Row],[_Days]])&lt;=0,Tasks[[#This Row],[_LeafCalcStart]],WORKDAY.INTL(Tasks[[#This Row],[_LeafCalcStart]],Tasks[[#This Row],[_Days]]-1,WorkWeek,Holidays)))</f>
        <v/>
      </c>
      <c r="CS13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4" s="43" t="str">
        <f aca="false">IF(Tasks[[#This Row],[_Predecessors]]="","",TRIM(MID(SUBSTITUTE(SUBSTITUTE(SUBSTITUTE(UPPER(Tasks[[#This Row],[_Predecessors]]),";",",")," ",""),",",REPT(" ",99)),1,99)))</f>
        <v/>
      </c>
      <c r="CV134" s="43" t="str">
        <f aca="false">IF(Tasks[[#This Row],[_Pred1Text]]="","",IFERROR(VALUE(LEFT(Tasks[[#This Row],[_Pred1Text]],MIN(FIND("F",Tasks[[#This Row],[_Pred1Text]]&amp;"F"),FIND("S",Tasks[[#This Row],[_Pred1Text]]&amp;"S"),FIND("+",Tasks[[#This Row],[_Pred1Text]]&amp;"+"),FIND("-",Tasks[[#This Row],[_Pred1Text]]&amp;"-"))-1)),""))</f>
        <v/>
      </c>
      <c r="CW1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4" s="43" t="str">
        <f aca="false">IF(Tasks[[#This Row],[_Pred1Text]]="","",TRIM(MID(SUBSTITUTE(SUBSTITUTE(SUBSTITUTE(UPPER(Tasks[[#This Row],[_Predecessors]]),";",",")," ",""),",",REPT(" ",99)),100,99)))</f>
        <v/>
      </c>
      <c r="CZ134" s="43" t="str">
        <f aca="false">IF(Tasks[[#This Row],[_Pred2Text]]="","",IFERROR(VALUE(LEFT(Tasks[[#This Row],[_Pred2Text]],MIN(FIND("F",Tasks[[#This Row],[_Pred2Text]]&amp;"F"),FIND("S",Tasks[[#This Row],[_Pred2Text]]&amp;"S"),FIND("+",Tasks[[#This Row],[_Pred2Text]]&amp;"+"),FIND("-",Tasks[[#This Row],[_Pred2Text]]&amp;"-"))-1)),""))</f>
        <v/>
      </c>
      <c r="DA1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4" s="43" t="str">
        <f aca="false">IF(Tasks[[#This Row],[_Pred2Text]]="","",TRIM(MID(SUBSTITUTE(SUBSTITUTE(SUBSTITUTE(UPPER(Tasks[[#This Row],[_Predecessors]]),";",",")," ",""),",",REPT(" ",99)),199,99)))</f>
        <v/>
      </c>
      <c r="DD134" s="43" t="str">
        <f aca="false">IF(Tasks[[#This Row],[_Pred3Text]]="","",IFERROR(VALUE(LEFT(Tasks[[#This Row],[_Pred3Text]],MIN(FIND("F",Tasks[[#This Row],[_Pred3Text]]&amp;"F"),FIND("S",Tasks[[#This Row],[_Pred3Text]]&amp;"S"),FIND("+",Tasks[[#This Row],[_Pred3Text]]&amp;"+"),FIND("-",Tasks[[#This Row],[_Pred3Text]]&amp;"-"))-1)),""))</f>
        <v/>
      </c>
      <c r="DE1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4" s="43" t="str">
        <f aca="false">IF(Tasks[[#This Row],[_Pred3Text]]="","",TRIM(MID(SUBSTITUTE(SUBSTITUTE(SUBSTITUTE(UPPER(Tasks[[#This Row],[_Predecessors]]),";",",")," ",""),",",REPT(" ",99)),298,99)))</f>
        <v/>
      </c>
      <c r="DH134" s="43" t="str">
        <f aca="false">IF(Tasks[[#This Row],[_Pred4Text]]="","",IFERROR(VALUE(LEFT(Tasks[[#This Row],[_Pred4Text]],MIN(FIND("F",Tasks[[#This Row],[_Pred4Text]]&amp;"F"),FIND("S",Tasks[[#This Row],[_Pred4Text]]&amp;"S"),FIND("+",Tasks[[#This Row],[_Pred4Text]]&amp;"+"),FIND("-",Tasks[[#This Row],[_Pred4Text]]&amp;"-"))-1)),""))</f>
        <v/>
      </c>
      <c r="DI1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4" s="43" t="str">
        <f aca="false">IF(OR(Tasks[[#This Row],[Task Name]]="",Tasks[[#This Row],[_Resources]]=""),"",TRIM(MID(SUBSTITUTE(Tasks[[#This Row],[_Resources]],",",REPT(" ",99)),1,99)))</f>
        <v/>
      </c>
      <c r="DL134" s="43" t="str">
        <f aca="false">IF(Tasks[[#This Row],[_Res1Text]]="","",TRIM(MID(SUBSTITUTE(Tasks[[#This Row],[_Resources]],",",REPT(" ",99)),100,99)))</f>
        <v/>
      </c>
      <c r="DM134" s="43" t="str">
        <f aca="false">IF(Tasks[[#This Row],[_Res2Text]]="","",TRIM(MID(SUBSTITUTE(Tasks[[#This Row],[_Resources]],",",REPT(" ",99)),199,99)))</f>
        <v/>
      </c>
      <c r="DN134" s="43" t="str">
        <f aca="false">IF(Tasks[[#This Row],[_Res3Text]]="","",TRIM(MID(SUBSTITUTE(Tasks[[#This Row],[_Resources]],",",REPT(" ",99)),298,99)))</f>
        <v/>
      </c>
      <c r="DO134" s="43" t="n">
        <f aca="false">IF(Tasks[[#This Row],[_Res1Text]]="",0,IFERROR(MATCH(TRIM(LEFT(Tasks[[#This Row],[_Res1Text]],FIND("[",Tasks[[#This Row],[_Res1Text]]&amp;"[")-1)),res_Name,0),IFERROR(MATCH(TRIM(LEFT(Tasks[[#This Row],[_Res1Text]],FIND("[",Tasks[[#This Row],[_Res1Text]]&amp;"[")-1)),res_Initials,0),0)))</f>
        <v>0</v>
      </c>
      <c r="DP134" s="43" t="n">
        <f aca="false">IF(Tasks[[#This Row],[_Res2Text]]="",0,IFERROR(MATCH(TRIM(LEFT(Tasks[[#This Row],[_Res2Text]],FIND("[",Tasks[[#This Row],[_Res2Text]]&amp;"[")-1)),res_Name,0),IFERROR(MATCH(TRIM(LEFT(Tasks[[#This Row],[_Res2Text]],FIND("[",Tasks[[#This Row],[_Res2Text]]&amp;"[")-1)),res_Initials,0),0)))</f>
        <v>0</v>
      </c>
      <c r="DQ134" s="43" t="n">
        <f aca="false">IF(Tasks[[#This Row],[_Res3Text]]="",0,IFERROR(MATCH(TRIM(LEFT(Tasks[[#This Row],[_Res3Text]],FIND("[",Tasks[[#This Row],[_Res3Text]]&amp;"[")-1)),res_Name,0),IFERROR(MATCH(TRIM(LEFT(Tasks[[#This Row],[_Res3Text]],FIND("[",Tasks[[#This Row],[_Res3Text]]&amp;"[")-1)),res_Initials,0),0)))</f>
        <v>0</v>
      </c>
      <c r="DR134" s="43" t="n">
        <f aca="false">IF(Tasks[[#This Row],[_Res4Text]]="",0,IFERROR(MATCH(TRIM(LEFT(Tasks[[#This Row],[_Res4Text]],FIND("[",Tasks[[#This Row],[_Res4Text]]&amp;"[")-1)),res_Name,0),IFERROR(MATCH(TRIM(LEFT(Tasks[[#This Row],[_Res4Text]],FIND("[",Tasks[[#This Row],[_Res4Text]]&amp;"[")-1)),res_Initials,0),0)))</f>
        <v>0</v>
      </c>
      <c r="DS134" s="43" t="str">
        <f aca="false">IF(Tasks[[#This Row],[_Res1Text]]="","",IF(Tasks[[#This Row],[_Res1Row]]&gt;0,INDEX(res_Name,Tasks[[#This Row],[_Res1Row]]),TRIM(LEFT(Tasks[[#This Row],[_Res1Text]],FIND("[",Tasks[[#This Row],[_Res1Text]]&amp;"[")-1))))</f>
        <v/>
      </c>
      <c r="DT1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4" s="43" t="n">
        <f aca="false">IF(NOT(Tasks[[#This Row],[_IsLeaf]]=1),0,(Tasks[[#This Row],[_Resource1]]&lt;&gt;"")+(Tasks[[#This Row],[_Res2]]&lt;&gt;"")+(Tasks[[#This Row],[_Res3]]&lt;&gt;"")+(Tasks[[#This Row],[_Res4]]&lt;&gt;""))</f>
        <v>0</v>
      </c>
      <c r="DV134" s="43" t="str">
        <f aca="false">IF(Tasks[[#This Row],[_Res2Text]]="","",IF(Tasks[[#This Row],[_Res2Row]]&gt;0,INDEX(res_Name,Tasks[[#This Row],[_Res2Row]]),TRIM(LEFT(Tasks[[#This Row],[_Res2Text]],FIND("[",Tasks[[#This Row],[_Res2Text]]&amp;"[")-1))))</f>
        <v/>
      </c>
      <c r="DW1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4" s="43" t="n">
        <f aca="false">IF(OR(NOT(Tasks[[#This Row],[_IsLeaf]]=1),Tasks[[#This Row],[_Res2Row]]=0),0,N(Tasks[[#This Row],[_Days]])*HoursPerDay*IF(Tasks[[#This Row],[_Res2Units]]="",DefaultUnits,Tasks[[#This Row],[_Res2Units]]))</f>
        <v>0</v>
      </c>
      <c r="DY134" s="43" t="n">
        <f aca="false">IF(AND(AND(Tasks[[#This Row],[_IsLeaf]]=1,Tasks[[#This Row],[_LeafTotalWork]]&gt;0),Tasks[[#This Row],[_Res2Work]]&gt;0),Tasks[[#This Row],[_Res2Work]]/(Tasks[[#This Row],[_FinishWorkday]]-Tasks[[#This Row],[_StartWorkday]]+1),0)</f>
        <v>0</v>
      </c>
      <c r="DZ134" s="43" t="n">
        <f aca="false">Tasks[[#This Row],[_Res2WorkPerWD]]*MAX(0,Tasks[[#This Row],[_StartWorkday]]-1)</f>
        <v>0</v>
      </c>
      <c r="EA134" s="43" t="n">
        <f aca="false">Tasks[[#This Row],[_Res2Work]]*Tasks[[#This Row],[_LeafProgress]]</f>
        <v>0</v>
      </c>
      <c r="EB134" s="43" t="str">
        <f aca="false">IF(Tasks[[#This Row],[_Res3Text]]="","",IF(Tasks[[#This Row],[_Res3Row]]&gt;0,INDEX(res_Name,Tasks[[#This Row],[_Res3Row]]),TRIM(LEFT(Tasks[[#This Row],[_Res3Text]],FIND("[",Tasks[[#This Row],[_Res3Text]]&amp;"[")-1))))</f>
        <v/>
      </c>
      <c r="EC1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4" s="43" t="n">
        <f aca="false">IF(OR(NOT(Tasks[[#This Row],[_IsLeaf]]=1),Tasks[[#This Row],[_Res3Row]]=0),0,N(Tasks[[#This Row],[_Days]])*HoursPerDay*IF(Tasks[[#This Row],[_Res3Units]]="",DefaultUnits,Tasks[[#This Row],[_Res3Units]]))</f>
        <v>0</v>
      </c>
      <c r="EE134" s="43" t="n">
        <f aca="false">IF(AND(AND(Tasks[[#This Row],[_IsLeaf]]=1,Tasks[[#This Row],[_LeafTotalWork]]&gt;0),Tasks[[#This Row],[_Res3Work]]&gt;0),Tasks[[#This Row],[_Res3Work]]/(Tasks[[#This Row],[_FinishWorkday]]-Tasks[[#This Row],[_StartWorkday]]+1),0)</f>
        <v>0</v>
      </c>
      <c r="EF134" s="43" t="n">
        <f aca="false">Tasks[[#This Row],[_Res3WorkPerWD]]*MAX(0,Tasks[[#This Row],[_StartWorkday]]-1)</f>
        <v>0</v>
      </c>
      <c r="EG134" s="43" t="n">
        <f aca="false">Tasks[[#This Row],[_Res3Work]]*Tasks[[#This Row],[_LeafProgress]]</f>
        <v>0</v>
      </c>
      <c r="EH134" s="43" t="str">
        <f aca="false">IF(Tasks[[#This Row],[_Res4Text]]="","",IF(Tasks[[#This Row],[_Res4Row]]&gt;0,INDEX(res_Name,Tasks[[#This Row],[_Res4Row]]),TRIM(LEFT(Tasks[[#This Row],[_Res4Text]],FIND("[",Tasks[[#This Row],[_Res4Text]]&amp;"[")-1))))</f>
        <v/>
      </c>
      <c r="EI1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4" s="43" t="n">
        <f aca="false">IF(OR(NOT(Tasks[[#This Row],[_IsLeaf]]=1),Tasks[[#This Row],[_Res4Row]]=0),0,N(Tasks[[#This Row],[_Days]])*HoursPerDay*IF(Tasks[[#This Row],[_Res4Units]]="",DefaultUnits,Tasks[[#This Row],[_Res4Units]]))</f>
        <v>0</v>
      </c>
      <c r="EK134" s="43" t="n">
        <f aca="false">IF(AND(AND(Tasks[[#This Row],[_IsLeaf]]=1,Tasks[[#This Row],[_LeafTotalWork]]&gt;0),Tasks[[#This Row],[_Res4Work]]&gt;0),Tasks[[#This Row],[_Res4Work]]/(Tasks[[#This Row],[_FinishWorkday]]-Tasks[[#This Row],[_StartWorkday]]+1),0)</f>
        <v>0</v>
      </c>
      <c r="EL134" s="43" t="n">
        <f aca="false">Tasks[[#This Row],[_Res4WorkPerWD]]*MAX(0,Tasks[[#This Row],[_StartWorkday]]-1)</f>
        <v>0</v>
      </c>
      <c r="EM134" s="43" t="n">
        <f aca="false">Tasks[[#This Row],[_Res4Work]]*Tasks[[#This Row],[_LeafProgress]]</f>
        <v>0</v>
      </c>
      <c r="EN134" s="43" t="n">
        <f aca="false">IF(ISNUMBER(Tasks[[#This Row],[% Complete]]),Tasks[[#This Row],[% Complete]],IF(Tasks[[#This Row],[Stage]]="",0,IFERROR(INDEX(stg_Pct,MATCH(Tasks[[#This Row],[Stage]],stg_Name,0)),0)))</f>
        <v>0</v>
      </c>
      <c r="EO134" s="43" t="n">
        <f aca="false">IF(NOT(Tasks[[#This Row],[_IsLeaf]]=1),0,IF(N(Tasks[[#This Row],[Actual Finish]])&gt;0,1,MIN(1,Tasks[[#This Row],[_Pct]])))</f>
        <v>0</v>
      </c>
      <c r="EP134" s="43" t="n">
        <f aca="false">IF(OR(NOT(Tasks[[#This Row],[_IsLeaf]]=1),Tasks[[#This Row],[_Res1Row]]=0),0,N(Tasks[[#This Row],[_Days]])*HoursPerDay*IF(Tasks[[#This Row],[_Units1]]="",DefaultUnits,Tasks[[#This Row],[_Units1]]))</f>
        <v>0</v>
      </c>
      <c r="EQ134" s="43" t="n">
        <f aca="false">Tasks[[#This Row],[_LeafWork]]+Tasks[[#This Row],[_Res2Work]]+Tasks[[#This Row],[_Res3Work]]+Tasks[[#This Row],[_Res4Work]]</f>
        <v>0</v>
      </c>
      <c r="ER13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4" s="43" t="n">
        <f aca="false">IF(NOT(Tasks[[#This Row],[_IsLeaf]]=1),0,MAX(_xlfn.MAXIFS(Tasks[_Row],Tasks[_Pred1UID],Tasks[[#This Row],[UID]]),_xlfn.MAXIFS(Tasks[_Row],Tasks[_Pred2UID],Tasks[[#This Row],[UID]]),_xlfn.MAXIFS(Tasks[_Row],Tasks[_Pred3UID],Tasks[[#This Row],[UID]]),_xlfn.MAXIFS(Tasks[_Row],Tasks[_Pred4UID],Tasks[[#This Row],[UID]])))</f>
        <v>0</v>
      </c>
      <c r="FA13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4" s="91" t="str">
        <f aca="false">IF(NOT(Tasks[[#This Row],[_IsLeaf]]=1),"",IF(N(Tasks[[#This Row],[_Days]])&lt;=0,Tasks[[#This Row],[_LeafLateFinish]],WORKDAY.INTL(Tasks[[#This Row],[_LeafLateFinish]],-(Tasks[[#This Row],[_Days]]-1),WorkWeek,Holidays)))</f>
        <v/>
      </c>
      <c r="FD13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4" s="90" t="b">
        <f aca="false">AND(Tasks[[#This Row],[_IsLeaf]]=1,Tasks[[#This Row],[_LeafProgress]]&lt;1,N(Tasks[[#This Row],[_LeafTotalSlack]])&lt;=CriticalSlackDays)</f>
        <v>0</v>
      </c>
      <c r="FF134" s="43" t="n">
        <f aca="false">IF(AND(Tasks[[#This Row],[_IsLeaf]]=1,Tasks[[#This Row],[_ConstraintCode]]=1,Tasks[[#This Row],[Mode]]&lt;&gt;"Manual",N(Tasks[[#This Row],[Actual Start]])=0),MAX(0,N(Tasks[[#This Row],[Free Slack]])),0)</f>
        <v>0</v>
      </c>
      <c r="FG134" s="91" t="str">
        <f aca="false">IF(NOT(Tasks[[#This Row],[_IsLeaf]]=1),"",IF(Tasks[[#This Row],[_AlapShift]]=0,Tasks[[#This Row],[_LeafCalcStart]],WORKDAY.INTL(Tasks[[#This Row],[_LeafCalcStart]],Tasks[[#This Row],[_AlapShift]],WorkWeek,Holidays)))</f>
        <v/>
      </c>
      <c r="FH134" s="91" t="str">
        <f aca="false">IF(NOT(Tasks[[#This Row],[_IsLeaf]]=1),"",IF(Tasks[[#This Row],[_AlapShift]]=0,Tasks[[#This Row],[_LeafCalcFinish]],WORKDAY.INTL(Tasks[[#This Row],[_LeafCalcFinish]],Tasks[[#This Row],[_AlapShift]],WorkWeek,Holidays)))</f>
        <v/>
      </c>
      <c r="FI134" s="91" t="str">
        <f aca="false">IF(NOT(Tasks[[#This Row],[_IsLeaf]]=1),"",IF(Tasks[[#This Row],[_AlapShift]]=0,Tasks[[#This Row],[_LeafFcstStart]],WORKDAY.INTL(Tasks[[#This Row],[_LeafFcstStart]],Tasks[[#This Row],[_AlapShift]],WorkWeek,Holidays)))</f>
        <v/>
      </c>
      <c r="FJ134" s="91" t="str">
        <f aca="false">IF(NOT(Tasks[[#This Row],[_IsLeaf]]=1),"",IF(Tasks[[#This Row],[_AlapShift]]=0,Tasks[[#This Row],[_LeafFcstFinish]],WORKDAY.INTL(Tasks[[#This Row],[_LeafFcstFinish]],Tasks[[#This Row],[_AlapShift]],WorkWeek,Holidays)))</f>
        <v/>
      </c>
      <c r="FK134" s="91" t="str">
        <f aca="false">IF(Tasks[[#This Row],[Task Name]]="","",IF(Tasks[[#This Row],[_IsSummary]],MIN(INDEX(Tasks[_ShownCalcStart],Tasks[[#This Row],[_Row]]+1):INDEX(Tasks[_ShownCalcStart],Tasks[[#This Row],[_Row]]+Tasks[[#This Row],[_Descendants]])),Tasks[[#This Row],[_ShownCalcStart]]))</f>
        <v/>
      </c>
      <c r="FL134" s="91" t="str">
        <f aca="false">IF(Tasks[[#This Row],[Task Name]]="","",IF(Tasks[[#This Row],[_IsSummary]],MAX(INDEX(Tasks[_ShownCalcFinish],Tasks[[#This Row],[_Row]]+1):INDEX(Tasks[_ShownCalcFinish],Tasks[[#This Row],[_Row]]+Tasks[[#This Row],[_Descendants]])),Tasks[[#This Row],[_ShownCalcFinish]]))</f>
        <v/>
      </c>
      <c r="FM1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4" s="43" t="n">
        <f aca="false">IF(AND(Tasks[[#This Row],[_IsLeaf]]=1,Tasks[[#This Row],[_LeafTotalWork]]&gt;0),NETWORKDAYS.INTL(ProjectStart,Tasks[[#This Row],[_ShownFcstStart]],WorkWeek,Holidays),0)</f>
        <v>0</v>
      </c>
      <c r="FZ134" s="43" t="n">
        <f aca="false">IF(AND(Tasks[[#This Row],[_IsLeaf]]=1,Tasks[[#This Row],[_LeafTotalWork]]&gt;0),MAX(Tasks[[#This Row],[_StartWorkday]],NETWORKDAYS.INTL(ProjectStart,Tasks[[#This Row],[_ShownFcstFinish]],WorkWeek,Holidays)),0)</f>
        <v>0</v>
      </c>
      <c r="GA134" s="43" t="n">
        <f aca="false">IF(AND(Tasks[[#This Row],[_IsLeaf]]=1,Tasks[[#This Row],[_LeafTotalWork]]&gt;0),Tasks[[#This Row],[_LeafWork]]/(Tasks[[#This Row],[_FinishWorkday]]-Tasks[[#This Row],[_StartWorkday]]+1),0)</f>
        <v>0</v>
      </c>
      <c r="GB134" s="43" t="n">
        <f aca="false">Tasks[[#This Row],[_WorkPerWorkday]]*(Tasks[[#This Row],[_StartWorkday]]-1)</f>
        <v>-0</v>
      </c>
      <c r="GC134" s="43" t="n">
        <f aca="false">IF(Tasks[[#This Row],[_IsLeaf]]=1,MAX(N(Tasks[[#This Row],[_Days]]),0.1),0)</f>
        <v>0</v>
      </c>
      <c r="GD134" s="43" t="n">
        <f aca="false">Tasks[[#This Row],[_WeightDur]]*Tasks[[#This Row],[_LeafProgress]]</f>
        <v>0</v>
      </c>
      <c r="GE134" s="43" t="n">
        <f aca="false">Tasks[[#This Row],[_WeightDur]]*Tasks[[#This Row],[_PlannedPct]]</f>
        <v>0</v>
      </c>
      <c r="GF1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4" s="43" t="str">
        <f aca="false">IF(AND(Tasks[[#This Row],[_IsLeaf]]=1,N(Tasks[[#This Row],[_Days]])=0,Tasks[[#This Row],[_LeafProgress]]&lt;1),Tasks[[#This Row],[_ShownFcstFinish]]+Tasks[[#This Row],[_Row]]/100000,"")</f>
        <v/>
      </c>
      <c r="GH1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4" s="43" t="str">
        <f aca="false">IF(Tasks[[#This Row],[Task Name]]="","",LEFT(Tasks[[#This Row],[WBS]],FIND(".",Tasks[[#This Row],[WBS]]&amp;".")-1))</f>
        <v/>
      </c>
      <c r="GJ134" s="43" t="str">
        <f aca="false">IF(AND(Tasks[[#This Row],[Task Name]]&lt;&gt;"",Tasks[[#This Row],[_Level]]=1),Tasks[[#This Row],[_Row]],"")</f>
        <v/>
      </c>
      <c r="GK134" s="43" t="str">
        <f aca="false">IF(AND(Tasks[[#This Row],[_IsLeaf]]=1,N(Tasks[[#This Row],[_Days]])=0),Tasks[[#This Row],[Planned Finish]]+Tasks[[#This Row],[_Row]]/100000,"")</f>
        <v/>
      </c>
      <c r="GL134" s="43" t="str">
        <f aca="false">IF(AND(Tasks[[#This Row],[_IsLeaf]]=1,Tasks[[#This Row],[_LeafProgress]]&lt;1,OR(N(Tasks[[#This Row],[Finish Var]])&gt;0,Tasks[[#This Row],[Status]]="Late Start")),MAX(0,Tasks[[#This Row],[Finish Var]])+1-Tasks[[#This Row],[_Row]]/1000000,"")</f>
        <v/>
      </c>
      <c r="GM134" s="43" t="str">
        <f aca="false">IF(AND(Tasks[[#This Row],[_IsLeaf]]=1,N(Tasks[[#This Row],[Actual Start]])=0,Tasks[[#This Row],[_ShownFcstStart]]&gt;=StatusDate,Tasks[[#This Row],[_ShownFcstStart]]&lt;=LookaheadEnd),Tasks[[#This Row],[_ShownFcstStart]]+Tasks[[#This Row],[_Row]]/100000,"")</f>
        <v/>
      </c>
      <c r="GN134" s="43" t="str">
        <f aca="false">IF(AND(Tasks[[#This Row],[_IsLeaf]]=1,Tasks[[#This Row],[_LeafProgress]]&lt;1,Tasks[[#This Row],[_ShownFcstFinish]]&gt;=StatusDate,Tasks[[#This Row],[_ShownFcstFinish]]&lt;=LookaheadEnd),Tasks[[#This Row],[_ShownFcstFinish]]+Tasks[[#This Row],[_Row]]/100000,"")</f>
        <v/>
      </c>
      <c r="GO134" s="43" t="str">
        <f aca="false">IF(Tasks[[#This Row],[_LeafCritical]],Tasks[[#This Row],[_ShownFcstStart]]+Tasks[[#This Row],[_Row]]/100000,"")</f>
        <v/>
      </c>
      <c r="GP134" s="43" t="n">
        <f aca="false">Tasks[[#This Row],[_LeafWork]]*Tasks[[#This Row],[_LeafProgress]]</f>
        <v>0</v>
      </c>
      <c r="GQ134" s="91" t="str">
        <f aca="false">IF(AND(Tasks[[#This Row],[_IsLeaf]]=1,Tasks[[#This Row],[_LeafProgress]]&gt;=1),IF(N(Tasks[[#This Row],[Actual Finish]])&gt;0,Tasks[[#This Row],[Actual Finish]],Tasks[[#This Row],[_ShownFcstFinish]]),"")</f>
        <v/>
      </c>
      <c r="GR134" s="43" t="n">
        <f aca="false">IF(Tasks[[#This Row],[_IsLeaf]]=1,N(Tasks[[#This Row],[Story Points]]),0)</f>
        <v>0</v>
      </c>
      <c r="GS134" s="43" t="str">
        <f aca="false">""</f>
        <v/>
      </c>
      <c r="GT134" s="90" t="b">
        <f aca="false">IF(Tasks[[#This Row],[Task Name]]="",FALSE(),AND(Tasks[[#This Row],[_IsLeaf]]=1,N(Tasks[[#This Row],[_Days]])=0))</f>
        <v>0</v>
      </c>
      <c r="GU134" s="91" t="n">
        <f aca="false">IF(Tasks[[#This Row],[Task Name]]="",0,IF(AND(Tasks[[#This Row],[_IsLeaf]]=1,NOT(Tasks[[#This Row],[_IsMilestone]]),N(Tasks[[#This Row],[Progress]])&gt;0),Tasks[[#This Row],[Start]],0))</f>
        <v>0</v>
      </c>
      <c r="GV134" s="91" t="n">
        <f aca="false">IF(Tasks[[#This Row],[_DoneFrom]]=0,0,IF(Tasks[[#This Row],[Progress]]&gt;=1,Tasks[[#This Row],[Finish]],MAX(Tasks[[#This Row],[_DoneFrom]],Tasks[[#This Row],[Start]]+ROUND((Tasks[[#This Row],[Finish]]-Tasks[[#This Row],[Start]]+1)*Tasks[[#This Row],[Progress]],0)-1)))</f>
        <v>0</v>
      </c>
      <c r="GW134" s="91" t="n">
        <f aca="false">IF(Tasks[[#This Row],[Task Name]]="",0,IF(OR(NOT(Tasks[[#This Row],[_IsLeaf]]=1),Tasks[[#This Row],[_IsMilestone]],N(Tasks[[#This Row],[Progress]])&gt;=1),0,IF(Tasks[[#This Row],[_DoneTo]]&gt;0,Tasks[[#This Row],[_DoneTo]]+1,Tasks[[#This Row],[Start]])))</f>
        <v>0</v>
      </c>
      <c r="GX134" s="91" t="n">
        <f aca="false">IF(Tasks[[#This Row],[_RemFrom]]=0,0,Tasks[[#This Row],[Finish]])</f>
        <v>0</v>
      </c>
      <c r="GY134" s="90" t="b">
        <f aca="false">IF(Tasks[[#This Row],[Task Name]]="",FALSE(),OR(NOT(BaselineSet),N(Tasks[[#This Row],[Baseline Start]])&gt;0))</f>
        <v>0</v>
      </c>
      <c r="GZ13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4" s="92" t="str">
        <f aca="false">IF(Tasks[[#This Row],[_IsLeaf]]=1,Tasks[[#This Row],[_Row]],"")</f>
        <v/>
      </c>
      <c r="HD134" s="92" t="str">
        <f aca="false">IFERROR(INDEX(Tasks[UID],SMALL(Tasks[_PickKey],Tasks[[#This Row],[_Row]]))&amp;" "&amp;INDEX(Tasks[Task Name],SMALL(Tasks[_PickKey],Tasks[[#This Row],[_Row]])),"")</f>
        <v/>
      </c>
      <c r="HE134" s="43" t="str">
        <f aca="false">IF(Tasks[[#This Row],[Task Name]]="","",IF(Tasks[[#This Row],[_IsSummary]],NETWORKDAYS.INTL(Tasks[[#This Row],[Start]],Tasks[[#This Row],[Finish]],WorkWeek,Holidays),N(Tasks[[#This Row],[_Days]])))</f>
        <v/>
      </c>
      <c r="HF134" s="43" t="n">
        <f aca="false">IF(Tasks[[#This Row],[Expected]]="",0,((Tasks[[#This Row],[Pessimistic]]-Tasks[[#This Row],[Optimistic]])/6)^2)</f>
        <v>0</v>
      </c>
      <c r="HG134" s="43" t="n">
        <f aca="false">IF(Tasks[[#This Row],[Expected]]="",0,Tasks[[#This Row],[Expected]]-N(Tasks[[#This Row],[_Days]]))</f>
        <v>0</v>
      </c>
    </row>
    <row r="135" customFormat="false" ht="15" hidden="false" customHeight="false" outlineLevel="0" collapsed="false">
      <c r="A135" s="21" t="str">
        <f aca="false">IF(Tasks[[#This Row],[Task Name]]="","",COUNTA(Tasks[[#Headers],[Task Name]]:Tasks[[#This Row],[Task Name]])-1)</f>
        <v/>
      </c>
      <c r="B135" s="22" t="n">
        <v>143</v>
      </c>
      <c r="C135" s="22"/>
      <c r="D135" s="23"/>
      <c r="E135" s="22"/>
      <c r="F135" s="23"/>
      <c r="G135" s="22"/>
      <c r="H135" s="22"/>
      <c r="I135" s="23"/>
      <c r="J135" s="22"/>
      <c r="K135" s="22"/>
      <c r="L135" s="23"/>
      <c r="M135" s="22"/>
      <c r="N135" s="22"/>
      <c r="O135" s="23"/>
      <c r="P135" s="22"/>
      <c r="Q135" s="22"/>
      <c r="R135" s="23"/>
      <c r="S135" s="23"/>
      <c r="T135" s="84"/>
      <c r="U135" s="23"/>
      <c r="V135" s="84"/>
      <c r="W135" s="23"/>
      <c r="X135" s="84"/>
      <c r="Y135" s="23"/>
      <c r="Z135" s="84"/>
      <c r="AA135" s="23"/>
      <c r="AB135" s="23"/>
      <c r="AC135" s="7"/>
      <c r="AD135" s="7"/>
      <c r="AE135" s="63" t="str">
        <f aca="false">IF(Tasks[[#This Row],[Task Name]]="","",IF(Tasks[[#This Row],[_IsSummary]],MIN(INDEX(Tasks[_ShownFcstStart],Tasks[[#This Row],[_Row]]+1):INDEX(Tasks[_ShownFcstStart],Tasks[[#This Row],[_Row]]+Tasks[[#This Row],[_Descendants]])),Tasks[[#This Row],[_ShownFcstStart]]))</f>
        <v/>
      </c>
      <c r="AF135" s="63" t="str">
        <f aca="false">IF(Tasks[[#This Row],[Task Name]]="","",IF(Tasks[[#This Row],[_IsSummary]],MAX(INDEX(Tasks[_ShownFcstFinish],Tasks[[#This Row],[_Row]]+1):INDEX(Tasks[_ShownFcstFinish],Tasks[[#This Row],[_Row]]+Tasks[[#This Row],[_Descendants]])),Tasks[[#This Row],[_ShownFcstFinish]]))</f>
        <v/>
      </c>
      <c r="AG135" s="21" t="str">
        <f aca="false">""</f>
        <v/>
      </c>
      <c r="AH135" s="23"/>
      <c r="AI1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5" s="7"/>
      <c r="AK135" s="22"/>
      <c r="AL135" s="23"/>
      <c r="AM135" s="7"/>
      <c r="AN135" s="47" t="str">
        <f aca="false">IF(Tasks[[#This Row],[Task Name]]="","",IF(Tasks[[#This Row],[Finish]]&gt;=Tasks[[#This Row],[Planned Finish]],NETWORKDAYS.INTL(Tasks[[#This Row],[Planned Finish]],Tasks[[#This Row],[Finish]],WorkWeek,Holidays)-1,1-NETWORKDAYS.INTL(Tasks[[#This Row],[Finish]],Tasks[[#This Row],[Planned Finish]],WorkWeek,Holidays)))</f>
        <v/>
      </c>
      <c r="AO135" s="21" t="str">
        <f aca="false">IF(Tasks[[#This Row],[Task Name]]="","",IF(Tasks[[#This Row],[Progress]]&gt;=1,"Complete",IF(OR(N(Tasks[[#This Row],[Actual Start]])&gt;0,Tasks[[#This Row],[Progress]]&gt;0),IF(Tasks[[#This Row],[Finish Var]]&gt;0,"Behind","In Progress"),IF(Tasks[[#This Row],[Planned Start]]&lt;StatusDate,"Late Start","Not Started"))))</f>
        <v/>
      </c>
      <c r="AP135" s="21" t="str">
        <f aca="false">IF(Tasks[[#This Row],[Task Name]]="","",IF(IF(Tasks[[#This Row],[_IsSummary]],COUNTIF(INDEX(Tasks[_LeafCritical],Tasks[[#This Row],[_Row]]+1):INDEX(Tasks[_LeafCritical],Tasks[[#This Row],[_Row]]+Tasks[[#This Row],[_Descendants]]),TRUE())&gt;0,Tasks[[#This Row],[_LeafCritical]]),"Yes",""))</f>
        <v/>
      </c>
      <c r="AQ135" s="63" t="str">
        <f aca="false">IF(Tasks[[#This Row],[Task Name]]="","",IF(N(Tasks[[#This Row],[Baseline Start]])&gt;0,Tasks[[#This Row],[Baseline Start]],Tasks[[#This Row],[_CalcStart]]))</f>
        <v/>
      </c>
      <c r="AR135" s="63" t="str">
        <f aca="false">IF(Tasks[[#This Row],[Task Name]]="","",IF(N(Tasks[[#This Row],[Baseline Finish]])&gt;0,Tasks[[#This Row],[Baseline Finish]],Tasks[[#This Row],[_CalcFinish]]))</f>
        <v/>
      </c>
      <c r="AS135" s="47" t="str">
        <f aca="false">IF(Tasks[[#This Row],[Task Name]]="","",IF(Tasks[[#This Row],[Start]]&gt;=Tasks[[#This Row],[Planned Start]],NETWORKDAYS.INTL(Tasks[[#This Row],[Planned Start]],Tasks[[#This Row],[Start]],WorkWeek,Holidays)-1,1-NETWORKDAYS.INTL(Tasks[[#This Row],[Start]],Tasks[[#This Row],[Planned Start]],WorkWeek,Holidays)))</f>
        <v/>
      </c>
      <c r="AT135" s="63" t="str">
        <f aca="false">IF(Tasks[[#This Row],[Task Name]]="","",IF(Tasks[[#This Row],[_IsSummary]],MIN(INDEX(Tasks[_LeafLateStart],Tasks[[#This Row],[_Row]]+1):INDEX(Tasks[_LeafLateStart],Tasks[[#This Row],[_Row]]+Tasks[[#This Row],[_Descendants]])),Tasks[[#This Row],[_LeafLateStart]]))</f>
        <v/>
      </c>
      <c r="AU135" s="63" t="str">
        <f aca="false">IF(Tasks[[#This Row],[Task Name]]="","",IF(Tasks[[#This Row],[_IsSummary]],MAX(INDEX(Tasks[_LeafLateFinish],Tasks[[#This Row],[_Row]]+1):INDEX(Tasks[_LeafLateFinish],Tasks[[#This Row],[_Row]]+Tasks[[#This Row],[_Descendants]])),Tasks[[#This Row],[_LeafLateFinish]]))</f>
        <v/>
      </c>
      <c r="AV135" s="47" t="str">
        <f aca="false">IF(Tasks[[#This Row],[Task Name]]="","",IF(Tasks[[#This Row],[_IsSummary]],MIN(INDEX(Tasks[_LeafTotalSlack],Tasks[[#This Row],[_Row]]+1):INDEX(Tasks[_LeafTotalSlack],Tasks[[#This Row],[_Row]]+Tasks[[#This Row],[_Descendants]])),Tasks[[#This Row],[_LeafTotalSlack]]))</f>
        <v/>
      </c>
      <c r="AW1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5"/>
      <c r="BA13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t="str">
        <f aca="false">IF(Tasks[[#This Row],[Task Name]]="","",IF(Tasks[[#This Row],[_Level]]&lt;=OutlineShowLevel,"Yes","No"))</f>
        <v/>
      </c>
      <c r="BE135" s="86" t="str">
        <f aca="false">IF(Tasks[[#This Row],[Task Name]]="","",IF(Tasks[[#This Row],[_IsSummary]],SUM(INDEX(Tasks[_LeafTotalWork],Tasks[[#This Row],[_Row]]+1):INDEX(Tasks[_LeafTotalWork],Tasks[[#This Row],[_Row]]+Tasks[[#This Row],[_Descendants]])),Tasks[[#This Row],[_LeafTotalWork]]))</f>
        <v/>
      </c>
      <c r="BF135" s="23"/>
      <c r="BG1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t="str">
        <f aca="false">""</f>
        <v/>
      </c>
      <c r="BI135" s="87"/>
      <c r="BJ135" s="22"/>
      <c r="BK135" s="47" t="str">
        <f aca="false">IF(OR(Tasks[[#This Row],[Task Name]]="",Tasks[[#This Row],[Baseline Duration]]=""),"",Tasks[[#This Row],[_SpanDays]]-N(Tasks[[#This Row],[Baseline Duration]]))</f>
        <v/>
      </c>
      <c r="BL135" s="86" t="str">
        <f aca="false">IF(OR(Tasks[[#This Row],[Task Name]]="",Tasks[[#This Row],[Baseline Work]]=""),"",Tasks[[#This Row],[Work]]-N(Tasks[[#This Row],[Baseline Work]]))</f>
        <v/>
      </c>
      <c r="BM135" s="63" t="str">
        <f aca="false">IF(Tasks[[#This Row],[Task Name]]="","",IF(OR(TakeBaseline="Yes",N(Tasks[[#This Row],[Baseline Start]])=0),Tasks[[#This Row],[Start]],Tasks[[#This Row],[Baseline Start]]))</f>
        <v/>
      </c>
      <c r="BN135" s="63" t="str">
        <f aca="false">IF(Tasks[[#This Row],[Task Name]]="","",IF(OR(TakeBaseline="Yes",N(Tasks[[#This Row],[Baseline Finish]])=0),Tasks[[#This Row],[Finish]],Tasks[[#This Row],[Baseline Finish]]))</f>
        <v/>
      </c>
      <c r="BO135" s="21" t="str">
        <f aca="false">IF(Tasks[[#This Row],[Task Name]]="","",IF(OR(TakeBaseline="Yes",N(Tasks[[#This Row],[Baseline Duration]])=0),Tasks[[#This Row],[_SpanDays]],Tasks[[#This Row],[Baseline Duration]]))</f>
        <v/>
      </c>
      <c r="BP135" s="86" t="str">
        <f aca="false">IF(Tasks[[#This Row],[Task Name]]="","",IF(OR(TakeBaseline="Yes",N(Tasks[[#This Row],[Baseline Work]])=0),Tasks[[#This Row],[Work]],Tasks[[#This Row],[Baseline Work]]))</f>
        <v/>
      </c>
      <c r="BQ135" s="7"/>
      <c r="BR135" s="7"/>
      <c r="BS135" s="22"/>
      <c r="BT135" s="88"/>
      <c r="BU135" s="23"/>
      <c r="BV135" s="23"/>
      <c r="BW135" s="23"/>
      <c r="BX135" s="89" t="str">
        <f aca="false">IF(AND(Tasks[[#This Row],[_IsLeaf]]=1,ISNUMBER(Tasks[[#This Row],[Optimistic]]),ISNUMBER(Tasks[[#This Row],[Pessimistic]])),ROUND((Tasks[[#This Row],[Optimistic]]+4*N(Tasks[[#This Row],[_Days]])+Tasks[[#This Row],[Pessimistic]])/6,1),"")</f>
        <v/>
      </c>
      <c r="BY135" s="87"/>
      <c r="BZ135" s="87"/>
      <c r="CA135" s="22"/>
      <c r="CB135" s="43" t="str">
        <f aca="false">IF(Tasks[[#This Row],[Task Name]]="","",MAX(1,N(Tasks[[#This Row],[Level]])))</f>
        <v/>
      </c>
      <c r="CC135" s="43" t="n">
        <f aca="false">ROW()-ROW(Tasks[[#Headers],[ID]])</f>
        <v>130</v>
      </c>
      <c r="CD135" s="43" t="n">
        <f aca="false">IF(OR(Tasks[[#This Row],[Task Name]]="",Tasks[[#This Row],[_Level]]&lt;=1),0,IFERROR(LOOKUP(2,1/(Tasks[[#Headers],[_Level]]:Tasks[[#This Row],[_Level]]=Tasks[[#This Row],[_Level]]-1),ROW(Tasks[[#Headers],[_Level]]:Tasks[[#This Row],[_Level]])),0))</f>
        <v>0</v>
      </c>
      <c r="CE135" s="43" t="n">
        <f aca="false">IFERROR(N(INDEX(Tasks[_Level],Tasks[[#This Row],[_Row]]+1)),0)</f>
        <v>0</v>
      </c>
      <c r="CF135" s="90" t="b">
        <f aca="false">AND(Tasks[[#This Row],[Task Name]]&lt;&gt;"",Tasks[[#This Row],[_NextLevel]]&gt;Tasks[[#This Row],[_Level]])</f>
        <v>0</v>
      </c>
      <c r="CG135" s="43" t="n">
        <f aca="false">IF(Tasks[[#This Row],[_IsSummary]],COUNTIF(Tasks[WBS],Tasks[[#This Row],[WBS]]&amp;".*"),0)</f>
        <v>0</v>
      </c>
      <c r="CH135" s="43" t="n">
        <f aca="false">IF(AND(Tasks[[#This Row],[Task Name]]&lt;&gt;"",NOT(Tasks[[#This Row],[_IsSummary]])),1,0)</f>
        <v>0</v>
      </c>
      <c r="CI135" s="43" t="n">
        <f aca="false">IF(N(Tasks[[#This Row],[_Pred1UID]])=0,0,IFERROR(MATCH(Tasks[[#This Row],[_Pred1UID]],Tasks[UID],0),-1))</f>
        <v>0</v>
      </c>
      <c r="CJ135" s="43" t="n">
        <f aca="false">IF(N(Tasks[[#This Row],[_Pred2UID]])=0,0,IFERROR(MATCH(Tasks[[#This Row],[_Pred2UID]],Tasks[UID],0),-1))</f>
        <v>0</v>
      </c>
      <c r="CK135" s="43" t="n">
        <f aca="false">IF(N(Tasks[[#This Row],[_Pred3UID]])=0,0,IFERROR(MATCH(Tasks[[#This Row],[_Pred3UID]],Tasks[UID],0),-1))</f>
        <v>0</v>
      </c>
      <c r="CL135" s="43" t="n">
        <f aca="false">IF(N(Tasks[[#This Row],[_Pred4UID]])=0,0,IFERROR(MATCH(Tasks[[#This Row],[_Pred4UID]],Tasks[UID],0),-1))</f>
        <v>0</v>
      </c>
      <c r="CM13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5" s="91" t="n">
        <f aca="false">IF(OR(Tasks[[#This Row],[_ConstraintCode]]=2,Tasks[[#This Row],[_ConstraintCode]]=3,Tasks[[#This Row],[_ConstraintCode]]=4,Tasks[[#This Row],[_ConstraintCode]]=6),Tasks[[#This Row],[_ConstraintStart]],0)</f>
        <v>0</v>
      </c>
      <c r="CP135" s="91" t="n">
        <f aca="false">IF(OR(Tasks[[#This Row],[_ConstraintCode]]=2,Tasks[[#This Row],[_ConstraintCode]]=3,Tasks[[#This Row],[_ConstraintCode]]=5,Tasks[[#This Row],[_ConstraintCode]]=7),Tasks[[#This Row],[_ConstraintStart]],2958465)</f>
        <v>2958465</v>
      </c>
      <c r="CQ13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5" s="91" t="str">
        <f aca="false">IF(NOT(Tasks[[#This Row],[_IsLeaf]]=1),"",IF(N(Tasks[[#This Row],[_Days]])&lt;=0,Tasks[[#This Row],[_LeafCalcStart]],WORKDAY.INTL(Tasks[[#This Row],[_LeafCalcStart]],Tasks[[#This Row],[_Days]]-1,WorkWeek,Holidays)))</f>
        <v/>
      </c>
      <c r="CS13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5" s="43" t="str">
        <f aca="false">IF(Tasks[[#This Row],[_Predecessors]]="","",TRIM(MID(SUBSTITUTE(SUBSTITUTE(SUBSTITUTE(UPPER(Tasks[[#This Row],[_Predecessors]]),";",",")," ",""),",",REPT(" ",99)),1,99)))</f>
        <v/>
      </c>
      <c r="CV135" s="43" t="str">
        <f aca="false">IF(Tasks[[#This Row],[_Pred1Text]]="","",IFERROR(VALUE(LEFT(Tasks[[#This Row],[_Pred1Text]],MIN(FIND("F",Tasks[[#This Row],[_Pred1Text]]&amp;"F"),FIND("S",Tasks[[#This Row],[_Pred1Text]]&amp;"S"),FIND("+",Tasks[[#This Row],[_Pred1Text]]&amp;"+"),FIND("-",Tasks[[#This Row],[_Pred1Text]]&amp;"-"))-1)),""))</f>
        <v/>
      </c>
      <c r="CW1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5" s="43" t="str">
        <f aca="false">IF(Tasks[[#This Row],[_Pred1Text]]="","",TRIM(MID(SUBSTITUTE(SUBSTITUTE(SUBSTITUTE(UPPER(Tasks[[#This Row],[_Predecessors]]),";",",")," ",""),",",REPT(" ",99)),100,99)))</f>
        <v/>
      </c>
      <c r="CZ135" s="43" t="str">
        <f aca="false">IF(Tasks[[#This Row],[_Pred2Text]]="","",IFERROR(VALUE(LEFT(Tasks[[#This Row],[_Pred2Text]],MIN(FIND("F",Tasks[[#This Row],[_Pred2Text]]&amp;"F"),FIND("S",Tasks[[#This Row],[_Pred2Text]]&amp;"S"),FIND("+",Tasks[[#This Row],[_Pred2Text]]&amp;"+"),FIND("-",Tasks[[#This Row],[_Pred2Text]]&amp;"-"))-1)),""))</f>
        <v/>
      </c>
      <c r="DA1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5" s="43" t="str">
        <f aca="false">IF(Tasks[[#This Row],[_Pred2Text]]="","",TRIM(MID(SUBSTITUTE(SUBSTITUTE(SUBSTITUTE(UPPER(Tasks[[#This Row],[_Predecessors]]),";",",")," ",""),",",REPT(" ",99)),199,99)))</f>
        <v/>
      </c>
      <c r="DD135" s="43" t="str">
        <f aca="false">IF(Tasks[[#This Row],[_Pred3Text]]="","",IFERROR(VALUE(LEFT(Tasks[[#This Row],[_Pred3Text]],MIN(FIND("F",Tasks[[#This Row],[_Pred3Text]]&amp;"F"),FIND("S",Tasks[[#This Row],[_Pred3Text]]&amp;"S"),FIND("+",Tasks[[#This Row],[_Pred3Text]]&amp;"+"),FIND("-",Tasks[[#This Row],[_Pred3Text]]&amp;"-"))-1)),""))</f>
        <v/>
      </c>
      <c r="DE1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5" s="43" t="str">
        <f aca="false">IF(Tasks[[#This Row],[_Pred3Text]]="","",TRIM(MID(SUBSTITUTE(SUBSTITUTE(SUBSTITUTE(UPPER(Tasks[[#This Row],[_Predecessors]]),";",",")," ",""),",",REPT(" ",99)),298,99)))</f>
        <v/>
      </c>
      <c r="DH135" s="43" t="str">
        <f aca="false">IF(Tasks[[#This Row],[_Pred4Text]]="","",IFERROR(VALUE(LEFT(Tasks[[#This Row],[_Pred4Text]],MIN(FIND("F",Tasks[[#This Row],[_Pred4Text]]&amp;"F"),FIND("S",Tasks[[#This Row],[_Pred4Text]]&amp;"S"),FIND("+",Tasks[[#This Row],[_Pred4Text]]&amp;"+"),FIND("-",Tasks[[#This Row],[_Pred4Text]]&amp;"-"))-1)),""))</f>
        <v/>
      </c>
      <c r="DI1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5" s="43" t="str">
        <f aca="false">IF(OR(Tasks[[#This Row],[Task Name]]="",Tasks[[#This Row],[_Resources]]=""),"",TRIM(MID(SUBSTITUTE(Tasks[[#This Row],[_Resources]],",",REPT(" ",99)),1,99)))</f>
        <v/>
      </c>
      <c r="DL135" s="43" t="str">
        <f aca="false">IF(Tasks[[#This Row],[_Res1Text]]="","",TRIM(MID(SUBSTITUTE(Tasks[[#This Row],[_Resources]],",",REPT(" ",99)),100,99)))</f>
        <v/>
      </c>
      <c r="DM135" s="43" t="str">
        <f aca="false">IF(Tasks[[#This Row],[_Res2Text]]="","",TRIM(MID(SUBSTITUTE(Tasks[[#This Row],[_Resources]],",",REPT(" ",99)),199,99)))</f>
        <v/>
      </c>
      <c r="DN135" s="43" t="str">
        <f aca="false">IF(Tasks[[#This Row],[_Res3Text]]="","",TRIM(MID(SUBSTITUTE(Tasks[[#This Row],[_Resources]],",",REPT(" ",99)),298,99)))</f>
        <v/>
      </c>
      <c r="DO135" s="43" t="n">
        <f aca="false">IF(Tasks[[#This Row],[_Res1Text]]="",0,IFERROR(MATCH(TRIM(LEFT(Tasks[[#This Row],[_Res1Text]],FIND("[",Tasks[[#This Row],[_Res1Text]]&amp;"[")-1)),res_Name,0),IFERROR(MATCH(TRIM(LEFT(Tasks[[#This Row],[_Res1Text]],FIND("[",Tasks[[#This Row],[_Res1Text]]&amp;"[")-1)),res_Initials,0),0)))</f>
        <v>0</v>
      </c>
      <c r="DP135" s="43" t="n">
        <f aca="false">IF(Tasks[[#This Row],[_Res2Text]]="",0,IFERROR(MATCH(TRIM(LEFT(Tasks[[#This Row],[_Res2Text]],FIND("[",Tasks[[#This Row],[_Res2Text]]&amp;"[")-1)),res_Name,0),IFERROR(MATCH(TRIM(LEFT(Tasks[[#This Row],[_Res2Text]],FIND("[",Tasks[[#This Row],[_Res2Text]]&amp;"[")-1)),res_Initials,0),0)))</f>
        <v>0</v>
      </c>
      <c r="DQ135" s="43" t="n">
        <f aca="false">IF(Tasks[[#This Row],[_Res3Text]]="",0,IFERROR(MATCH(TRIM(LEFT(Tasks[[#This Row],[_Res3Text]],FIND("[",Tasks[[#This Row],[_Res3Text]]&amp;"[")-1)),res_Name,0),IFERROR(MATCH(TRIM(LEFT(Tasks[[#This Row],[_Res3Text]],FIND("[",Tasks[[#This Row],[_Res3Text]]&amp;"[")-1)),res_Initials,0),0)))</f>
        <v>0</v>
      </c>
      <c r="DR135" s="43" t="n">
        <f aca="false">IF(Tasks[[#This Row],[_Res4Text]]="",0,IFERROR(MATCH(TRIM(LEFT(Tasks[[#This Row],[_Res4Text]],FIND("[",Tasks[[#This Row],[_Res4Text]]&amp;"[")-1)),res_Name,0),IFERROR(MATCH(TRIM(LEFT(Tasks[[#This Row],[_Res4Text]],FIND("[",Tasks[[#This Row],[_Res4Text]]&amp;"[")-1)),res_Initials,0),0)))</f>
        <v>0</v>
      </c>
      <c r="DS135" s="43" t="str">
        <f aca="false">IF(Tasks[[#This Row],[_Res1Text]]="","",IF(Tasks[[#This Row],[_Res1Row]]&gt;0,INDEX(res_Name,Tasks[[#This Row],[_Res1Row]]),TRIM(LEFT(Tasks[[#This Row],[_Res1Text]],FIND("[",Tasks[[#This Row],[_Res1Text]]&amp;"[")-1))))</f>
        <v/>
      </c>
      <c r="DT1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5" s="43" t="n">
        <f aca="false">IF(NOT(Tasks[[#This Row],[_IsLeaf]]=1),0,(Tasks[[#This Row],[_Resource1]]&lt;&gt;"")+(Tasks[[#This Row],[_Res2]]&lt;&gt;"")+(Tasks[[#This Row],[_Res3]]&lt;&gt;"")+(Tasks[[#This Row],[_Res4]]&lt;&gt;""))</f>
        <v>0</v>
      </c>
      <c r="DV135" s="43" t="str">
        <f aca="false">IF(Tasks[[#This Row],[_Res2Text]]="","",IF(Tasks[[#This Row],[_Res2Row]]&gt;0,INDEX(res_Name,Tasks[[#This Row],[_Res2Row]]),TRIM(LEFT(Tasks[[#This Row],[_Res2Text]],FIND("[",Tasks[[#This Row],[_Res2Text]]&amp;"[")-1))))</f>
        <v/>
      </c>
      <c r="DW1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5" s="43" t="n">
        <f aca="false">IF(OR(NOT(Tasks[[#This Row],[_IsLeaf]]=1),Tasks[[#This Row],[_Res2Row]]=0),0,N(Tasks[[#This Row],[_Days]])*HoursPerDay*IF(Tasks[[#This Row],[_Res2Units]]="",DefaultUnits,Tasks[[#This Row],[_Res2Units]]))</f>
        <v>0</v>
      </c>
      <c r="DY135" s="43" t="n">
        <f aca="false">IF(AND(AND(Tasks[[#This Row],[_IsLeaf]]=1,Tasks[[#This Row],[_LeafTotalWork]]&gt;0),Tasks[[#This Row],[_Res2Work]]&gt;0),Tasks[[#This Row],[_Res2Work]]/(Tasks[[#This Row],[_FinishWorkday]]-Tasks[[#This Row],[_StartWorkday]]+1),0)</f>
        <v>0</v>
      </c>
      <c r="DZ135" s="43" t="n">
        <f aca="false">Tasks[[#This Row],[_Res2WorkPerWD]]*MAX(0,Tasks[[#This Row],[_StartWorkday]]-1)</f>
        <v>0</v>
      </c>
      <c r="EA135" s="43" t="n">
        <f aca="false">Tasks[[#This Row],[_Res2Work]]*Tasks[[#This Row],[_LeafProgress]]</f>
        <v>0</v>
      </c>
      <c r="EB135" s="43" t="str">
        <f aca="false">IF(Tasks[[#This Row],[_Res3Text]]="","",IF(Tasks[[#This Row],[_Res3Row]]&gt;0,INDEX(res_Name,Tasks[[#This Row],[_Res3Row]]),TRIM(LEFT(Tasks[[#This Row],[_Res3Text]],FIND("[",Tasks[[#This Row],[_Res3Text]]&amp;"[")-1))))</f>
        <v/>
      </c>
      <c r="EC1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5" s="43" t="n">
        <f aca="false">IF(OR(NOT(Tasks[[#This Row],[_IsLeaf]]=1),Tasks[[#This Row],[_Res3Row]]=0),0,N(Tasks[[#This Row],[_Days]])*HoursPerDay*IF(Tasks[[#This Row],[_Res3Units]]="",DefaultUnits,Tasks[[#This Row],[_Res3Units]]))</f>
        <v>0</v>
      </c>
      <c r="EE135" s="43" t="n">
        <f aca="false">IF(AND(AND(Tasks[[#This Row],[_IsLeaf]]=1,Tasks[[#This Row],[_LeafTotalWork]]&gt;0),Tasks[[#This Row],[_Res3Work]]&gt;0),Tasks[[#This Row],[_Res3Work]]/(Tasks[[#This Row],[_FinishWorkday]]-Tasks[[#This Row],[_StartWorkday]]+1),0)</f>
        <v>0</v>
      </c>
      <c r="EF135" s="43" t="n">
        <f aca="false">Tasks[[#This Row],[_Res3WorkPerWD]]*MAX(0,Tasks[[#This Row],[_StartWorkday]]-1)</f>
        <v>0</v>
      </c>
      <c r="EG135" s="43" t="n">
        <f aca="false">Tasks[[#This Row],[_Res3Work]]*Tasks[[#This Row],[_LeafProgress]]</f>
        <v>0</v>
      </c>
      <c r="EH135" s="43" t="str">
        <f aca="false">IF(Tasks[[#This Row],[_Res4Text]]="","",IF(Tasks[[#This Row],[_Res4Row]]&gt;0,INDEX(res_Name,Tasks[[#This Row],[_Res4Row]]),TRIM(LEFT(Tasks[[#This Row],[_Res4Text]],FIND("[",Tasks[[#This Row],[_Res4Text]]&amp;"[")-1))))</f>
        <v/>
      </c>
      <c r="EI1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5" s="43" t="n">
        <f aca="false">IF(OR(NOT(Tasks[[#This Row],[_IsLeaf]]=1),Tasks[[#This Row],[_Res4Row]]=0),0,N(Tasks[[#This Row],[_Days]])*HoursPerDay*IF(Tasks[[#This Row],[_Res4Units]]="",DefaultUnits,Tasks[[#This Row],[_Res4Units]]))</f>
        <v>0</v>
      </c>
      <c r="EK135" s="43" t="n">
        <f aca="false">IF(AND(AND(Tasks[[#This Row],[_IsLeaf]]=1,Tasks[[#This Row],[_LeafTotalWork]]&gt;0),Tasks[[#This Row],[_Res4Work]]&gt;0),Tasks[[#This Row],[_Res4Work]]/(Tasks[[#This Row],[_FinishWorkday]]-Tasks[[#This Row],[_StartWorkday]]+1),0)</f>
        <v>0</v>
      </c>
      <c r="EL135" s="43" t="n">
        <f aca="false">Tasks[[#This Row],[_Res4WorkPerWD]]*MAX(0,Tasks[[#This Row],[_StartWorkday]]-1)</f>
        <v>0</v>
      </c>
      <c r="EM135" s="43" t="n">
        <f aca="false">Tasks[[#This Row],[_Res4Work]]*Tasks[[#This Row],[_LeafProgress]]</f>
        <v>0</v>
      </c>
      <c r="EN135" s="43" t="n">
        <f aca="false">IF(ISNUMBER(Tasks[[#This Row],[% Complete]]),Tasks[[#This Row],[% Complete]],IF(Tasks[[#This Row],[Stage]]="",0,IFERROR(INDEX(stg_Pct,MATCH(Tasks[[#This Row],[Stage]],stg_Name,0)),0)))</f>
        <v>0</v>
      </c>
      <c r="EO135" s="43" t="n">
        <f aca="false">IF(NOT(Tasks[[#This Row],[_IsLeaf]]=1),0,IF(N(Tasks[[#This Row],[Actual Finish]])&gt;0,1,MIN(1,Tasks[[#This Row],[_Pct]])))</f>
        <v>0</v>
      </c>
      <c r="EP135" s="43" t="n">
        <f aca="false">IF(OR(NOT(Tasks[[#This Row],[_IsLeaf]]=1),Tasks[[#This Row],[_Res1Row]]=0),0,N(Tasks[[#This Row],[_Days]])*HoursPerDay*IF(Tasks[[#This Row],[_Units1]]="",DefaultUnits,Tasks[[#This Row],[_Units1]]))</f>
        <v>0</v>
      </c>
      <c r="EQ135" s="43" t="n">
        <f aca="false">Tasks[[#This Row],[_LeafWork]]+Tasks[[#This Row],[_Res2Work]]+Tasks[[#This Row],[_Res3Work]]+Tasks[[#This Row],[_Res4Work]]</f>
        <v>0</v>
      </c>
      <c r="ER13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5" s="43" t="n">
        <f aca="false">IF(NOT(Tasks[[#This Row],[_IsLeaf]]=1),0,MAX(_xlfn.MAXIFS(Tasks[_Row],Tasks[_Pred1UID],Tasks[[#This Row],[UID]]),_xlfn.MAXIFS(Tasks[_Row],Tasks[_Pred2UID],Tasks[[#This Row],[UID]]),_xlfn.MAXIFS(Tasks[_Row],Tasks[_Pred3UID],Tasks[[#This Row],[UID]]),_xlfn.MAXIFS(Tasks[_Row],Tasks[_Pred4UID],Tasks[[#This Row],[UID]])))</f>
        <v>0</v>
      </c>
      <c r="FA13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5" s="91" t="str">
        <f aca="false">IF(NOT(Tasks[[#This Row],[_IsLeaf]]=1),"",IF(N(Tasks[[#This Row],[_Days]])&lt;=0,Tasks[[#This Row],[_LeafLateFinish]],WORKDAY.INTL(Tasks[[#This Row],[_LeafLateFinish]],-(Tasks[[#This Row],[_Days]]-1),WorkWeek,Holidays)))</f>
        <v/>
      </c>
      <c r="FD13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5" s="90" t="b">
        <f aca="false">AND(Tasks[[#This Row],[_IsLeaf]]=1,Tasks[[#This Row],[_LeafProgress]]&lt;1,N(Tasks[[#This Row],[_LeafTotalSlack]])&lt;=CriticalSlackDays)</f>
        <v>0</v>
      </c>
      <c r="FF135" s="43" t="n">
        <f aca="false">IF(AND(Tasks[[#This Row],[_IsLeaf]]=1,Tasks[[#This Row],[_ConstraintCode]]=1,Tasks[[#This Row],[Mode]]&lt;&gt;"Manual",N(Tasks[[#This Row],[Actual Start]])=0),MAX(0,N(Tasks[[#This Row],[Free Slack]])),0)</f>
        <v>0</v>
      </c>
      <c r="FG135" s="91" t="str">
        <f aca="false">IF(NOT(Tasks[[#This Row],[_IsLeaf]]=1),"",IF(Tasks[[#This Row],[_AlapShift]]=0,Tasks[[#This Row],[_LeafCalcStart]],WORKDAY.INTL(Tasks[[#This Row],[_LeafCalcStart]],Tasks[[#This Row],[_AlapShift]],WorkWeek,Holidays)))</f>
        <v/>
      </c>
      <c r="FH135" s="91" t="str">
        <f aca="false">IF(NOT(Tasks[[#This Row],[_IsLeaf]]=1),"",IF(Tasks[[#This Row],[_AlapShift]]=0,Tasks[[#This Row],[_LeafCalcFinish]],WORKDAY.INTL(Tasks[[#This Row],[_LeafCalcFinish]],Tasks[[#This Row],[_AlapShift]],WorkWeek,Holidays)))</f>
        <v/>
      </c>
      <c r="FI135" s="91" t="str">
        <f aca="false">IF(NOT(Tasks[[#This Row],[_IsLeaf]]=1),"",IF(Tasks[[#This Row],[_AlapShift]]=0,Tasks[[#This Row],[_LeafFcstStart]],WORKDAY.INTL(Tasks[[#This Row],[_LeafFcstStart]],Tasks[[#This Row],[_AlapShift]],WorkWeek,Holidays)))</f>
        <v/>
      </c>
      <c r="FJ135" s="91" t="str">
        <f aca="false">IF(NOT(Tasks[[#This Row],[_IsLeaf]]=1),"",IF(Tasks[[#This Row],[_AlapShift]]=0,Tasks[[#This Row],[_LeafFcstFinish]],WORKDAY.INTL(Tasks[[#This Row],[_LeafFcstFinish]],Tasks[[#This Row],[_AlapShift]],WorkWeek,Holidays)))</f>
        <v/>
      </c>
      <c r="FK135" s="91" t="str">
        <f aca="false">IF(Tasks[[#This Row],[Task Name]]="","",IF(Tasks[[#This Row],[_IsSummary]],MIN(INDEX(Tasks[_ShownCalcStart],Tasks[[#This Row],[_Row]]+1):INDEX(Tasks[_ShownCalcStart],Tasks[[#This Row],[_Row]]+Tasks[[#This Row],[_Descendants]])),Tasks[[#This Row],[_ShownCalcStart]]))</f>
        <v/>
      </c>
      <c r="FL135" s="91" t="str">
        <f aca="false">IF(Tasks[[#This Row],[Task Name]]="","",IF(Tasks[[#This Row],[_IsSummary]],MAX(INDEX(Tasks[_ShownCalcFinish],Tasks[[#This Row],[_Row]]+1):INDEX(Tasks[_ShownCalcFinish],Tasks[[#This Row],[_Row]]+Tasks[[#This Row],[_Descendants]])),Tasks[[#This Row],[_ShownCalcFinish]]))</f>
        <v/>
      </c>
      <c r="FM1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5" s="43" t="n">
        <f aca="false">IF(AND(Tasks[[#This Row],[_IsLeaf]]=1,Tasks[[#This Row],[_LeafTotalWork]]&gt;0),NETWORKDAYS.INTL(ProjectStart,Tasks[[#This Row],[_ShownFcstStart]],WorkWeek,Holidays),0)</f>
        <v>0</v>
      </c>
      <c r="FZ135" s="43" t="n">
        <f aca="false">IF(AND(Tasks[[#This Row],[_IsLeaf]]=1,Tasks[[#This Row],[_LeafTotalWork]]&gt;0),MAX(Tasks[[#This Row],[_StartWorkday]],NETWORKDAYS.INTL(ProjectStart,Tasks[[#This Row],[_ShownFcstFinish]],WorkWeek,Holidays)),0)</f>
        <v>0</v>
      </c>
      <c r="GA135" s="43" t="n">
        <f aca="false">IF(AND(Tasks[[#This Row],[_IsLeaf]]=1,Tasks[[#This Row],[_LeafTotalWork]]&gt;0),Tasks[[#This Row],[_LeafWork]]/(Tasks[[#This Row],[_FinishWorkday]]-Tasks[[#This Row],[_StartWorkday]]+1),0)</f>
        <v>0</v>
      </c>
      <c r="GB135" s="43" t="n">
        <f aca="false">Tasks[[#This Row],[_WorkPerWorkday]]*(Tasks[[#This Row],[_StartWorkday]]-1)</f>
        <v>-0</v>
      </c>
      <c r="GC135" s="43" t="n">
        <f aca="false">IF(Tasks[[#This Row],[_IsLeaf]]=1,MAX(N(Tasks[[#This Row],[_Days]]),0.1),0)</f>
        <v>0</v>
      </c>
      <c r="GD135" s="43" t="n">
        <f aca="false">Tasks[[#This Row],[_WeightDur]]*Tasks[[#This Row],[_LeafProgress]]</f>
        <v>0</v>
      </c>
      <c r="GE135" s="43" t="n">
        <f aca="false">Tasks[[#This Row],[_WeightDur]]*Tasks[[#This Row],[_PlannedPct]]</f>
        <v>0</v>
      </c>
      <c r="GF1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5" s="43" t="str">
        <f aca="false">IF(AND(Tasks[[#This Row],[_IsLeaf]]=1,N(Tasks[[#This Row],[_Days]])=0,Tasks[[#This Row],[_LeafProgress]]&lt;1),Tasks[[#This Row],[_ShownFcstFinish]]+Tasks[[#This Row],[_Row]]/100000,"")</f>
        <v/>
      </c>
      <c r="GH1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5" s="43" t="str">
        <f aca="false">IF(Tasks[[#This Row],[Task Name]]="","",LEFT(Tasks[[#This Row],[WBS]],FIND(".",Tasks[[#This Row],[WBS]]&amp;".")-1))</f>
        <v/>
      </c>
      <c r="GJ135" s="43" t="str">
        <f aca="false">IF(AND(Tasks[[#This Row],[Task Name]]&lt;&gt;"",Tasks[[#This Row],[_Level]]=1),Tasks[[#This Row],[_Row]],"")</f>
        <v/>
      </c>
      <c r="GK135" s="43" t="str">
        <f aca="false">IF(AND(Tasks[[#This Row],[_IsLeaf]]=1,N(Tasks[[#This Row],[_Days]])=0),Tasks[[#This Row],[Planned Finish]]+Tasks[[#This Row],[_Row]]/100000,"")</f>
        <v/>
      </c>
      <c r="GL135" s="43" t="str">
        <f aca="false">IF(AND(Tasks[[#This Row],[_IsLeaf]]=1,Tasks[[#This Row],[_LeafProgress]]&lt;1,OR(N(Tasks[[#This Row],[Finish Var]])&gt;0,Tasks[[#This Row],[Status]]="Late Start")),MAX(0,Tasks[[#This Row],[Finish Var]])+1-Tasks[[#This Row],[_Row]]/1000000,"")</f>
        <v/>
      </c>
      <c r="GM135" s="43" t="str">
        <f aca="false">IF(AND(Tasks[[#This Row],[_IsLeaf]]=1,N(Tasks[[#This Row],[Actual Start]])=0,Tasks[[#This Row],[_ShownFcstStart]]&gt;=StatusDate,Tasks[[#This Row],[_ShownFcstStart]]&lt;=LookaheadEnd),Tasks[[#This Row],[_ShownFcstStart]]+Tasks[[#This Row],[_Row]]/100000,"")</f>
        <v/>
      </c>
      <c r="GN135" s="43" t="str">
        <f aca="false">IF(AND(Tasks[[#This Row],[_IsLeaf]]=1,Tasks[[#This Row],[_LeafProgress]]&lt;1,Tasks[[#This Row],[_ShownFcstFinish]]&gt;=StatusDate,Tasks[[#This Row],[_ShownFcstFinish]]&lt;=LookaheadEnd),Tasks[[#This Row],[_ShownFcstFinish]]+Tasks[[#This Row],[_Row]]/100000,"")</f>
        <v/>
      </c>
      <c r="GO135" s="43" t="str">
        <f aca="false">IF(Tasks[[#This Row],[_LeafCritical]],Tasks[[#This Row],[_ShownFcstStart]]+Tasks[[#This Row],[_Row]]/100000,"")</f>
        <v/>
      </c>
      <c r="GP135" s="43" t="n">
        <f aca="false">Tasks[[#This Row],[_LeafWork]]*Tasks[[#This Row],[_LeafProgress]]</f>
        <v>0</v>
      </c>
      <c r="GQ135" s="91" t="str">
        <f aca="false">IF(AND(Tasks[[#This Row],[_IsLeaf]]=1,Tasks[[#This Row],[_LeafProgress]]&gt;=1),IF(N(Tasks[[#This Row],[Actual Finish]])&gt;0,Tasks[[#This Row],[Actual Finish]],Tasks[[#This Row],[_ShownFcstFinish]]),"")</f>
        <v/>
      </c>
      <c r="GR135" s="43" t="n">
        <f aca="false">IF(Tasks[[#This Row],[_IsLeaf]]=1,N(Tasks[[#This Row],[Story Points]]),0)</f>
        <v>0</v>
      </c>
      <c r="GS135" s="43" t="str">
        <f aca="false">""</f>
        <v/>
      </c>
      <c r="GT135" s="90" t="b">
        <f aca="false">IF(Tasks[[#This Row],[Task Name]]="",FALSE(),AND(Tasks[[#This Row],[_IsLeaf]]=1,N(Tasks[[#This Row],[_Days]])=0))</f>
        <v>0</v>
      </c>
      <c r="GU135" s="91" t="n">
        <f aca="false">IF(Tasks[[#This Row],[Task Name]]="",0,IF(AND(Tasks[[#This Row],[_IsLeaf]]=1,NOT(Tasks[[#This Row],[_IsMilestone]]),N(Tasks[[#This Row],[Progress]])&gt;0),Tasks[[#This Row],[Start]],0))</f>
        <v>0</v>
      </c>
      <c r="GV135" s="91" t="n">
        <f aca="false">IF(Tasks[[#This Row],[_DoneFrom]]=0,0,IF(Tasks[[#This Row],[Progress]]&gt;=1,Tasks[[#This Row],[Finish]],MAX(Tasks[[#This Row],[_DoneFrom]],Tasks[[#This Row],[Start]]+ROUND((Tasks[[#This Row],[Finish]]-Tasks[[#This Row],[Start]]+1)*Tasks[[#This Row],[Progress]],0)-1)))</f>
        <v>0</v>
      </c>
      <c r="GW135" s="91" t="n">
        <f aca="false">IF(Tasks[[#This Row],[Task Name]]="",0,IF(OR(NOT(Tasks[[#This Row],[_IsLeaf]]=1),Tasks[[#This Row],[_IsMilestone]],N(Tasks[[#This Row],[Progress]])&gt;=1),0,IF(Tasks[[#This Row],[_DoneTo]]&gt;0,Tasks[[#This Row],[_DoneTo]]+1,Tasks[[#This Row],[Start]])))</f>
        <v>0</v>
      </c>
      <c r="GX135" s="91" t="n">
        <f aca="false">IF(Tasks[[#This Row],[_RemFrom]]=0,0,Tasks[[#This Row],[Finish]])</f>
        <v>0</v>
      </c>
      <c r="GY135" s="90" t="b">
        <f aca="false">IF(Tasks[[#This Row],[Task Name]]="",FALSE(),OR(NOT(BaselineSet),N(Tasks[[#This Row],[Baseline Start]])&gt;0))</f>
        <v>0</v>
      </c>
      <c r="GZ13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5" s="92" t="str">
        <f aca="false">IF(Tasks[[#This Row],[_IsLeaf]]=1,Tasks[[#This Row],[_Row]],"")</f>
        <v/>
      </c>
      <c r="HD135" s="92" t="str">
        <f aca="false">IFERROR(INDEX(Tasks[UID],SMALL(Tasks[_PickKey],Tasks[[#This Row],[_Row]]))&amp;" "&amp;INDEX(Tasks[Task Name],SMALL(Tasks[_PickKey],Tasks[[#This Row],[_Row]])),"")</f>
        <v/>
      </c>
      <c r="HE135" s="43" t="str">
        <f aca="false">IF(Tasks[[#This Row],[Task Name]]="","",IF(Tasks[[#This Row],[_IsSummary]],NETWORKDAYS.INTL(Tasks[[#This Row],[Start]],Tasks[[#This Row],[Finish]],WorkWeek,Holidays),N(Tasks[[#This Row],[_Days]])))</f>
        <v/>
      </c>
      <c r="HF135" s="43" t="n">
        <f aca="false">IF(Tasks[[#This Row],[Expected]]="",0,((Tasks[[#This Row],[Pessimistic]]-Tasks[[#This Row],[Optimistic]])/6)^2)</f>
        <v>0</v>
      </c>
      <c r="HG135" s="43" t="n">
        <f aca="false">IF(Tasks[[#This Row],[Expected]]="",0,Tasks[[#This Row],[Expected]]-N(Tasks[[#This Row],[_Days]]))</f>
        <v>0</v>
      </c>
    </row>
    <row r="136" customFormat="false" ht="15" hidden="false" customHeight="false" outlineLevel="0" collapsed="false">
      <c r="A136" s="21" t="str">
        <f aca="false">IF(Tasks[[#This Row],[Task Name]]="","",COUNTA(Tasks[[#Headers],[Task Name]]:Tasks[[#This Row],[Task Name]])-1)</f>
        <v/>
      </c>
      <c r="B136" s="22" t="n">
        <v>144</v>
      </c>
      <c r="C136" s="22"/>
      <c r="D136" s="23"/>
      <c r="E136" s="22"/>
      <c r="F136" s="23"/>
      <c r="G136" s="22"/>
      <c r="H136" s="22"/>
      <c r="I136" s="23"/>
      <c r="J136" s="22"/>
      <c r="K136" s="22"/>
      <c r="L136" s="23"/>
      <c r="M136" s="22"/>
      <c r="N136" s="22"/>
      <c r="O136" s="23"/>
      <c r="P136" s="22"/>
      <c r="Q136" s="22"/>
      <c r="R136" s="23"/>
      <c r="S136" s="23"/>
      <c r="T136" s="84"/>
      <c r="U136" s="23"/>
      <c r="V136" s="84"/>
      <c r="W136" s="23"/>
      <c r="X136" s="84"/>
      <c r="Y136" s="23"/>
      <c r="Z136" s="84"/>
      <c r="AA136" s="23"/>
      <c r="AB136" s="23"/>
      <c r="AC136" s="7"/>
      <c r="AD136" s="7"/>
      <c r="AE136" s="63" t="str">
        <f aca="false">IF(Tasks[[#This Row],[Task Name]]="","",IF(Tasks[[#This Row],[_IsSummary]],MIN(INDEX(Tasks[_ShownFcstStart],Tasks[[#This Row],[_Row]]+1):INDEX(Tasks[_ShownFcstStart],Tasks[[#This Row],[_Row]]+Tasks[[#This Row],[_Descendants]])),Tasks[[#This Row],[_ShownFcstStart]]))</f>
        <v/>
      </c>
      <c r="AF136" s="63" t="str">
        <f aca="false">IF(Tasks[[#This Row],[Task Name]]="","",IF(Tasks[[#This Row],[_IsSummary]],MAX(INDEX(Tasks[_ShownFcstFinish],Tasks[[#This Row],[_Row]]+1):INDEX(Tasks[_ShownFcstFinish],Tasks[[#This Row],[_Row]]+Tasks[[#This Row],[_Descendants]])),Tasks[[#This Row],[_ShownFcstFinish]]))</f>
        <v/>
      </c>
      <c r="AG136" s="21" t="str">
        <f aca="false">""</f>
        <v/>
      </c>
      <c r="AH136" s="23"/>
      <c r="AI1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6" s="7"/>
      <c r="AK136" s="22"/>
      <c r="AL136" s="23"/>
      <c r="AM136" s="7"/>
      <c r="AN136" s="47" t="str">
        <f aca="false">IF(Tasks[[#This Row],[Task Name]]="","",IF(Tasks[[#This Row],[Finish]]&gt;=Tasks[[#This Row],[Planned Finish]],NETWORKDAYS.INTL(Tasks[[#This Row],[Planned Finish]],Tasks[[#This Row],[Finish]],WorkWeek,Holidays)-1,1-NETWORKDAYS.INTL(Tasks[[#This Row],[Finish]],Tasks[[#This Row],[Planned Finish]],WorkWeek,Holidays)))</f>
        <v/>
      </c>
      <c r="AO136" s="21" t="str">
        <f aca="false">IF(Tasks[[#This Row],[Task Name]]="","",IF(Tasks[[#This Row],[Progress]]&gt;=1,"Complete",IF(OR(N(Tasks[[#This Row],[Actual Start]])&gt;0,Tasks[[#This Row],[Progress]]&gt;0),IF(Tasks[[#This Row],[Finish Var]]&gt;0,"Behind","In Progress"),IF(Tasks[[#This Row],[Planned Start]]&lt;StatusDate,"Late Start","Not Started"))))</f>
        <v/>
      </c>
      <c r="AP136" s="21" t="str">
        <f aca="false">IF(Tasks[[#This Row],[Task Name]]="","",IF(IF(Tasks[[#This Row],[_IsSummary]],COUNTIF(INDEX(Tasks[_LeafCritical],Tasks[[#This Row],[_Row]]+1):INDEX(Tasks[_LeafCritical],Tasks[[#This Row],[_Row]]+Tasks[[#This Row],[_Descendants]]),TRUE())&gt;0,Tasks[[#This Row],[_LeafCritical]]),"Yes",""))</f>
        <v/>
      </c>
      <c r="AQ136" s="63" t="str">
        <f aca="false">IF(Tasks[[#This Row],[Task Name]]="","",IF(N(Tasks[[#This Row],[Baseline Start]])&gt;0,Tasks[[#This Row],[Baseline Start]],Tasks[[#This Row],[_CalcStart]]))</f>
        <v/>
      </c>
      <c r="AR136" s="63" t="str">
        <f aca="false">IF(Tasks[[#This Row],[Task Name]]="","",IF(N(Tasks[[#This Row],[Baseline Finish]])&gt;0,Tasks[[#This Row],[Baseline Finish]],Tasks[[#This Row],[_CalcFinish]]))</f>
        <v/>
      </c>
      <c r="AS136" s="47" t="str">
        <f aca="false">IF(Tasks[[#This Row],[Task Name]]="","",IF(Tasks[[#This Row],[Start]]&gt;=Tasks[[#This Row],[Planned Start]],NETWORKDAYS.INTL(Tasks[[#This Row],[Planned Start]],Tasks[[#This Row],[Start]],WorkWeek,Holidays)-1,1-NETWORKDAYS.INTL(Tasks[[#This Row],[Start]],Tasks[[#This Row],[Planned Start]],WorkWeek,Holidays)))</f>
        <v/>
      </c>
      <c r="AT136" s="63" t="str">
        <f aca="false">IF(Tasks[[#This Row],[Task Name]]="","",IF(Tasks[[#This Row],[_IsSummary]],MIN(INDEX(Tasks[_LeafLateStart],Tasks[[#This Row],[_Row]]+1):INDEX(Tasks[_LeafLateStart],Tasks[[#This Row],[_Row]]+Tasks[[#This Row],[_Descendants]])),Tasks[[#This Row],[_LeafLateStart]]))</f>
        <v/>
      </c>
      <c r="AU136" s="63" t="str">
        <f aca="false">IF(Tasks[[#This Row],[Task Name]]="","",IF(Tasks[[#This Row],[_IsSummary]],MAX(INDEX(Tasks[_LeafLateFinish],Tasks[[#This Row],[_Row]]+1):INDEX(Tasks[_LeafLateFinish],Tasks[[#This Row],[_Row]]+Tasks[[#This Row],[_Descendants]])),Tasks[[#This Row],[_LeafLateFinish]]))</f>
        <v/>
      </c>
      <c r="AV136" s="47" t="str">
        <f aca="false">IF(Tasks[[#This Row],[Task Name]]="","",IF(Tasks[[#This Row],[_IsSummary]],MIN(INDEX(Tasks[_LeafTotalSlack],Tasks[[#This Row],[_Row]]+1):INDEX(Tasks[_LeafTotalSlack],Tasks[[#This Row],[_Row]]+Tasks[[#This Row],[_Descendants]])),Tasks[[#This Row],[_LeafTotalSlack]]))</f>
        <v/>
      </c>
      <c r="AW1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5"/>
      <c r="BA13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t="str">
        <f aca="false">IF(Tasks[[#This Row],[Task Name]]="","",IF(Tasks[[#This Row],[_Level]]&lt;=OutlineShowLevel,"Yes","No"))</f>
        <v/>
      </c>
      <c r="BE136" s="86" t="str">
        <f aca="false">IF(Tasks[[#This Row],[Task Name]]="","",IF(Tasks[[#This Row],[_IsSummary]],SUM(INDEX(Tasks[_LeafTotalWork],Tasks[[#This Row],[_Row]]+1):INDEX(Tasks[_LeafTotalWork],Tasks[[#This Row],[_Row]]+Tasks[[#This Row],[_Descendants]])),Tasks[[#This Row],[_LeafTotalWork]]))</f>
        <v/>
      </c>
      <c r="BF136" s="23"/>
      <c r="BG1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t="str">
        <f aca="false">""</f>
        <v/>
      </c>
      <c r="BI136" s="87"/>
      <c r="BJ136" s="22"/>
      <c r="BK136" s="47" t="str">
        <f aca="false">IF(OR(Tasks[[#This Row],[Task Name]]="",Tasks[[#This Row],[Baseline Duration]]=""),"",Tasks[[#This Row],[_SpanDays]]-N(Tasks[[#This Row],[Baseline Duration]]))</f>
        <v/>
      </c>
      <c r="BL136" s="86" t="str">
        <f aca="false">IF(OR(Tasks[[#This Row],[Task Name]]="",Tasks[[#This Row],[Baseline Work]]=""),"",Tasks[[#This Row],[Work]]-N(Tasks[[#This Row],[Baseline Work]]))</f>
        <v/>
      </c>
      <c r="BM136" s="63" t="str">
        <f aca="false">IF(Tasks[[#This Row],[Task Name]]="","",IF(OR(TakeBaseline="Yes",N(Tasks[[#This Row],[Baseline Start]])=0),Tasks[[#This Row],[Start]],Tasks[[#This Row],[Baseline Start]]))</f>
        <v/>
      </c>
      <c r="BN136" s="63" t="str">
        <f aca="false">IF(Tasks[[#This Row],[Task Name]]="","",IF(OR(TakeBaseline="Yes",N(Tasks[[#This Row],[Baseline Finish]])=0),Tasks[[#This Row],[Finish]],Tasks[[#This Row],[Baseline Finish]]))</f>
        <v/>
      </c>
      <c r="BO136" s="21" t="str">
        <f aca="false">IF(Tasks[[#This Row],[Task Name]]="","",IF(OR(TakeBaseline="Yes",N(Tasks[[#This Row],[Baseline Duration]])=0),Tasks[[#This Row],[_SpanDays]],Tasks[[#This Row],[Baseline Duration]]))</f>
        <v/>
      </c>
      <c r="BP136" s="86" t="str">
        <f aca="false">IF(Tasks[[#This Row],[Task Name]]="","",IF(OR(TakeBaseline="Yes",N(Tasks[[#This Row],[Baseline Work]])=0),Tasks[[#This Row],[Work]],Tasks[[#This Row],[Baseline Work]]))</f>
        <v/>
      </c>
      <c r="BQ136" s="7"/>
      <c r="BR136" s="7"/>
      <c r="BS136" s="22"/>
      <c r="BT136" s="88"/>
      <c r="BU136" s="23"/>
      <c r="BV136" s="23"/>
      <c r="BW136" s="23"/>
      <c r="BX136" s="89" t="str">
        <f aca="false">IF(AND(Tasks[[#This Row],[_IsLeaf]]=1,ISNUMBER(Tasks[[#This Row],[Optimistic]]),ISNUMBER(Tasks[[#This Row],[Pessimistic]])),ROUND((Tasks[[#This Row],[Optimistic]]+4*N(Tasks[[#This Row],[_Days]])+Tasks[[#This Row],[Pessimistic]])/6,1),"")</f>
        <v/>
      </c>
      <c r="BY136" s="87"/>
      <c r="BZ136" s="87"/>
      <c r="CA136" s="22"/>
      <c r="CB136" s="43" t="str">
        <f aca="false">IF(Tasks[[#This Row],[Task Name]]="","",MAX(1,N(Tasks[[#This Row],[Level]])))</f>
        <v/>
      </c>
      <c r="CC136" s="43" t="n">
        <f aca="false">ROW()-ROW(Tasks[[#Headers],[ID]])</f>
        <v>131</v>
      </c>
      <c r="CD136" s="43" t="n">
        <f aca="false">IF(OR(Tasks[[#This Row],[Task Name]]="",Tasks[[#This Row],[_Level]]&lt;=1),0,IFERROR(LOOKUP(2,1/(Tasks[[#Headers],[_Level]]:Tasks[[#This Row],[_Level]]=Tasks[[#This Row],[_Level]]-1),ROW(Tasks[[#Headers],[_Level]]:Tasks[[#This Row],[_Level]])),0))</f>
        <v>0</v>
      </c>
      <c r="CE136" s="43" t="n">
        <f aca="false">IFERROR(N(INDEX(Tasks[_Level],Tasks[[#This Row],[_Row]]+1)),0)</f>
        <v>0</v>
      </c>
      <c r="CF136" s="90" t="b">
        <f aca="false">AND(Tasks[[#This Row],[Task Name]]&lt;&gt;"",Tasks[[#This Row],[_NextLevel]]&gt;Tasks[[#This Row],[_Level]])</f>
        <v>0</v>
      </c>
      <c r="CG136" s="43" t="n">
        <f aca="false">IF(Tasks[[#This Row],[_IsSummary]],COUNTIF(Tasks[WBS],Tasks[[#This Row],[WBS]]&amp;".*"),0)</f>
        <v>0</v>
      </c>
      <c r="CH136" s="43" t="n">
        <f aca="false">IF(AND(Tasks[[#This Row],[Task Name]]&lt;&gt;"",NOT(Tasks[[#This Row],[_IsSummary]])),1,0)</f>
        <v>0</v>
      </c>
      <c r="CI136" s="43" t="n">
        <f aca="false">IF(N(Tasks[[#This Row],[_Pred1UID]])=0,0,IFERROR(MATCH(Tasks[[#This Row],[_Pred1UID]],Tasks[UID],0),-1))</f>
        <v>0</v>
      </c>
      <c r="CJ136" s="43" t="n">
        <f aca="false">IF(N(Tasks[[#This Row],[_Pred2UID]])=0,0,IFERROR(MATCH(Tasks[[#This Row],[_Pred2UID]],Tasks[UID],0),-1))</f>
        <v>0</v>
      </c>
      <c r="CK136" s="43" t="n">
        <f aca="false">IF(N(Tasks[[#This Row],[_Pred3UID]])=0,0,IFERROR(MATCH(Tasks[[#This Row],[_Pred3UID]],Tasks[UID],0),-1))</f>
        <v>0</v>
      </c>
      <c r="CL136" s="43" t="n">
        <f aca="false">IF(N(Tasks[[#This Row],[_Pred4UID]])=0,0,IFERROR(MATCH(Tasks[[#This Row],[_Pred4UID]],Tasks[UID],0),-1))</f>
        <v>0</v>
      </c>
      <c r="CM1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6" s="91" t="n">
        <f aca="false">IF(OR(Tasks[[#This Row],[_ConstraintCode]]=2,Tasks[[#This Row],[_ConstraintCode]]=3,Tasks[[#This Row],[_ConstraintCode]]=4,Tasks[[#This Row],[_ConstraintCode]]=6),Tasks[[#This Row],[_ConstraintStart]],0)</f>
        <v>0</v>
      </c>
      <c r="CP136" s="91" t="n">
        <f aca="false">IF(OR(Tasks[[#This Row],[_ConstraintCode]]=2,Tasks[[#This Row],[_ConstraintCode]]=3,Tasks[[#This Row],[_ConstraintCode]]=5,Tasks[[#This Row],[_ConstraintCode]]=7),Tasks[[#This Row],[_ConstraintStart]],2958465)</f>
        <v>2958465</v>
      </c>
      <c r="CQ1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6" s="91" t="str">
        <f aca="false">IF(NOT(Tasks[[#This Row],[_IsLeaf]]=1),"",IF(N(Tasks[[#This Row],[_Days]])&lt;=0,Tasks[[#This Row],[_LeafCalcStart]],WORKDAY.INTL(Tasks[[#This Row],[_LeafCalcStart]],Tasks[[#This Row],[_Days]]-1,WorkWeek,Holidays)))</f>
        <v/>
      </c>
      <c r="CS1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6" s="43" t="str">
        <f aca="false">IF(Tasks[[#This Row],[_Predecessors]]="","",TRIM(MID(SUBSTITUTE(SUBSTITUTE(SUBSTITUTE(UPPER(Tasks[[#This Row],[_Predecessors]]),";",",")," ",""),",",REPT(" ",99)),1,99)))</f>
        <v/>
      </c>
      <c r="CV136" s="43" t="str">
        <f aca="false">IF(Tasks[[#This Row],[_Pred1Text]]="","",IFERROR(VALUE(LEFT(Tasks[[#This Row],[_Pred1Text]],MIN(FIND("F",Tasks[[#This Row],[_Pred1Text]]&amp;"F"),FIND("S",Tasks[[#This Row],[_Pred1Text]]&amp;"S"),FIND("+",Tasks[[#This Row],[_Pred1Text]]&amp;"+"),FIND("-",Tasks[[#This Row],[_Pred1Text]]&amp;"-"))-1)),""))</f>
        <v/>
      </c>
      <c r="CW1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6" s="43" t="str">
        <f aca="false">IF(Tasks[[#This Row],[_Pred1Text]]="","",TRIM(MID(SUBSTITUTE(SUBSTITUTE(SUBSTITUTE(UPPER(Tasks[[#This Row],[_Predecessors]]),";",",")," ",""),",",REPT(" ",99)),100,99)))</f>
        <v/>
      </c>
      <c r="CZ136" s="43" t="str">
        <f aca="false">IF(Tasks[[#This Row],[_Pred2Text]]="","",IFERROR(VALUE(LEFT(Tasks[[#This Row],[_Pred2Text]],MIN(FIND("F",Tasks[[#This Row],[_Pred2Text]]&amp;"F"),FIND("S",Tasks[[#This Row],[_Pred2Text]]&amp;"S"),FIND("+",Tasks[[#This Row],[_Pred2Text]]&amp;"+"),FIND("-",Tasks[[#This Row],[_Pred2Text]]&amp;"-"))-1)),""))</f>
        <v/>
      </c>
      <c r="DA1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6" s="43" t="str">
        <f aca="false">IF(Tasks[[#This Row],[_Pred2Text]]="","",TRIM(MID(SUBSTITUTE(SUBSTITUTE(SUBSTITUTE(UPPER(Tasks[[#This Row],[_Predecessors]]),";",",")," ",""),",",REPT(" ",99)),199,99)))</f>
        <v/>
      </c>
      <c r="DD136" s="43" t="str">
        <f aca="false">IF(Tasks[[#This Row],[_Pred3Text]]="","",IFERROR(VALUE(LEFT(Tasks[[#This Row],[_Pred3Text]],MIN(FIND("F",Tasks[[#This Row],[_Pred3Text]]&amp;"F"),FIND("S",Tasks[[#This Row],[_Pred3Text]]&amp;"S"),FIND("+",Tasks[[#This Row],[_Pred3Text]]&amp;"+"),FIND("-",Tasks[[#This Row],[_Pred3Text]]&amp;"-"))-1)),""))</f>
        <v/>
      </c>
      <c r="DE1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6" s="43" t="str">
        <f aca="false">IF(Tasks[[#This Row],[_Pred3Text]]="","",TRIM(MID(SUBSTITUTE(SUBSTITUTE(SUBSTITUTE(UPPER(Tasks[[#This Row],[_Predecessors]]),";",",")," ",""),",",REPT(" ",99)),298,99)))</f>
        <v/>
      </c>
      <c r="DH136" s="43" t="str">
        <f aca="false">IF(Tasks[[#This Row],[_Pred4Text]]="","",IFERROR(VALUE(LEFT(Tasks[[#This Row],[_Pred4Text]],MIN(FIND("F",Tasks[[#This Row],[_Pred4Text]]&amp;"F"),FIND("S",Tasks[[#This Row],[_Pred4Text]]&amp;"S"),FIND("+",Tasks[[#This Row],[_Pred4Text]]&amp;"+"),FIND("-",Tasks[[#This Row],[_Pred4Text]]&amp;"-"))-1)),""))</f>
        <v/>
      </c>
      <c r="DI1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6" s="43" t="str">
        <f aca="false">IF(OR(Tasks[[#This Row],[Task Name]]="",Tasks[[#This Row],[_Resources]]=""),"",TRIM(MID(SUBSTITUTE(Tasks[[#This Row],[_Resources]],",",REPT(" ",99)),1,99)))</f>
        <v/>
      </c>
      <c r="DL136" s="43" t="str">
        <f aca="false">IF(Tasks[[#This Row],[_Res1Text]]="","",TRIM(MID(SUBSTITUTE(Tasks[[#This Row],[_Resources]],",",REPT(" ",99)),100,99)))</f>
        <v/>
      </c>
      <c r="DM136" s="43" t="str">
        <f aca="false">IF(Tasks[[#This Row],[_Res2Text]]="","",TRIM(MID(SUBSTITUTE(Tasks[[#This Row],[_Resources]],",",REPT(" ",99)),199,99)))</f>
        <v/>
      </c>
      <c r="DN136" s="43" t="str">
        <f aca="false">IF(Tasks[[#This Row],[_Res3Text]]="","",TRIM(MID(SUBSTITUTE(Tasks[[#This Row],[_Resources]],",",REPT(" ",99)),298,99)))</f>
        <v/>
      </c>
      <c r="DO136" s="43" t="n">
        <f aca="false">IF(Tasks[[#This Row],[_Res1Text]]="",0,IFERROR(MATCH(TRIM(LEFT(Tasks[[#This Row],[_Res1Text]],FIND("[",Tasks[[#This Row],[_Res1Text]]&amp;"[")-1)),res_Name,0),IFERROR(MATCH(TRIM(LEFT(Tasks[[#This Row],[_Res1Text]],FIND("[",Tasks[[#This Row],[_Res1Text]]&amp;"[")-1)),res_Initials,0),0)))</f>
        <v>0</v>
      </c>
      <c r="DP136" s="43" t="n">
        <f aca="false">IF(Tasks[[#This Row],[_Res2Text]]="",0,IFERROR(MATCH(TRIM(LEFT(Tasks[[#This Row],[_Res2Text]],FIND("[",Tasks[[#This Row],[_Res2Text]]&amp;"[")-1)),res_Name,0),IFERROR(MATCH(TRIM(LEFT(Tasks[[#This Row],[_Res2Text]],FIND("[",Tasks[[#This Row],[_Res2Text]]&amp;"[")-1)),res_Initials,0),0)))</f>
        <v>0</v>
      </c>
      <c r="DQ136" s="43" t="n">
        <f aca="false">IF(Tasks[[#This Row],[_Res3Text]]="",0,IFERROR(MATCH(TRIM(LEFT(Tasks[[#This Row],[_Res3Text]],FIND("[",Tasks[[#This Row],[_Res3Text]]&amp;"[")-1)),res_Name,0),IFERROR(MATCH(TRIM(LEFT(Tasks[[#This Row],[_Res3Text]],FIND("[",Tasks[[#This Row],[_Res3Text]]&amp;"[")-1)),res_Initials,0),0)))</f>
        <v>0</v>
      </c>
      <c r="DR136" s="43" t="n">
        <f aca="false">IF(Tasks[[#This Row],[_Res4Text]]="",0,IFERROR(MATCH(TRIM(LEFT(Tasks[[#This Row],[_Res4Text]],FIND("[",Tasks[[#This Row],[_Res4Text]]&amp;"[")-1)),res_Name,0),IFERROR(MATCH(TRIM(LEFT(Tasks[[#This Row],[_Res4Text]],FIND("[",Tasks[[#This Row],[_Res4Text]]&amp;"[")-1)),res_Initials,0),0)))</f>
        <v>0</v>
      </c>
      <c r="DS136" s="43" t="str">
        <f aca="false">IF(Tasks[[#This Row],[_Res1Text]]="","",IF(Tasks[[#This Row],[_Res1Row]]&gt;0,INDEX(res_Name,Tasks[[#This Row],[_Res1Row]]),TRIM(LEFT(Tasks[[#This Row],[_Res1Text]],FIND("[",Tasks[[#This Row],[_Res1Text]]&amp;"[")-1))))</f>
        <v/>
      </c>
      <c r="DT1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6" s="43" t="n">
        <f aca="false">IF(NOT(Tasks[[#This Row],[_IsLeaf]]=1),0,(Tasks[[#This Row],[_Resource1]]&lt;&gt;"")+(Tasks[[#This Row],[_Res2]]&lt;&gt;"")+(Tasks[[#This Row],[_Res3]]&lt;&gt;"")+(Tasks[[#This Row],[_Res4]]&lt;&gt;""))</f>
        <v>0</v>
      </c>
      <c r="DV136" s="43" t="str">
        <f aca="false">IF(Tasks[[#This Row],[_Res2Text]]="","",IF(Tasks[[#This Row],[_Res2Row]]&gt;0,INDEX(res_Name,Tasks[[#This Row],[_Res2Row]]),TRIM(LEFT(Tasks[[#This Row],[_Res2Text]],FIND("[",Tasks[[#This Row],[_Res2Text]]&amp;"[")-1))))</f>
        <v/>
      </c>
      <c r="DW1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6" s="43" t="n">
        <f aca="false">IF(OR(NOT(Tasks[[#This Row],[_IsLeaf]]=1),Tasks[[#This Row],[_Res2Row]]=0),0,N(Tasks[[#This Row],[_Days]])*HoursPerDay*IF(Tasks[[#This Row],[_Res2Units]]="",DefaultUnits,Tasks[[#This Row],[_Res2Units]]))</f>
        <v>0</v>
      </c>
      <c r="DY136" s="43" t="n">
        <f aca="false">IF(AND(AND(Tasks[[#This Row],[_IsLeaf]]=1,Tasks[[#This Row],[_LeafTotalWork]]&gt;0),Tasks[[#This Row],[_Res2Work]]&gt;0),Tasks[[#This Row],[_Res2Work]]/(Tasks[[#This Row],[_FinishWorkday]]-Tasks[[#This Row],[_StartWorkday]]+1),0)</f>
        <v>0</v>
      </c>
      <c r="DZ136" s="43" t="n">
        <f aca="false">Tasks[[#This Row],[_Res2WorkPerWD]]*MAX(0,Tasks[[#This Row],[_StartWorkday]]-1)</f>
        <v>0</v>
      </c>
      <c r="EA136" s="43" t="n">
        <f aca="false">Tasks[[#This Row],[_Res2Work]]*Tasks[[#This Row],[_LeafProgress]]</f>
        <v>0</v>
      </c>
      <c r="EB136" s="43" t="str">
        <f aca="false">IF(Tasks[[#This Row],[_Res3Text]]="","",IF(Tasks[[#This Row],[_Res3Row]]&gt;0,INDEX(res_Name,Tasks[[#This Row],[_Res3Row]]),TRIM(LEFT(Tasks[[#This Row],[_Res3Text]],FIND("[",Tasks[[#This Row],[_Res3Text]]&amp;"[")-1))))</f>
        <v/>
      </c>
      <c r="EC1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6" s="43" t="n">
        <f aca="false">IF(OR(NOT(Tasks[[#This Row],[_IsLeaf]]=1),Tasks[[#This Row],[_Res3Row]]=0),0,N(Tasks[[#This Row],[_Days]])*HoursPerDay*IF(Tasks[[#This Row],[_Res3Units]]="",DefaultUnits,Tasks[[#This Row],[_Res3Units]]))</f>
        <v>0</v>
      </c>
      <c r="EE136" s="43" t="n">
        <f aca="false">IF(AND(AND(Tasks[[#This Row],[_IsLeaf]]=1,Tasks[[#This Row],[_LeafTotalWork]]&gt;0),Tasks[[#This Row],[_Res3Work]]&gt;0),Tasks[[#This Row],[_Res3Work]]/(Tasks[[#This Row],[_FinishWorkday]]-Tasks[[#This Row],[_StartWorkday]]+1),0)</f>
        <v>0</v>
      </c>
      <c r="EF136" s="43" t="n">
        <f aca="false">Tasks[[#This Row],[_Res3WorkPerWD]]*MAX(0,Tasks[[#This Row],[_StartWorkday]]-1)</f>
        <v>0</v>
      </c>
      <c r="EG136" s="43" t="n">
        <f aca="false">Tasks[[#This Row],[_Res3Work]]*Tasks[[#This Row],[_LeafProgress]]</f>
        <v>0</v>
      </c>
      <c r="EH136" s="43" t="str">
        <f aca="false">IF(Tasks[[#This Row],[_Res4Text]]="","",IF(Tasks[[#This Row],[_Res4Row]]&gt;0,INDEX(res_Name,Tasks[[#This Row],[_Res4Row]]),TRIM(LEFT(Tasks[[#This Row],[_Res4Text]],FIND("[",Tasks[[#This Row],[_Res4Text]]&amp;"[")-1))))</f>
        <v/>
      </c>
      <c r="EI1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6" s="43" t="n">
        <f aca="false">IF(OR(NOT(Tasks[[#This Row],[_IsLeaf]]=1),Tasks[[#This Row],[_Res4Row]]=0),0,N(Tasks[[#This Row],[_Days]])*HoursPerDay*IF(Tasks[[#This Row],[_Res4Units]]="",DefaultUnits,Tasks[[#This Row],[_Res4Units]]))</f>
        <v>0</v>
      </c>
      <c r="EK136" s="43" t="n">
        <f aca="false">IF(AND(AND(Tasks[[#This Row],[_IsLeaf]]=1,Tasks[[#This Row],[_LeafTotalWork]]&gt;0),Tasks[[#This Row],[_Res4Work]]&gt;0),Tasks[[#This Row],[_Res4Work]]/(Tasks[[#This Row],[_FinishWorkday]]-Tasks[[#This Row],[_StartWorkday]]+1),0)</f>
        <v>0</v>
      </c>
      <c r="EL136" s="43" t="n">
        <f aca="false">Tasks[[#This Row],[_Res4WorkPerWD]]*MAX(0,Tasks[[#This Row],[_StartWorkday]]-1)</f>
        <v>0</v>
      </c>
      <c r="EM136" s="43" t="n">
        <f aca="false">Tasks[[#This Row],[_Res4Work]]*Tasks[[#This Row],[_LeafProgress]]</f>
        <v>0</v>
      </c>
      <c r="EN136" s="43" t="n">
        <f aca="false">IF(ISNUMBER(Tasks[[#This Row],[% Complete]]),Tasks[[#This Row],[% Complete]],IF(Tasks[[#This Row],[Stage]]="",0,IFERROR(INDEX(stg_Pct,MATCH(Tasks[[#This Row],[Stage]],stg_Name,0)),0)))</f>
        <v>0</v>
      </c>
      <c r="EO136" s="43" t="n">
        <f aca="false">IF(NOT(Tasks[[#This Row],[_IsLeaf]]=1),0,IF(N(Tasks[[#This Row],[Actual Finish]])&gt;0,1,MIN(1,Tasks[[#This Row],[_Pct]])))</f>
        <v>0</v>
      </c>
      <c r="EP136" s="43" t="n">
        <f aca="false">IF(OR(NOT(Tasks[[#This Row],[_IsLeaf]]=1),Tasks[[#This Row],[_Res1Row]]=0),0,N(Tasks[[#This Row],[_Days]])*HoursPerDay*IF(Tasks[[#This Row],[_Units1]]="",DefaultUnits,Tasks[[#This Row],[_Units1]]))</f>
        <v>0</v>
      </c>
      <c r="EQ136" s="43" t="n">
        <f aca="false">Tasks[[#This Row],[_LeafWork]]+Tasks[[#This Row],[_Res2Work]]+Tasks[[#This Row],[_Res3Work]]+Tasks[[#This Row],[_Res4Work]]</f>
        <v>0</v>
      </c>
      <c r="ER13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6" s="43" t="n">
        <f aca="false">IF(NOT(Tasks[[#This Row],[_IsLeaf]]=1),0,MAX(_xlfn.MAXIFS(Tasks[_Row],Tasks[_Pred1UID],Tasks[[#This Row],[UID]]),_xlfn.MAXIFS(Tasks[_Row],Tasks[_Pred2UID],Tasks[[#This Row],[UID]]),_xlfn.MAXIFS(Tasks[_Row],Tasks[_Pred3UID],Tasks[[#This Row],[UID]]),_xlfn.MAXIFS(Tasks[_Row],Tasks[_Pred4UID],Tasks[[#This Row],[UID]])))</f>
        <v>0</v>
      </c>
      <c r="FA1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6" s="91" t="str">
        <f aca="false">IF(NOT(Tasks[[#This Row],[_IsLeaf]]=1),"",IF(N(Tasks[[#This Row],[_Days]])&lt;=0,Tasks[[#This Row],[_LeafLateFinish]],WORKDAY.INTL(Tasks[[#This Row],[_LeafLateFinish]],-(Tasks[[#This Row],[_Days]]-1),WorkWeek,Holidays)))</f>
        <v/>
      </c>
      <c r="FD1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6" s="90" t="b">
        <f aca="false">AND(Tasks[[#This Row],[_IsLeaf]]=1,Tasks[[#This Row],[_LeafProgress]]&lt;1,N(Tasks[[#This Row],[_LeafTotalSlack]])&lt;=CriticalSlackDays)</f>
        <v>0</v>
      </c>
      <c r="FF136" s="43" t="n">
        <f aca="false">IF(AND(Tasks[[#This Row],[_IsLeaf]]=1,Tasks[[#This Row],[_ConstraintCode]]=1,Tasks[[#This Row],[Mode]]&lt;&gt;"Manual",N(Tasks[[#This Row],[Actual Start]])=0),MAX(0,N(Tasks[[#This Row],[Free Slack]])),0)</f>
        <v>0</v>
      </c>
      <c r="FG136" s="91" t="str">
        <f aca="false">IF(NOT(Tasks[[#This Row],[_IsLeaf]]=1),"",IF(Tasks[[#This Row],[_AlapShift]]=0,Tasks[[#This Row],[_LeafCalcStart]],WORKDAY.INTL(Tasks[[#This Row],[_LeafCalcStart]],Tasks[[#This Row],[_AlapShift]],WorkWeek,Holidays)))</f>
        <v/>
      </c>
      <c r="FH136" s="91" t="str">
        <f aca="false">IF(NOT(Tasks[[#This Row],[_IsLeaf]]=1),"",IF(Tasks[[#This Row],[_AlapShift]]=0,Tasks[[#This Row],[_LeafCalcFinish]],WORKDAY.INTL(Tasks[[#This Row],[_LeafCalcFinish]],Tasks[[#This Row],[_AlapShift]],WorkWeek,Holidays)))</f>
        <v/>
      </c>
      <c r="FI136" s="91" t="str">
        <f aca="false">IF(NOT(Tasks[[#This Row],[_IsLeaf]]=1),"",IF(Tasks[[#This Row],[_AlapShift]]=0,Tasks[[#This Row],[_LeafFcstStart]],WORKDAY.INTL(Tasks[[#This Row],[_LeafFcstStart]],Tasks[[#This Row],[_AlapShift]],WorkWeek,Holidays)))</f>
        <v/>
      </c>
      <c r="FJ136" s="91" t="str">
        <f aca="false">IF(NOT(Tasks[[#This Row],[_IsLeaf]]=1),"",IF(Tasks[[#This Row],[_AlapShift]]=0,Tasks[[#This Row],[_LeafFcstFinish]],WORKDAY.INTL(Tasks[[#This Row],[_LeafFcstFinish]],Tasks[[#This Row],[_AlapShift]],WorkWeek,Holidays)))</f>
        <v/>
      </c>
      <c r="FK136" s="91" t="str">
        <f aca="false">IF(Tasks[[#This Row],[Task Name]]="","",IF(Tasks[[#This Row],[_IsSummary]],MIN(INDEX(Tasks[_ShownCalcStart],Tasks[[#This Row],[_Row]]+1):INDEX(Tasks[_ShownCalcStart],Tasks[[#This Row],[_Row]]+Tasks[[#This Row],[_Descendants]])),Tasks[[#This Row],[_ShownCalcStart]]))</f>
        <v/>
      </c>
      <c r="FL136" s="91" t="str">
        <f aca="false">IF(Tasks[[#This Row],[Task Name]]="","",IF(Tasks[[#This Row],[_IsSummary]],MAX(INDEX(Tasks[_ShownCalcFinish],Tasks[[#This Row],[_Row]]+1):INDEX(Tasks[_ShownCalcFinish],Tasks[[#This Row],[_Row]]+Tasks[[#This Row],[_Descendants]])),Tasks[[#This Row],[_ShownCalcFinish]]))</f>
        <v/>
      </c>
      <c r="FM1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6" s="43" t="n">
        <f aca="false">IF(AND(Tasks[[#This Row],[_IsLeaf]]=1,Tasks[[#This Row],[_LeafTotalWork]]&gt;0),NETWORKDAYS.INTL(ProjectStart,Tasks[[#This Row],[_ShownFcstStart]],WorkWeek,Holidays),0)</f>
        <v>0</v>
      </c>
      <c r="FZ136" s="43" t="n">
        <f aca="false">IF(AND(Tasks[[#This Row],[_IsLeaf]]=1,Tasks[[#This Row],[_LeafTotalWork]]&gt;0),MAX(Tasks[[#This Row],[_StartWorkday]],NETWORKDAYS.INTL(ProjectStart,Tasks[[#This Row],[_ShownFcstFinish]],WorkWeek,Holidays)),0)</f>
        <v>0</v>
      </c>
      <c r="GA136" s="43" t="n">
        <f aca="false">IF(AND(Tasks[[#This Row],[_IsLeaf]]=1,Tasks[[#This Row],[_LeafTotalWork]]&gt;0),Tasks[[#This Row],[_LeafWork]]/(Tasks[[#This Row],[_FinishWorkday]]-Tasks[[#This Row],[_StartWorkday]]+1),0)</f>
        <v>0</v>
      </c>
      <c r="GB136" s="43" t="n">
        <f aca="false">Tasks[[#This Row],[_WorkPerWorkday]]*(Tasks[[#This Row],[_StartWorkday]]-1)</f>
        <v>-0</v>
      </c>
      <c r="GC136" s="43" t="n">
        <f aca="false">IF(Tasks[[#This Row],[_IsLeaf]]=1,MAX(N(Tasks[[#This Row],[_Days]]),0.1),0)</f>
        <v>0</v>
      </c>
      <c r="GD136" s="43" t="n">
        <f aca="false">Tasks[[#This Row],[_WeightDur]]*Tasks[[#This Row],[_LeafProgress]]</f>
        <v>0</v>
      </c>
      <c r="GE136" s="43" t="n">
        <f aca="false">Tasks[[#This Row],[_WeightDur]]*Tasks[[#This Row],[_PlannedPct]]</f>
        <v>0</v>
      </c>
      <c r="GF1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6" s="43" t="str">
        <f aca="false">IF(AND(Tasks[[#This Row],[_IsLeaf]]=1,N(Tasks[[#This Row],[_Days]])=0,Tasks[[#This Row],[_LeafProgress]]&lt;1),Tasks[[#This Row],[_ShownFcstFinish]]+Tasks[[#This Row],[_Row]]/100000,"")</f>
        <v/>
      </c>
      <c r="GH1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6" s="43" t="str">
        <f aca="false">IF(Tasks[[#This Row],[Task Name]]="","",LEFT(Tasks[[#This Row],[WBS]],FIND(".",Tasks[[#This Row],[WBS]]&amp;".")-1))</f>
        <v/>
      </c>
      <c r="GJ136" s="43" t="str">
        <f aca="false">IF(AND(Tasks[[#This Row],[Task Name]]&lt;&gt;"",Tasks[[#This Row],[_Level]]=1),Tasks[[#This Row],[_Row]],"")</f>
        <v/>
      </c>
      <c r="GK136" s="43" t="str">
        <f aca="false">IF(AND(Tasks[[#This Row],[_IsLeaf]]=1,N(Tasks[[#This Row],[_Days]])=0),Tasks[[#This Row],[Planned Finish]]+Tasks[[#This Row],[_Row]]/100000,"")</f>
        <v/>
      </c>
      <c r="GL136" s="43" t="str">
        <f aca="false">IF(AND(Tasks[[#This Row],[_IsLeaf]]=1,Tasks[[#This Row],[_LeafProgress]]&lt;1,OR(N(Tasks[[#This Row],[Finish Var]])&gt;0,Tasks[[#This Row],[Status]]="Late Start")),MAX(0,Tasks[[#This Row],[Finish Var]])+1-Tasks[[#This Row],[_Row]]/1000000,"")</f>
        <v/>
      </c>
      <c r="GM136" s="43" t="str">
        <f aca="false">IF(AND(Tasks[[#This Row],[_IsLeaf]]=1,N(Tasks[[#This Row],[Actual Start]])=0,Tasks[[#This Row],[_ShownFcstStart]]&gt;=StatusDate,Tasks[[#This Row],[_ShownFcstStart]]&lt;=LookaheadEnd),Tasks[[#This Row],[_ShownFcstStart]]+Tasks[[#This Row],[_Row]]/100000,"")</f>
        <v/>
      </c>
      <c r="GN136" s="43" t="str">
        <f aca="false">IF(AND(Tasks[[#This Row],[_IsLeaf]]=1,Tasks[[#This Row],[_LeafProgress]]&lt;1,Tasks[[#This Row],[_ShownFcstFinish]]&gt;=StatusDate,Tasks[[#This Row],[_ShownFcstFinish]]&lt;=LookaheadEnd),Tasks[[#This Row],[_ShownFcstFinish]]+Tasks[[#This Row],[_Row]]/100000,"")</f>
        <v/>
      </c>
      <c r="GO136" s="43" t="str">
        <f aca="false">IF(Tasks[[#This Row],[_LeafCritical]],Tasks[[#This Row],[_ShownFcstStart]]+Tasks[[#This Row],[_Row]]/100000,"")</f>
        <v/>
      </c>
      <c r="GP136" s="43" t="n">
        <f aca="false">Tasks[[#This Row],[_LeafWork]]*Tasks[[#This Row],[_LeafProgress]]</f>
        <v>0</v>
      </c>
      <c r="GQ136" s="91" t="str">
        <f aca="false">IF(AND(Tasks[[#This Row],[_IsLeaf]]=1,Tasks[[#This Row],[_LeafProgress]]&gt;=1),IF(N(Tasks[[#This Row],[Actual Finish]])&gt;0,Tasks[[#This Row],[Actual Finish]],Tasks[[#This Row],[_ShownFcstFinish]]),"")</f>
        <v/>
      </c>
      <c r="GR136" s="43" t="n">
        <f aca="false">IF(Tasks[[#This Row],[_IsLeaf]]=1,N(Tasks[[#This Row],[Story Points]]),0)</f>
        <v>0</v>
      </c>
      <c r="GS136" s="43" t="str">
        <f aca="false">""</f>
        <v/>
      </c>
      <c r="GT136" s="90" t="b">
        <f aca="false">IF(Tasks[[#This Row],[Task Name]]="",FALSE(),AND(Tasks[[#This Row],[_IsLeaf]]=1,N(Tasks[[#This Row],[_Days]])=0))</f>
        <v>0</v>
      </c>
      <c r="GU136" s="91" t="n">
        <f aca="false">IF(Tasks[[#This Row],[Task Name]]="",0,IF(AND(Tasks[[#This Row],[_IsLeaf]]=1,NOT(Tasks[[#This Row],[_IsMilestone]]),N(Tasks[[#This Row],[Progress]])&gt;0),Tasks[[#This Row],[Start]],0))</f>
        <v>0</v>
      </c>
      <c r="GV136" s="91" t="n">
        <f aca="false">IF(Tasks[[#This Row],[_DoneFrom]]=0,0,IF(Tasks[[#This Row],[Progress]]&gt;=1,Tasks[[#This Row],[Finish]],MAX(Tasks[[#This Row],[_DoneFrom]],Tasks[[#This Row],[Start]]+ROUND((Tasks[[#This Row],[Finish]]-Tasks[[#This Row],[Start]]+1)*Tasks[[#This Row],[Progress]],0)-1)))</f>
        <v>0</v>
      </c>
      <c r="GW136" s="91" t="n">
        <f aca="false">IF(Tasks[[#This Row],[Task Name]]="",0,IF(OR(NOT(Tasks[[#This Row],[_IsLeaf]]=1),Tasks[[#This Row],[_IsMilestone]],N(Tasks[[#This Row],[Progress]])&gt;=1),0,IF(Tasks[[#This Row],[_DoneTo]]&gt;0,Tasks[[#This Row],[_DoneTo]]+1,Tasks[[#This Row],[Start]])))</f>
        <v>0</v>
      </c>
      <c r="GX136" s="91" t="n">
        <f aca="false">IF(Tasks[[#This Row],[_RemFrom]]=0,0,Tasks[[#This Row],[Finish]])</f>
        <v>0</v>
      </c>
      <c r="GY136" s="90" t="b">
        <f aca="false">IF(Tasks[[#This Row],[Task Name]]="",FALSE(),OR(NOT(BaselineSet),N(Tasks[[#This Row],[Baseline Start]])&gt;0))</f>
        <v>0</v>
      </c>
      <c r="GZ13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6" s="92" t="str">
        <f aca="false">IF(Tasks[[#This Row],[_IsLeaf]]=1,Tasks[[#This Row],[_Row]],"")</f>
        <v/>
      </c>
      <c r="HD136" s="92" t="str">
        <f aca="false">IFERROR(INDEX(Tasks[UID],SMALL(Tasks[_PickKey],Tasks[[#This Row],[_Row]]))&amp;" "&amp;INDEX(Tasks[Task Name],SMALL(Tasks[_PickKey],Tasks[[#This Row],[_Row]])),"")</f>
        <v/>
      </c>
      <c r="HE136" s="43" t="str">
        <f aca="false">IF(Tasks[[#This Row],[Task Name]]="","",IF(Tasks[[#This Row],[_IsSummary]],NETWORKDAYS.INTL(Tasks[[#This Row],[Start]],Tasks[[#This Row],[Finish]],WorkWeek,Holidays),N(Tasks[[#This Row],[_Days]])))</f>
        <v/>
      </c>
      <c r="HF136" s="43" t="n">
        <f aca="false">IF(Tasks[[#This Row],[Expected]]="",0,((Tasks[[#This Row],[Pessimistic]]-Tasks[[#This Row],[Optimistic]])/6)^2)</f>
        <v>0</v>
      </c>
      <c r="HG136" s="43" t="n">
        <f aca="false">IF(Tasks[[#This Row],[Expected]]="",0,Tasks[[#This Row],[Expected]]-N(Tasks[[#This Row],[_Days]]))</f>
        <v>0</v>
      </c>
    </row>
    <row r="137" customFormat="false" ht="15" hidden="false" customHeight="false" outlineLevel="0" collapsed="false">
      <c r="A137" s="21" t="str">
        <f aca="false">IF(Tasks[[#This Row],[Task Name]]="","",COUNTA(Tasks[[#Headers],[Task Name]]:Tasks[[#This Row],[Task Name]])-1)</f>
        <v/>
      </c>
      <c r="B137" s="22" t="n">
        <v>145</v>
      </c>
      <c r="C137" s="22"/>
      <c r="D137" s="23"/>
      <c r="E137" s="22"/>
      <c r="F137" s="23"/>
      <c r="G137" s="22"/>
      <c r="H137" s="22"/>
      <c r="I137" s="23"/>
      <c r="J137" s="22"/>
      <c r="K137" s="22"/>
      <c r="L137" s="23"/>
      <c r="M137" s="22"/>
      <c r="N137" s="22"/>
      <c r="O137" s="23"/>
      <c r="P137" s="22"/>
      <c r="Q137" s="22"/>
      <c r="R137" s="23"/>
      <c r="S137" s="23"/>
      <c r="T137" s="84"/>
      <c r="U137" s="23"/>
      <c r="V137" s="84"/>
      <c r="W137" s="23"/>
      <c r="X137" s="84"/>
      <c r="Y137" s="23"/>
      <c r="Z137" s="84"/>
      <c r="AA137" s="23"/>
      <c r="AB137" s="23"/>
      <c r="AC137" s="7"/>
      <c r="AD137" s="7"/>
      <c r="AE137" s="63" t="str">
        <f aca="false">IF(Tasks[[#This Row],[Task Name]]="","",IF(Tasks[[#This Row],[_IsSummary]],MIN(INDEX(Tasks[_ShownFcstStart],Tasks[[#This Row],[_Row]]+1):INDEX(Tasks[_ShownFcstStart],Tasks[[#This Row],[_Row]]+Tasks[[#This Row],[_Descendants]])),Tasks[[#This Row],[_ShownFcstStart]]))</f>
        <v/>
      </c>
      <c r="AF137" s="63" t="str">
        <f aca="false">IF(Tasks[[#This Row],[Task Name]]="","",IF(Tasks[[#This Row],[_IsSummary]],MAX(INDEX(Tasks[_ShownFcstFinish],Tasks[[#This Row],[_Row]]+1):INDEX(Tasks[_ShownFcstFinish],Tasks[[#This Row],[_Row]]+Tasks[[#This Row],[_Descendants]])),Tasks[[#This Row],[_ShownFcstFinish]]))</f>
        <v/>
      </c>
      <c r="AG137" s="21" t="str">
        <f aca="false">""</f>
        <v/>
      </c>
      <c r="AH137" s="23"/>
      <c r="AI1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7" s="7"/>
      <c r="AK137" s="22"/>
      <c r="AL137" s="23"/>
      <c r="AM137" s="7"/>
      <c r="AN137" s="47" t="str">
        <f aca="false">IF(Tasks[[#This Row],[Task Name]]="","",IF(Tasks[[#This Row],[Finish]]&gt;=Tasks[[#This Row],[Planned Finish]],NETWORKDAYS.INTL(Tasks[[#This Row],[Planned Finish]],Tasks[[#This Row],[Finish]],WorkWeek,Holidays)-1,1-NETWORKDAYS.INTL(Tasks[[#This Row],[Finish]],Tasks[[#This Row],[Planned Finish]],WorkWeek,Holidays)))</f>
        <v/>
      </c>
      <c r="AO137" s="21" t="str">
        <f aca="false">IF(Tasks[[#This Row],[Task Name]]="","",IF(Tasks[[#This Row],[Progress]]&gt;=1,"Complete",IF(OR(N(Tasks[[#This Row],[Actual Start]])&gt;0,Tasks[[#This Row],[Progress]]&gt;0),IF(Tasks[[#This Row],[Finish Var]]&gt;0,"Behind","In Progress"),IF(Tasks[[#This Row],[Planned Start]]&lt;StatusDate,"Late Start","Not Started"))))</f>
        <v/>
      </c>
      <c r="AP137" s="21" t="str">
        <f aca="false">IF(Tasks[[#This Row],[Task Name]]="","",IF(IF(Tasks[[#This Row],[_IsSummary]],COUNTIF(INDEX(Tasks[_LeafCritical],Tasks[[#This Row],[_Row]]+1):INDEX(Tasks[_LeafCritical],Tasks[[#This Row],[_Row]]+Tasks[[#This Row],[_Descendants]]),TRUE())&gt;0,Tasks[[#This Row],[_LeafCritical]]),"Yes",""))</f>
        <v/>
      </c>
      <c r="AQ137" s="63" t="str">
        <f aca="false">IF(Tasks[[#This Row],[Task Name]]="","",IF(N(Tasks[[#This Row],[Baseline Start]])&gt;0,Tasks[[#This Row],[Baseline Start]],Tasks[[#This Row],[_CalcStart]]))</f>
        <v/>
      </c>
      <c r="AR137" s="63" t="str">
        <f aca="false">IF(Tasks[[#This Row],[Task Name]]="","",IF(N(Tasks[[#This Row],[Baseline Finish]])&gt;0,Tasks[[#This Row],[Baseline Finish]],Tasks[[#This Row],[_CalcFinish]]))</f>
        <v/>
      </c>
      <c r="AS137" s="47" t="str">
        <f aca="false">IF(Tasks[[#This Row],[Task Name]]="","",IF(Tasks[[#This Row],[Start]]&gt;=Tasks[[#This Row],[Planned Start]],NETWORKDAYS.INTL(Tasks[[#This Row],[Planned Start]],Tasks[[#This Row],[Start]],WorkWeek,Holidays)-1,1-NETWORKDAYS.INTL(Tasks[[#This Row],[Start]],Tasks[[#This Row],[Planned Start]],WorkWeek,Holidays)))</f>
        <v/>
      </c>
      <c r="AT137" s="63" t="str">
        <f aca="false">IF(Tasks[[#This Row],[Task Name]]="","",IF(Tasks[[#This Row],[_IsSummary]],MIN(INDEX(Tasks[_LeafLateStart],Tasks[[#This Row],[_Row]]+1):INDEX(Tasks[_LeafLateStart],Tasks[[#This Row],[_Row]]+Tasks[[#This Row],[_Descendants]])),Tasks[[#This Row],[_LeafLateStart]]))</f>
        <v/>
      </c>
      <c r="AU137" s="63" t="str">
        <f aca="false">IF(Tasks[[#This Row],[Task Name]]="","",IF(Tasks[[#This Row],[_IsSummary]],MAX(INDEX(Tasks[_LeafLateFinish],Tasks[[#This Row],[_Row]]+1):INDEX(Tasks[_LeafLateFinish],Tasks[[#This Row],[_Row]]+Tasks[[#This Row],[_Descendants]])),Tasks[[#This Row],[_LeafLateFinish]]))</f>
        <v/>
      </c>
      <c r="AV137" s="47" t="str">
        <f aca="false">IF(Tasks[[#This Row],[Task Name]]="","",IF(Tasks[[#This Row],[_IsSummary]],MIN(INDEX(Tasks[_LeafTotalSlack],Tasks[[#This Row],[_Row]]+1):INDEX(Tasks[_LeafTotalSlack],Tasks[[#This Row],[_Row]]+Tasks[[#This Row],[_Descendants]])),Tasks[[#This Row],[_LeafTotalSlack]]))</f>
        <v/>
      </c>
      <c r="AW1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5"/>
      <c r="BA13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t="str">
        <f aca="false">IF(Tasks[[#This Row],[Task Name]]="","",IF(Tasks[[#This Row],[_Level]]&lt;=OutlineShowLevel,"Yes","No"))</f>
        <v/>
      </c>
      <c r="BE137" s="86" t="str">
        <f aca="false">IF(Tasks[[#This Row],[Task Name]]="","",IF(Tasks[[#This Row],[_IsSummary]],SUM(INDEX(Tasks[_LeafTotalWork],Tasks[[#This Row],[_Row]]+1):INDEX(Tasks[_LeafTotalWork],Tasks[[#This Row],[_Row]]+Tasks[[#This Row],[_Descendants]])),Tasks[[#This Row],[_LeafTotalWork]]))</f>
        <v/>
      </c>
      <c r="BF137" s="23"/>
      <c r="BG1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t="str">
        <f aca="false">""</f>
        <v/>
      </c>
      <c r="BI137" s="87"/>
      <c r="BJ137" s="22"/>
      <c r="BK137" s="47" t="str">
        <f aca="false">IF(OR(Tasks[[#This Row],[Task Name]]="",Tasks[[#This Row],[Baseline Duration]]=""),"",Tasks[[#This Row],[_SpanDays]]-N(Tasks[[#This Row],[Baseline Duration]]))</f>
        <v/>
      </c>
      <c r="BL137" s="86" t="str">
        <f aca="false">IF(OR(Tasks[[#This Row],[Task Name]]="",Tasks[[#This Row],[Baseline Work]]=""),"",Tasks[[#This Row],[Work]]-N(Tasks[[#This Row],[Baseline Work]]))</f>
        <v/>
      </c>
      <c r="BM137" s="63" t="str">
        <f aca="false">IF(Tasks[[#This Row],[Task Name]]="","",IF(OR(TakeBaseline="Yes",N(Tasks[[#This Row],[Baseline Start]])=0),Tasks[[#This Row],[Start]],Tasks[[#This Row],[Baseline Start]]))</f>
        <v/>
      </c>
      <c r="BN137" s="63" t="str">
        <f aca="false">IF(Tasks[[#This Row],[Task Name]]="","",IF(OR(TakeBaseline="Yes",N(Tasks[[#This Row],[Baseline Finish]])=0),Tasks[[#This Row],[Finish]],Tasks[[#This Row],[Baseline Finish]]))</f>
        <v/>
      </c>
      <c r="BO137" s="21" t="str">
        <f aca="false">IF(Tasks[[#This Row],[Task Name]]="","",IF(OR(TakeBaseline="Yes",N(Tasks[[#This Row],[Baseline Duration]])=0),Tasks[[#This Row],[_SpanDays]],Tasks[[#This Row],[Baseline Duration]]))</f>
        <v/>
      </c>
      <c r="BP137" s="86" t="str">
        <f aca="false">IF(Tasks[[#This Row],[Task Name]]="","",IF(OR(TakeBaseline="Yes",N(Tasks[[#This Row],[Baseline Work]])=0),Tasks[[#This Row],[Work]],Tasks[[#This Row],[Baseline Work]]))</f>
        <v/>
      </c>
      <c r="BQ137" s="7"/>
      <c r="BR137" s="7"/>
      <c r="BS137" s="22"/>
      <c r="BT137" s="88"/>
      <c r="BU137" s="23"/>
      <c r="BV137" s="23"/>
      <c r="BW137" s="23"/>
      <c r="BX137" s="89" t="str">
        <f aca="false">IF(AND(Tasks[[#This Row],[_IsLeaf]]=1,ISNUMBER(Tasks[[#This Row],[Optimistic]]),ISNUMBER(Tasks[[#This Row],[Pessimistic]])),ROUND((Tasks[[#This Row],[Optimistic]]+4*N(Tasks[[#This Row],[_Days]])+Tasks[[#This Row],[Pessimistic]])/6,1),"")</f>
        <v/>
      </c>
      <c r="BY137" s="87"/>
      <c r="BZ137" s="87"/>
      <c r="CA137" s="22"/>
      <c r="CB137" s="43" t="str">
        <f aca="false">IF(Tasks[[#This Row],[Task Name]]="","",MAX(1,N(Tasks[[#This Row],[Level]])))</f>
        <v/>
      </c>
      <c r="CC137" s="43" t="n">
        <f aca="false">ROW()-ROW(Tasks[[#Headers],[ID]])</f>
        <v>132</v>
      </c>
      <c r="CD137" s="43" t="n">
        <f aca="false">IF(OR(Tasks[[#This Row],[Task Name]]="",Tasks[[#This Row],[_Level]]&lt;=1),0,IFERROR(LOOKUP(2,1/(Tasks[[#Headers],[_Level]]:Tasks[[#This Row],[_Level]]=Tasks[[#This Row],[_Level]]-1),ROW(Tasks[[#Headers],[_Level]]:Tasks[[#This Row],[_Level]])),0))</f>
        <v>0</v>
      </c>
      <c r="CE137" s="43" t="n">
        <f aca="false">IFERROR(N(INDEX(Tasks[_Level],Tasks[[#This Row],[_Row]]+1)),0)</f>
        <v>0</v>
      </c>
      <c r="CF137" s="90" t="b">
        <f aca="false">AND(Tasks[[#This Row],[Task Name]]&lt;&gt;"",Tasks[[#This Row],[_NextLevel]]&gt;Tasks[[#This Row],[_Level]])</f>
        <v>0</v>
      </c>
      <c r="CG137" s="43" t="n">
        <f aca="false">IF(Tasks[[#This Row],[_IsSummary]],COUNTIF(Tasks[WBS],Tasks[[#This Row],[WBS]]&amp;".*"),0)</f>
        <v>0</v>
      </c>
      <c r="CH137" s="43" t="n">
        <f aca="false">IF(AND(Tasks[[#This Row],[Task Name]]&lt;&gt;"",NOT(Tasks[[#This Row],[_IsSummary]])),1,0)</f>
        <v>0</v>
      </c>
      <c r="CI137" s="43" t="n">
        <f aca="false">IF(N(Tasks[[#This Row],[_Pred1UID]])=0,0,IFERROR(MATCH(Tasks[[#This Row],[_Pred1UID]],Tasks[UID],0),-1))</f>
        <v>0</v>
      </c>
      <c r="CJ137" s="43" t="n">
        <f aca="false">IF(N(Tasks[[#This Row],[_Pred2UID]])=0,0,IFERROR(MATCH(Tasks[[#This Row],[_Pred2UID]],Tasks[UID],0),-1))</f>
        <v>0</v>
      </c>
      <c r="CK137" s="43" t="n">
        <f aca="false">IF(N(Tasks[[#This Row],[_Pred3UID]])=0,0,IFERROR(MATCH(Tasks[[#This Row],[_Pred3UID]],Tasks[UID],0),-1))</f>
        <v>0</v>
      </c>
      <c r="CL137" s="43" t="n">
        <f aca="false">IF(N(Tasks[[#This Row],[_Pred4UID]])=0,0,IFERROR(MATCH(Tasks[[#This Row],[_Pred4UID]],Tasks[UID],0),-1))</f>
        <v>0</v>
      </c>
      <c r="CM1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7" s="91" t="n">
        <f aca="false">IF(OR(Tasks[[#This Row],[_ConstraintCode]]=2,Tasks[[#This Row],[_ConstraintCode]]=3,Tasks[[#This Row],[_ConstraintCode]]=4,Tasks[[#This Row],[_ConstraintCode]]=6),Tasks[[#This Row],[_ConstraintStart]],0)</f>
        <v>0</v>
      </c>
      <c r="CP137" s="91" t="n">
        <f aca="false">IF(OR(Tasks[[#This Row],[_ConstraintCode]]=2,Tasks[[#This Row],[_ConstraintCode]]=3,Tasks[[#This Row],[_ConstraintCode]]=5,Tasks[[#This Row],[_ConstraintCode]]=7),Tasks[[#This Row],[_ConstraintStart]],2958465)</f>
        <v>2958465</v>
      </c>
      <c r="CQ1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7" s="91" t="str">
        <f aca="false">IF(NOT(Tasks[[#This Row],[_IsLeaf]]=1),"",IF(N(Tasks[[#This Row],[_Days]])&lt;=0,Tasks[[#This Row],[_LeafCalcStart]],WORKDAY.INTL(Tasks[[#This Row],[_LeafCalcStart]],Tasks[[#This Row],[_Days]]-1,WorkWeek,Holidays)))</f>
        <v/>
      </c>
      <c r="CS1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7" s="43" t="str">
        <f aca="false">IF(Tasks[[#This Row],[_Predecessors]]="","",TRIM(MID(SUBSTITUTE(SUBSTITUTE(SUBSTITUTE(UPPER(Tasks[[#This Row],[_Predecessors]]),";",",")," ",""),",",REPT(" ",99)),1,99)))</f>
        <v/>
      </c>
      <c r="CV137" s="43" t="str">
        <f aca="false">IF(Tasks[[#This Row],[_Pred1Text]]="","",IFERROR(VALUE(LEFT(Tasks[[#This Row],[_Pred1Text]],MIN(FIND("F",Tasks[[#This Row],[_Pred1Text]]&amp;"F"),FIND("S",Tasks[[#This Row],[_Pred1Text]]&amp;"S"),FIND("+",Tasks[[#This Row],[_Pred1Text]]&amp;"+"),FIND("-",Tasks[[#This Row],[_Pred1Text]]&amp;"-"))-1)),""))</f>
        <v/>
      </c>
      <c r="CW1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7" s="43" t="str">
        <f aca="false">IF(Tasks[[#This Row],[_Pred1Text]]="","",TRIM(MID(SUBSTITUTE(SUBSTITUTE(SUBSTITUTE(UPPER(Tasks[[#This Row],[_Predecessors]]),";",",")," ",""),",",REPT(" ",99)),100,99)))</f>
        <v/>
      </c>
      <c r="CZ137" s="43" t="str">
        <f aca="false">IF(Tasks[[#This Row],[_Pred2Text]]="","",IFERROR(VALUE(LEFT(Tasks[[#This Row],[_Pred2Text]],MIN(FIND("F",Tasks[[#This Row],[_Pred2Text]]&amp;"F"),FIND("S",Tasks[[#This Row],[_Pred2Text]]&amp;"S"),FIND("+",Tasks[[#This Row],[_Pred2Text]]&amp;"+"),FIND("-",Tasks[[#This Row],[_Pred2Text]]&amp;"-"))-1)),""))</f>
        <v/>
      </c>
      <c r="DA1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7" s="43" t="str">
        <f aca="false">IF(Tasks[[#This Row],[_Pred2Text]]="","",TRIM(MID(SUBSTITUTE(SUBSTITUTE(SUBSTITUTE(UPPER(Tasks[[#This Row],[_Predecessors]]),";",",")," ",""),",",REPT(" ",99)),199,99)))</f>
        <v/>
      </c>
      <c r="DD137" s="43" t="str">
        <f aca="false">IF(Tasks[[#This Row],[_Pred3Text]]="","",IFERROR(VALUE(LEFT(Tasks[[#This Row],[_Pred3Text]],MIN(FIND("F",Tasks[[#This Row],[_Pred3Text]]&amp;"F"),FIND("S",Tasks[[#This Row],[_Pred3Text]]&amp;"S"),FIND("+",Tasks[[#This Row],[_Pred3Text]]&amp;"+"),FIND("-",Tasks[[#This Row],[_Pred3Text]]&amp;"-"))-1)),""))</f>
        <v/>
      </c>
      <c r="DE1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7" s="43" t="str">
        <f aca="false">IF(Tasks[[#This Row],[_Pred3Text]]="","",TRIM(MID(SUBSTITUTE(SUBSTITUTE(SUBSTITUTE(UPPER(Tasks[[#This Row],[_Predecessors]]),";",",")," ",""),",",REPT(" ",99)),298,99)))</f>
        <v/>
      </c>
      <c r="DH137" s="43" t="str">
        <f aca="false">IF(Tasks[[#This Row],[_Pred4Text]]="","",IFERROR(VALUE(LEFT(Tasks[[#This Row],[_Pred4Text]],MIN(FIND("F",Tasks[[#This Row],[_Pred4Text]]&amp;"F"),FIND("S",Tasks[[#This Row],[_Pred4Text]]&amp;"S"),FIND("+",Tasks[[#This Row],[_Pred4Text]]&amp;"+"),FIND("-",Tasks[[#This Row],[_Pred4Text]]&amp;"-"))-1)),""))</f>
        <v/>
      </c>
      <c r="DI1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7" s="43" t="str">
        <f aca="false">IF(OR(Tasks[[#This Row],[Task Name]]="",Tasks[[#This Row],[_Resources]]=""),"",TRIM(MID(SUBSTITUTE(Tasks[[#This Row],[_Resources]],",",REPT(" ",99)),1,99)))</f>
        <v/>
      </c>
      <c r="DL137" s="43" t="str">
        <f aca="false">IF(Tasks[[#This Row],[_Res1Text]]="","",TRIM(MID(SUBSTITUTE(Tasks[[#This Row],[_Resources]],",",REPT(" ",99)),100,99)))</f>
        <v/>
      </c>
      <c r="DM137" s="43" t="str">
        <f aca="false">IF(Tasks[[#This Row],[_Res2Text]]="","",TRIM(MID(SUBSTITUTE(Tasks[[#This Row],[_Resources]],",",REPT(" ",99)),199,99)))</f>
        <v/>
      </c>
      <c r="DN137" s="43" t="str">
        <f aca="false">IF(Tasks[[#This Row],[_Res3Text]]="","",TRIM(MID(SUBSTITUTE(Tasks[[#This Row],[_Resources]],",",REPT(" ",99)),298,99)))</f>
        <v/>
      </c>
      <c r="DO137" s="43" t="n">
        <f aca="false">IF(Tasks[[#This Row],[_Res1Text]]="",0,IFERROR(MATCH(TRIM(LEFT(Tasks[[#This Row],[_Res1Text]],FIND("[",Tasks[[#This Row],[_Res1Text]]&amp;"[")-1)),res_Name,0),IFERROR(MATCH(TRIM(LEFT(Tasks[[#This Row],[_Res1Text]],FIND("[",Tasks[[#This Row],[_Res1Text]]&amp;"[")-1)),res_Initials,0),0)))</f>
        <v>0</v>
      </c>
      <c r="DP137" s="43" t="n">
        <f aca="false">IF(Tasks[[#This Row],[_Res2Text]]="",0,IFERROR(MATCH(TRIM(LEFT(Tasks[[#This Row],[_Res2Text]],FIND("[",Tasks[[#This Row],[_Res2Text]]&amp;"[")-1)),res_Name,0),IFERROR(MATCH(TRIM(LEFT(Tasks[[#This Row],[_Res2Text]],FIND("[",Tasks[[#This Row],[_Res2Text]]&amp;"[")-1)),res_Initials,0),0)))</f>
        <v>0</v>
      </c>
      <c r="DQ137" s="43" t="n">
        <f aca="false">IF(Tasks[[#This Row],[_Res3Text]]="",0,IFERROR(MATCH(TRIM(LEFT(Tasks[[#This Row],[_Res3Text]],FIND("[",Tasks[[#This Row],[_Res3Text]]&amp;"[")-1)),res_Name,0),IFERROR(MATCH(TRIM(LEFT(Tasks[[#This Row],[_Res3Text]],FIND("[",Tasks[[#This Row],[_Res3Text]]&amp;"[")-1)),res_Initials,0),0)))</f>
        <v>0</v>
      </c>
      <c r="DR137" s="43" t="n">
        <f aca="false">IF(Tasks[[#This Row],[_Res4Text]]="",0,IFERROR(MATCH(TRIM(LEFT(Tasks[[#This Row],[_Res4Text]],FIND("[",Tasks[[#This Row],[_Res4Text]]&amp;"[")-1)),res_Name,0),IFERROR(MATCH(TRIM(LEFT(Tasks[[#This Row],[_Res4Text]],FIND("[",Tasks[[#This Row],[_Res4Text]]&amp;"[")-1)),res_Initials,0),0)))</f>
        <v>0</v>
      </c>
      <c r="DS137" s="43" t="str">
        <f aca="false">IF(Tasks[[#This Row],[_Res1Text]]="","",IF(Tasks[[#This Row],[_Res1Row]]&gt;0,INDEX(res_Name,Tasks[[#This Row],[_Res1Row]]),TRIM(LEFT(Tasks[[#This Row],[_Res1Text]],FIND("[",Tasks[[#This Row],[_Res1Text]]&amp;"[")-1))))</f>
        <v/>
      </c>
      <c r="DT1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7" s="43" t="n">
        <f aca="false">IF(NOT(Tasks[[#This Row],[_IsLeaf]]=1),0,(Tasks[[#This Row],[_Resource1]]&lt;&gt;"")+(Tasks[[#This Row],[_Res2]]&lt;&gt;"")+(Tasks[[#This Row],[_Res3]]&lt;&gt;"")+(Tasks[[#This Row],[_Res4]]&lt;&gt;""))</f>
        <v>0</v>
      </c>
      <c r="DV137" s="43" t="str">
        <f aca="false">IF(Tasks[[#This Row],[_Res2Text]]="","",IF(Tasks[[#This Row],[_Res2Row]]&gt;0,INDEX(res_Name,Tasks[[#This Row],[_Res2Row]]),TRIM(LEFT(Tasks[[#This Row],[_Res2Text]],FIND("[",Tasks[[#This Row],[_Res2Text]]&amp;"[")-1))))</f>
        <v/>
      </c>
      <c r="DW1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7" s="43" t="n">
        <f aca="false">IF(OR(NOT(Tasks[[#This Row],[_IsLeaf]]=1),Tasks[[#This Row],[_Res2Row]]=0),0,N(Tasks[[#This Row],[_Days]])*HoursPerDay*IF(Tasks[[#This Row],[_Res2Units]]="",DefaultUnits,Tasks[[#This Row],[_Res2Units]]))</f>
        <v>0</v>
      </c>
      <c r="DY137" s="43" t="n">
        <f aca="false">IF(AND(AND(Tasks[[#This Row],[_IsLeaf]]=1,Tasks[[#This Row],[_LeafTotalWork]]&gt;0),Tasks[[#This Row],[_Res2Work]]&gt;0),Tasks[[#This Row],[_Res2Work]]/(Tasks[[#This Row],[_FinishWorkday]]-Tasks[[#This Row],[_StartWorkday]]+1),0)</f>
        <v>0</v>
      </c>
      <c r="DZ137" s="43" t="n">
        <f aca="false">Tasks[[#This Row],[_Res2WorkPerWD]]*MAX(0,Tasks[[#This Row],[_StartWorkday]]-1)</f>
        <v>0</v>
      </c>
      <c r="EA137" s="43" t="n">
        <f aca="false">Tasks[[#This Row],[_Res2Work]]*Tasks[[#This Row],[_LeafProgress]]</f>
        <v>0</v>
      </c>
      <c r="EB137" s="43" t="str">
        <f aca="false">IF(Tasks[[#This Row],[_Res3Text]]="","",IF(Tasks[[#This Row],[_Res3Row]]&gt;0,INDEX(res_Name,Tasks[[#This Row],[_Res3Row]]),TRIM(LEFT(Tasks[[#This Row],[_Res3Text]],FIND("[",Tasks[[#This Row],[_Res3Text]]&amp;"[")-1))))</f>
        <v/>
      </c>
      <c r="EC1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7" s="43" t="n">
        <f aca="false">IF(OR(NOT(Tasks[[#This Row],[_IsLeaf]]=1),Tasks[[#This Row],[_Res3Row]]=0),0,N(Tasks[[#This Row],[_Days]])*HoursPerDay*IF(Tasks[[#This Row],[_Res3Units]]="",DefaultUnits,Tasks[[#This Row],[_Res3Units]]))</f>
        <v>0</v>
      </c>
      <c r="EE137" s="43" t="n">
        <f aca="false">IF(AND(AND(Tasks[[#This Row],[_IsLeaf]]=1,Tasks[[#This Row],[_LeafTotalWork]]&gt;0),Tasks[[#This Row],[_Res3Work]]&gt;0),Tasks[[#This Row],[_Res3Work]]/(Tasks[[#This Row],[_FinishWorkday]]-Tasks[[#This Row],[_StartWorkday]]+1),0)</f>
        <v>0</v>
      </c>
      <c r="EF137" s="43" t="n">
        <f aca="false">Tasks[[#This Row],[_Res3WorkPerWD]]*MAX(0,Tasks[[#This Row],[_StartWorkday]]-1)</f>
        <v>0</v>
      </c>
      <c r="EG137" s="43" t="n">
        <f aca="false">Tasks[[#This Row],[_Res3Work]]*Tasks[[#This Row],[_LeafProgress]]</f>
        <v>0</v>
      </c>
      <c r="EH137" s="43" t="str">
        <f aca="false">IF(Tasks[[#This Row],[_Res4Text]]="","",IF(Tasks[[#This Row],[_Res4Row]]&gt;0,INDEX(res_Name,Tasks[[#This Row],[_Res4Row]]),TRIM(LEFT(Tasks[[#This Row],[_Res4Text]],FIND("[",Tasks[[#This Row],[_Res4Text]]&amp;"[")-1))))</f>
        <v/>
      </c>
      <c r="EI1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7" s="43" t="n">
        <f aca="false">IF(OR(NOT(Tasks[[#This Row],[_IsLeaf]]=1),Tasks[[#This Row],[_Res4Row]]=0),0,N(Tasks[[#This Row],[_Days]])*HoursPerDay*IF(Tasks[[#This Row],[_Res4Units]]="",DefaultUnits,Tasks[[#This Row],[_Res4Units]]))</f>
        <v>0</v>
      </c>
      <c r="EK137" s="43" t="n">
        <f aca="false">IF(AND(AND(Tasks[[#This Row],[_IsLeaf]]=1,Tasks[[#This Row],[_LeafTotalWork]]&gt;0),Tasks[[#This Row],[_Res4Work]]&gt;0),Tasks[[#This Row],[_Res4Work]]/(Tasks[[#This Row],[_FinishWorkday]]-Tasks[[#This Row],[_StartWorkday]]+1),0)</f>
        <v>0</v>
      </c>
      <c r="EL137" s="43" t="n">
        <f aca="false">Tasks[[#This Row],[_Res4WorkPerWD]]*MAX(0,Tasks[[#This Row],[_StartWorkday]]-1)</f>
        <v>0</v>
      </c>
      <c r="EM137" s="43" t="n">
        <f aca="false">Tasks[[#This Row],[_Res4Work]]*Tasks[[#This Row],[_LeafProgress]]</f>
        <v>0</v>
      </c>
      <c r="EN137" s="43" t="n">
        <f aca="false">IF(ISNUMBER(Tasks[[#This Row],[% Complete]]),Tasks[[#This Row],[% Complete]],IF(Tasks[[#This Row],[Stage]]="",0,IFERROR(INDEX(stg_Pct,MATCH(Tasks[[#This Row],[Stage]],stg_Name,0)),0)))</f>
        <v>0</v>
      </c>
      <c r="EO137" s="43" t="n">
        <f aca="false">IF(NOT(Tasks[[#This Row],[_IsLeaf]]=1),0,IF(N(Tasks[[#This Row],[Actual Finish]])&gt;0,1,MIN(1,Tasks[[#This Row],[_Pct]])))</f>
        <v>0</v>
      </c>
      <c r="EP137" s="43" t="n">
        <f aca="false">IF(OR(NOT(Tasks[[#This Row],[_IsLeaf]]=1),Tasks[[#This Row],[_Res1Row]]=0),0,N(Tasks[[#This Row],[_Days]])*HoursPerDay*IF(Tasks[[#This Row],[_Units1]]="",DefaultUnits,Tasks[[#This Row],[_Units1]]))</f>
        <v>0</v>
      </c>
      <c r="EQ137" s="43" t="n">
        <f aca="false">Tasks[[#This Row],[_LeafWork]]+Tasks[[#This Row],[_Res2Work]]+Tasks[[#This Row],[_Res3Work]]+Tasks[[#This Row],[_Res4Work]]</f>
        <v>0</v>
      </c>
      <c r="ER13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7" s="43" t="n">
        <f aca="false">IF(NOT(Tasks[[#This Row],[_IsLeaf]]=1),0,MAX(_xlfn.MAXIFS(Tasks[_Row],Tasks[_Pred1UID],Tasks[[#This Row],[UID]]),_xlfn.MAXIFS(Tasks[_Row],Tasks[_Pred2UID],Tasks[[#This Row],[UID]]),_xlfn.MAXIFS(Tasks[_Row],Tasks[_Pred3UID],Tasks[[#This Row],[UID]]),_xlfn.MAXIFS(Tasks[_Row],Tasks[_Pred4UID],Tasks[[#This Row],[UID]])))</f>
        <v>0</v>
      </c>
      <c r="FA1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7" s="91" t="str">
        <f aca="false">IF(NOT(Tasks[[#This Row],[_IsLeaf]]=1),"",IF(N(Tasks[[#This Row],[_Days]])&lt;=0,Tasks[[#This Row],[_LeafLateFinish]],WORKDAY.INTL(Tasks[[#This Row],[_LeafLateFinish]],-(Tasks[[#This Row],[_Days]]-1),WorkWeek,Holidays)))</f>
        <v/>
      </c>
      <c r="FD1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7" s="90" t="b">
        <f aca="false">AND(Tasks[[#This Row],[_IsLeaf]]=1,Tasks[[#This Row],[_LeafProgress]]&lt;1,N(Tasks[[#This Row],[_LeafTotalSlack]])&lt;=CriticalSlackDays)</f>
        <v>0</v>
      </c>
      <c r="FF137" s="43" t="n">
        <f aca="false">IF(AND(Tasks[[#This Row],[_IsLeaf]]=1,Tasks[[#This Row],[_ConstraintCode]]=1,Tasks[[#This Row],[Mode]]&lt;&gt;"Manual",N(Tasks[[#This Row],[Actual Start]])=0),MAX(0,N(Tasks[[#This Row],[Free Slack]])),0)</f>
        <v>0</v>
      </c>
      <c r="FG137" s="91" t="str">
        <f aca="false">IF(NOT(Tasks[[#This Row],[_IsLeaf]]=1),"",IF(Tasks[[#This Row],[_AlapShift]]=0,Tasks[[#This Row],[_LeafCalcStart]],WORKDAY.INTL(Tasks[[#This Row],[_LeafCalcStart]],Tasks[[#This Row],[_AlapShift]],WorkWeek,Holidays)))</f>
        <v/>
      </c>
      <c r="FH137" s="91" t="str">
        <f aca="false">IF(NOT(Tasks[[#This Row],[_IsLeaf]]=1),"",IF(Tasks[[#This Row],[_AlapShift]]=0,Tasks[[#This Row],[_LeafCalcFinish]],WORKDAY.INTL(Tasks[[#This Row],[_LeafCalcFinish]],Tasks[[#This Row],[_AlapShift]],WorkWeek,Holidays)))</f>
        <v/>
      </c>
      <c r="FI137" s="91" t="str">
        <f aca="false">IF(NOT(Tasks[[#This Row],[_IsLeaf]]=1),"",IF(Tasks[[#This Row],[_AlapShift]]=0,Tasks[[#This Row],[_LeafFcstStart]],WORKDAY.INTL(Tasks[[#This Row],[_LeafFcstStart]],Tasks[[#This Row],[_AlapShift]],WorkWeek,Holidays)))</f>
        <v/>
      </c>
      <c r="FJ137" s="91" t="str">
        <f aca="false">IF(NOT(Tasks[[#This Row],[_IsLeaf]]=1),"",IF(Tasks[[#This Row],[_AlapShift]]=0,Tasks[[#This Row],[_LeafFcstFinish]],WORKDAY.INTL(Tasks[[#This Row],[_LeafFcstFinish]],Tasks[[#This Row],[_AlapShift]],WorkWeek,Holidays)))</f>
        <v/>
      </c>
      <c r="FK137" s="91" t="str">
        <f aca="false">IF(Tasks[[#This Row],[Task Name]]="","",IF(Tasks[[#This Row],[_IsSummary]],MIN(INDEX(Tasks[_ShownCalcStart],Tasks[[#This Row],[_Row]]+1):INDEX(Tasks[_ShownCalcStart],Tasks[[#This Row],[_Row]]+Tasks[[#This Row],[_Descendants]])),Tasks[[#This Row],[_ShownCalcStart]]))</f>
        <v/>
      </c>
      <c r="FL137" s="91" t="str">
        <f aca="false">IF(Tasks[[#This Row],[Task Name]]="","",IF(Tasks[[#This Row],[_IsSummary]],MAX(INDEX(Tasks[_ShownCalcFinish],Tasks[[#This Row],[_Row]]+1):INDEX(Tasks[_ShownCalcFinish],Tasks[[#This Row],[_Row]]+Tasks[[#This Row],[_Descendants]])),Tasks[[#This Row],[_ShownCalcFinish]]))</f>
        <v/>
      </c>
      <c r="FM1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7" s="43" t="n">
        <f aca="false">IF(AND(Tasks[[#This Row],[_IsLeaf]]=1,Tasks[[#This Row],[_LeafTotalWork]]&gt;0),NETWORKDAYS.INTL(ProjectStart,Tasks[[#This Row],[_ShownFcstStart]],WorkWeek,Holidays),0)</f>
        <v>0</v>
      </c>
      <c r="FZ137" s="43" t="n">
        <f aca="false">IF(AND(Tasks[[#This Row],[_IsLeaf]]=1,Tasks[[#This Row],[_LeafTotalWork]]&gt;0),MAX(Tasks[[#This Row],[_StartWorkday]],NETWORKDAYS.INTL(ProjectStart,Tasks[[#This Row],[_ShownFcstFinish]],WorkWeek,Holidays)),0)</f>
        <v>0</v>
      </c>
      <c r="GA137" s="43" t="n">
        <f aca="false">IF(AND(Tasks[[#This Row],[_IsLeaf]]=1,Tasks[[#This Row],[_LeafTotalWork]]&gt;0),Tasks[[#This Row],[_LeafWork]]/(Tasks[[#This Row],[_FinishWorkday]]-Tasks[[#This Row],[_StartWorkday]]+1),0)</f>
        <v>0</v>
      </c>
      <c r="GB137" s="43" t="n">
        <f aca="false">Tasks[[#This Row],[_WorkPerWorkday]]*(Tasks[[#This Row],[_StartWorkday]]-1)</f>
        <v>-0</v>
      </c>
      <c r="GC137" s="43" t="n">
        <f aca="false">IF(Tasks[[#This Row],[_IsLeaf]]=1,MAX(N(Tasks[[#This Row],[_Days]]),0.1),0)</f>
        <v>0</v>
      </c>
      <c r="GD137" s="43" t="n">
        <f aca="false">Tasks[[#This Row],[_WeightDur]]*Tasks[[#This Row],[_LeafProgress]]</f>
        <v>0</v>
      </c>
      <c r="GE137" s="43" t="n">
        <f aca="false">Tasks[[#This Row],[_WeightDur]]*Tasks[[#This Row],[_PlannedPct]]</f>
        <v>0</v>
      </c>
      <c r="GF1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7" s="43" t="str">
        <f aca="false">IF(AND(Tasks[[#This Row],[_IsLeaf]]=1,N(Tasks[[#This Row],[_Days]])=0,Tasks[[#This Row],[_LeafProgress]]&lt;1),Tasks[[#This Row],[_ShownFcstFinish]]+Tasks[[#This Row],[_Row]]/100000,"")</f>
        <v/>
      </c>
      <c r="GH1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7" s="43" t="str">
        <f aca="false">IF(Tasks[[#This Row],[Task Name]]="","",LEFT(Tasks[[#This Row],[WBS]],FIND(".",Tasks[[#This Row],[WBS]]&amp;".")-1))</f>
        <v/>
      </c>
      <c r="GJ137" s="43" t="str">
        <f aca="false">IF(AND(Tasks[[#This Row],[Task Name]]&lt;&gt;"",Tasks[[#This Row],[_Level]]=1),Tasks[[#This Row],[_Row]],"")</f>
        <v/>
      </c>
      <c r="GK137" s="43" t="str">
        <f aca="false">IF(AND(Tasks[[#This Row],[_IsLeaf]]=1,N(Tasks[[#This Row],[_Days]])=0),Tasks[[#This Row],[Planned Finish]]+Tasks[[#This Row],[_Row]]/100000,"")</f>
        <v/>
      </c>
      <c r="GL137" s="43" t="str">
        <f aca="false">IF(AND(Tasks[[#This Row],[_IsLeaf]]=1,Tasks[[#This Row],[_LeafProgress]]&lt;1,OR(N(Tasks[[#This Row],[Finish Var]])&gt;0,Tasks[[#This Row],[Status]]="Late Start")),MAX(0,Tasks[[#This Row],[Finish Var]])+1-Tasks[[#This Row],[_Row]]/1000000,"")</f>
        <v/>
      </c>
      <c r="GM137" s="43" t="str">
        <f aca="false">IF(AND(Tasks[[#This Row],[_IsLeaf]]=1,N(Tasks[[#This Row],[Actual Start]])=0,Tasks[[#This Row],[_ShownFcstStart]]&gt;=StatusDate,Tasks[[#This Row],[_ShownFcstStart]]&lt;=LookaheadEnd),Tasks[[#This Row],[_ShownFcstStart]]+Tasks[[#This Row],[_Row]]/100000,"")</f>
        <v/>
      </c>
      <c r="GN137" s="43" t="str">
        <f aca="false">IF(AND(Tasks[[#This Row],[_IsLeaf]]=1,Tasks[[#This Row],[_LeafProgress]]&lt;1,Tasks[[#This Row],[_ShownFcstFinish]]&gt;=StatusDate,Tasks[[#This Row],[_ShownFcstFinish]]&lt;=LookaheadEnd),Tasks[[#This Row],[_ShownFcstFinish]]+Tasks[[#This Row],[_Row]]/100000,"")</f>
        <v/>
      </c>
      <c r="GO137" s="43" t="str">
        <f aca="false">IF(Tasks[[#This Row],[_LeafCritical]],Tasks[[#This Row],[_ShownFcstStart]]+Tasks[[#This Row],[_Row]]/100000,"")</f>
        <v/>
      </c>
      <c r="GP137" s="43" t="n">
        <f aca="false">Tasks[[#This Row],[_LeafWork]]*Tasks[[#This Row],[_LeafProgress]]</f>
        <v>0</v>
      </c>
      <c r="GQ137" s="91" t="str">
        <f aca="false">IF(AND(Tasks[[#This Row],[_IsLeaf]]=1,Tasks[[#This Row],[_LeafProgress]]&gt;=1),IF(N(Tasks[[#This Row],[Actual Finish]])&gt;0,Tasks[[#This Row],[Actual Finish]],Tasks[[#This Row],[_ShownFcstFinish]]),"")</f>
        <v/>
      </c>
      <c r="GR137" s="43" t="n">
        <f aca="false">IF(Tasks[[#This Row],[_IsLeaf]]=1,N(Tasks[[#This Row],[Story Points]]),0)</f>
        <v>0</v>
      </c>
      <c r="GS137" s="43" t="str">
        <f aca="false">""</f>
        <v/>
      </c>
      <c r="GT137" s="90" t="b">
        <f aca="false">IF(Tasks[[#This Row],[Task Name]]="",FALSE(),AND(Tasks[[#This Row],[_IsLeaf]]=1,N(Tasks[[#This Row],[_Days]])=0))</f>
        <v>0</v>
      </c>
      <c r="GU137" s="91" t="n">
        <f aca="false">IF(Tasks[[#This Row],[Task Name]]="",0,IF(AND(Tasks[[#This Row],[_IsLeaf]]=1,NOT(Tasks[[#This Row],[_IsMilestone]]),N(Tasks[[#This Row],[Progress]])&gt;0),Tasks[[#This Row],[Start]],0))</f>
        <v>0</v>
      </c>
      <c r="GV137" s="91" t="n">
        <f aca="false">IF(Tasks[[#This Row],[_DoneFrom]]=0,0,IF(Tasks[[#This Row],[Progress]]&gt;=1,Tasks[[#This Row],[Finish]],MAX(Tasks[[#This Row],[_DoneFrom]],Tasks[[#This Row],[Start]]+ROUND((Tasks[[#This Row],[Finish]]-Tasks[[#This Row],[Start]]+1)*Tasks[[#This Row],[Progress]],0)-1)))</f>
        <v>0</v>
      </c>
      <c r="GW137" s="91" t="n">
        <f aca="false">IF(Tasks[[#This Row],[Task Name]]="",0,IF(OR(NOT(Tasks[[#This Row],[_IsLeaf]]=1),Tasks[[#This Row],[_IsMilestone]],N(Tasks[[#This Row],[Progress]])&gt;=1),0,IF(Tasks[[#This Row],[_DoneTo]]&gt;0,Tasks[[#This Row],[_DoneTo]]+1,Tasks[[#This Row],[Start]])))</f>
        <v>0</v>
      </c>
      <c r="GX137" s="91" t="n">
        <f aca="false">IF(Tasks[[#This Row],[_RemFrom]]=0,0,Tasks[[#This Row],[Finish]])</f>
        <v>0</v>
      </c>
      <c r="GY137" s="90" t="b">
        <f aca="false">IF(Tasks[[#This Row],[Task Name]]="",FALSE(),OR(NOT(BaselineSet),N(Tasks[[#This Row],[Baseline Start]])&gt;0))</f>
        <v>0</v>
      </c>
      <c r="GZ13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7" s="92" t="str">
        <f aca="false">IF(Tasks[[#This Row],[_IsLeaf]]=1,Tasks[[#This Row],[_Row]],"")</f>
        <v/>
      </c>
      <c r="HD137" s="92" t="str">
        <f aca="false">IFERROR(INDEX(Tasks[UID],SMALL(Tasks[_PickKey],Tasks[[#This Row],[_Row]]))&amp;" "&amp;INDEX(Tasks[Task Name],SMALL(Tasks[_PickKey],Tasks[[#This Row],[_Row]])),"")</f>
        <v/>
      </c>
      <c r="HE137" s="43" t="str">
        <f aca="false">IF(Tasks[[#This Row],[Task Name]]="","",IF(Tasks[[#This Row],[_IsSummary]],NETWORKDAYS.INTL(Tasks[[#This Row],[Start]],Tasks[[#This Row],[Finish]],WorkWeek,Holidays),N(Tasks[[#This Row],[_Days]])))</f>
        <v/>
      </c>
      <c r="HF137" s="43" t="n">
        <f aca="false">IF(Tasks[[#This Row],[Expected]]="",0,((Tasks[[#This Row],[Pessimistic]]-Tasks[[#This Row],[Optimistic]])/6)^2)</f>
        <v>0</v>
      </c>
      <c r="HG137" s="43" t="n">
        <f aca="false">IF(Tasks[[#This Row],[Expected]]="",0,Tasks[[#This Row],[Expected]]-N(Tasks[[#This Row],[_Days]]))</f>
        <v>0</v>
      </c>
    </row>
    <row r="138" customFormat="false" ht="15" hidden="false" customHeight="false" outlineLevel="0" collapsed="false">
      <c r="A138" s="21" t="str">
        <f aca="false">IF(Tasks[[#This Row],[Task Name]]="","",COUNTA(Tasks[[#Headers],[Task Name]]:Tasks[[#This Row],[Task Name]])-1)</f>
        <v/>
      </c>
      <c r="B138" s="22" t="n">
        <v>146</v>
      </c>
      <c r="C138" s="22"/>
      <c r="D138" s="23"/>
      <c r="E138" s="22"/>
      <c r="F138" s="23"/>
      <c r="G138" s="22"/>
      <c r="H138" s="22"/>
      <c r="I138" s="23"/>
      <c r="J138" s="22"/>
      <c r="K138" s="22"/>
      <c r="L138" s="23"/>
      <c r="M138" s="22"/>
      <c r="N138" s="22"/>
      <c r="O138" s="23"/>
      <c r="P138" s="22"/>
      <c r="Q138" s="22"/>
      <c r="R138" s="23"/>
      <c r="S138" s="23"/>
      <c r="T138" s="84"/>
      <c r="U138" s="23"/>
      <c r="V138" s="84"/>
      <c r="W138" s="23"/>
      <c r="X138" s="84"/>
      <c r="Y138" s="23"/>
      <c r="Z138" s="84"/>
      <c r="AA138" s="23"/>
      <c r="AB138" s="23"/>
      <c r="AC138" s="7"/>
      <c r="AD138" s="7"/>
      <c r="AE138" s="63" t="str">
        <f aca="false">IF(Tasks[[#This Row],[Task Name]]="","",IF(Tasks[[#This Row],[_IsSummary]],MIN(INDEX(Tasks[_ShownFcstStart],Tasks[[#This Row],[_Row]]+1):INDEX(Tasks[_ShownFcstStart],Tasks[[#This Row],[_Row]]+Tasks[[#This Row],[_Descendants]])),Tasks[[#This Row],[_ShownFcstStart]]))</f>
        <v/>
      </c>
      <c r="AF138" s="63" t="str">
        <f aca="false">IF(Tasks[[#This Row],[Task Name]]="","",IF(Tasks[[#This Row],[_IsSummary]],MAX(INDEX(Tasks[_ShownFcstFinish],Tasks[[#This Row],[_Row]]+1):INDEX(Tasks[_ShownFcstFinish],Tasks[[#This Row],[_Row]]+Tasks[[#This Row],[_Descendants]])),Tasks[[#This Row],[_ShownFcstFinish]]))</f>
        <v/>
      </c>
      <c r="AG138" s="21" t="str">
        <f aca="false">""</f>
        <v/>
      </c>
      <c r="AH138" s="23"/>
      <c r="AI1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8" s="7"/>
      <c r="AK138" s="22"/>
      <c r="AL138" s="23"/>
      <c r="AM138" s="7"/>
      <c r="AN138" s="47" t="str">
        <f aca="false">IF(Tasks[[#This Row],[Task Name]]="","",IF(Tasks[[#This Row],[Finish]]&gt;=Tasks[[#This Row],[Planned Finish]],NETWORKDAYS.INTL(Tasks[[#This Row],[Planned Finish]],Tasks[[#This Row],[Finish]],WorkWeek,Holidays)-1,1-NETWORKDAYS.INTL(Tasks[[#This Row],[Finish]],Tasks[[#This Row],[Planned Finish]],WorkWeek,Holidays)))</f>
        <v/>
      </c>
      <c r="AO138" s="21" t="str">
        <f aca="false">IF(Tasks[[#This Row],[Task Name]]="","",IF(Tasks[[#This Row],[Progress]]&gt;=1,"Complete",IF(OR(N(Tasks[[#This Row],[Actual Start]])&gt;0,Tasks[[#This Row],[Progress]]&gt;0),IF(Tasks[[#This Row],[Finish Var]]&gt;0,"Behind","In Progress"),IF(Tasks[[#This Row],[Planned Start]]&lt;StatusDate,"Late Start","Not Started"))))</f>
        <v/>
      </c>
      <c r="AP138" s="21" t="str">
        <f aca="false">IF(Tasks[[#This Row],[Task Name]]="","",IF(IF(Tasks[[#This Row],[_IsSummary]],COUNTIF(INDEX(Tasks[_LeafCritical],Tasks[[#This Row],[_Row]]+1):INDEX(Tasks[_LeafCritical],Tasks[[#This Row],[_Row]]+Tasks[[#This Row],[_Descendants]]),TRUE())&gt;0,Tasks[[#This Row],[_LeafCritical]]),"Yes",""))</f>
        <v/>
      </c>
      <c r="AQ138" s="63" t="str">
        <f aca="false">IF(Tasks[[#This Row],[Task Name]]="","",IF(N(Tasks[[#This Row],[Baseline Start]])&gt;0,Tasks[[#This Row],[Baseline Start]],Tasks[[#This Row],[_CalcStart]]))</f>
        <v/>
      </c>
      <c r="AR138" s="63" t="str">
        <f aca="false">IF(Tasks[[#This Row],[Task Name]]="","",IF(N(Tasks[[#This Row],[Baseline Finish]])&gt;0,Tasks[[#This Row],[Baseline Finish]],Tasks[[#This Row],[_CalcFinish]]))</f>
        <v/>
      </c>
      <c r="AS138" s="47" t="str">
        <f aca="false">IF(Tasks[[#This Row],[Task Name]]="","",IF(Tasks[[#This Row],[Start]]&gt;=Tasks[[#This Row],[Planned Start]],NETWORKDAYS.INTL(Tasks[[#This Row],[Planned Start]],Tasks[[#This Row],[Start]],WorkWeek,Holidays)-1,1-NETWORKDAYS.INTL(Tasks[[#This Row],[Start]],Tasks[[#This Row],[Planned Start]],WorkWeek,Holidays)))</f>
        <v/>
      </c>
      <c r="AT138" s="63" t="str">
        <f aca="false">IF(Tasks[[#This Row],[Task Name]]="","",IF(Tasks[[#This Row],[_IsSummary]],MIN(INDEX(Tasks[_LeafLateStart],Tasks[[#This Row],[_Row]]+1):INDEX(Tasks[_LeafLateStart],Tasks[[#This Row],[_Row]]+Tasks[[#This Row],[_Descendants]])),Tasks[[#This Row],[_LeafLateStart]]))</f>
        <v/>
      </c>
      <c r="AU138" s="63" t="str">
        <f aca="false">IF(Tasks[[#This Row],[Task Name]]="","",IF(Tasks[[#This Row],[_IsSummary]],MAX(INDEX(Tasks[_LeafLateFinish],Tasks[[#This Row],[_Row]]+1):INDEX(Tasks[_LeafLateFinish],Tasks[[#This Row],[_Row]]+Tasks[[#This Row],[_Descendants]])),Tasks[[#This Row],[_LeafLateFinish]]))</f>
        <v/>
      </c>
      <c r="AV138" s="47" t="str">
        <f aca="false">IF(Tasks[[#This Row],[Task Name]]="","",IF(Tasks[[#This Row],[_IsSummary]],MIN(INDEX(Tasks[_LeafTotalSlack],Tasks[[#This Row],[_Row]]+1):INDEX(Tasks[_LeafTotalSlack],Tasks[[#This Row],[_Row]]+Tasks[[#This Row],[_Descendants]])),Tasks[[#This Row],[_LeafTotalSlack]]))</f>
        <v/>
      </c>
      <c r="AW1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5"/>
      <c r="BA13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t="str">
        <f aca="false">IF(Tasks[[#This Row],[Task Name]]="","",IF(Tasks[[#This Row],[_Level]]&lt;=OutlineShowLevel,"Yes","No"))</f>
        <v/>
      </c>
      <c r="BE138" s="86" t="str">
        <f aca="false">IF(Tasks[[#This Row],[Task Name]]="","",IF(Tasks[[#This Row],[_IsSummary]],SUM(INDEX(Tasks[_LeafTotalWork],Tasks[[#This Row],[_Row]]+1):INDEX(Tasks[_LeafTotalWork],Tasks[[#This Row],[_Row]]+Tasks[[#This Row],[_Descendants]])),Tasks[[#This Row],[_LeafTotalWork]]))</f>
        <v/>
      </c>
      <c r="BF138" s="23"/>
      <c r="BG1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t="str">
        <f aca="false">""</f>
        <v/>
      </c>
      <c r="BI138" s="87"/>
      <c r="BJ138" s="22"/>
      <c r="BK138" s="47" t="str">
        <f aca="false">IF(OR(Tasks[[#This Row],[Task Name]]="",Tasks[[#This Row],[Baseline Duration]]=""),"",Tasks[[#This Row],[_SpanDays]]-N(Tasks[[#This Row],[Baseline Duration]]))</f>
        <v/>
      </c>
      <c r="BL138" s="86" t="str">
        <f aca="false">IF(OR(Tasks[[#This Row],[Task Name]]="",Tasks[[#This Row],[Baseline Work]]=""),"",Tasks[[#This Row],[Work]]-N(Tasks[[#This Row],[Baseline Work]]))</f>
        <v/>
      </c>
      <c r="BM138" s="63" t="str">
        <f aca="false">IF(Tasks[[#This Row],[Task Name]]="","",IF(OR(TakeBaseline="Yes",N(Tasks[[#This Row],[Baseline Start]])=0),Tasks[[#This Row],[Start]],Tasks[[#This Row],[Baseline Start]]))</f>
        <v/>
      </c>
      <c r="BN138" s="63" t="str">
        <f aca="false">IF(Tasks[[#This Row],[Task Name]]="","",IF(OR(TakeBaseline="Yes",N(Tasks[[#This Row],[Baseline Finish]])=0),Tasks[[#This Row],[Finish]],Tasks[[#This Row],[Baseline Finish]]))</f>
        <v/>
      </c>
      <c r="BO138" s="21" t="str">
        <f aca="false">IF(Tasks[[#This Row],[Task Name]]="","",IF(OR(TakeBaseline="Yes",N(Tasks[[#This Row],[Baseline Duration]])=0),Tasks[[#This Row],[_SpanDays]],Tasks[[#This Row],[Baseline Duration]]))</f>
        <v/>
      </c>
      <c r="BP138" s="86" t="str">
        <f aca="false">IF(Tasks[[#This Row],[Task Name]]="","",IF(OR(TakeBaseline="Yes",N(Tasks[[#This Row],[Baseline Work]])=0),Tasks[[#This Row],[Work]],Tasks[[#This Row],[Baseline Work]]))</f>
        <v/>
      </c>
      <c r="BQ138" s="7"/>
      <c r="BR138" s="7"/>
      <c r="BS138" s="22"/>
      <c r="BT138" s="88"/>
      <c r="BU138" s="23"/>
      <c r="BV138" s="23"/>
      <c r="BW138" s="23"/>
      <c r="BX138" s="89" t="str">
        <f aca="false">IF(AND(Tasks[[#This Row],[_IsLeaf]]=1,ISNUMBER(Tasks[[#This Row],[Optimistic]]),ISNUMBER(Tasks[[#This Row],[Pessimistic]])),ROUND((Tasks[[#This Row],[Optimistic]]+4*N(Tasks[[#This Row],[_Days]])+Tasks[[#This Row],[Pessimistic]])/6,1),"")</f>
        <v/>
      </c>
      <c r="BY138" s="87"/>
      <c r="BZ138" s="87"/>
      <c r="CA138" s="22"/>
      <c r="CB138" s="43" t="str">
        <f aca="false">IF(Tasks[[#This Row],[Task Name]]="","",MAX(1,N(Tasks[[#This Row],[Level]])))</f>
        <v/>
      </c>
      <c r="CC138" s="43" t="n">
        <f aca="false">ROW()-ROW(Tasks[[#Headers],[ID]])</f>
        <v>133</v>
      </c>
      <c r="CD138" s="43" t="n">
        <f aca="false">IF(OR(Tasks[[#This Row],[Task Name]]="",Tasks[[#This Row],[_Level]]&lt;=1),0,IFERROR(LOOKUP(2,1/(Tasks[[#Headers],[_Level]]:Tasks[[#This Row],[_Level]]=Tasks[[#This Row],[_Level]]-1),ROW(Tasks[[#Headers],[_Level]]:Tasks[[#This Row],[_Level]])),0))</f>
        <v>0</v>
      </c>
      <c r="CE138" s="43" t="n">
        <f aca="false">IFERROR(N(INDEX(Tasks[_Level],Tasks[[#This Row],[_Row]]+1)),0)</f>
        <v>0</v>
      </c>
      <c r="CF138" s="90" t="b">
        <f aca="false">AND(Tasks[[#This Row],[Task Name]]&lt;&gt;"",Tasks[[#This Row],[_NextLevel]]&gt;Tasks[[#This Row],[_Level]])</f>
        <v>0</v>
      </c>
      <c r="CG138" s="43" t="n">
        <f aca="false">IF(Tasks[[#This Row],[_IsSummary]],COUNTIF(Tasks[WBS],Tasks[[#This Row],[WBS]]&amp;".*"),0)</f>
        <v>0</v>
      </c>
      <c r="CH138" s="43" t="n">
        <f aca="false">IF(AND(Tasks[[#This Row],[Task Name]]&lt;&gt;"",NOT(Tasks[[#This Row],[_IsSummary]])),1,0)</f>
        <v>0</v>
      </c>
      <c r="CI138" s="43" t="n">
        <f aca="false">IF(N(Tasks[[#This Row],[_Pred1UID]])=0,0,IFERROR(MATCH(Tasks[[#This Row],[_Pred1UID]],Tasks[UID],0),-1))</f>
        <v>0</v>
      </c>
      <c r="CJ138" s="43" t="n">
        <f aca="false">IF(N(Tasks[[#This Row],[_Pred2UID]])=0,0,IFERROR(MATCH(Tasks[[#This Row],[_Pred2UID]],Tasks[UID],0),-1))</f>
        <v>0</v>
      </c>
      <c r="CK138" s="43" t="n">
        <f aca="false">IF(N(Tasks[[#This Row],[_Pred3UID]])=0,0,IFERROR(MATCH(Tasks[[#This Row],[_Pred3UID]],Tasks[UID],0),-1))</f>
        <v>0</v>
      </c>
      <c r="CL138" s="43" t="n">
        <f aca="false">IF(N(Tasks[[#This Row],[_Pred4UID]])=0,0,IFERROR(MATCH(Tasks[[#This Row],[_Pred4UID]],Tasks[UID],0),-1))</f>
        <v>0</v>
      </c>
      <c r="CM1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8" s="91" t="n">
        <f aca="false">IF(OR(Tasks[[#This Row],[_ConstraintCode]]=2,Tasks[[#This Row],[_ConstraintCode]]=3,Tasks[[#This Row],[_ConstraintCode]]=4,Tasks[[#This Row],[_ConstraintCode]]=6),Tasks[[#This Row],[_ConstraintStart]],0)</f>
        <v>0</v>
      </c>
      <c r="CP138" s="91" t="n">
        <f aca="false">IF(OR(Tasks[[#This Row],[_ConstraintCode]]=2,Tasks[[#This Row],[_ConstraintCode]]=3,Tasks[[#This Row],[_ConstraintCode]]=5,Tasks[[#This Row],[_ConstraintCode]]=7),Tasks[[#This Row],[_ConstraintStart]],2958465)</f>
        <v>2958465</v>
      </c>
      <c r="CQ1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8" s="91" t="str">
        <f aca="false">IF(NOT(Tasks[[#This Row],[_IsLeaf]]=1),"",IF(N(Tasks[[#This Row],[_Days]])&lt;=0,Tasks[[#This Row],[_LeafCalcStart]],WORKDAY.INTL(Tasks[[#This Row],[_LeafCalcStart]],Tasks[[#This Row],[_Days]]-1,WorkWeek,Holidays)))</f>
        <v/>
      </c>
      <c r="CS1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8" s="43" t="str">
        <f aca="false">IF(Tasks[[#This Row],[_Predecessors]]="","",TRIM(MID(SUBSTITUTE(SUBSTITUTE(SUBSTITUTE(UPPER(Tasks[[#This Row],[_Predecessors]]),";",",")," ",""),",",REPT(" ",99)),1,99)))</f>
        <v/>
      </c>
      <c r="CV138" s="43" t="str">
        <f aca="false">IF(Tasks[[#This Row],[_Pred1Text]]="","",IFERROR(VALUE(LEFT(Tasks[[#This Row],[_Pred1Text]],MIN(FIND("F",Tasks[[#This Row],[_Pred1Text]]&amp;"F"),FIND("S",Tasks[[#This Row],[_Pred1Text]]&amp;"S"),FIND("+",Tasks[[#This Row],[_Pred1Text]]&amp;"+"),FIND("-",Tasks[[#This Row],[_Pred1Text]]&amp;"-"))-1)),""))</f>
        <v/>
      </c>
      <c r="CW1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8" s="43" t="str">
        <f aca="false">IF(Tasks[[#This Row],[_Pred1Text]]="","",TRIM(MID(SUBSTITUTE(SUBSTITUTE(SUBSTITUTE(UPPER(Tasks[[#This Row],[_Predecessors]]),";",",")," ",""),",",REPT(" ",99)),100,99)))</f>
        <v/>
      </c>
      <c r="CZ138" s="43" t="str">
        <f aca="false">IF(Tasks[[#This Row],[_Pred2Text]]="","",IFERROR(VALUE(LEFT(Tasks[[#This Row],[_Pred2Text]],MIN(FIND("F",Tasks[[#This Row],[_Pred2Text]]&amp;"F"),FIND("S",Tasks[[#This Row],[_Pred2Text]]&amp;"S"),FIND("+",Tasks[[#This Row],[_Pred2Text]]&amp;"+"),FIND("-",Tasks[[#This Row],[_Pred2Text]]&amp;"-"))-1)),""))</f>
        <v/>
      </c>
      <c r="DA1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8" s="43" t="str">
        <f aca="false">IF(Tasks[[#This Row],[_Pred2Text]]="","",TRIM(MID(SUBSTITUTE(SUBSTITUTE(SUBSTITUTE(UPPER(Tasks[[#This Row],[_Predecessors]]),";",",")," ",""),",",REPT(" ",99)),199,99)))</f>
        <v/>
      </c>
      <c r="DD138" s="43" t="str">
        <f aca="false">IF(Tasks[[#This Row],[_Pred3Text]]="","",IFERROR(VALUE(LEFT(Tasks[[#This Row],[_Pred3Text]],MIN(FIND("F",Tasks[[#This Row],[_Pred3Text]]&amp;"F"),FIND("S",Tasks[[#This Row],[_Pred3Text]]&amp;"S"),FIND("+",Tasks[[#This Row],[_Pred3Text]]&amp;"+"),FIND("-",Tasks[[#This Row],[_Pred3Text]]&amp;"-"))-1)),""))</f>
        <v/>
      </c>
      <c r="DE1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8" s="43" t="str">
        <f aca="false">IF(Tasks[[#This Row],[_Pred3Text]]="","",TRIM(MID(SUBSTITUTE(SUBSTITUTE(SUBSTITUTE(UPPER(Tasks[[#This Row],[_Predecessors]]),";",",")," ",""),",",REPT(" ",99)),298,99)))</f>
        <v/>
      </c>
      <c r="DH138" s="43" t="str">
        <f aca="false">IF(Tasks[[#This Row],[_Pred4Text]]="","",IFERROR(VALUE(LEFT(Tasks[[#This Row],[_Pred4Text]],MIN(FIND("F",Tasks[[#This Row],[_Pred4Text]]&amp;"F"),FIND("S",Tasks[[#This Row],[_Pred4Text]]&amp;"S"),FIND("+",Tasks[[#This Row],[_Pred4Text]]&amp;"+"),FIND("-",Tasks[[#This Row],[_Pred4Text]]&amp;"-"))-1)),""))</f>
        <v/>
      </c>
      <c r="DI1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8" s="43" t="str">
        <f aca="false">IF(OR(Tasks[[#This Row],[Task Name]]="",Tasks[[#This Row],[_Resources]]=""),"",TRIM(MID(SUBSTITUTE(Tasks[[#This Row],[_Resources]],",",REPT(" ",99)),1,99)))</f>
        <v/>
      </c>
      <c r="DL138" s="43" t="str">
        <f aca="false">IF(Tasks[[#This Row],[_Res1Text]]="","",TRIM(MID(SUBSTITUTE(Tasks[[#This Row],[_Resources]],",",REPT(" ",99)),100,99)))</f>
        <v/>
      </c>
      <c r="DM138" s="43" t="str">
        <f aca="false">IF(Tasks[[#This Row],[_Res2Text]]="","",TRIM(MID(SUBSTITUTE(Tasks[[#This Row],[_Resources]],",",REPT(" ",99)),199,99)))</f>
        <v/>
      </c>
      <c r="DN138" s="43" t="str">
        <f aca="false">IF(Tasks[[#This Row],[_Res3Text]]="","",TRIM(MID(SUBSTITUTE(Tasks[[#This Row],[_Resources]],",",REPT(" ",99)),298,99)))</f>
        <v/>
      </c>
      <c r="DO138" s="43" t="n">
        <f aca="false">IF(Tasks[[#This Row],[_Res1Text]]="",0,IFERROR(MATCH(TRIM(LEFT(Tasks[[#This Row],[_Res1Text]],FIND("[",Tasks[[#This Row],[_Res1Text]]&amp;"[")-1)),res_Name,0),IFERROR(MATCH(TRIM(LEFT(Tasks[[#This Row],[_Res1Text]],FIND("[",Tasks[[#This Row],[_Res1Text]]&amp;"[")-1)),res_Initials,0),0)))</f>
        <v>0</v>
      </c>
      <c r="DP138" s="43" t="n">
        <f aca="false">IF(Tasks[[#This Row],[_Res2Text]]="",0,IFERROR(MATCH(TRIM(LEFT(Tasks[[#This Row],[_Res2Text]],FIND("[",Tasks[[#This Row],[_Res2Text]]&amp;"[")-1)),res_Name,0),IFERROR(MATCH(TRIM(LEFT(Tasks[[#This Row],[_Res2Text]],FIND("[",Tasks[[#This Row],[_Res2Text]]&amp;"[")-1)),res_Initials,0),0)))</f>
        <v>0</v>
      </c>
      <c r="DQ138" s="43" t="n">
        <f aca="false">IF(Tasks[[#This Row],[_Res3Text]]="",0,IFERROR(MATCH(TRIM(LEFT(Tasks[[#This Row],[_Res3Text]],FIND("[",Tasks[[#This Row],[_Res3Text]]&amp;"[")-1)),res_Name,0),IFERROR(MATCH(TRIM(LEFT(Tasks[[#This Row],[_Res3Text]],FIND("[",Tasks[[#This Row],[_Res3Text]]&amp;"[")-1)),res_Initials,0),0)))</f>
        <v>0</v>
      </c>
      <c r="DR138" s="43" t="n">
        <f aca="false">IF(Tasks[[#This Row],[_Res4Text]]="",0,IFERROR(MATCH(TRIM(LEFT(Tasks[[#This Row],[_Res4Text]],FIND("[",Tasks[[#This Row],[_Res4Text]]&amp;"[")-1)),res_Name,0),IFERROR(MATCH(TRIM(LEFT(Tasks[[#This Row],[_Res4Text]],FIND("[",Tasks[[#This Row],[_Res4Text]]&amp;"[")-1)),res_Initials,0),0)))</f>
        <v>0</v>
      </c>
      <c r="DS138" s="43" t="str">
        <f aca="false">IF(Tasks[[#This Row],[_Res1Text]]="","",IF(Tasks[[#This Row],[_Res1Row]]&gt;0,INDEX(res_Name,Tasks[[#This Row],[_Res1Row]]),TRIM(LEFT(Tasks[[#This Row],[_Res1Text]],FIND("[",Tasks[[#This Row],[_Res1Text]]&amp;"[")-1))))</f>
        <v/>
      </c>
      <c r="DT1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8" s="43" t="n">
        <f aca="false">IF(NOT(Tasks[[#This Row],[_IsLeaf]]=1),0,(Tasks[[#This Row],[_Resource1]]&lt;&gt;"")+(Tasks[[#This Row],[_Res2]]&lt;&gt;"")+(Tasks[[#This Row],[_Res3]]&lt;&gt;"")+(Tasks[[#This Row],[_Res4]]&lt;&gt;""))</f>
        <v>0</v>
      </c>
      <c r="DV138" s="43" t="str">
        <f aca="false">IF(Tasks[[#This Row],[_Res2Text]]="","",IF(Tasks[[#This Row],[_Res2Row]]&gt;0,INDEX(res_Name,Tasks[[#This Row],[_Res2Row]]),TRIM(LEFT(Tasks[[#This Row],[_Res2Text]],FIND("[",Tasks[[#This Row],[_Res2Text]]&amp;"[")-1))))</f>
        <v/>
      </c>
      <c r="DW1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8" s="43" t="n">
        <f aca="false">IF(OR(NOT(Tasks[[#This Row],[_IsLeaf]]=1),Tasks[[#This Row],[_Res2Row]]=0),0,N(Tasks[[#This Row],[_Days]])*HoursPerDay*IF(Tasks[[#This Row],[_Res2Units]]="",DefaultUnits,Tasks[[#This Row],[_Res2Units]]))</f>
        <v>0</v>
      </c>
      <c r="DY138" s="43" t="n">
        <f aca="false">IF(AND(AND(Tasks[[#This Row],[_IsLeaf]]=1,Tasks[[#This Row],[_LeafTotalWork]]&gt;0),Tasks[[#This Row],[_Res2Work]]&gt;0),Tasks[[#This Row],[_Res2Work]]/(Tasks[[#This Row],[_FinishWorkday]]-Tasks[[#This Row],[_StartWorkday]]+1),0)</f>
        <v>0</v>
      </c>
      <c r="DZ138" s="43" t="n">
        <f aca="false">Tasks[[#This Row],[_Res2WorkPerWD]]*MAX(0,Tasks[[#This Row],[_StartWorkday]]-1)</f>
        <v>0</v>
      </c>
      <c r="EA138" s="43" t="n">
        <f aca="false">Tasks[[#This Row],[_Res2Work]]*Tasks[[#This Row],[_LeafProgress]]</f>
        <v>0</v>
      </c>
      <c r="EB138" s="43" t="str">
        <f aca="false">IF(Tasks[[#This Row],[_Res3Text]]="","",IF(Tasks[[#This Row],[_Res3Row]]&gt;0,INDEX(res_Name,Tasks[[#This Row],[_Res3Row]]),TRIM(LEFT(Tasks[[#This Row],[_Res3Text]],FIND("[",Tasks[[#This Row],[_Res3Text]]&amp;"[")-1))))</f>
        <v/>
      </c>
      <c r="EC1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8" s="43" t="n">
        <f aca="false">IF(OR(NOT(Tasks[[#This Row],[_IsLeaf]]=1),Tasks[[#This Row],[_Res3Row]]=0),0,N(Tasks[[#This Row],[_Days]])*HoursPerDay*IF(Tasks[[#This Row],[_Res3Units]]="",DefaultUnits,Tasks[[#This Row],[_Res3Units]]))</f>
        <v>0</v>
      </c>
      <c r="EE138" s="43" t="n">
        <f aca="false">IF(AND(AND(Tasks[[#This Row],[_IsLeaf]]=1,Tasks[[#This Row],[_LeafTotalWork]]&gt;0),Tasks[[#This Row],[_Res3Work]]&gt;0),Tasks[[#This Row],[_Res3Work]]/(Tasks[[#This Row],[_FinishWorkday]]-Tasks[[#This Row],[_StartWorkday]]+1),0)</f>
        <v>0</v>
      </c>
      <c r="EF138" s="43" t="n">
        <f aca="false">Tasks[[#This Row],[_Res3WorkPerWD]]*MAX(0,Tasks[[#This Row],[_StartWorkday]]-1)</f>
        <v>0</v>
      </c>
      <c r="EG138" s="43" t="n">
        <f aca="false">Tasks[[#This Row],[_Res3Work]]*Tasks[[#This Row],[_LeafProgress]]</f>
        <v>0</v>
      </c>
      <c r="EH138" s="43" t="str">
        <f aca="false">IF(Tasks[[#This Row],[_Res4Text]]="","",IF(Tasks[[#This Row],[_Res4Row]]&gt;0,INDEX(res_Name,Tasks[[#This Row],[_Res4Row]]),TRIM(LEFT(Tasks[[#This Row],[_Res4Text]],FIND("[",Tasks[[#This Row],[_Res4Text]]&amp;"[")-1))))</f>
        <v/>
      </c>
      <c r="EI1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8" s="43" t="n">
        <f aca="false">IF(OR(NOT(Tasks[[#This Row],[_IsLeaf]]=1),Tasks[[#This Row],[_Res4Row]]=0),0,N(Tasks[[#This Row],[_Days]])*HoursPerDay*IF(Tasks[[#This Row],[_Res4Units]]="",DefaultUnits,Tasks[[#This Row],[_Res4Units]]))</f>
        <v>0</v>
      </c>
      <c r="EK138" s="43" t="n">
        <f aca="false">IF(AND(AND(Tasks[[#This Row],[_IsLeaf]]=1,Tasks[[#This Row],[_LeafTotalWork]]&gt;0),Tasks[[#This Row],[_Res4Work]]&gt;0),Tasks[[#This Row],[_Res4Work]]/(Tasks[[#This Row],[_FinishWorkday]]-Tasks[[#This Row],[_StartWorkday]]+1),0)</f>
        <v>0</v>
      </c>
      <c r="EL138" s="43" t="n">
        <f aca="false">Tasks[[#This Row],[_Res4WorkPerWD]]*MAX(0,Tasks[[#This Row],[_StartWorkday]]-1)</f>
        <v>0</v>
      </c>
      <c r="EM138" s="43" t="n">
        <f aca="false">Tasks[[#This Row],[_Res4Work]]*Tasks[[#This Row],[_LeafProgress]]</f>
        <v>0</v>
      </c>
      <c r="EN138" s="43" t="n">
        <f aca="false">IF(ISNUMBER(Tasks[[#This Row],[% Complete]]),Tasks[[#This Row],[% Complete]],IF(Tasks[[#This Row],[Stage]]="",0,IFERROR(INDEX(stg_Pct,MATCH(Tasks[[#This Row],[Stage]],stg_Name,0)),0)))</f>
        <v>0</v>
      </c>
      <c r="EO138" s="43" t="n">
        <f aca="false">IF(NOT(Tasks[[#This Row],[_IsLeaf]]=1),0,IF(N(Tasks[[#This Row],[Actual Finish]])&gt;0,1,MIN(1,Tasks[[#This Row],[_Pct]])))</f>
        <v>0</v>
      </c>
      <c r="EP138" s="43" t="n">
        <f aca="false">IF(OR(NOT(Tasks[[#This Row],[_IsLeaf]]=1),Tasks[[#This Row],[_Res1Row]]=0),0,N(Tasks[[#This Row],[_Days]])*HoursPerDay*IF(Tasks[[#This Row],[_Units1]]="",DefaultUnits,Tasks[[#This Row],[_Units1]]))</f>
        <v>0</v>
      </c>
      <c r="EQ138" s="43" t="n">
        <f aca="false">Tasks[[#This Row],[_LeafWork]]+Tasks[[#This Row],[_Res2Work]]+Tasks[[#This Row],[_Res3Work]]+Tasks[[#This Row],[_Res4Work]]</f>
        <v>0</v>
      </c>
      <c r="ER13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8" s="43" t="n">
        <f aca="false">IF(NOT(Tasks[[#This Row],[_IsLeaf]]=1),0,MAX(_xlfn.MAXIFS(Tasks[_Row],Tasks[_Pred1UID],Tasks[[#This Row],[UID]]),_xlfn.MAXIFS(Tasks[_Row],Tasks[_Pred2UID],Tasks[[#This Row],[UID]]),_xlfn.MAXIFS(Tasks[_Row],Tasks[_Pred3UID],Tasks[[#This Row],[UID]]),_xlfn.MAXIFS(Tasks[_Row],Tasks[_Pred4UID],Tasks[[#This Row],[UID]])))</f>
        <v>0</v>
      </c>
      <c r="FA1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8" s="91" t="str">
        <f aca="false">IF(NOT(Tasks[[#This Row],[_IsLeaf]]=1),"",IF(N(Tasks[[#This Row],[_Days]])&lt;=0,Tasks[[#This Row],[_LeafLateFinish]],WORKDAY.INTL(Tasks[[#This Row],[_LeafLateFinish]],-(Tasks[[#This Row],[_Days]]-1),WorkWeek,Holidays)))</f>
        <v/>
      </c>
      <c r="FD1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8" s="90" t="b">
        <f aca="false">AND(Tasks[[#This Row],[_IsLeaf]]=1,Tasks[[#This Row],[_LeafProgress]]&lt;1,N(Tasks[[#This Row],[_LeafTotalSlack]])&lt;=CriticalSlackDays)</f>
        <v>0</v>
      </c>
      <c r="FF138" s="43" t="n">
        <f aca="false">IF(AND(Tasks[[#This Row],[_IsLeaf]]=1,Tasks[[#This Row],[_ConstraintCode]]=1,Tasks[[#This Row],[Mode]]&lt;&gt;"Manual",N(Tasks[[#This Row],[Actual Start]])=0),MAX(0,N(Tasks[[#This Row],[Free Slack]])),0)</f>
        <v>0</v>
      </c>
      <c r="FG138" s="91" t="str">
        <f aca="false">IF(NOT(Tasks[[#This Row],[_IsLeaf]]=1),"",IF(Tasks[[#This Row],[_AlapShift]]=0,Tasks[[#This Row],[_LeafCalcStart]],WORKDAY.INTL(Tasks[[#This Row],[_LeafCalcStart]],Tasks[[#This Row],[_AlapShift]],WorkWeek,Holidays)))</f>
        <v/>
      </c>
      <c r="FH138" s="91" t="str">
        <f aca="false">IF(NOT(Tasks[[#This Row],[_IsLeaf]]=1),"",IF(Tasks[[#This Row],[_AlapShift]]=0,Tasks[[#This Row],[_LeafCalcFinish]],WORKDAY.INTL(Tasks[[#This Row],[_LeafCalcFinish]],Tasks[[#This Row],[_AlapShift]],WorkWeek,Holidays)))</f>
        <v/>
      </c>
      <c r="FI138" s="91" t="str">
        <f aca="false">IF(NOT(Tasks[[#This Row],[_IsLeaf]]=1),"",IF(Tasks[[#This Row],[_AlapShift]]=0,Tasks[[#This Row],[_LeafFcstStart]],WORKDAY.INTL(Tasks[[#This Row],[_LeafFcstStart]],Tasks[[#This Row],[_AlapShift]],WorkWeek,Holidays)))</f>
        <v/>
      </c>
      <c r="FJ138" s="91" t="str">
        <f aca="false">IF(NOT(Tasks[[#This Row],[_IsLeaf]]=1),"",IF(Tasks[[#This Row],[_AlapShift]]=0,Tasks[[#This Row],[_LeafFcstFinish]],WORKDAY.INTL(Tasks[[#This Row],[_LeafFcstFinish]],Tasks[[#This Row],[_AlapShift]],WorkWeek,Holidays)))</f>
        <v/>
      </c>
      <c r="FK138" s="91" t="str">
        <f aca="false">IF(Tasks[[#This Row],[Task Name]]="","",IF(Tasks[[#This Row],[_IsSummary]],MIN(INDEX(Tasks[_ShownCalcStart],Tasks[[#This Row],[_Row]]+1):INDEX(Tasks[_ShownCalcStart],Tasks[[#This Row],[_Row]]+Tasks[[#This Row],[_Descendants]])),Tasks[[#This Row],[_ShownCalcStart]]))</f>
        <v/>
      </c>
      <c r="FL138" s="91" t="str">
        <f aca="false">IF(Tasks[[#This Row],[Task Name]]="","",IF(Tasks[[#This Row],[_IsSummary]],MAX(INDEX(Tasks[_ShownCalcFinish],Tasks[[#This Row],[_Row]]+1):INDEX(Tasks[_ShownCalcFinish],Tasks[[#This Row],[_Row]]+Tasks[[#This Row],[_Descendants]])),Tasks[[#This Row],[_ShownCalcFinish]]))</f>
        <v/>
      </c>
      <c r="FM1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8" s="43" t="n">
        <f aca="false">IF(AND(Tasks[[#This Row],[_IsLeaf]]=1,Tasks[[#This Row],[_LeafTotalWork]]&gt;0),NETWORKDAYS.INTL(ProjectStart,Tasks[[#This Row],[_ShownFcstStart]],WorkWeek,Holidays),0)</f>
        <v>0</v>
      </c>
      <c r="FZ138" s="43" t="n">
        <f aca="false">IF(AND(Tasks[[#This Row],[_IsLeaf]]=1,Tasks[[#This Row],[_LeafTotalWork]]&gt;0),MAX(Tasks[[#This Row],[_StartWorkday]],NETWORKDAYS.INTL(ProjectStart,Tasks[[#This Row],[_ShownFcstFinish]],WorkWeek,Holidays)),0)</f>
        <v>0</v>
      </c>
      <c r="GA138" s="43" t="n">
        <f aca="false">IF(AND(Tasks[[#This Row],[_IsLeaf]]=1,Tasks[[#This Row],[_LeafTotalWork]]&gt;0),Tasks[[#This Row],[_LeafWork]]/(Tasks[[#This Row],[_FinishWorkday]]-Tasks[[#This Row],[_StartWorkday]]+1),0)</f>
        <v>0</v>
      </c>
      <c r="GB138" s="43" t="n">
        <f aca="false">Tasks[[#This Row],[_WorkPerWorkday]]*(Tasks[[#This Row],[_StartWorkday]]-1)</f>
        <v>-0</v>
      </c>
      <c r="GC138" s="43" t="n">
        <f aca="false">IF(Tasks[[#This Row],[_IsLeaf]]=1,MAX(N(Tasks[[#This Row],[_Days]]),0.1),0)</f>
        <v>0</v>
      </c>
      <c r="GD138" s="43" t="n">
        <f aca="false">Tasks[[#This Row],[_WeightDur]]*Tasks[[#This Row],[_LeafProgress]]</f>
        <v>0</v>
      </c>
      <c r="GE138" s="43" t="n">
        <f aca="false">Tasks[[#This Row],[_WeightDur]]*Tasks[[#This Row],[_PlannedPct]]</f>
        <v>0</v>
      </c>
      <c r="GF1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8" s="43" t="str">
        <f aca="false">IF(AND(Tasks[[#This Row],[_IsLeaf]]=1,N(Tasks[[#This Row],[_Days]])=0,Tasks[[#This Row],[_LeafProgress]]&lt;1),Tasks[[#This Row],[_ShownFcstFinish]]+Tasks[[#This Row],[_Row]]/100000,"")</f>
        <v/>
      </c>
      <c r="GH1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8" s="43" t="str">
        <f aca="false">IF(Tasks[[#This Row],[Task Name]]="","",LEFT(Tasks[[#This Row],[WBS]],FIND(".",Tasks[[#This Row],[WBS]]&amp;".")-1))</f>
        <v/>
      </c>
      <c r="GJ138" s="43" t="str">
        <f aca="false">IF(AND(Tasks[[#This Row],[Task Name]]&lt;&gt;"",Tasks[[#This Row],[_Level]]=1),Tasks[[#This Row],[_Row]],"")</f>
        <v/>
      </c>
      <c r="GK138" s="43" t="str">
        <f aca="false">IF(AND(Tasks[[#This Row],[_IsLeaf]]=1,N(Tasks[[#This Row],[_Days]])=0),Tasks[[#This Row],[Planned Finish]]+Tasks[[#This Row],[_Row]]/100000,"")</f>
        <v/>
      </c>
      <c r="GL138" s="43" t="str">
        <f aca="false">IF(AND(Tasks[[#This Row],[_IsLeaf]]=1,Tasks[[#This Row],[_LeafProgress]]&lt;1,OR(N(Tasks[[#This Row],[Finish Var]])&gt;0,Tasks[[#This Row],[Status]]="Late Start")),MAX(0,Tasks[[#This Row],[Finish Var]])+1-Tasks[[#This Row],[_Row]]/1000000,"")</f>
        <v/>
      </c>
      <c r="GM138" s="43" t="str">
        <f aca="false">IF(AND(Tasks[[#This Row],[_IsLeaf]]=1,N(Tasks[[#This Row],[Actual Start]])=0,Tasks[[#This Row],[_ShownFcstStart]]&gt;=StatusDate,Tasks[[#This Row],[_ShownFcstStart]]&lt;=LookaheadEnd),Tasks[[#This Row],[_ShownFcstStart]]+Tasks[[#This Row],[_Row]]/100000,"")</f>
        <v/>
      </c>
      <c r="GN138" s="43" t="str">
        <f aca="false">IF(AND(Tasks[[#This Row],[_IsLeaf]]=1,Tasks[[#This Row],[_LeafProgress]]&lt;1,Tasks[[#This Row],[_ShownFcstFinish]]&gt;=StatusDate,Tasks[[#This Row],[_ShownFcstFinish]]&lt;=LookaheadEnd),Tasks[[#This Row],[_ShownFcstFinish]]+Tasks[[#This Row],[_Row]]/100000,"")</f>
        <v/>
      </c>
      <c r="GO138" s="43" t="str">
        <f aca="false">IF(Tasks[[#This Row],[_LeafCritical]],Tasks[[#This Row],[_ShownFcstStart]]+Tasks[[#This Row],[_Row]]/100000,"")</f>
        <v/>
      </c>
      <c r="GP138" s="43" t="n">
        <f aca="false">Tasks[[#This Row],[_LeafWork]]*Tasks[[#This Row],[_LeafProgress]]</f>
        <v>0</v>
      </c>
      <c r="GQ138" s="91" t="str">
        <f aca="false">IF(AND(Tasks[[#This Row],[_IsLeaf]]=1,Tasks[[#This Row],[_LeafProgress]]&gt;=1),IF(N(Tasks[[#This Row],[Actual Finish]])&gt;0,Tasks[[#This Row],[Actual Finish]],Tasks[[#This Row],[_ShownFcstFinish]]),"")</f>
        <v/>
      </c>
      <c r="GR138" s="43" t="n">
        <f aca="false">IF(Tasks[[#This Row],[_IsLeaf]]=1,N(Tasks[[#This Row],[Story Points]]),0)</f>
        <v>0</v>
      </c>
      <c r="GS138" s="43" t="str">
        <f aca="false">""</f>
        <v/>
      </c>
      <c r="GT138" s="90" t="b">
        <f aca="false">IF(Tasks[[#This Row],[Task Name]]="",FALSE(),AND(Tasks[[#This Row],[_IsLeaf]]=1,N(Tasks[[#This Row],[_Days]])=0))</f>
        <v>0</v>
      </c>
      <c r="GU138" s="91" t="n">
        <f aca="false">IF(Tasks[[#This Row],[Task Name]]="",0,IF(AND(Tasks[[#This Row],[_IsLeaf]]=1,NOT(Tasks[[#This Row],[_IsMilestone]]),N(Tasks[[#This Row],[Progress]])&gt;0),Tasks[[#This Row],[Start]],0))</f>
        <v>0</v>
      </c>
      <c r="GV138" s="91" t="n">
        <f aca="false">IF(Tasks[[#This Row],[_DoneFrom]]=0,0,IF(Tasks[[#This Row],[Progress]]&gt;=1,Tasks[[#This Row],[Finish]],MAX(Tasks[[#This Row],[_DoneFrom]],Tasks[[#This Row],[Start]]+ROUND((Tasks[[#This Row],[Finish]]-Tasks[[#This Row],[Start]]+1)*Tasks[[#This Row],[Progress]],0)-1)))</f>
        <v>0</v>
      </c>
      <c r="GW138" s="91" t="n">
        <f aca="false">IF(Tasks[[#This Row],[Task Name]]="",0,IF(OR(NOT(Tasks[[#This Row],[_IsLeaf]]=1),Tasks[[#This Row],[_IsMilestone]],N(Tasks[[#This Row],[Progress]])&gt;=1),0,IF(Tasks[[#This Row],[_DoneTo]]&gt;0,Tasks[[#This Row],[_DoneTo]]+1,Tasks[[#This Row],[Start]])))</f>
        <v>0</v>
      </c>
      <c r="GX138" s="91" t="n">
        <f aca="false">IF(Tasks[[#This Row],[_RemFrom]]=0,0,Tasks[[#This Row],[Finish]])</f>
        <v>0</v>
      </c>
      <c r="GY138" s="90" t="b">
        <f aca="false">IF(Tasks[[#This Row],[Task Name]]="",FALSE(),OR(NOT(BaselineSet),N(Tasks[[#This Row],[Baseline Start]])&gt;0))</f>
        <v>0</v>
      </c>
      <c r="GZ13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8" s="92" t="str">
        <f aca="false">IF(Tasks[[#This Row],[_IsLeaf]]=1,Tasks[[#This Row],[_Row]],"")</f>
        <v/>
      </c>
      <c r="HD138" s="92" t="str">
        <f aca="false">IFERROR(INDEX(Tasks[UID],SMALL(Tasks[_PickKey],Tasks[[#This Row],[_Row]]))&amp;" "&amp;INDEX(Tasks[Task Name],SMALL(Tasks[_PickKey],Tasks[[#This Row],[_Row]])),"")</f>
        <v/>
      </c>
      <c r="HE138" s="43" t="str">
        <f aca="false">IF(Tasks[[#This Row],[Task Name]]="","",IF(Tasks[[#This Row],[_IsSummary]],NETWORKDAYS.INTL(Tasks[[#This Row],[Start]],Tasks[[#This Row],[Finish]],WorkWeek,Holidays),N(Tasks[[#This Row],[_Days]])))</f>
        <v/>
      </c>
      <c r="HF138" s="43" t="n">
        <f aca="false">IF(Tasks[[#This Row],[Expected]]="",0,((Tasks[[#This Row],[Pessimistic]]-Tasks[[#This Row],[Optimistic]])/6)^2)</f>
        <v>0</v>
      </c>
      <c r="HG138" s="43" t="n">
        <f aca="false">IF(Tasks[[#This Row],[Expected]]="",0,Tasks[[#This Row],[Expected]]-N(Tasks[[#This Row],[_Days]]))</f>
        <v>0</v>
      </c>
    </row>
    <row r="139" customFormat="false" ht="15" hidden="false" customHeight="false" outlineLevel="0" collapsed="false">
      <c r="A139" s="21" t="str">
        <f aca="false">IF(Tasks[[#This Row],[Task Name]]="","",COUNTA(Tasks[[#Headers],[Task Name]]:Tasks[[#This Row],[Task Name]])-1)</f>
        <v/>
      </c>
      <c r="B139" s="22" t="n">
        <v>147</v>
      </c>
      <c r="C139" s="22"/>
      <c r="D139" s="23"/>
      <c r="E139" s="22"/>
      <c r="F139" s="23"/>
      <c r="G139" s="22"/>
      <c r="H139" s="22"/>
      <c r="I139" s="23"/>
      <c r="J139" s="22"/>
      <c r="K139" s="22"/>
      <c r="L139" s="23"/>
      <c r="M139" s="22"/>
      <c r="N139" s="22"/>
      <c r="O139" s="23"/>
      <c r="P139" s="22"/>
      <c r="Q139" s="22"/>
      <c r="R139" s="23"/>
      <c r="S139" s="23"/>
      <c r="T139" s="84"/>
      <c r="U139" s="23"/>
      <c r="V139" s="84"/>
      <c r="W139" s="23"/>
      <c r="X139" s="84"/>
      <c r="Y139" s="23"/>
      <c r="Z139" s="84"/>
      <c r="AA139" s="23"/>
      <c r="AB139" s="23"/>
      <c r="AC139" s="7"/>
      <c r="AD139" s="7"/>
      <c r="AE139" s="63" t="str">
        <f aca="false">IF(Tasks[[#This Row],[Task Name]]="","",IF(Tasks[[#This Row],[_IsSummary]],MIN(INDEX(Tasks[_ShownFcstStart],Tasks[[#This Row],[_Row]]+1):INDEX(Tasks[_ShownFcstStart],Tasks[[#This Row],[_Row]]+Tasks[[#This Row],[_Descendants]])),Tasks[[#This Row],[_ShownFcstStart]]))</f>
        <v/>
      </c>
      <c r="AF139" s="63" t="str">
        <f aca="false">IF(Tasks[[#This Row],[Task Name]]="","",IF(Tasks[[#This Row],[_IsSummary]],MAX(INDEX(Tasks[_ShownFcstFinish],Tasks[[#This Row],[_Row]]+1):INDEX(Tasks[_ShownFcstFinish],Tasks[[#This Row],[_Row]]+Tasks[[#This Row],[_Descendants]])),Tasks[[#This Row],[_ShownFcstFinish]]))</f>
        <v/>
      </c>
      <c r="AG139" s="21" t="str">
        <f aca="false">""</f>
        <v/>
      </c>
      <c r="AH139" s="23"/>
      <c r="AI1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9" s="7"/>
      <c r="AK139" s="22"/>
      <c r="AL139" s="23"/>
      <c r="AM139" s="7"/>
      <c r="AN139" s="47" t="str">
        <f aca="false">IF(Tasks[[#This Row],[Task Name]]="","",IF(Tasks[[#This Row],[Finish]]&gt;=Tasks[[#This Row],[Planned Finish]],NETWORKDAYS.INTL(Tasks[[#This Row],[Planned Finish]],Tasks[[#This Row],[Finish]],WorkWeek,Holidays)-1,1-NETWORKDAYS.INTL(Tasks[[#This Row],[Finish]],Tasks[[#This Row],[Planned Finish]],WorkWeek,Holidays)))</f>
        <v/>
      </c>
      <c r="AO139" s="21" t="str">
        <f aca="false">IF(Tasks[[#This Row],[Task Name]]="","",IF(Tasks[[#This Row],[Progress]]&gt;=1,"Complete",IF(OR(N(Tasks[[#This Row],[Actual Start]])&gt;0,Tasks[[#This Row],[Progress]]&gt;0),IF(Tasks[[#This Row],[Finish Var]]&gt;0,"Behind","In Progress"),IF(Tasks[[#This Row],[Planned Start]]&lt;StatusDate,"Late Start","Not Started"))))</f>
        <v/>
      </c>
      <c r="AP139" s="21" t="str">
        <f aca="false">IF(Tasks[[#This Row],[Task Name]]="","",IF(IF(Tasks[[#This Row],[_IsSummary]],COUNTIF(INDEX(Tasks[_LeafCritical],Tasks[[#This Row],[_Row]]+1):INDEX(Tasks[_LeafCritical],Tasks[[#This Row],[_Row]]+Tasks[[#This Row],[_Descendants]]),TRUE())&gt;0,Tasks[[#This Row],[_LeafCritical]]),"Yes",""))</f>
        <v/>
      </c>
      <c r="AQ139" s="63" t="str">
        <f aca="false">IF(Tasks[[#This Row],[Task Name]]="","",IF(N(Tasks[[#This Row],[Baseline Start]])&gt;0,Tasks[[#This Row],[Baseline Start]],Tasks[[#This Row],[_CalcStart]]))</f>
        <v/>
      </c>
      <c r="AR139" s="63" t="str">
        <f aca="false">IF(Tasks[[#This Row],[Task Name]]="","",IF(N(Tasks[[#This Row],[Baseline Finish]])&gt;0,Tasks[[#This Row],[Baseline Finish]],Tasks[[#This Row],[_CalcFinish]]))</f>
        <v/>
      </c>
      <c r="AS139" s="47" t="str">
        <f aca="false">IF(Tasks[[#This Row],[Task Name]]="","",IF(Tasks[[#This Row],[Start]]&gt;=Tasks[[#This Row],[Planned Start]],NETWORKDAYS.INTL(Tasks[[#This Row],[Planned Start]],Tasks[[#This Row],[Start]],WorkWeek,Holidays)-1,1-NETWORKDAYS.INTL(Tasks[[#This Row],[Start]],Tasks[[#This Row],[Planned Start]],WorkWeek,Holidays)))</f>
        <v/>
      </c>
      <c r="AT139" s="63" t="str">
        <f aca="false">IF(Tasks[[#This Row],[Task Name]]="","",IF(Tasks[[#This Row],[_IsSummary]],MIN(INDEX(Tasks[_LeafLateStart],Tasks[[#This Row],[_Row]]+1):INDEX(Tasks[_LeafLateStart],Tasks[[#This Row],[_Row]]+Tasks[[#This Row],[_Descendants]])),Tasks[[#This Row],[_LeafLateStart]]))</f>
        <v/>
      </c>
      <c r="AU139" s="63" t="str">
        <f aca="false">IF(Tasks[[#This Row],[Task Name]]="","",IF(Tasks[[#This Row],[_IsSummary]],MAX(INDEX(Tasks[_LeafLateFinish],Tasks[[#This Row],[_Row]]+1):INDEX(Tasks[_LeafLateFinish],Tasks[[#This Row],[_Row]]+Tasks[[#This Row],[_Descendants]])),Tasks[[#This Row],[_LeafLateFinish]]))</f>
        <v/>
      </c>
      <c r="AV139" s="47" t="str">
        <f aca="false">IF(Tasks[[#This Row],[Task Name]]="","",IF(Tasks[[#This Row],[_IsSummary]],MIN(INDEX(Tasks[_LeafTotalSlack],Tasks[[#This Row],[_Row]]+1):INDEX(Tasks[_LeafTotalSlack],Tasks[[#This Row],[_Row]]+Tasks[[#This Row],[_Descendants]])),Tasks[[#This Row],[_LeafTotalSlack]]))</f>
        <v/>
      </c>
      <c r="AW1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5"/>
      <c r="BA13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t="str">
        <f aca="false">IF(Tasks[[#This Row],[Task Name]]="","",IF(Tasks[[#This Row],[_Level]]&lt;=OutlineShowLevel,"Yes","No"))</f>
        <v/>
      </c>
      <c r="BE139" s="86" t="str">
        <f aca="false">IF(Tasks[[#This Row],[Task Name]]="","",IF(Tasks[[#This Row],[_IsSummary]],SUM(INDEX(Tasks[_LeafTotalWork],Tasks[[#This Row],[_Row]]+1):INDEX(Tasks[_LeafTotalWork],Tasks[[#This Row],[_Row]]+Tasks[[#This Row],[_Descendants]])),Tasks[[#This Row],[_LeafTotalWork]]))</f>
        <v/>
      </c>
      <c r="BF139" s="23"/>
      <c r="BG1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t="str">
        <f aca="false">""</f>
        <v/>
      </c>
      <c r="BI139" s="87"/>
      <c r="BJ139" s="22"/>
      <c r="BK139" s="47" t="str">
        <f aca="false">IF(OR(Tasks[[#This Row],[Task Name]]="",Tasks[[#This Row],[Baseline Duration]]=""),"",Tasks[[#This Row],[_SpanDays]]-N(Tasks[[#This Row],[Baseline Duration]]))</f>
        <v/>
      </c>
      <c r="BL139" s="86" t="str">
        <f aca="false">IF(OR(Tasks[[#This Row],[Task Name]]="",Tasks[[#This Row],[Baseline Work]]=""),"",Tasks[[#This Row],[Work]]-N(Tasks[[#This Row],[Baseline Work]]))</f>
        <v/>
      </c>
      <c r="BM139" s="63" t="str">
        <f aca="false">IF(Tasks[[#This Row],[Task Name]]="","",IF(OR(TakeBaseline="Yes",N(Tasks[[#This Row],[Baseline Start]])=0),Tasks[[#This Row],[Start]],Tasks[[#This Row],[Baseline Start]]))</f>
        <v/>
      </c>
      <c r="BN139" s="63" t="str">
        <f aca="false">IF(Tasks[[#This Row],[Task Name]]="","",IF(OR(TakeBaseline="Yes",N(Tasks[[#This Row],[Baseline Finish]])=0),Tasks[[#This Row],[Finish]],Tasks[[#This Row],[Baseline Finish]]))</f>
        <v/>
      </c>
      <c r="BO139" s="21" t="str">
        <f aca="false">IF(Tasks[[#This Row],[Task Name]]="","",IF(OR(TakeBaseline="Yes",N(Tasks[[#This Row],[Baseline Duration]])=0),Tasks[[#This Row],[_SpanDays]],Tasks[[#This Row],[Baseline Duration]]))</f>
        <v/>
      </c>
      <c r="BP139" s="86" t="str">
        <f aca="false">IF(Tasks[[#This Row],[Task Name]]="","",IF(OR(TakeBaseline="Yes",N(Tasks[[#This Row],[Baseline Work]])=0),Tasks[[#This Row],[Work]],Tasks[[#This Row],[Baseline Work]]))</f>
        <v/>
      </c>
      <c r="BQ139" s="7"/>
      <c r="BR139" s="7"/>
      <c r="BS139" s="22"/>
      <c r="BT139" s="88"/>
      <c r="BU139" s="23"/>
      <c r="BV139" s="23"/>
      <c r="BW139" s="23"/>
      <c r="BX139" s="89" t="str">
        <f aca="false">IF(AND(Tasks[[#This Row],[_IsLeaf]]=1,ISNUMBER(Tasks[[#This Row],[Optimistic]]),ISNUMBER(Tasks[[#This Row],[Pessimistic]])),ROUND((Tasks[[#This Row],[Optimistic]]+4*N(Tasks[[#This Row],[_Days]])+Tasks[[#This Row],[Pessimistic]])/6,1),"")</f>
        <v/>
      </c>
      <c r="BY139" s="87"/>
      <c r="BZ139" s="87"/>
      <c r="CA139" s="22"/>
      <c r="CB139" s="43" t="str">
        <f aca="false">IF(Tasks[[#This Row],[Task Name]]="","",MAX(1,N(Tasks[[#This Row],[Level]])))</f>
        <v/>
      </c>
      <c r="CC139" s="43" t="n">
        <f aca="false">ROW()-ROW(Tasks[[#Headers],[ID]])</f>
        <v>134</v>
      </c>
      <c r="CD139" s="43" t="n">
        <f aca="false">IF(OR(Tasks[[#This Row],[Task Name]]="",Tasks[[#This Row],[_Level]]&lt;=1),0,IFERROR(LOOKUP(2,1/(Tasks[[#Headers],[_Level]]:Tasks[[#This Row],[_Level]]=Tasks[[#This Row],[_Level]]-1),ROW(Tasks[[#Headers],[_Level]]:Tasks[[#This Row],[_Level]])),0))</f>
        <v>0</v>
      </c>
      <c r="CE139" s="43" t="n">
        <f aca="false">IFERROR(N(INDEX(Tasks[_Level],Tasks[[#This Row],[_Row]]+1)),0)</f>
        <v>0</v>
      </c>
      <c r="CF139" s="90" t="b">
        <f aca="false">AND(Tasks[[#This Row],[Task Name]]&lt;&gt;"",Tasks[[#This Row],[_NextLevel]]&gt;Tasks[[#This Row],[_Level]])</f>
        <v>0</v>
      </c>
      <c r="CG139" s="43" t="n">
        <f aca="false">IF(Tasks[[#This Row],[_IsSummary]],COUNTIF(Tasks[WBS],Tasks[[#This Row],[WBS]]&amp;".*"),0)</f>
        <v>0</v>
      </c>
      <c r="CH139" s="43" t="n">
        <f aca="false">IF(AND(Tasks[[#This Row],[Task Name]]&lt;&gt;"",NOT(Tasks[[#This Row],[_IsSummary]])),1,0)</f>
        <v>0</v>
      </c>
      <c r="CI139" s="43" t="n">
        <f aca="false">IF(N(Tasks[[#This Row],[_Pred1UID]])=0,0,IFERROR(MATCH(Tasks[[#This Row],[_Pred1UID]],Tasks[UID],0),-1))</f>
        <v>0</v>
      </c>
      <c r="CJ139" s="43" t="n">
        <f aca="false">IF(N(Tasks[[#This Row],[_Pred2UID]])=0,0,IFERROR(MATCH(Tasks[[#This Row],[_Pred2UID]],Tasks[UID],0),-1))</f>
        <v>0</v>
      </c>
      <c r="CK139" s="43" t="n">
        <f aca="false">IF(N(Tasks[[#This Row],[_Pred3UID]])=0,0,IFERROR(MATCH(Tasks[[#This Row],[_Pred3UID]],Tasks[UID],0),-1))</f>
        <v>0</v>
      </c>
      <c r="CL139" s="43" t="n">
        <f aca="false">IF(N(Tasks[[#This Row],[_Pred4UID]])=0,0,IFERROR(MATCH(Tasks[[#This Row],[_Pred4UID]],Tasks[UID],0),-1))</f>
        <v>0</v>
      </c>
      <c r="CM1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9" s="91" t="n">
        <f aca="false">IF(OR(Tasks[[#This Row],[_ConstraintCode]]=2,Tasks[[#This Row],[_ConstraintCode]]=3,Tasks[[#This Row],[_ConstraintCode]]=4,Tasks[[#This Row],[_ConstraintCode]]=6),Tasks[[#This Row],[_ConstraintStart]],0)</f>
        <v>0</v>
      </c>
      <c r="CP139" s="91" t="n">
        <f aca="false">IF(OR(Tasks[[#This Row],[_ConstraintCode]]=2,Tasks[[#This Row],[_ConstraintCode]]=3,Tasks[[#This Row],[_ConstraintCode]]=5,Tasks[[#This Row],[_ConstraintCode]]=7),Tasks[[#This Row],[_ConstraintStart]],2958465)</f>
        <v>2958465</v>
      </c>
      <c r="CQ1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9" s="91" t="str">
        <f aca="false">IF(NOT(Tasks[[#This Row],[_IsLeaf]]=1),"",IF(N(Tasks[[#This Row],[_Days]])&lt;=0,Tasks[[#This Row],[_LeafCalcStart]],WORKDAY.INTL(Tasks[[#This Row],[_LeafCalcStart]],Tasks[[#This Row],[_Days]]-1,WorkWeek,Holidays)))</f>
        <v/>
      </c>
      <c r="CS1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9" s="43" t="str">
        <f aca="false">IF(Tasks[[#This Row],[_Predecessors]]="","",TRIM(MID(SUBSTITUTE(SUBSTITUTE(SUBSTITUTE(UPPER(Tasks[[#This Row],[_Predecessors]]),";",",")," ",""),",",REPT(" ",99)),1,99)))</f>
        <v/>
      </c>
      <c r="CV139" s="43" t="str">
        <f aca="false">IF(Tasks[[#This Row],[_Pred1Text]]="","",IFERROR(VALUE(LEFT(Tasks[[#This Row],[_Pred1Text]],MIN(FIND("F",Tasks[[#This Row],[_Pred1Text]]&amp;"F"),FIND("S",Tasks[[#This Row],[_Pred1Text]]&amp;"S"),FIND("+",Tasks[[#This Row],[_Pred1Text]]&amp;"+"),FIND("-",Tasks[[#This Row],[_Pred1Text]]&amp;"-"))-1)),""))</f>
        <v/>
      </c>
      <c r="CW1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9" s="43" t="str">
        <f aca="false">IF(Tasks[[#This Row],[_Pred1Text]]="","",TRIM(MID(SUBSTITUTE(SUBSTITUTE(SUBSTITUTE(UPPER(Tasks[[#This Row],[_Predecessors]]),";",",")," ",""),",",REPT(" ",99)),100,99)))</f>
        <v/>
      </c>
      <c r="CZ139" s="43" t="str">
        <f aca="false">IF(Tasks[[#This Row],[_Pred2Text]]="","",IFERROR(VALUE(LEFT(Tasks[[#This Row],[_Pred2Text]],MIN(FIND("F",Tasks[[#This Row],[_Pred2Text]]&amp;"F"),FIND("S",Tasks[[#This Row],[_Pred2Text]]&amp;"S"),FIND("+",Tasks[[#This Row],[_Pred2Text]]&amp;"+"),FIND("-",Tasks[[#This Row],[_Pred2Text]]&amp;"-"))-1)),""))</f>
        <v/>
      </c>
      <c r="DA1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9" s="43" t="str">
        <f aca="false">IF(Tasks[[#This Row],[_Pred2Text]]="","",TRIM(MID(SUBSTITUTE(SUBSTITUTE(SUBSTITUTE(UPPER(Tasks[[#This Row],[_Predecessors]]),";",",")," ",""),",",REPT(" ",99)),199,99)))</f>
        <v/>
      </c>
      <c r="DD139" s="43" t="str">
        <f aca="false">IF(Tasks[[#This Row],[_Pred3Text]]="","",IFERROR(VALUE(LEFT(Tasks[[#This Row],[_Pred3Text]],MIN(FIND("F",Tasks[[#This Row],[_Pred3Text]]&amp;"F"),FIND("S",Tasks[[#This Row],[_Pred3Text]]&amp;"S"),FIND("+",Tasks[[#This Row],[_Pred3Text]]&amp;"+"),FIND("-",Tasks[[#This Row],[_Pred3Text]]&amp;"-"))-1)),""))</f>
        <v/>
      </c>
      <c r="DE1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9" s="43" t="str">
        <f aca="false">IF(Tasks[[#This Row],[_Pred3Text]]="","",TRIM(MID(SUBSTITUTE(SUBSTITUTE(SUBSTITUTE(UPPER(Tasks[[#This Row],[_Predecessors]]),";",",")," ",""),",",REPT(" ",99)),298,99)))</f>
        <v/>
      </c>
      <c r="DH139" s="43" t="str">
        <f aca="false">IF(Tasks[[#This Row],[_Pred4Text]]="","",IFERROR(VALUE(LEFT(Tasks[[#This Row],[_Pred4Text]],MIN(FIND("F",Tasks[[#This Row],[_Pred4Text]]&amp;"F"),FIND("S",Tasks[[#This Row],[_Pred4Text]]&amp;"S"),FIND("+",Tasks[[#This Row],[_Pred4Text]]&amp;"+"),FIND("-",Tasks[[#This Row],[_Pred4Text]]&amp;"-"))-1)),""))</f>
        <v/>
      </c>
      <c r="DI1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9" s="43" t="str">
        <f aca="false">IF(OR(Tasks[[#This Row],[Task Name]]="",Tasks[[#This Row],[_Resources]]=""),"",TRIM(MID(SUBSTITUTE(Tasks[[#This Row],[_Resources]],",",REPT(" ",99)),1,99)))</f>
        <v/>
      </c>
      <c r="DL139" s="43" t="str">
        <f aca="false">IF(Tasks[[#This Row],[_Res1Text]]="","",TRIM(MID(SUBSTITUTE(Tasks[[#This Row],[_Resources]],",",REPT(" ",99)),100,99)))</f>
        <v/>
      </c>
      <c r="DM139" s="43" t="str">
        <f aca="false">IF(Tasks[[#This Row],[_Res2Text]]="","",TRIM(MID(SUBSTITUTE(Tasks[[#This Row],[_Resources]],",",REPT(" ",99)),199,99)))</f>
        <v/>
      </c>
      <c r="DN139" s="43" t="str">
        <f aca="false">IF(Tasks[[#This Row],[_Res3Text]]="","",TRIM(MID(SUBSTITUTE(Tasks[[#This Row],[_Resources]],",",REPT(" ",99)),298,99)))</f>
        <v/>
      </c>
      <c r="DO139" s="43" t="n">
        <f aca="false">IF(Tasks[[#This Row],[_Res1Text]]="",0,IFERROR(MATCH(TRIM(LEFT(Tasks[[#This Row],[_Res1Text]],FIND("[",Tasks[[#This Row],[_Res1Text]]&amp;"[")-1)),res_Name,0),IFERROR(MATCH(TRIM(LEFT(Tasks[[#This Row],[_Res1Text]],FIND("[",Tasks[[#This Row],[_Res1Text]]&amp;"[")-1)),res_Initials,0),0)))</f>
        <v>0</v>
      </c>
      <c r="DP139" s="43" t="n">
        <f aca="false">IF(Tasks[[#This Row],[_Res2Text]]="",0,IFERROR(MATCH(TRIM(LEFT(Tasks[[#This Row],[_Res2Text]],FIND("[",Tasks[[#This Row],[_Res2Text]]&amp;"[")-1)),res_Name,0),IFERROR(MATCH(TRIM(LEFT(Tasks[[#This Row],[_Res2Text]],FIND("[",Tasks[[#This Row],[_Res2Text]]&amp;"[")-1)),res_Initials,0),0)))</f>
        <v>0</v>
      </c>
      <c r="DQ139" s="43" t="n">
        <f aca="false">IF(Tasks[[#This Row],[_Res3Text]]="",0,IFERROR(MATCH(TRIM(LEFT(Tasks[[#This Row],[_Res3Text]],FIND("[",Tasks[[#This Row],[_Res3Text]]&amp;"[")-1)),res_Name,0),IFERROR(MATCH(TRIM(LEFT(Tasks[[#This Row],[_Res3Text]],FIND("[",Tasks[[#This Row],[_Res3Text]]&amp;"[")-1)),res_Initials,0),0)))</f>
        <v>0</v>
      </c>
      <c r="DR139" s="43" t="n">
        <f aca="false">IF(Tasks[[#This Row],[_Res4Text]]="",0,IFERROR(MATCH(TRIM(LEFT(Tasks[[#This Row],[_Res4Text]],FIND("[",Tasks[[#This Row],[_Res4Text]]&amp;"[")-1)),res_Name,0),IFERROR(MATCH(TRIM(LEFT(Tasks[[#This Row],[_Res4Text]],FIND("[",Tasks[[#This Row],[_Res4Text]]&amp;"[")-1)),res_Initials,0),0)))</f>
        <v>0</v>
      </c>
      <c r="DS139" s="43" t="str">
        <f aca="false">IF(Tasks[[#This Row],[_Res1Text]]="","",IF(Tasks[[#This Row],[_Res1Row]]&gt;0,INDEX(res_Name,Tasks[[#This Row],[_Res1Row]]),TRIM(LEFT(Tasks[[#This Row],[_Res1Text]],FIND("[",Tasks[[#This Row],[_Res1Text]]&amp;"[")-1))))</f>
        <v/>
      </c>
      <c r="DT1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9" s="43" t="n">
        <f aca="false">IF(NOT(Tasks[[#This Row],[_IsLeaf]]=1),0,(Tasks[[#This Row],[_Resource1]]&lt;&gt;"")+(Tasks[[#This Row],[_Res2]]&lt;&gt;"")+(Tasks[[#This Row],[_Res3]]&lt;&gt;"")+(Tasks[[#This Row],[_Res4]]&lt;&gt;""))</f>
        <v>0</v>
      </c>
      <c r="DV139" s="43" t="str">
        <f aca="false">IF(Tasks[[#This Row],[_Res2Text]]="","",IF(Tasks[[#This Row],[_Res2Row]]&gt;0,INDEX(res_Name,Tasks[[#This Row],[_Res2Row]]),TRIM(LEFT(Tasks[[#This Row],[_Res2Text]],FIND("[",Tasks[[#This Row],[_Res2Text]]&amp;"[")-1))))</f>
        <v/>
      </c>
      <c r="DW1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9" s="43" t="n">
        <f aca="false">IF(OR(NOT(Tasks[[#This Row],[_IsLeaf]]=1),Tasks[[#This Row],[_Res2Row]]=0),0,N(Tasks[[#This Row],[_Days]])*HoursPerDay*IF(Tasks[[#This Row],[_Res2Units]]="",DefaultUnits,Tasks[[#This Row],[_Res2Units]]))</f>
        <v>0</v>
      </c>
      <c r="DY139" s="43" t="n">
        <f aca="false">IF(AND(AND(Tasks[[#This Row],[_IsLeaf]]=1,Tasks[[#This Row],[_LeafTotalWork]]&gt;0),Tasks[[#This Row],[_Res2Work]]&gt;0),Tasks[[#This Row],[_Res2Work]]/(Tasks[[#This Row],[_FinishWorkday]]-Tasks[[#This Row],[_StartWorkday]]+1),0)</f>
        <v>0</v>
      </c>
      <c r="DZ139" s="43" t="n">
        <f aca="false">Tasks[[#This Row],[_Res2WorkPerWD]]*MAX(0,Tasks[[#This Row],[_StartWorkday]]-1)</f>
        <v>0</v>
      </c>
      <c r="EA139" s="43" t="n">
        <f aca="false">Tasks[[#This Row],[_Res2Work]]*Tasks[[#This Row],[_LeafProgress]]</f>
        <v>0</v>
      </c>
      <c r="EB139" s="43" t="str">
        <f aca="false">IF(Tasks[[#This Row],[_Res3Text]]="","",IF(Tasks[[#This Row],[_Res3Row]]&gt;0,INDEX(res_Name,Tasks[[#This Row],[_Res3Row]]),TRIM(LEFT(Tasks[[#This Row],[_Res3Text]],FIND("[",Tasks[[#This Row],[_Res3Text]]&amp;"[")-1))))</f>
        <v/>
      </c>
      <c r="EC1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9" s="43" t="n">
        <f aca="false">IF(OR(NOT(Tasks[[#This Row],[_IsLeaf]]=1),Tasks[[#This Row],[_Res3Row]]=0),0,N(Tasks[[#This Row],[_Days]])*HoursPerDay*IF(Tasks[[#This Row],[_Res3Units]]="",DefaultUnits,Tasks[[#This Row],[_Res3Units]]))</f>
        <v>0</v>
      </c>
      <c r="EE139" s="43" t="n">
        <f aca="false">IF(AND(AND(Tasks[[#This Row],[_IsLeaf]]=1,Tasks[[#This Row],[_LeafTotalWork]]&gt;0),Tasks[[#This Row],[_Res3Work]]&gt;0),Tasks[[#This Row],[_Res3Work]]/(Tasks[[#This Row],[_FinishWorkday]]-Tasks[[#This Row],[_StartWorkday]]+1),0)</f>
        <v>0</v>
      </c>
      <c r="EF139" s="43" t="n">
        <f aca="false">Tasks[[#This Row],[_Res3WorkPerWD]]*MAX(0,Tasks[[#This Row],[_StartWorkday]]-1)</f>
        <v>0</v>
      </c>
      <c r="EG139" s="43" t="n">
        <f aca="false">Tasks[[#This Row],[_Res3Work]]*Tasks[[#This Row],[_LeafProgress]]</f>
        <v>0</v>
      </c>
      <c r="EH139" s="43" t="str">
        <f aca="false">IF(Tasks[[#This Row],[_Res4Text]]="","",IF(Tasks[[#This Row],[_Res4Row]]&gt;0,INDEX(res_Name,Tasks[[#This Row],[_Res4Row]]),TRIM(LEFT(Tasks[[#This Row],[_Res4Text]],FIND("[",Tasks[[#This Row],[_Res4Text]]&amp;"[")-1))))</f>
        <v/>
      </c>
      <c r="EI1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9" s="43" t="n">
        <f aca="false">IF(OR(NOT(Tasks[[#This Row],[_IsLeaf]]=1),Tasks[[#This Row],[_Res4Row]]=0),0,N(Tasks[[#This Row],[_Days]])*HoursPerDay*IF(Tasks[[#This Row],[_Res4Units]]="",DefaultUnits,Tasks[[#This Row],[_Res4Units]]))</f>
        <v>0</v>
      </c>
      <c r="EK139" s="43" t="n">
        <f aca="false">IF(AND(AND(Tasks[[#This Row],[_IsLeaf]]=1,Tasks[[#This Row],[_LeafTotalWork]]&gt;0),Tasks[[#This Row],[_Res4Work]]&gt;0),Tasks[[#This Row],[_Res4Work]]/(Tasks[[#This Row],[_FinishWorkday]]-Tasks[[#This Row],[_StartWorkday]]+1),0)</f>
        <v>0</v>
      </c>
      <c r="EL139" s="43" t="n">
        <f aca="false">Tasks[[#This Row],[_Res4WorkPerWD]]*MAX(0,Tasks[[#This Row],[_StartWorkday]]-1)</f>
        <v>0</v>
      </c>
      <c r="EM139" s="43" t="n">
        <f aca="false">Tasks[[#This Row],[_Res4Work]]*Tasks[[#This Row],[_LeafProgress]]</f>
        <v>0</v>
      </c>
      <c r="EN139" s="43" t="n">
        <f aca="false">IF(ISNUMBER(Tasks[[#This Row],[% Complete]]),Tasks[[#This Row],[% Complete]],IF(Tasks[[#This Row],[Stage]]="",0,IFERROR(INDEX(stg_Pct,MATCH(Tasks[[#This Row],[Stage]],stg_Name,0)),0)))</f>
        <v>0</v>
      </c>
      <c r="EO139" s="43" t="n">
        <f aca="false">IF(NOT(Tasks[[#This Row],[_IsLeaf]]=1),0,IF(N(Tasks[[#This Row],[Actual Finish]])&gt;0,1,MIN(1,Tasks[[#This Row],[_Pct]])))</f>
        <v>0</v>
      </c>
      <c r="EP139" s="43" t="n">
        <f aca="false">IF(OR(NOT(Tasks[[#This Row],[_IsLeaf]]=1),Tasks[[#This Row],[_Res1Row]]=0),0,N(Tasks[[#This Row],[_Days]])*HoursPerDay*IF(Tasks[[#This Row],[_Units1]]="",DefaultUnits,Tasks[[#This Row],[_Units1]]))</f>
        <v>0</v>
      </c>
      <c r="EQ139" s="43" t="n">
        <f aca="false">Tasks[[#This Row],[_LeafWork]]+Tasks[[#This Row],[_Res2Work]]+Tasks[[#This Row],[_Res3Work]]+Tasks[[#This Row],[_Res4Work]]</f>
        <v>0</v>
      </c>
      <c r="ER13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9" s="43" t="n">
        <f aca="false">IF(NOT(Tasks[[#This Row],[_IsLeaf]]=1),0,MAX(_xlfn.MAXIFS(Tasks[_Row],Tasks[_Pred1UID],Tasks[[#This Row],[UID]]),_xlfn.MAXIFS(Tasks[_Row],Tasks[_Pred2UID],Tasks[[#This Row],[UID]]),_xlfn.MAXIFS(Tasks[_Row],Tasks[_Pred3UID],Tasks[[#This Row],[UID]]),_xlfn.MAXIFS(Tasks[_Row],Tasks[_Pred4UID],Tasks[[#This Row],[UID]])))</f>
        <v>0</v>
      </c>
      <c r="FA1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9" s="91" t="str">
        <f aca="false">IF(NOT(Tasks[[#This Row],[_IsLeaf]]=1),"",IF(N(Tasks[[#This Row],[_Days]])&lt;=0,Tasks[[#This Row],[_LeafLateFinish]],WORKDAY.INTL(Tasks[[#This Row],[_LeafLateFinish]],-(Tasks[[#This Row],[_Days]]-1),WorkWeek,Holidays)))</f>
        <v/>
      </c>
      <c r="FD1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9" s="90" t="b">
        <f aca="false">AND(Tasks[[#This Row],[_IsLeaf]]=1,Tasks[[#This Row],[_LeafProgress]]&lt;1,N(Tasks[[#This Row],[_LeafTotalSlack]])&lt;=CriticalSlackDays)</f>
        <v>0</v>
      </c>
      <c r="FF139" s="43" t="n">
        <f aca="false">IF(AND(Tasks[[#This Row],[_IsLeaf]]=1,Tasks[[#This Row],[_ConstraintCode]]=1,Tasks[[#This Row],[Mode]]&lt;&gt;"Manual",N(Tasks[[#This Row],[Actual Start]])=0),MAX(0,N(Tasks[[#This Row],[Free Slack]])),0)</f>
        <v>0</v>
      </c>
      <c r="FG139" s="91" t="str">
        <f aca="false">IF(NOT(Tasks[[#This Row],[_IsLeaf]]=1),"",IF(Tasks[[#This Row],[_AlapShift]]=0,Tasks[[#This Row],[_LeafCalcStart]],WORKDAY.INTL(Tasks[[#This Row],[_LeafCalcStart]],Tasks[[#This Row],[_AlapShift]],WorkWeek,Holidays)))</f>
        <v/>
      </c>
      <c r="FH139" s="91" t="str">
        <f aca="false">IF(NOT(Tasks[[#This Row],[_IsLeaf]]=1),"",IF(Tasks[[#This Row],[_AlapShift]]=0,Tasks[[#This Row],[_LeafCalcFinish]],WORKDAY.INTL(Tasks[[#This Row],[_LeafCalcFinish]],Tasks[[#This Row],[_AlapShift]],WorkWeek,Holidays)))</f>
        <v/>
      </c>
      <c r="FI139" s="91" t="str">
        <f aca="false">IF(NOT(Tasks[[#This Row],[_IsLeaf]]=1),"",IF(Tasks[[#This Row],[_AlapShift]]=0,Tasks[[#This Row],[_LeafFcstStart]],WORKDAY.INTL(Tasks[[#This Row],[_LeafFcstStart]],Tasks[[#This Row],[_AlapShift]],WorkWeek,Holidays)))</f>
        <v/>
      </c>
      <c r="FJ139" s="91" t="str">
        <f aca="false">IF(NOT(Tasks[[#This Row],[_IsLeaf]]=1),"",IF(Tasks[[#This Row],[_AlapShift]]=0,Tasks[[#This Row],[_LeafFcstFinish]],WORKDAY.INTL(Tasks[[#This Row],[_LeafFcstFinish]],Tasks[[#This Row],[_AlapShift]],WorkWeek,Holidays)))</f>
        <v/>
      </c>
      <c r="FK139" s="91" t="str">
        <f aca="false">IF(Tasks[[#This Row],[Task Name]]="","",IF(Tasks[[#This Row],[_IsSummary]],MIN(INDEX(Tasks[_ShownCalcStart],Tasks[[#This Row],[_Row]]+1):INDEX(Tasks[_ShownCalcStart],Tasks[[#This Row],[_Row]]+Tasks[[#This Row],[_Descendants]])),Tasks[[#This Row],[_ShownCalcStart]]))</f>
        <v/>
      </c>
      <c r="FL139" s="91" t="str">
        <f aca="false">IF(Tasks[[#This Row],[Task Name]]="","",IF(Tasks[[#This Row],[_IsSummary]],MAX(INDEX(Tasks[_ShownCalcFinish],Tasks[[#This Row],[_Row]]+1):INDEX(Tasks[_ShownCalcFinish],Tasks[[#This Row],[_Row]]+Tasks[[#This Row],[_Descendants]])),Tasks[[#This Row],[_ShownCalcFinish]]))</f>
        <v/>
      </c>
      <c r="FM1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9" s="43" t="n">
        <f aca="false">IF(AND(Tasks[[#This Row],[_IsLeaf]]=1,Tasks[[#This Row],[_LeafTotalWork]]&gt;0),NETWORKDAYS.INTL(ProjectStart,Tasks[[#This Row],[_ShownFcstStart]],WorkWeek,Holidays),0)</f>
        <v>0</v>
      </c>
      <c r="FZ139" s="43" t="n">
        <f aca="false">IF(AND(Tasks[[#This Row],[_IsLeaf]]=1,Tasks[[#This Row],[_LeafTotalWork]]&gt;0),MAX(Tasks[[#This Row],[_StartWorkday]],NETWORKDAYS.INTL(ProjectStart,Tasks[[#This Row],[_ShownFcstFinish]],WorkWeek,Holidays)),0)</f>
        <v>0</v>
      </c>
      <c r="GA139" s="43" t="n">
        <f aca="false">IF(AND(Tasks[[#This Row],[_IsLeaf]]=1,Tasks[[#This Row],[_LeafTotalWork]]&gt;0),Tasks[[#This Row],[_LeafWork]]/(Tasks[[#This Row],[_FinishWorkday]]-Tasks[[#This Row],[_StartWorkday]]+1),0)</f>
        <v>0</v>
      </c>
      <c r="GB139" s="43" t="n">
        <f aca="false">Tasks[[#This Row],[_WorkPerWorkday]]*(Tasks[[#This Row],[_StartWorkday]]-1)</f>
        <v>-0</v>
      </c>
      <c r="GC139" s="43" t="n">
        <f aca="false">IF(Tasks[[#This Row],[_IsLeaf]]=1,MAX(N(Tasks[[#This Row],[_Days]]),0.1),0)</f>
        <v>0</v>
      </c>
      <c r="GD139" s="43" t="n">
        <f aca="false">Tasks[[#This Row],[_WeightDur]]*Tasks[[#This Row],[_LeafProgress]]</f>
        <v>0</v>
      </c>
      <c r="GE139" s="43" t="n">
        <f aca="false">Tasks[[#This Row],[_WeightDur]]*Tasks[[#This Row],[_PlannedPct]]</f>
        <v>0</v>
      </c>
      <c r="GF1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9" s="43" t="str">
        <f aca="false">IF(AND(Tasks[[#This Row],[_IsLeaf]]=1,N(Tasks[[#This Row],[_Days]])=0,Tasks[[#This Row],[_LeafProgress]]&lt;1),Tasks[[#This Row],[_ShownFcstFinish]]+Tasks[[#This Row],[_Row]]/100000,"")</f>
        <v/>
      </c>
      <c r="GH1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9" s="43" t="str">
        <f aca="false">IF(Tasks[[#This Row],[Task Name]]="","",LEFT(Tasks[[#This Row],[WBS]],FIND(".",Tasks[[#This Row],[WBS]]&amp;".")-1))</f>
        <v/>
      </c>
      <c r="GJ139" s="43" t="str">
        <f aca="false">IF(AND(Tasks[[#This Row],[Task Name]]&lt;&gt;"",Tasks[[#This Row],[_Level]]=1),Tasks[[#This Row],[_Row]],"")</f>
        <v/>
      </c>
      <c r="GK139" s="43" t="str">
        <f aca="false">IF(AND(Tasks[[#This Row],[_IsLeaf]]=1,N(Tasks[[#This Row],[_Days]])=0),Tasks[[#This Row],[Planned Finish]]+Tasks[[#This Row],[_Row]]/100000,"")</f>
        <v/>
      </c>
      <c r="GL139" s="43" t="str">
        <f aca="false">IF(AND(Tasks[[#This Row],[_IsLeaf]]=1,Tasks[[#This Row],[_LeafProgress]]&lt;1,OR(N(Tasks[[#This Row],[Finish Var]])&gt;0,Tasks[[#This Row],[Status]]="Late Start")),MAX(0,Tasks[[#This Row],[Finish Var]])+1-Tasks[[#This Row],[_Row]]/1000000,"")</f>
        <v/>
      </c>
      <c r="GM139" s="43" t="str">
        <f aca="false">IF(AND(Tasks[[#This Row],[_IsLeaf]]=1,N(Tasks[[#This Row],[Actual Start]])=0,Tasks[[#This Row],[_ShownFcstStart]]&gt;=StatusDate,Tasks[[#This Row],[_ShownFcstStart]]&lt;=LookaheadEnd),Tasks[[#This Row],[_ShownFcstStart]]+Tasks[[#This Row],[_Row]]/100000,"")</f>
        <v/>
      </c>
      <c r="GN139" s="43" t="str">
        <f aca="false">IF(AND(Tasks[[#This Row],[_IsLeaf]]=1,Tasks[[#This Row],[_LeafProgress]]&lt;1,Tasks[[#This Row],[_ShownFcstFinish]]&gt;=StatusDate,Tasks[[#This Row],[_ShownFcstFinish]]&lt;=LookaheadEnd),Tasks[[#This Row],[_ShownFcstFinish]]+Tasks[[#This Row],[_Row]]/100000,"")</f>
        <v/>
      </c>
      <c r="GO139" s="43" t="str">
        <f aca="false">IF(Tasks[[#This Row],[_LeafCritical]],Tasks[[#This Row],[_ShownFcstStart]]+Tasks[[#This Row],[_Row]]/100000,"")</f>
        <v/>
      </c>
      <c r="GP139" s="43" t="n">
        <f aca="false">Tasks[[#This Row],[_LeafWork]]*Tasks[[#This Row],[_LeafProgress]]</f>
        <v>0</v>
      </c>
      <c r="GQ139" s="91" t="str">
        <f aca="false">IF(AND(Tasks[[#This Row],[_IsLeaf]]=1,Tasks[[#This Row],[_LeafProgress]]&gt;=1),IF(N(Tasks[[#This Row],[Actual Finish]])&gt;0,Tasks[[#This Row],[Actual Finish]],Tasks[[#This Row],[_ShownFcstFinish]]),"")</f>
        <v/>
      </c>
      <c r="GR139" s="43" t="n">
        <f aca="false">IF(Tasks[[#This Row],[_IsLeaf]]=1,N(Tasks[[#This Row],[Story Points]]),0)</f>
        <v>0</v>
      </c>
      <c r="GS139" s="43" t="str">
        <f aca="false">""</f>
        <v/>
      </c>
      <c r="GT139" s="90" t="b">
        <f aca="false">IF(Tasks[[#This Row],[Task Name]]="",FALSE(),AND(Tasks[[#This Row],[_IsLeaf]]=1,N(Tasks[[#This Row],[_Days]])=0))</f>
        <v>0</v>
      </c>
      <c r="GU139" s="91" t="n">
        <f aca="false">IF(Tasks[[#This Row],[Task Name]]="",0,IF(AND(Tasks[[#This Row],[_IsLeaf]]=1,NOT(Tasks[[#This Row],[_IsMilestone]]),N(Tasks[[#This Row],[Progress]])&gt;0),Tasks[[#This Row],[Start]],0))</f>
        <v>0</v>
      </c>
      <c r="GV139" s="91" t="n">
        <f aca="false">IF(Tasks[[#This Row],[_DoneFrom]]=0,0,IF(Tasks[[#This Row],[Progress]]&gt;=1,Tasks[[#This Row],[Finish]],MAX(Tasks[[#This Row],[_DoneFrom]],Tasks[[#This Row],[Start]]+ROUND((Tasks[[#This Row],[Finish]]-Tasks[[#This Row],[Start]]+1)*Tasks[[#This Row],[Progress]],0)-1)))</f>
        <v>0</v>
      </c>
      <c r="GW139" s="91" t="n">
        <f aca="false">IF(Tasks[[#This Row],[Task Name]]="",0,IF(OR(NOT(Tasks[[#This Row],[_IsLeaf]]=1),Tasks[[#This Row],[_IsMilestone]],N(Tasks[[#This Row],[Progress]])&gt;=1),0,IF(Tasks[[#This Row],[_DoneTo]]&gt;0,Tasks[[#This Row],[_DoneTo]]+1,Tasks[[#This Row],[Start]])))</f>
        <v>0</v>
      </c>
      <c r="GX139" s="91" t="n">
        <f aca="false">IF(Tasks[[#This Row],[_RemFrom]]=0,0,Tasks[[#This Row],[Finish]])</f>
        <v>0</v>
      </c>
      <c r="GY139" s="90" t="b">
        <f aca="false">IF(Tasks[[#This Row],[Task Name]]="",FALSE(),OR(NOT(BaselineSet),N(Tasks[[#This Row],[Baseline Start]])&gt;0))</f>
        <v>0</v>
      </c>
      <c r="GZ13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9" s="92" t="str">
        <f aca="false">IF(Tasks[[#This Row],[_IsLeaf]]=1,Tasks[[#This Row],[_Row]],"")</f>
        <v/>
      </c>
      <c r="HD139" s="92" t="str">
        <f aca="false">IFERROR(INDEX(Tasks[UID],SMALL(Tasks[_PickKey],Tasks[[#This Row],[_Row]]))&amp;" "&amp;INDEX(Tasks[Task Name],SMALL(Tasks[_PickKey],Tasks[[#This Row],[_Row]])),"")</f>
        <v/>
      </c>
      <c r="HE139" s="43" t="str">
        <f aca="false">IF(Tasks[[#This Row],[Task Name]]="","",IF(Tasks[[#This Row],[_IsSummary]],NETWORKDAYS.INTL(Tasks[[#This Row],[Start]],Tasks[[#This Row],[Finish]],WorkWeek,Holidays),N(Tasks[[#This Row],[_Days]])))</f>
        <v/>
      </c>
      <c r="HF139" s="43" t="n">
        <f aca="false">IF(Tasks[[#This Row],[Expected]]="",0,((Tasks[[#This Row],[Pessimistic]]-Tasks[[#This Row],[Optimistic]])/6)^2)</f>
        <v>0</v>
      </c>
      <c r="HG139" s="43" t="n">
        <f aca="false">IF(Tasks[[#This Row],[Expected]]="",0,Tasks[[#This Row],[Expected]]-N(Tasks[[#This Row],[_Days]]))</f>
        <v>0</v>
      </c>
    </row>
    <row r="140" customFormat="false" ht="15" hidden="false" customHeight="false" outlineLevel="0" collapsed="false">
      <c r="A140" s="21" t="str">
        <f aca="false">IF(Tasks[[#This Row],[Task Name]]="","",COUNTA(Tasks[[#Headers],[Task Name]]:Tasks[[#This Row],[Task Name]])-1)</f>
        <v/>
      </c>
      <c r="B140" s="22" t="n">
        <v>148</v>
      </c>
      <c r="C140" s="22"/>
      <c r="D140" s="23"/>
      <c r="E140" s="22"/>
      <c r="F140" s="23"/>
      <c r="G140" s="22"/>
      <c r="H140" s="22"/>
      <c r="I140" s="23"/>
      <c r="J140" s="22"/>
      <c r="K140" s="22"/>
      <c r="L140" s="23"/>
      <c r="M140" s="22"/>
      <c r="N140" s="22"/>
      <c r="O140" s="23"/>
      <c r="P140" s="22"/>
      <c r="Q140" s="22"/>
      <c r="R140" s="23"/>
      <c r="S140" s="23"/>
      <c r="T140" s="84"/>
      <c r="U140" s="23"/>
      <c r="V140" s="84"/>
      <c r="W140" s="23"/>
      <c r="X140" s="84"/>
      <c r="Y140" s="23"/>
      <c r="Z140" s="84"/>
      <c r="AA140" s="23"/>
      <c r="AB140" s="23"/>
      <c r="AC140" s="7"/>
      <c r="AD140" s="7"/>
      <c r="AE140" s="63" t="str">
        <f aca="false">IF(Tasks[[#This Row],[Task Name]]="","",IF(Tasks[[#This Row],[_IsSummary]],MIN(INDEX(Tasks[_ShownFcstStart],Tasks[[#This Row],[_Row]]+1):INDEX(Tasks[_ShownFcstStart],Tasks[[#This Row],[_Row]]+Tasks[[#This Row],[_Descendants]])),Tasks[[#This Row],[_ShownFcstStart]]))</f>
        <v/>
      </c>
      <c r="AF140" s="63" t="str">
        <f aca="false">IF(Tasks[[#This Row],[Task Name]]="","",IF(Tasks[[#This Row],[_IsSummary]],MAX(INDEX(Tasks[_ShownFcstFinish],Tasks[[#This Row],[_Row]]+1):INDEX(Tasks[_ShownFcstFinish],Tasks[[#This Row],[_Row]]+Tasks[[#This Row],[_Descendants]])),Tasks[[#This Row],[_ShownFcstFinish]]))</f>
        <v/>
      </c>
      <c r="AG140" s="21" t="str">
        <f aca="false">""</f>
        <v/>
      </c>
      <c r="AH140" s="23"/>
      <c r="AI1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0" s="7"/>
      <c r="AK140" s="22"/>
      <c r="AL140" s="23"/>
      <c r="AM140" s="7"/>
      <c r="AN140" s="47" t="str">
        <f aca="false">IF(Tasks[[#This Row],[Task Name]]="","",IF(Tasks[[#This Row],[Finish]]&gt;=Tasks[[#This Row],[Planned Finish]],NETWORKDAYS.INTL(Tasks[[#This Row],[Planned Finish]],Tasks[[#This Row],[Finish]],WorkWeek,Holidays)-1,1-NETWORKDAYS.INTL(Tasks[[#This Row],[Finish]],Tasks[[#This Row],[Planned Finish]],WorkWeek,Holidays)))</f>
        <v/>
      </c>
      <c r="AO140" s="21" t="str">
        <f aca="false">IF(Tasks[[#This Row],[Task Name]]="","",IF(Tasks[[#This Row],[Progress]]&gt;=1,"Complete",IF(OR(N(Tasks[[#This Row],[Actual Start]])&gt;0,Tasks[[#This Row],[Progress]]&gt;0),IF(Tasks[[#This Row],[Finish Var]]&gt;0,"Behind","In Progress"),IF(Tasks[[#This Row],[Planned Start]]&lt;StatusDate,"Late Start","Not Started"))))</f>
        <v/>
      </c>
      <c r="AP140" s="21" t="str">
        <f aca="false">IF(Tasks[[#This Row],[Task Name]]="","",IF(IF(Tasks[[#This Row],[_IsSummary]],COUNTIF(INDEX(Tasks[_LeafCritical],Tasks[[#This Row],[_Row]]+1):INDEX(Tasks[_LeafCritical],Tasks[[#This Row],[_Row]]+Tasks[[#This Row],[_Descendants]]),TRUE())&gt;0,Tasks[[#This Row],[_LeafCritical]]),"Yes",""))</f>
        <v/>
      </c>
      <c r="AQ140" s="63" t="str">
        <f aca="false">IF(Tasks[[#This Row],[Task Name]]="","",IF(N(Tasks[[#This Row],[Baseline Start]])&gt;0,Tasks[[#This Row],[Baseline Start]],Tasks[[#This Row],[_CalcStart]]))</f>
        <v/>
      </c>
      <c r="AR140" s="63" t="str">
        <f aca="false">IF(Tasks[[#This Row],[Task Name]]="","",IF(N(Tasks[[#This Row],[Baseline Finish]])&gt;0,Tasks[[#This Row],[Baseline Finish]],Tasks[[#This Row],[_CalcFinish]]))</f>
        <v/>
      </c>
      <c r="AS140" s="47" t="str">
        <f aca="false">IF(Tasks[[#This Row],[Task Name]]="","",IF(Tasks[[#This Row],[Start]]&gt;=Tasks[[#This Row],[Planned Start]],NETWORKDAYS.INTL(Tasks[[#This Row],[Planned Start]],Tasks[[#This Row],[Start]],WorkWeek,Holidays)-1,1-NETWORKDAYS.INTL(Tasks[[#This Row],[Start]],Tasks[[#This Row],[Planned Start]],WorkWeek,Holidays)))</f>
        <v/>
      </c>
      <c r="AT140" s="63" t="str">
        <f aca="false">IF(Tasks[[#This Row],[Task Name]]="","",IF(Tasks[[#This Row],[_IsSummary]],MIN(INDEX(Tasks[_LeafLateStart],Tasks[[#This Row],[_Row]]+1):INDEX(Tasks[_LeafLateStart],Tasks[[#This Row],[_Row]]+Tasks[[#This Row],[_Descendants]])),Tasks[[#This Row],[_LeafLateStart]]))</f>
        <v/>
      </c>
      <c r="AU140" s="63" t="str">
        <f aca="false">IF(Tasks[[#This Row],[Task Name]]="","",IF(Tasks[[#This Row],[_IsSummary]],MAX(INDEX(Tasks[_LeafLateFinish],Tasks[[#This Row],[_Row]]+1):INDEX(Tasks[_LeafLateFinish],Tasks[[#This Row],[_Row]]+Tasks[[#This Row],[_Descendants]])),Tasks[[#This Row],[_LeafLateFinish]]))</f>
        <v/>
      </c>
      <c r="AV140" s="47" t="str">
        <f aca="false">IF(Tasks[[#This Row],[Task Name]]="","",IF(Tasks[[#This Row],[_IsSummary]],MIN(INDEX(Tasks[_LeafTotalSlack],Tasks[[#This Row],[_Row]]+1):INDEX(Tasks[_LeafTotalSlack],Tasks[[#This Row],[_Row]]+Tasks[[#This Row],[_Descendants]])),Tasks[[#This Row],[_LeafTotalSlack]]))</f>
        <v/>
      </c>
      <c r="AW1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5"/>
      <c r="BA14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t="str">
        <f aca="false">IF(Tasks[[#This Row],[Task Name]]="","",IF(Tasks[[#This Row],[_Level]]&lt;=OutlineShowLevel,"Yes","No"))</f>
        <v/>
      </c>
      <c r="BE140" s="86" t="str">
        <f aca="false">IF(Tasks[[#This Row],[Task Name]]="","",IF(Tasks[[#This Row],[_IsSummary]],SUM(INDEX(Tasks[_LeafTotalWork],Tasks[[#This Row],[_Row]]+1):INDEX(Tasks[_LeafTotalWork],Tasks[[#This Row],[_Row]]+Tasks[[#This Row],[_Descendants]])),Tasks[[#This Row],[_LeafTotalWork]]))</f>
        <v/>
      </c>
      <c r="BF140" s="23"/>
      <c r="BG1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t="str">
        <f aca="false">""</f>
        <v/>
      </c>
      <c r="BI140" s="87"/>
      <c r="BJ140" s="22"/>
      <c r="BK140" s="47" t="str">
        <f aca="false">IF(OR(Tasks[[#This Row],[Task Name]]="",Tasks[[#This Row],[Baseline Duration]]=""),"",Tasks[[#This Row],[_SpanDays]]-N(Tasks[[#This Row],[Baseline Duration]]))</f>
        <v/>
      </c>
      <c r="BL140" s="86" t="str">
        <f aca="false">IF(OR(Tasks[[#This Row],[Task Name]]="",Tasks[[#This Row],[Baseline Work]]=""),"",Tasks[[#This Row],[Work]]-N(Tasks[[#This Row],[Baseline Work]]))</f>
        <v/>
      </c>
      <c r="BM140" s="63" t="str">
        <f aca="false">IF(Tasks[[#This Row],[Task Name]]="","",IF(OR(TakeBaseline="Yes",N(Tasks[[#This Row],[Baseline Start]])=0),Tasks[[#This Row],[Start]],Tasks[[#This Row],[Baseline Start]]))</f>
        <v/>
      </c>
      <c r="BN140" s="63" t="str">
        <f aca="false">IF(Tasks[[#This Row],[Task Name]]="","",IF(OR(TakeBaseline="Yes",N(Tasks[[#This Row],[Baseline Finish]])=0),Tasks[[#This Row],[Finish]],Tasks[[#This Row],[Baseline Finish]]))</f>
        <v/>
      </c>
      <c r="BO140" s="21" t="str">
        <f aca="false">IF(Tasks[[#This Row],[Task Name]]="","",IF(OR(TakeBaseline="Yes",N(Tasks[[#This Row],[Baseline Duration]])=0),Tasks[[#This Row],[_SpanDays]],Tasks[[#This Row],[Baseline Duration]]))</f>
        <v/>
      </c>
      <c r="BP140" s="86" t="str">
        <f aca="false">IF(Tasks[[#This Row],[Task Name]]="","",IF(OR(TakeBaseline="Yes",N(Tasks[[#This Row],[Baseline Work]])=0),Tasks[[#This Row],[Work]],Tasks[[#This Row],[Baseline Work]]))</f>
        <v/>
      </c>
      <c r="BQ140" s="7"/>
      <c r="BR140" s="7"/>
      <c r="BS140" s="22"/>
      <c r="BT140" s="88"/>
      <c r="BU140" s="23"/>
      <c r="BV140" s="23"/>
      <c r="BW140" s="23"/>
      <c r="BX140" s="89" t="str">
        <f aca="false">IF(AND(Tasks[[#This Row],[_IsLeaf]]=1,ISNUMBER(Tasks[[#This Row],[Optimistic]]),ISNUMBER(Tasks[[#This Row],[Pessimistic]])),ROUND((Tasks[[#This Row],[Optimistic]]+4*N(Tasks[[#This Row],[_Days]])+Tasks[[#This Row],[Pessimistic]])/6,1),"")</f>
        <v/>
      </c>
      <c r="BY140" s="87"/>
      <c r="BZ140" s="87"/>
      <c r="CA140" s="22"/>
      <c r="CB140" s="43" t="str">
        <f aca="false">IF(Tasks[[#This Row],[Task Name]]="","",MAX(1,N(Tasks[[#This Row],[Level]])))</f>
        <v/>
      </c>
      <c r="CC140" s="43" t="n">
        <f aca="false">ROW()-ROW(Tasks[[#Headers],[ID]])</f>
        <v>135</v>
      </c>
      <c r="CD140" s="43" t="n">
        <f aca="false">IF(OR(Tasks[[#This Row],[Task Name]]="",Tasks[[#This Row],[_Level]]&lt;=1),0,IFERROR(LOOKUP(2,1/(Tasks[[#Headers],[_Level]]:Tasks[[#This Row],[_Level]]=Tasks[[#This Row],[_Level]]-1),ROW(Tasks[[#Headers],[_Level]]:Tasks[[#This Row],[_Level]])),0))</f>
        <v>0</v>
      </c>
      <c r="CE140" s="43" t="n">
        <f aca="false">IFERROR(N(INDEX(Tasks[_Level],Tasks[[#This Row],[_Row]]+1)),0)</f>
        <v>0</v>
      </c>
      <c r="CF140" s="90" t="b">
        <f aca="false">AND(Tasks[[#This Row],[Task Name]]&lt;&gt;"",Tasks[[#This Row],[_NextLevel]]&gt;Tasks[[#This Row],[_Level]])</f>
        <v>0</v>
      </c>
      <c r="CG140" s="43" t="n">
        <f aca="false">IF(Tasks[[#This Row],[_IsSummary]],COUNTIF(Tasks[WBS],Tasks[[#This Row],[WBS]]&amp;".*"),0)</f>
        <v>0</v>
      </c>
      <c r="CH140" s="43" t="n">
        <f aca="false">IF(AND(Tasks[[#This Row],[Task Name]]&lt;&gt;"",NOT(Tasks[[#This Row],[_IsSummary]])),1,0)</f>
        <v>0</v>
      </c>
      <c r="CI140" s="43" t="n">
        <f aca="false">IF(N(Tasks[[#This Row],[_Pred1UID]])=0,0,IFERROR(MATCH(Tasks[[#This Row],[_Pred1UID]],Tasks[UID],0),-1))</f>
        <v>0</v>
      </c>
      <c r="CJ140" s="43" t="n">
        <f aca="false">IF(N(Tasks[[#This Row],[_Pred2UID]])=0,0,IFERROR(MATCH(Tasks[[#This Row],[_Pred2UID]],Tasks[UID],0),-1))</f>
        <v>0</v>
      </c>
      <c r="CK140" s="43" t="n">
        <f aca="false">IF(N(Tasks[[#This Row],[_Pred3UID]])=0,0,IFERROR(MATCH(Tasks[[#This Row],[_Pred3UID]],Tasks[UID],0),-1))</f>
        <v>0</v>
      </c>
      <c r="CL140" s="43" t="n">
        <f aca="false">IF(N(Tasks[[#This Row],[_Pred4UID]])=0,0,IFERROR(MATCH(Tasks[[#This Row],[_Pred4UID]],Tasks[UID],0),-1))</f>
        <v>0</v>
      </c>
      <c r="CM1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0" s="91" t="n">
        <f aca="false">IF(OR(Tasks[[#This Row],[_ConstraintCode]]=2,Tasks[[#This Row],[_ConstraintCode]]=3,Tasks[[#This Row],[_ConstraintCode]]=4,Tasks[[#This Row],[_ConstraintCode]]=6),Tasks[[#This Row],[_ConstraintStart]],0)</f>
        <v>0</v>
      </c>
      <c r="CP140" s="91" t="n">
        <f aca="false">IF(OR(Tasks[[#This Row],[_ConstraintCode]]=2,Tasks[[#This Row],[_ConstraintCode]]=3,Tasks[[#This Row],[_ConstraintCode]]=5,Tasks[[#This Row],[_ConstraintCode]]=7),Tasks[[#This Row],[_ConstraintStart]],2958465)</f>
        <v>2958465</v>
      </c>
      <c r="CQ1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0" s="91" t="str">
        <f aca="false">IF(NOT(Tasks[[#This Row],[_IsLeaf]]=1),"",IF(N(Tasks[[#This Row],[_Days]])&lt;=0,Tasks[[#This Row],[_LeafCalcStart]],WORKDAY.INTL(Tasks[[#This Row],[_LeafCalcStart]],Tasks[[#This Row],[_Days]]-1,WorkWeek,Holidays)))</f>
        <v/>
      </c>
      <c r="CS1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0" s="43" t="str">
        <f aca="false">IF(Tasks[[#This Row],[_Predecessors]]="","",TRIM(MID(SUBSTITUTE(SUBSTITUTE(SUBSTITUTE(UPPER(Tasks[[#This Row],[_Predecessors]]),";",",")," ",""),",",REPT(" ",99)),1,99)))</f>
        <v/>
      </c>
      <c r="CV140" s="43" t="str">
        <f aca="false">IF(Tasks[[#This Row],[_Pred1Text]]="","",IFERROR(VALUE(LEFT(Tasks[[#This Row],[_Pred1Text]],MIN(FIND("F",Tasks[[#This Row],[_Pred1Text]]&amp;"F"),FIND("S",Tasks[[#This Row],[_Pred1Text]]&amp;"S"),FIND("+",Tasks[[#This Row],[_Pred1Text]]&amp;"+"),FIND("-",Tasks[[#This Row],[_Pred1Text]]&amp;"-"))-1)),""))</f>
        <v/>
      </c>
      <c r="CW1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0" s="43" t="str">
        <f aca="false">IF(Tasks[[#This Row],[_Pred1Text]]="","",TRIM(MID(SUBSTITUTE(SUBSTITUTE(SUBSTITUTE(UPPER(Tasks[[#This Row],[_Predecessors]]),";",",")," ",""),",",REPT(" ",99)),100,99)))</f>
        <v/>
      </c>
      <c r="CZ140" s="43" t="str">
        <f aca="false">IF(Tasks[[#This Row],[_Pred2Text]]="","",IFERROR(VALUE(LEFT(Tasks[[#This Row],[_Pred2Text]],MIN(FIND("F",Tasks[[#This Row],[_Pred2Text]]&amp;"F"),FIND("S",Tasks[[#This Row],[_Pred2Text]]&amp;"S"),FIND("+",Tasks[[#This Row],[_Pred2Text]]&amp;"+"),FIND("-",Tasks[[#This Row],[_Pred2Text]]&amp;"-"))-1)),""))</f>
        <v/>
      </c>
      <c r="DA1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0" s="43" t="str">
        <f aca="false">IF(Tasks[[#This Row],[_Pred2Text]]="","",TRIM(MID(SUBSTITUTE(SUBSTITUTE(SUBSTITUTE(UPPER(Tasks[[#This Row],[_Predecessors]]),";",",")," ",""),",",REPT(" ",99)),199,99)))</f>
        <v/>
      </c>
      <c r="DD140" s="43" t="str">
        <f aca="false">IF(Tasks[[#This Row],[_Pred3Text]]="","",IFERROR(VALUE(LEFT(Tasks[[#This Row],[_Pred3Text]],MIN(FIND("F",Tasks[[#This Row],[_Pred3Text]]&amp;"F"),FIND("S",Tasks[[#This Row],[_Pred3Text]]&amp;"S"),FIND("+",Tasks[[#This Row],[_Pred3Text]]&amp;"+"),FIND("-",Tasks[[#This Row],[_Pred3Text]]&amp;"-"))-1)),""))</f>
        <v/>
      </c>
      <c r="DE1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0" s="43" t="str">
        <f aca="false">IF(Tasks[[#This Row],[_Pred3Text]]="","",TRIM(MID(SUBSTITUTE(SUBSTITUTE(SUBSTITUTE(UPPER(Tasks[[#This Row],[_Predecessors]]),";",",")," ",""),",",REPT(" ",99)),298,99)))</f>
        <v/>
      </c>
      <c r="DH140" s="43" t="str">
        <f aca="false">IF(Tasks[[#This Row],[_Pred4Text]]="","",IFERROR(VALUE(LEFT(Tasks[[#This Row],[_Pred4Text]],MIN(FIND("F",Tasks[[#This Row],[_Pred4Text]]&amp;"F"),FIND("S",Tasks[[#This Row],[_Pred4Text]]&amp;"S"),FIND("+",Tasks[[#This Row],[_Pred4Text]]&amp;"+"),FIND("-",Tasks[[#This Row],[_Pred4Text]]&amp;"-"))-1)),""))</f>
        <v/>
      </c>
      <c r="DI1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0" s="43" t="str">
        <f aca="false">IF(OR(Tasks[[#This Row],[Task Name]]="",Tasks[[#This Row],[_Resources]]=""),"",TRIM(MID(SUBSTITUTE(Tasks[[#This Row],[_Resources]],",",REPT(" ",99)),1,99)))</f>
        <v/>
      </c>
      <c r="DL140" s="43" t="str">
        <f aca="false">IF(Tasks[[#This Row],[_Res1Text]]="","",TRIM(MID(SUBSTITUTE(Tasks[[#This Row],[_Resources]],",",REPT(" ",99)),100,99)))</f>
        <v/>
      </c>
      <c r="DM140" s="43" t="str">
        <f aca="false">IF(Tasks[[#This Row],[_Res2Text]]="","",TRIM(MID(SUBSTITUTE(Tasks[[#This Row],[_Resources]],",",REPT(" ",99)),199,99)))</f>
        <v/>
      </c>
      <c r="DN140" s="43" t="str">
        <f aca="false">IF(Tasks[[#This Row],[_Res3Text]]="","",TRIM(MID(SUBSTITUTE(Tasks[[#This Row],[_Resources]],",",REPT(" ",99)),298,99)))</f>
        <v/>
      </c>
      <c r="DO140" s="43" t="n">
        <f aca="false">IF(Tasks[[#This Row],[_Res1Text]]="",0,IFERROR(MATCH(TRIM(LEFT(Tasks[[#This Row],[_Res1Text]],FIND("[",Tasks[[#This Row],[_Res1Text]]&amp;"[")-1)),res_Name,0),IFERROR(MATCH(TRIM(LEFT(Tasks[[#This Row],[_Res1Text]],FIND("[",Tasks[[#This Row],[_Res1Text]]&amp;"[")-1)),res_Initials,0),0)))</f>
        <v>0</v>
      </c>
      <c r="DP140" s="43" t="n">
        <f aca="false">IF(Tasks[[#This Row],[_Res2Text]]="",0,IFERROR(MATCH(TRIM(LEFT(Tasks[[#This Row],[_Res2Text]],FIND("[",Tasks[[#This Row],[_Res2Text]]&amp;"[")-1)),res_Name,0),IFERROR(MATCH(TRIM(LEFT(Tasks[[#This Row],[_Res2Text]],FIND("[",Tasks[[#This Row],[_Res2Text]]&amp;"[")-1)),res_Initials,0),0)))</f>
        <v>0</v>
      </c>
      <c r="DQ140" s="43" t="n">
        <f aca="false">IF(Tasks[[#This Row],[_Res3Text]]="",0,IFERROR(MATCH(TRIM(LEFT(Tasks[[#This Row],[_Res3Text]],FIND("[",Tasks[[#This Row],[_Res3Text]]&amp;"[")-1)),res_Name,0),IFERROR(MATCH(TRIM(LEFT(Tasks[[#This Row],[_Res3Text]],FIND("[",Tasks[[#This Row],[_Res3Text]]&amp;"[")-1)),res_Initials,0),0)))</f>
        <v>0</v>
      </c>
      <c r="DR140" s="43" t="n">
        <f aca="false">IF(Tasks[[#This Row],[_Res4Text]]="",0,IFERROR(MATCH(TRIM(LEFT(Tasks[[#This Row],[_Res4Text]],FIND("[",Tasks[[#This Row],[_Res4Text]]&amp;"[")-1)),res_Name,0),IFERROR(MATCH(TRIM(LEFT(Tasks[[#This Row],[_Res4Text]],FIND("[",Tasks[[#This Row],[_Res4Text]]&amp;"[")-1)),res_Initials,0),0)))</f>
        <v>0</v>
      </c>
      <c r="DS140" s="43" t="str">
        <f aca="false">IF(Tasks[[#This Row],[_Res1Text]]="","",IF(Tasks[[#This Row],[_Res1Row]]&gt;0,INDEX(res_Name,Tasks[[#This Row],[_Res1Row]]),TRIM(LEFT(Tasks[[#This Row],[_Res1Text]],FIND("[",Tasks[[#This Row],[_Res1Text]]&amp;"[")-1))))</f>
        <v/>
      </c>
      <c r="DT1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0" s="43" t="n">
        <f aca="false">IF(NOT(Tasks[[#This Row],[_IsLeaf]]=1),0,(Tasks[[#This Row],[_Resource1]]&lt;&gt;"")+(Tasks[[#This Row],[_Res2]]&lt;&gt;"")+(Tasks[[#This Row],[_Res3]]&lt;&gt;"")+(Tasks[[#This Row],[_Res4]]&lt;&gt;""))</f>
        <v>0</v>
      </c>
      <c r="DV140" s="43" t="str">
        <f aca="false">IF(Tasks[[#This Row],[_Res2Text]]="","",IF(Tasks[[#This Row],[_Res2Row]]&gt;0,INDEX(res_Name,Tasks[[#This Row],[_Res2Row]]),TRIM(LEFT(Tasks[[#This Row],[_Res2Text]],FIND("[",Tasks[[#This Row],[_Res2Text]]&amp;"[")-1))))</f>
        <v/>
      </c>
      <c r="DW1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0" s="43" t="n">
        <f aca="false">IF(OR(NOT(Tasks[[#This Row],[_IsLeaf]]=1),Tasks[[#This Row],[_Res2Row]]=0),0,N(Tasks[[#This Row],[_Days]])*HoursPerDay*IF(Tasks[[#This Row],[_Res2Units]]="",DefaultUnits,Tasks[[#This Row],[_Res2Units]]))</f>
        <v>0</v>
      </c>
      <c r="DY140" s="43" t="n">
        <f aca="false">IF(AND(AND(Tasks[[#This Row],[_IsLeaf]]=1,Tasks[[#This Row],[_LeafTotalWork]]&gt;0),Tasks[[#This Row],[_Res2Work]]&gt;0),Tasks[[#This Row],[_Res2Work]]/(Tasks[[#This Row],[_FinishWorkday]]-Tasks[[#This Row],[_StartWorkday]]+1),0)</f>
        <v>0</v>
      </c>
      <c r="DZ140" s="43" t="n">
        <f aca="false">Tasks[[#This Row],[_Res2WorkPerWD]]*MAX(0,Tasks[[#This Row],[_StartWorkday]]-1)</f>
        <v>0</v>
      </c>
      <c r="EA140" s="43" t="n">
        <f aca="false">Tasks[[#This Row],[_Res2Work]]*Tasks[[#This Row],[_LeafProgress]]</f>
        <v>0</v>
      </c>
      <c r="EB140" s="43" t="str">
        <f aca="false">IF(Tasks[[#This Row],[_Res3Text]]="","",IF(Tasks[[#This Row],[_Res3Row]]&gt;0,INDEX(res_Name,Tasks[[#This Row],[_Res3Row]]),TRIM(LEFT(Tasks[[#This Row],[_Res3Text]],FIND("[",Tasks[[#This Row],[_Res3Text]]&amp;"[")-1))))</f>
        <v/>
      </c>
      <c r="EC1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0" s="43" t="n">
        <f aca="false">IF(OR(NOT(Tasks[[#This Row],[_IsLeaf]]=1),Tasks[[#This Row],[_Res3Row]]=0),0,N(Tasks[[#This Row],[_Days]])*HoursPerDay*IF(Tasks[[#This Row],[_Res3Units]]="",DefaultUnits,Tasks[[#This Row],[_Res3Units]]))</f>
        <v>0</v>
      </c>
      <c r="EE140" s="43" t="n">
        <f aca="false">IF(AND(AND(Tasks[[#This Row],[_IsLeaf]]=1,Tasks[[#This Row],[_LeafTotalWork]]&gt;0),Tasks[[#This Row],[_Res3Work]]&gt;0),Tasks[[#This Row],[_Res3Work]]/(Tasks[[#This Row],[_FinishWorkday]]-Tasks[[#This Row],[_StartWorkday]]+1),0)</f>
        <v>0</v>
      </c>
      <c r="EF140" s="43" t="n">
        <f aca="false">Tasks[[#This Row],[_Res3WorkPerWD]]*MAX(0,Tasks[[#This Row],[_StartWorkday]]-1)</f>
        <v>0</v>
      </c>
      <c r="EG140" s="43" t="n">
        <f aca="false">Tasks[[#This Row],[_Res3Work]]*Tasks[[#This Row],[_LeafProgress]]</f>
        <v>0</v>
      </c>
      <c r="EH140" s="43" t="str">
        <f aca="false">IF(Tasks[[#This Row],[_Res4Text]]="","",IF(Tasks[[#This Row],[_Res4Row]]&gt;0,INDEX(res_Name,Tasks[[#This Row],[_Res4Row]]),TRIM(LEFT(Tasks[[#This Row],[_Res4Text]],FIND("[",Tasks[[#This Row],[_Res4Text]]&amp;"[")-1))))</f>
        <v/>
      </c>
      <c r="EI1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0" s="43" t="n">
        <f aca="false">IF(OR(NOT(Tasks[[#This Row],[_IsLeaf]]=1),Tasks[[#This Row],[_Res4Row]]=0),0,N(Tasks[[#This Row],[_Days]])*HoursPerDay*IF(Tasks[[#This Row],[_Res4Units]]="",DefaultUnits,Tasks[[#This Row],[_Res4Units]]))</f>
        <v>0</v>
      </c>
      <c r="EK140" s="43" t="n">
        <f aca="false">IF(AND(AND(Tasks[[#This Row],[_IsLeaf]]=1,Tasks[[#This Row],[_LeafTotalWork]]&gt;0),Tasks[[#This Row],[_Res4Work]]&gt;0),Tasks[[#This Row],[_Res4Work]]/(Tasks[[#This Row],[_FinishWorkday]]-Tasks[[#This Row],[_StartWorkday]]+1),0)</f>
        <v>0</v>
      </c>
      <c r="EL140" s="43" t="n">
        <f aca="false">Tasks[[#This Row],[_Res4WorkPerWD]]*MAX(0,Tasks[[#This Row],[_StartWorkday]]-1)</f>
        <v>0</v>
      </c>
      <c r="EM140" s="43" t="n">
        <f aca="false">Tasks[[#This Row],[_Res4Work]]*Tasks[[#This Row],[_LeafProgress]]</f>
        <v>0</v>
      </c>
      <c r="EN140" s="43" t="n">
        <f aca="false">IF(ISNUMBER(Tasks[[#This Row],[% Complete]]),Tasks[[#This Row],[% Complete]],IF(Tasks[[#This Row],[Stage]]="",0,IFERROR(INDEX(stg_Pct,MATCH(Tasks[[#This Row],[Stage]],stg_Name,0)),0)))</f>
        <v>0</v>
      </c>
      <c r="EO140" s="43" t="n">
        <f aca="false">IF(NOT(Tasks[[#This Row],[_IsLeaf]]=1),0,IF(N(Tasks[[#This Row],[Actual Finish]])&gt;0,1,MIN(1,Tasks[[#This Row],[_Pct]])))</f>
        <v>0</v>
      </c>
      <c r="EP140" s="43" t="n">
        <f aca="false">IF(OR(NOT(Tasks[[#This Row],[_IsLeaf]]=1),Tasks[[#This Row],[_Res1Row]]=0),0,N(Tasks[[#This Row],[_Days]])*HoursPerDay*IF(Tasks[[#This Row],[_Units1]]="",DefaultUnits,Tasks[[#This Row],[_Units1]]))</f>
        <v>0</v>
      </c>
      <c r="EQ140" s="43" t="n">
        <f aca="false">Tasks[[#This Row],[_LeafWork]]+Tasks[[#This Row],[_Res2Work]]+Tasks[[#This Row],[_Res3Work]]+Tasks[[#This Row],[_Res4Work]]</f>
        <v>0</v>
      </c>
      <c r="ER14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0" s="43" t="n">
        <f aca="false">IF(NOT(Tasks[[#This Row],[_IsLeaf]]=1),0,MAX(_xlfn.MAXIFS(Tasks[_Row],Tasks[_Pred1UID],Tasks[[#This Row],[UID]]),_xlfn.MAXIFS(Tasks[_Row],Tasks[_Pred2UID],Tasks[[#This Row],[UID]]),_xlfn.MAXIFS(Tasks[_Row],Tasks[_Pred3UID],Tasks[[#This Row],[UID]]),_xlfn.MAXIFS(Tasks[_Row],Tasks[_Pred4UID],Tasks[[#This Row],[UID]])))</f>
        <v>0</v>
      </c>
      <c r="FA1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0" s="91" t="str">
        <f aca="false">IF(NOT(Tasks[[#This Row],[_IsLeaf]]=1),"",IF(N(Tasks[[#This Row],[_Days]])&lt;=0,Tasks[[#This Row],[_LeafLateFinish]],WORKDAY.INTL(Tasks[[#This Row],[_LeafLateFinish]],-(Tasks[[#This Row],[_Days]]-1),WorkWeek,Holidays)))</f>
        <v/>
      </c>
      <c r="FD1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0" s="90" t="b">
        <f aca="false">AND(Tasks[[#This Row],[_IsLeaf]]=1,Tasks[[#This Row],[_LeafProgress]]&lt;1,N(Tasks[[#This Row],[_LeafTotalSlack]])&lt;=CriticalSlackDays)</f>
        <v>0</v>
      </c>
      <c r="FF140" s="43" t="n">
        <f aca="false">IF(AND(Tasks[[#This Row],[_IsLeaf]]=1,Tasks[[#This Row],[_ConstraintCode]]=1,Tasks[[#This Row],[Mode]]&lt;&gt;"Manual",N(Tasks[[#This Row],[Actual Start]])=0),MAX(0,N(Tasks[[#This Row],[Free Slack]])),0)</f>
        <v>0</v>
      </c>
      <c r="FG140" s="91" t="str">
        <f aca="false">IF(NOT(Tasks[[#This Row],[_IsLeaf]]=1),"",IF(Tasks[[#This Row],[_AlapShift]]=0,Tasks[[#This Row],[_LeafCalcStart]],WORKDAY.INTL(Tasks[[#This Row],[_LeafCalcStart]],Tasks[[#This Row],[_AlapShift]],WorkWeek,Holidays)))</f>
        <v/>
      </c>
      <c r="FH140" s="91" t="str">
        <f aca="false">IF(NOT(Tasks[[#This Row],[_IsLeaf]]=1),"",IF(Tasks[[#This Row],[_AlapShift]]=0,Tasks[[#This Row],[_LeafCalcFinish]],WORKDAY.INTL(Tasks[[#This Row],[_LeafCalcFinish]],Tasks[[#This Row],[_AlapShift]],WorkWeek,Holidays)))</f>
        <v/>
      </c>
      <c r="FI140" s="91" t="str">
        <f aca="false">IF(NOT(Tasks[[#This Row],[_IsLeaf]]=1),"",IF(Tasks[[#This Row],[_AlapShift]]=0,Tasks[[#This Row],[_LeafFcstStart]],WORKDAY.INTL(Tasks[[#This Row],[_LeafFcstStart]],Tasks[[#This Row],[_AlapShift]],WorkWeek,Holidays)))</f>
        <v/>
      </c>
      <c r="FJ140" s="91" t="str">
        <f aca="false">IF(NOT(Tasks[[#This Row],[_IsLeaf]]=1),"",IF(Tasks[[#This Row],[_AlapShift]]=0,Tasks[[#This Row],[_LeafFcstFinish]],WORKDAY.INTL(Tasks[[#This Row],[_LeafFcstFinish]],Tasks[[#This Row],[_AlapShift]],WorkWeek,Holidays)))</f>
        <v/>
      </c>
      <c r="FK140" s="91" t="str">
        <f aca="false">IF(Tasks[[#This Row],[Task Name]]="","",IF(Tasks[[#This Row],[_IsSummary]],MIN(INDEX(Tasks[_ShownCalcStart],Tasks[[#This Row],[_Row]]+1):INDEX(Tasks[_ShownCalcStart],Tasks[[#This Row],[_Row]]+Tasks[[#This Row],[_Descendants]])),Tasks[[#This Row],[_ShownCalcStart]]))</f>
        <v/>
      </c>
      <c r="FL140" s="91" t="str">
        <f aca="false">IF(Tasks[[#This Row],[Task Name]]="","",IF(Tasks[[#This Row],[_IsSummary]],MAX(INDEX(Tasks[_ShownCalcFinish],Tasks[[#This Row],[_Row]]+1):INDEX(Tasks[_ShownCalcFinish],Tasks[[#This Row],[_Row]]+Tasks[[#This Row],[_Descendants]])),Tasks[[#This Row],[_ShownCalcFinish]]))</f>
        <v/>
      </c>
      <c r="FM1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0" s="43" t="n">
        <f aca="false">IF(AND(Tasks[[#This Row],[_IsLeaf]]=1,Tasks[[#This Row],[_LeafTotalWork]]&gt;0),NETWORKDAYS.INTL(ProjectStart,Tasks[[#This Row],[_ShownFcstStart]],WorkWeek,Holidays),0)</f>
        <v>0</v>
      </c>
      <c r="FZ140" s="43" t="n">
        <f aca="false">IF(AND(Tasks[[#This Row],[_IsLeaf]]=1,Tasks[[#This Row],[_LeafTotalWork]]&gt;0),MAX(Tasks[[#This Row],[_StartWorkday]],NETWORKDAYS.INTL(ProjectStart,Tasks[[#This Row],[_ShownFcstFinish]],WorkWeek,Holidays)),0)</f>
        <v>0</v>
      </c>
      <c r="GA140" s="43" t="n">
        <f aca="false">IF(AND(Tasks[[#This Row],[_IsLeaf]]=1,Tasks[[#This Row],[_LeafTotalWork]]&gt;0),Tasks[[#This Row],[_LeafWork]]/(Tasks[[#This Row],[_FinishWorkday]]-Tasks[[#This Row],[_StartWorkday]]+1),0)</f>
        <v>0</v>
      </c>
      <c r="GB140" s="43" t="n">
        <f aca="false">Tasks[[#This Row],[_WorkPerWorkday]]*(Tasks[[#This Row],[_StartWorkday]]-1)</f>
        <v>-0</v>
      </c>
      <c r="GC140" s="43" t="n">
        <f aca="false">IF(Tasks[[#This Row],[_IsLeaf]]=1,MAX(N(Tasks[[#This Row],[_Days]]),0.1),0)</f>
        <v>0</v>
      </c>
      <c r="GD140" s="43" t="n">
        <f aca="false">Tasks[[#This Row],[_WeightDur]]*Tasks[[#This Row],[_LeafProgress]]</f>
        <v>0</v>
      </c>
      <c r="GE140" s="43" t="n">
        <f aca="false">Tasks[[#This Row],[_WeightDur]]*Tasks[[#This Row],[_PlannedPct]]</f>
        <v>0</v>
      </c>
      <c r="GF1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0" s="43" t="str">
        <f aca="false">IF(AND(Tasks[[#This Row],[_IsLeaf]]=1,N(Tasks[[#This Row],[_Days]])=0,Tasks[[#This Row],[_LeafProgress]]&lt;1),Tasks[[#This Row],[_ShownFcstFinish]]+Tasks[[#This Row],[_Row]]/100000,"")</f>
        <v/>
      </c>
      <c r="GH1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0" s="43" t="str">
        <f aca="false">IF(Tasks[[#This Row],[Task Name]]="","",LEFT(Tasks[[#This Row],[WBS]],FIND(".",Tasks[[#This Row],[WBS]]&amp;".")-1))</f>
        <v/>
      </c>
      <c r="GJ140" s="43" t="str">
        <f aca="false">IF(AND(Tasks[[#This Row],[Task Name]]&lt;&gt;"",Tasks[[#This Row],[_Level]]=1),Tasks[[#This Row],[_Row]],"")</f>
        <v/>
      </c>
      <c r="GK140" s="43" t="str">
        <f aca="false">IF(AND(Tasks[[#This Row],[_IsLeaf]]=1,N(Tasks[[#This Row],[_Days]])=0),Tasks[[#This Row],[Planned Finish]]+Tasks[[#This Row],[_Row]]/100000,"")</f>
        <v/>
      </c>
      <c r="GL140" s="43" t="str">
        <f aca="false">IF(AND(Tasks[[#This Row],[_IsLeaf]]=1,Tasks[[#This Row],[_LeafProgress]]&lt;1,OR(N(Tasks[[#This Row],[Finish Var]])&gt;0,Tasks[[#This Row],[Status]]="Late Start")),MAX(0,Tasks[[#This Row],[Finish Var]])+1-Tasks[[#This Row],[_Row]]/1000000,"")</f>
        <v/>
      </c>
      <c r="GM140" s="43" t="str">
        <f aca="false">IF(AND(Tasks[[#This Row],[_IsLeaf]]=1,N(Tasks[[#This Row],[Actual Start]])=0,Tasks[[#This Row],[_ShownFcstStart]]&gt;=StatusDate,Tasks[[#This Row],[_ShownFcstStart]]&lt;=LookaheadEnd),Tasks[[#This Row],[_ShownFcstStart]]+Tasks[[#This Row],[_Row]]/100000,"")</f>
        <v/>
      </c>
      <c r="GN140" s="43" t="str">
        <f aca="false">IF(AND(Tasks[[#This Row],[_IsLeaf]]=1,Tasks[[#This Row],[_LeafProgress]]&lt;1,Tasks[[#This Row],[_ShownFcstFinish]]&gt;=StatusDate,Tasks[[#This Row],[_ShownFcstFinish]]&lt;=LookaheadEnd),Tasks[[#This Row],[_ShownFcstFinish]]+Tasks[[#This Row],[_Row]]/100000,"")</f>
        <v/>
      </c>
      <c r="GO140" s="43" t="str">
        <f aca="false">IF(Tasks[[#This Row],[_LeafCritical]],Tasks[[#This Row],[_ShownFcstStart]]+Tasks[[#This Row],[_Row]]/100000,"")</f>
        <v/>
      </c>
      <c r="GP140" s="43" t="n">
        <f aca="false">Tasks[[#This Row],[_LeafWork]]*Tasks[[#This Row],[_LeafProgress]]</f>
        <v>0</v>
      </c>
      <c r="GQ140" s="91" t="str">
        <f aca="false">IF(AND(Tasks[[#This Row],[_IsLeaf]]=1,Tasks[[#This Row],[_LeafProgress]]&gt;=1),IF(N(Tasks[[#This Row],[Actual Finish]])&gt;0,Tasks[[#This Row],[Actual Finish]],Tasks[[#This Row],[_ShownFcstFinish]]),"")</f>
        <v/>
      </c>
      <c r="GR140" s="43" t="n">
        <f aca="false">IF(Tasks[[#This Row],[_IsLeaf]]=1,N(Tasks[[#This Row],[Story Points]]),0)</f>
        <v>0</v>
      </c>
      <c r="GS140" s="43" t="str">
        <f aca="false">""</f>
        <v/>
      </c>
      <c r="GT140" s="90" t="b">
        <f aca="false">IF(Tasks[[#This Row],[Task Name]]="",FALSE(),AND(Tasks[[#This Row],[_IsLeaf]]=1,N(Tasks[[#This Row],[_Days]])=0))</f>
        <v>0</v>
      </c>
      <c r="GU140" s="91" t="n">
        <f aca="false">IF(Tasks[[#This Row],[Task Name]]="",0,IF(AND(Tasks[[#This Row],[_IsLeaf]]=1,NOT(Tasks[[#This Row],[_IsMilestone]]),N(Tasks[[#This Row],[Progress]])&gt;0),Tasks[[#This Row],[Start]],0))</f>
        <v>0</v>
      </c>
      <c r="GV140" s="91" t="n">
        <f aca="false">IF(Tasks[[#This Row],[_DoneFrom]]=0,0,IF(Tasks[[#This Row],[Progress]]&gt;=1,Tasks[[#This Row],[Finish]],MAX(Tasks[[#This Row],[_DoneFrom]],Tasks[[#This Row],[Start]]+ROUND((Tasks[[#This Row],[Finish]]-Tasks[[#This Row],[Start]]+1)*Tasks[[#This Row],[Progress]],0)-1)))</f>
        <v>0</v>
      </c>
      <c r="GW140" s="91" t="n">
        <f aca="false">IF(Tasks[[#This Row],[Task Name]]="",0,IF(OR(NOT(Tasks[[#This Row],[_IsLeaf]]=1),Tasks[[#This Row],[_IsMilestone]],N(Tasks[[#This Row],[Progress]])&gt;=1),0,IF(Tasks[[#This Row],[_DoneTo]]&gt;0,Tasks[[#This Row],[_DoneTo]]+1,Tasks[[#This Row],[Start]])))</f>
        <v>0</v>
      </c>
      <c r="GX140" s="91" t="n">
        <f aca="false">IF(Tasks[[#This Row],[_RemFrom]]=0,0,Tasks[[#This Row],[Finish]])</f>
        <v>0</v>
      </c>
      <c r="GY140" s="90" t="b">
        <f aca="false">IF(Tasks[[#This Row],[Task Name]]="",FALSE(),OR(NOT(BaselineSet),N(Tasks[[#This Row],[Baseline Start]])&gt;0))</f>
        <v>0</v>
      </c>
      <c r="GZ14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0" s="92" t="str">
        <f aca="false">IF(Tasks[[#This Row],[_IsLeaf]]=1,Tasks[[#This Row],[_Row]],"")</f>
        <v/>
      </c>
      <c r="HD140" s="92" t="str">
        <f aca="false">IFERROR(INDEX(Tasks[UID],SMALL(Tasks[_PickKey],Tasks[[#This Row],[_Row]]))&amp;" "&amp;INDEX(Tasks[Task Name],SMALL(Tasks[_PickKey],Tasks[[#This Row],[_Row]])),"")</f>
        <v/>
      </c>
      <c r="HE140" s="43" t="str">
        <f aca="false">IF(Tasks[[#This Row],[Task Name]]="","",IF(Tasks[[#This Row],[_IsSummary]],NETWORKDAYS.INTL(Tasks[[#This Row],[Start]],Tasks[[#This Row],[Finish]],WorkWeek,Holidays),N(Tasks[[#This Row],[_Days]])))</f>
        <v/>
      </c>
      <c r="HF140" s="43" t="n">
        <f aca="false">IF(Tasks[[#This Row],[Expected]]="",0,((Tasks[[#This Row],[Pessimistic]]-Tasks[[#This Row],[Optimistic]])/6)^2)</f>
        <v>0</v>
      </c>
      <c r="HG140" s="43" t="n">
        <f aca="false">IF(Tasks[[#This Row],[Expected]]="",0,Tasks[[#This Row],[Expected]]-N(Tasks[[#This Row],[_Days]]))</f>
        <v>0</v>
      </c>
    </row>
    <row r="141" customFormat="false" ht="15" hidden="false" customHeight="false" outlineLevel="0" collapsed="false">
      <c r="A141" s="21" t="str">
        <f aca="false">IF(Tasks[[#This Row],[Task Name]]="","",COUNTA(Tasks[[#Headers],[Task Name]]:Tasks[[#This Row],[Task Name]])-1)</f>
        <v/>
      </c>
      <c r="B141" s="22" t="n">
        <v>149</v>
      </c>
      <c r="C141" s="22"/>
      <c r="D141" s="23"/>
      <c r="E141" s="22"/>
      <c r="F141" s="23"/>
      <c r="G141" s="22"/>
      <c r="H141" s="22"/>
      <c r="I141" s="23"/>
      <c r="J141" s="22"/>
      <c r="K141" s="22"/>
      <c r="L141" s="23"/>
      <c r="M141" s="22"/>
      <c r="N141" s="22"/>
      <c r="O141" s="23"/>
      <c r="P141" s="22"/>
      <c r="Q141" s="22"/>
      <c r="R141" s="23"/>
      <c r="S141" s="23"/>
      <c r="T141" s="84"/>
      <c r="U141" s="23"/>
      <c r="V141" s="84"/>
      <c r="W141" s="23"/>
      <c r="X141" s="84"/>
      <c r="Y141" s="23"/>
      <c r="Z141" s="84"/>
      <c r="AA141" s="23"/>
      <c r="AB141" s="23"/>
      <c r="AC141" s="7"/>
      <c r="AD141" s="7"/>
      <c r="AE141" s="63" t="str">
        <f aca="false">IF(Tasks[[#This Row],[Task Name]]="","",IF(Tasks[[#This Row],[_IsSummary]],MIN(INDEX(Tasks[_ShownFcstStart],Tasks[[#This Row],[_Row]]+1):INDEX(Tasks[_ShownFcstStart],Tasks[[#This Row],[_Row]]+Tasks[[#This Row],[_Descendants]])),Tasks[[#This Row],[_ShownFcstStart]]))</f>
        <v/>
      </c>
      <c r="AF141" s="63" t="str">
        <f aca="false">IF(Tasks[[#This Row],[Task Name]]="","",IF(Tasks[[#This Row],[_IsSummary]],MAX(INDEX(Tasks[_ShownFcstFinish],Tasks[[#This Row],[_Row]]+1):INDEX(Tasks[_ShownFcstFinish],Tasks[[#This Row],[_Row]]+Tasks[[#This Row],[_Descendants]])),Tasks[[#This Row],[_ShownFcstFinish]]))</f>
        <v/>
      </c>
      <c r="AG141" s="21" t="str">
        <f aca="false">""</f>
        <v/>
      </c>
      <c r="AH141" s="23"/>
      <c r="AI1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1" s="7"/>
      <c r="AK141" s="22"/>
      <c r="AL141" s="23"/>
      <c r="AM141" s="7"/>
      <c r="AN141" s="47" t="str">
        <f aca="false">IF(Tasks[[#This Row],[Task Name]]="","",IF(Tasks[[#This Row],[Finish]]&gt;=Tasks[[#This Row],[Planned Finish]],NETWORKDAYS.INTL(Tasks[[#This Row],[Planned Finish]],Tasks[[#This Row],[Finish]],WorkWeek,Holidays)-1,1-NETWORKDAYS.INTL(Tasks[[#This Row],[Finish]],Tasks[[#This Row],[Planned Finish]],WorkWeek,Holidays)))</f>
        <v/>
      </c>
      <c r="AO141" s="21" t="str">
        <f aca="false">IF(Tasks[[#This Row],[Task Name]]="","",IF(Tasks[[#This Row],[Progress]]&gt;=1,"Complete",IF(OR(N(Tasks[[#This Row],[Actual Start]])&gt;0,Tasks[[#This Row],[Progress]]&gt;0),IF(Tasks[[#This Row],[Finish Var]]&gt;0,"Behind","In Progress"),IF(Tasks[[#This Row],[Planned Start]]&lt;StatusDate,"Late Start","Not Started"))))</f>
        <v/>
      </c>
      <c r="AP141" s="21" t="str">
        <f aca="false">IF(Tasks[[#This Row],[Task Name]]="","",IF(IF(Tasks[[#This Row],[_IsSummary]],COUNTIF(INDEX(Tasks[_LeafCritical],Tasks[[#This Row],[_Row]]+1):INDEX(Tasks[_LeafCritical],Tasks[[#This Row],[_Row]]+Tasks[[#This Row],[_Descendants]]),TRUE())&gt;0,Tasks[[#This Row],[_LeafCritical]]),"Yes",""))</f>
        <v/>
      </c>
      <c r="AQ141" s="63" t="str">
        <f aca="false">IF(Tasks[[#This Row],[Task Name]]="","",IF(N(Tasks[[#This Row],[Baseline Start]])&gt;0,Tasks[[#This Row],[Baseline Start]],Tasks[[#This Row],[_CalcStart]]))</f>
        <v/>
      </c>
      <c r="AR141" s="63" t="str">
        <f aca="false">IF(Tasks[[#This Row],[Task Name]]="","",IF(N(Tasks[[#This Row],[Baseline Finish]])&gt;0,Tasks[[#This Row],[Baseline Finish]],Tasks[[#This Row],[_CalcFinish]]))</f>
        <v/>
      </c>
      <c r="AS141" s="47" t="str">
        <f aca="false">IF(Tasks[[#This Row],[Task Name]]="","",IF(Tasks[[#This Row],[Start]]&gt;=Tasks[[#This Row],[Planned Start]],NETWORKDAYS.INTL(Tasks[[#This Row],[Planned Start]],Tasks[[#This Row],[Start]],WorkWeek,Holidays)-1,1-NETWORKDAYS.INTL(Tasks[[#This Row],[Start]],Tasks[[#This Row],[Planned Start]],WorkWeek,Holidays)))</f>
        <v/>
      </c>
      <c r="AT141" s="63" t="str">
        <f aca="false">IF(Tasks[[#This Row],[Task Name]]="","",IF(Tasks[[#This Row],[_IsSummary]],MIN(INDEX(Tasks[_LeafLateStart],Tasks[[#This Row],[_Row]]+1):INDEX(Tasks[_LeafLateStart],Tasks[[#This Row],[_Row]]+Tasks[[#This Row],[_Descendants]])),Tasks[[#This Row],[_LeafLateStart]]))</f>
        <v/>
      </c>
      <c r="AU141" s="63" t="str">
        <f aca="false">IF(Tasks[[#This Row],[Task Name]]="","",IF(Tasks[[#This Row],[_IsSummary]],MAX(INDEX(Tasks[_LeafLateFinish],Tasks[[#This Row],[_Row]]+1):INDEX(Tasks[_LeafLateFinish],Tasks[[#This Row],[_Row]]+Tasks[[#This Row],[_Descendants]])),Tasks[[#This Row],[_LeafLateFinish]]))</f>
        <v/>
      </c>
      <c r="AV141" s="47" t="str">
        <f aca="false">IF(Tasks[[#This Row],[Task Name]]="","",IF(Tasks[[#This Row],[_IsSummary]],MIN(INDEX(Tasks[_LeafTotalSlack],Tasks[[#This Row],[_Row]]+1):INDEX(Tasks[_LeafTotalSlack],Tasks[[#This Row],[_Row]]+Tasks[[#This Row],[_Descendants]])),Tasks[[#This Row],[_LeafTotalSlack]]))</f>
        <v/>
      </c>
      <c r="AW1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5"/>
      <c r="BA14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t="str">
        <f aca="false">IF(Tasks[[#This Row],[Task Name]]="","",IF(Tasks[[#This Row],[_Level]]&lt;=OutlineShowLevel,"Yes","No"))</f>
        <v/>
      </c>
      <c r="BE141" s="86" t="str">
        <f aca="false">IF(Tasks[[#This Row],[Task Name]]="","",IF(Tasks[[#This Row],[_IsSummary]],SUM(INDEX(Tasks[_LeafTotalWork],Tasks[[#This Row],[_Row]]+1):INDEX(Tasks[_LeafTotalWork],Tasks[[#This Row],[_Row]]+Tasks[[#This Row],[_Descendants]])),Tasks[[#This Row],[_LeafTotalWork]]))</f>
        <v/>
      </c>
      <c r="BF141" s="23"/>
      <c r="BG1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t="str">
        <f aca="false">""</f>
        <v/>
      </c>
      <c r="BI141" s="87"/>
      <c r="BJ141" s="22"/>
      <c r="BK141" s="47" t="str">
        <f aca="false">IF(OR(Tasks[[#This Row],[Task Name]]="",Tasks[[#This Row],[Baseline Duration]]=""),"",Tasks[[#This Row],[_SpanDays]]-N(Tasks[[#This Row],[Baseline Duration]]))</f>
        <v/>
      </c>
      <c r="BL141" s="86" t="str">
        <f aca="false">IF(OR(Tasks[[#This Row],[Task Name]]="",Tasks[[#This Row],[Baseline Work]]=""),"",Tasks[[#This Row],[Work]]-N(Tasks[[#This Row],[Baseline Work]]))</f>
        <v/>
      </c>
      <c r="BM141" s="63" t="str">
        <f aca="false">IF(Tasks[[#This Row],[Task Name]]="","",IF(OR(TakeBaseline="Yes",N(Tasks[[#This Row],[Baseline Start]])=0),Tasks[[#This Row],[Start]],Tasks[[#This Row],[Baseline Start]]))</f>
        <v/>
      </c>
      <c r="BN141" s="63" t="str">
        <f aca="false">IF(Tasks[[#This Row],[Task Name]]="","",IF(OR(TakeBaseline="Yes",N(Tasks[[#This Row],[Baseline Finish]])=0),Tasks[[#This Row],[Finish]],Tasks[[#This Row],[Baseline Finish]]))</f>
        <v/>
      </c>
      <c r="BO141" s="21" t="str">
        <f aca="false">IF(Tasks[[#This Row],[Task Name]]="","",IF(OR(TakeBaseline="Yes",N(Tasks[[#This Row],[Baseline Duration]])=0),Tasks[[#This Row],[_SpanDays]],Tasks[[#This Row],[Baseline Duration]]))</f>
        <v/>
      </c>
      <c r="BP141" s="86" t="str">
        <f aca="false">IF(Tasks[[#This Row],[Task Name]]="","",IF(OR(TakeBaseline="Yes",N(Tasks[[#This Row],[Baseline Work]])=0),Tasks[[#This Row],[Work]],Tasks[[#This Row],[Baseline Work]]))</f>
        <v/>
      </c>
      <c r="BQ141" s="7"/>
      <c r="BR141" s="7"/>
      <c r="BS141" s="22"/>
      <c r="BT141" s="88"/>
      <c r="BU141" s="23"/>
      <c r="BV141" s="23"/>
      <c r="BW141" s="23"/>
      <c r="BX141" s="89" t="str">
        <f aca="false">IF(AND(Tasks[[#This Row],[_IsLeaf]]=1,ISNUMBER(Tasks[[#This Row],[Optimistic]]),ISNUMBER(Tasks[[#This Row],[Pessimistic]])),ROUND((Tasks[[#This Row],[Optimistic]]+4*N(Tasks[[#This Row],[_Days]])+Tasks[[#This Row],[Pessimistic]])/6,1),"")</f>
        <v/>
      </c>
      <c r="BY141" s="87"/>
      <c r="BZ141" s="87"/>
      <c r="CA141" s="22"/>
      <c r="CB141" s="43" t="str">
        <f aca="false">IF(Tasks[[#This Row],[Task Name]]="","",MAX(1,N(Tasks[[#This Row],[Level]])))</f>
        <v/>
      </c>
      <c r="CC141" s="43" t="n">
        <f aca="false">ROW()-ROW(Tasks[[#Headers],[ID]])</f>
        <v>136</v>
      </c>
      <c r="CD141" s="43" t="n">
        <f aca="false">IF(OR(Tasks[[#This Row],[Task Name]]="",Tasks[[#This Row],[_Level]]&lt;=1),0,IFERROR(LOOKUP(2,1/(Tasks[[#Headers],[_Level]]:Tasks[[#This Row],[_Level]]=Tasks[[#This Row],[_Level]]-1),ROW(Tasks[[#Headers],[_Level]]:Tasks[[#This Row],[_Level]])),0))</f>
        <v>0</v>
      </c>
      <c r="CE141" s="43" t="n">
        <f aca="false">IFERROR(N(INDEX(Tasks[_Level],Tasks[[#This Row],[_Row]]+1)),0)</f>
        <v>0</v>
      </c>
      <c r="CF141" s="90" t="b">
        <f aca="false">AND(Tasks[[#This Row],[Task Name]]&lt;&gt;"",Tasks[[#This Row],[_NextLevel]]&gt;Tasks[[#This Row],[_Level]])</f>
        <v>0</v>
      </c>
      <c r="CG141" s="43" t="n">
        <f aca="false">IF(Tasks[[#This Row],[_IsSummary]],COUNTIF(Tasks[WBS],Tasks[[#This Row],[WBS]]&amp;".*"),0)</f>
        <v>0</v>
      </c>
      <c r="CH141" s="43" t="n">
        <f aca="false">IF(AND(Tasks[[#This Row],[Task Name]]&lt;&gt;"",NOT(Tasks[[#This Row],[_IsSummary]])),1,0)</f>
        <v>0</v>
      </c>
      <c r="CI141" s="43" t="n">
        <f aca="false">IF(N(Tasks[[#This Row],[_Pred1UID]])=0,0,IFERROR(MATCH(Tasks[[#This Row],[_Pred1UID]],Tasks[UID],0),-1))</f>
        <v>0</v>
      </c>
      <c r="CJ141" s="43" t="n">
        <f aca="false">IF(N(Tasks[[#This Row],[_Pred2UID]])=0,0,IFERROR(MATCH(Tasks[[#This Row],[_Pred2UID]],Tasks[UID],0),-1))</f>
        <v>0</v>
      </c>
      <c r="CK141" s="43" t="n">
        <f aca="false">IF(N(Tasks[[#This Row],[_Pred3UID]])=0,0,IFERROR(MATCH(Tasks[[#This Row],[_Pred3UID]],Tasks[UID],0),-1))</f>
        <v>0</v>
      </c>
      <c r="CL141" s="43" t="n">
        <f aca="false">IF(N(Tasks[[#This Row],[_Pred4UID]])=0,0,IFERROR(MATCH(Tasks[[#This Row],[_Pred4UID]],Tasks[UID],0),-1))</f>
        <v>0</v>
      </c>
      <c r="CM1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1" s="91" t="n">
        <f aca="false">IF(OR(Tasks[[#This Row],[_ConstraintCode]]=2,Tasks[[#This Row],[_ConstraintCode]]=3,Tasks[[#This Row],[_ConstraintCode]]=4,Tasks[[#This Row],[_ConstraintCode]]=6),Tasks[[#This Row],[_ConstraintStart]],0)</f>
        <v>0</v>
      </c>
      <c r="CP141" s="91" t="n">
        <f aca="false">IF(OR(Tasks[[#This Row],[_ConstraintCode]]=2,Tasks[[#This Row],[_ConstraintCode]]=3,Tasks[[#This Row],[_ConstraintCode]]=5,Tasks[[#This Row],[_ConstraintCode]]=7),Tasks[[#This Row],[_ConstraintStart]],2958465)</f>
        <v>2958465</v>
      </c>
      <c r="CQ1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1" s="91" t="str">
        <f aca="false">IF(NOT(Tasks[[#This Row],[_IsLeaf]]=1),"",IF(N(Tasks[[#This Row],[_Days]])&lt;=0,Tasks[[#This Row],[_LeafCalcStart]],WORKDAY.INTL(Tasks[[#This Row],[_LeafCalcStart]],Tasks[[#This Row],[_Days]]-1,WorkWeek,Holidays)))</f>
        <v/>
      </c>
      <c r="CS1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1" s="43" t="str">
        <f aca="false">IF(Tasks[[#This Row],[_Predecessors]]="","",TRIM(MID(SUBSTITUTE(SUBSTITUTE(SUBSTITUTE(UPPER(Tasks[[#This Row],[_Predecessors]]),";",",")," ",""),",",REPT(" ",99)),1,99)))</f>
        <v/>
      </c>
      <c r="CV141" s="43" t="str">
        <f aca="false">IF(Tasks[[#This Row],[_Pred1Text]]="","",IFERROR(VALUE(LEFT(Tasks[[#This Row],[_Pred1Text]],MIN(FIND("F",Tasks[[#This Row],[_Pred1Text]]&amp;"F"),FIND("S",Tasks[[#This Row],[_Pred1Text]]&amp;"S"),FIND("+",Tasks[[#This Row],[_Pred1Text]]&amp;"+"),FIND("-",Tasks[[#This Row],[_Pred1Text]]&amp;"-"))-1)),""))</f>
        <v/>
      </c>
      <c r="CW1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1" s="43" t="str">
        <f aca="false">IF(Tasks[[#This Row],[_Pred1Text]]="","",TRIM(MID(SUBSTITUTE(SUBSTITUTE(SUBSTITUTE(UPPER(Tasks[[#This Row],[_Predecessors]]),";",",")," ",""),",",REPT(" ",99)),100,99)))</f>
        <v/>
      </c>
      <c r="CZ141" s="43" t="str">
        <f aca="false">IF(Tasks[[#This Row],[_Pred2Text]]="","",IFERROR(VALUE(LEFT(Tasks[[#This Row],[_Pred2Text]],MIN(FIND("F",Tasks[[#This Row],[_Pred2Text]]&amp;"F"),FIND("S",Tasks[[#This Row],[_Pred2Text]]&amp;"S"),FIND("+",Tasks[[#This Row],[_Pred2Text]]&amp;"+"),FIND("-",Tasks[[#This Row],[_Pred2Text]]&amp;"-"))-1)),""))</f>
        <v/>
      </c>
      <c r="DA1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1" s="43" t="str">
        <f aca="false">IF(Tasks[[#This Row],[_Pred2Text]]="","",TRIM(MID(SUBSTITUTE(SUBSTITUTE(SUBSTITUTE(UPPER(Tasks[[#This Row],[_Predecessors]]),";",",")," ",""),",",REPT(" ",99)),199,99)))</f>
        <v/>
      </c>
      <c r="DD141" s="43" t="str">
        <f aca="false">IF(Tasks[[#This Row],[_Pred3Text]]="","",IFERROR(VALUE(LEFT(Tasks[[#This Row],[_Pred3Text]],MIN(FIND("F",Tasks[[#This Row],[_Pred3Text]]&amp;"F"),FIND("S",Tasks[[#This Row],[_Pred3Text]]&amp;"S"),FIND("+",Tasks[[#This Row],[_Pred3Text]]&amp;"+"),FIND("-",Tasks[[#This Row],[_Pred3Text]]&amp;"-"))-1)),""))</f>
        <v/>
      </c>
      <c r="DE1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1" s="43" t="str">
        <f aca="false">IF(Tasks[[#This Row],[_Pred3Text]]="","",TRIM(MID(SUBSTITUTE(SUBSTITUTE(SUBSTITUTE(UPPER(Tasks[[#This Row],[_Predecessors]]),";",",")," ",""),",",REPT(" ",99)),298,99)))</f>
        <v/>
      </c>
      <c r="DH141" s="43" t="str">
        <f aca="false">IF(Tasks[[#This Row],[_Pred4Text]]="","",IFERROR(VALUE(LEFT(Tasks[[#This Row],[_Pred4Text]],MIN(FIND("F",Tasks[[#This Row],[_Pred4Text]]&amp;"F"),FIND("S",Tasks[[#This Row],[_Pred4Text]]&amp;"S"),FIND("+",Tasks[[#This Row],[_Pred4Text]]&amp;"+"),FIND("-",Tasks[[#This Row],[_Pred4Text]]&amp;"-"))-1)),""))</f>
        <v/>
      </c>
      <c r="DI1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1" s="43" t="str">
        <f aca="false">IF(OR(Tasks[[#This Row],[Task Name]]="",Tasks[[#This Row],[_Resources]]=""),"",TRIM(MID(SUBSTITUTE(Tasks[[#This Row],[_Resources]],",",REPT(" ",99)),1,99)))</f>
        <v/>
      </c>
      <c r="DL141" s="43" t="str">
        <f aca="false">IF(Tasks[[#This Row],[_Res1Text]]="","",TRIM(MID(SUBSTITUTE(Tasks[[#This Row],[_Resources]],",",REPT(" ",99)),100,99)))</f>
        <v/>
      </c>
      <c r="DM141" s="43" t="str">
        <f aca="false">IF(Tasks[[#This Row],[_Res2Text]]="","",TRIM(MID(SUBSTITUTE(Tasks[[#This Row],[_Resources]],",",REPT(" ",99)),199,99)))</f>
        <v/>
      </c>
      <c r="DN141" s="43" t="str">
        <f aca="false">IF(Tasks[[#This Row],[_Res3Text]]="","",TRIM(MID(SUBSTITUTE(Tasks[[#This Row],[_Resources]],",",REPT(" ",99)),298,99)))</f>
        <v/>
      </c>
      <c r="DO141" s="43" t="n">
        <f aca="false">IF(Tasks[[#This Row],[_Res1Text]]="",0,IFERROR(MATCH(TRIM(LEFT(Tasks[[#This Row],[_Res1Text]],FIND("[",Tasks[[#This Row],[_Res1Text]]&amp;"[")-1)),res_Name,0),IFERROR(MATCH(TRIM(LEFT(Tasks[[#This Row],[_Res1Text]],FIND("[",Tasks[[#This Row],[_Res1Text]]&amp;"[")-1)),res_Initials,0),0)))</f>
        <v>0</v>
      </c>
      <c r="DP141" s="43" t="n">
        <f aca="false">IF(Tasks[[#This Row],[_Res2Text]]="",0,IFERROR(MATCH(TRIM(LEFT(Tasks[[#This Row],[_Res2Text]],FIND("[",Tasks[[#This Row],[_Res2Text]]&amp;"[")-1)),res_Name,0),IFERROR(MATCH(TRIM(LEFT(Tasks[[#This Row],[_Res2Text]],FIND("[",Tasks[[#This Row],[_Res2Text]]&amp;"[")-1)),res_Initials,0),0)))</f>
        <v>0</v>
      </c>
      <c r="DQ141" s="43" t="n">
        <f aca="false">IF(Tasks[[#This Row],[_Res3Text]]="",0,IFERROR(MATCH(TRIM(LEFT(Tasks[[#This Row],[_Res3Text]],FIND("[",Tasks[[#This Row],[_Res3Text]]&amp;"[")-1)),res_Name,0),IFERROR(MATCH(TRIM(LEFT(Tasks[[#This Row],[_Res3Text]],FIND("[",Tasks[[#This Row],[_Res3Text]]&amp;"[")-1)),res_Initials,0),0)))</f>
        <v>0</v>
      </c>
      <c r="DR141" s="43" t="n">
        <f aca="false">IF(Tasks[[#This Row],[_Res4Text]]="",0,IFERROR(MATCH(TRIM(LEFT(Tasks[[#This Row],[_Res4Text]],FIND("[",Tasks[[#This Row],[_Res4Text]]&amp;"[")-1)),res_Name,0),IFERROR(MATCH(TRIM(LEFT(Tasks[[#This Row],[_Res4Text]],FIND("[",Tasks[[#This Row],[_Res4Text]]&amp;"[")-1)),res_Initials,0),0)))</f>
        <v>0</v>
      </c>
      <c r="DS141" s="43" t="str">
        <f aca="false">IF(Tasks[[#This Row],[_Res1Text]]="","",IF(Tasks[[#This Row],[_Res1Row]]&gt;0,INDEX(res_Name,Tasks[[#This Row],[_Res1Row]]),TRIM(LEFT(Tasks[[#This Row],[_Res1Text]],FIND("[",Tasks[[#This Row],[_Res1Text]]&amp;"[")-1))))</f>
        <v/>
      </c>
      <c r="DT1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1" s="43" t="n">
        <f aca="false">IF(NOT(Tasks[[#This Row],[_IsLeaf]]=1),0,(Tasks[[#This Row],[_Resource1]]&lt;&gt;"")+(Tasks[[#This Row],[_Res2]]&lt;&gt;"")+(Tasks[[#This Row],[_Res3]]&lt;&gt;"")+(Tasks[[#This Row],[_Res4]]&lt;&gt;""))</f>
        <v>0</v>
      </c>
      <c r="DV141" s="43" t="str">
        <f aca="false">IF(Tasks[[#This Row],[_Res2Text]]="","",IF(Tasks[[#This Row],[_Res2Row]]&gt;0,INDEX(res_Name,Tasks[[#This Row],[_Res2Row]]),TRIM(LEFT(Tasks[[#This Row],[_Res2Text]],FIND("[",Tasks[[#This Row],[_Res2Text]]&amp;"[")-1))))</f>
        <v/>
      </c>
      <c r="DW1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1" s="43" t="n">
        <f aca="false">IF(OR(NOT(Tasks[[#This Row],[_IsLeaf]]=1),Tasks[[#This Row],[_Res2Row]]=0),0,N(Tasks[[#This Row],[_Days]])*HoursPerDay*IF(Tasks[[#This Row],[_Res2Units]]="",DefaultUnits,Tasks[[#This Row],[_Res2Units]]))</f>
        <v>0</v>
      </c>
      <c r="DY141" s="43" t="n">
        <f aca="false">IF(AND(AND(Tasks[[#This Row],[_IsLeaf]]=1,Tasks[[#This Row],[_LeafTotalWork]]&gt;0),Tasks[[#This Row],[_Res2Work]]&gt;0),Tasks[[#This Row],[_Res2Work]]/(Tasks[[#This Row],[_FinishWorkday]]-Tasks[[#This Row],[_StartWorkday]]+1),0)</f>
        <v>0</v>
      </c>
      <c r="DZ141" s="43" t="n">
        <f aca="false">Tasks[[#This Row],[_Res2WorkPerWD]]*MAX(0,Tasks[[#This Row],[_StartWorkday]]-1)</f>
        <v>0</v>
      </c>
      <c r="EA141" s="43" t="n">
        <f aca="false">Tasks[[#This Row],[_Res2Work]]*Tasks[[#This Row],[_LeafProgress]]</f>
        <v>0</v>
      </c>
      <c r="EB141" s="43" t="str">
        <f aca="false">IF(Tasks[[#This Row],[_Res3Text]]="","",IF(Tasks[[#This Row],[_Res3Row]]&gt;0,INDEX(res_Name,Tasks[[#This Row],[_Res3Row]]),TRIM(LEFT(Tasks[[#This Row],[_Res3Text]],FIND("[",Tasks[[#This Row],[_Res3Text]]&amp;"[")-1))))</f>
        <v/>
      </c>
      <c r="EC1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1" s="43" t="n">
        <f aca="false">IF(OR(NOT(Tasks[[#This Row],[_IsLeaf]]=1),Tasks[[#This Row],[_Res3Row]]=0),0,N(Tasks[[#This Row],[_Days]])*HoursPerDay*IF(Tasks[[#This Row],[_Res3Units]]="",DefaultUnits,Tasks[[#This Row],[_Res3Units]]))</f>
        <v>0</v>
      </c>
      <c r="EE141" s="43" t="n">
        <f aca="false">IF(AND(AND(Tasks[[#This Row],[_IsLeaf]]=1,Tasks[[#This Row],[_LeafTotalWork]]&gt;0),Tasks[[#This Row],[_Res3Work]]&gt;0),Tasks[[#This Row],[_Res3Work]]/(Tasks[[#This Row],[_FinishWorkday]]-Tasks[[#This Row],[_StartWorkday]]+1),0)</f>
        <v>0</v>
      </c>
      <c r="EF141" s="43" t="n">
        <f aca="false">Tasks[[#This Row],[_Res3WorkPerWD]]*MAX(0,Tasks[[#This Row],[_StartWorkday]]-1)</f>
        <v>0</v>
      </c>
      <c r="EG141" s="43" t="n">
        <f aca="false">Tasks[[#This Row],[_Res3Work]]*Tasks[[#This Row],[_LeafProgress]]</f>
        <v>0</v>
      </c>
      <c r="EH141" s="43" t="str">
        <f aca="false">IF(Tasks[[#This Row],[_Res4Text]]="","",IF(Tasks[[#This Row],[_Res4Row]]&gt;0,INDEX(res_Name,Tasks[[#This Row],[_Res4Row]]),TRIM(LEFT(Tasks[[#This Row],[_Res4Text]],FIND("[",Tasks[[#This Row],[_Res4Text]]&amp;"[")-1))))</f>
        <v/>
      </c>
      <c r="EI1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1" s="43" t="n">
        <f aca="false">IF(OR(NOT(Tasks[[#This Row],[_IsLeaf]]=1),Tasks[[#This Row],[_Res4Row]]=0),0,N(Tasks[[#This Row],[_Days]])*HoursPerDay*IF(Tasks[[#This Row],[_Res4Units]]="",DefaultUnits,Tasks[[#This Row],[_Res4Units]]))</f>
        <v>0</v>
      </c>
      <c r="EK141" s="43" t="n">
        <f aca="false">IF(AND(AND(Tasks[[#This Row],[_IsLeaf]]=1,Tasks[[#This Row],[_LeafTotalWork]]&gt;0),Tasks[[#This Row],[_Res4Work]]&gt;0),Tasks[[#This Row],[_Res4Work]]/(Tasks[[#This Row],[_FinishWorkday]]-Tasks[[#This Row],[_StartWorkday]]+1),0)</f>
        <v>0</v>
      </c>
      <c r="EL141" s="43" t="n">
        <f aca="false">Tasks[[#This Row],[_Res4WorkPerWD]]*MAX(0,Tasks[[#This Row],[_StartWorkday]]-1)</f>
        <v>0</v>
      </c>
      <c r="EM141" s="43" t="n">
        <f aca="false">Tasks[[#This Row],[_Res4Work]]*Tasks[[#This Row],[_LeafProgress]]</f>
        <v>0</v>
      </c>
      <c r="EN141" s="43" t="n">
        <f aca="false">IF(ISNUMBER(Tasks[[#This Row],[% Complete]]),Tasks[[#This Row],[% Complete]],IF(Tasks[[#This Row],[Stage]]="",0,IFERROR(INDEX(stg_Pct,MATCH(Tasks[[#This Row],[Stage]],stg_Name,0)),0)))</f>
        <v>0</v>
      </c>
      <c r="EO141" s="43" t="n">
        <f aca="false">IF(NOT(Tasks[[#This Row],[_IsLeaf]]=1),0,IF(N(Tasks[[#This Row],[Actual Finish]])&gt;0,1,MIN(1,Tasks[[#This Row],[_Pct]])))</f>
        <v>0</v>
      </c>
      <c r="EP141" s="43" t="n">
        <f aca="false">IF(OR(NOT(Tasks[[#This Row],[_IsLeaf]]=1),Tasks[[#This Row],[_Res1Row]]=0),0,N(Tasks[[#This Row],[_Days]])*HoursPerDay*IF(Tasks[[#This Row],[_Units1]]="",DefaultUnits,Tasks[[#This Row],[_Units1]]))</f>
        <v>0</v>
      </c>
      <c r="EQ141" s="43" t="n">
        <f aca="false">Tasks[[#This Row],[_LeafWork]]+Tasks[[#This Row],[_Res2Work]]+Tasks[[#This Row],[_Res3Work]]+Tasks[[#This Row],[_Res4Work]]</f>
        <v>0</v>
      </c>
      <c r="ER14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1" s="43" t="n">
        <f aca="false">IF(NOT(Tasks[[#This Row],[_IsLeaf]]=1),0,MAX(_xlfn.MAXIFS(Tasks[_Row],Tasks[_Pred1UID],Tasks[[#This Row],[UID]]),_xlfn.MAXIFS(Tasks[_Row],Tasks[_Pred2UID],Tasks[[#This Row],[UID]]),_xlfn.MAXIFS(Tasks[_Row],Tasks[_Pred3UID],Tasks[[#This Row],[UID]]),_xlfn.MAXIFS(Tasks[_Row],Tasks[_Pred4UID],Tasks[[#This Row],[UID]])))</f>
        <v>0</v>
      </c>
      <c r="FA1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1" s="91" t="str">
        <f aca="false">IF(NOT(Tasks[[#This Row],[_IsLeaf]]=1),"",IF(N(Tasks[[#This Row],[_Days]])&lt;=0,Tasks[[#This Row],[_LeafLateFinish]],WORKDAY.INTL(Tasks[[#This Row],[_LeafLateFinish]],-(Tasks[[#This Row],[_Days]]-1),WorkWeek,Holidays)))</f>
        <v/>
      </c>
      <c r="FD1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1" s="90" t="b">
        <f aca="false">AND(Tasks[[#This Row],[_IsLeaf]]=1,Tasks[[#This Row],[_LeafProgress]]&lt;1,N(Tasks[[#This Row],[_LeafTotalSlack]])&lt;=CriticalSlackDays)</f>
        <v>0</v>
      </c>
      <c r="FF141" s="43" t="n">
        <f aca="false">IF(AND(Tasks[[#This Row],[_IsLeaf]]=1,Tasks[[#This Row],[_ConstraintCode]]=1,Tasks[[#This Row],[Mode]]&lt;&gt;"Manual",N(Tasks[[#This Row],[Actual Start]])=0),MAX(0,N(Tasks[[#This Row],[Free Slack]])),0)</f>
        <v>0</v>
      </c>
      <c r="FG141" s="91" t="str">
        <f aca="false">IF(NOT(Tasks[[#This Row],[_IsLeaf]]=1),"",IF(Tasks[[#This Row],[_AlapShift]]=0,Tasks[[#This Row],[_LeafCalcStart]],WORKDAY.INTL(Tasks[[#This Row],[_LeafCalcStart]],Tasks[[#This Row],[_AlapShift]],WorkWeek,Holidays)))</f>
        <v/>
      </c>
      <c r="FH141" s="91" t="str">
        <f aca="false">IF(NOT(Tasks[[#This Row],[_IsLeaf]]=1),"",IF(Tasks[[#This Row],[_AlapShift]]=0,Tasks[[#This Row],[_LeafCalcFinish]],WORKDAY.INTL(Tasks[[#This Row],[_LeafCalcFinish]],Tasks[[#This Row],[_AlapShift]],WorkWeek,Holidays)))</f>
        <v/>
      </c>
      <c r="FI141" s="91" t="str">
        <f aca="false">IF(NOT(Tasks[[#This Row],[_IsLeaf]]=1),"",IF(Tasks[[#This Row],[_AlapShift]]=0,Tasks[[#This Row],[_LeafFcstStart]],WORKDAY.INTL(Tasks[[#This Row],[_LeafFcstStart]],Tasks[[#This Row],[_AlapShift]],WorkWeek,Holidays)))</f>
        <v/>
      </c>
      <c r="FJ141" s="91" t="str">
        <f aca="false">IF(NOT(Tasks[[#This Row],[_IsLeaf]]=1),"",IF(Tasks[[#This Row],[_AlapShift]]=0,Tasks[[#This Row],[_LeafFcstFinish]],WORKDAY.INTL(Tasks[[#This Row],[_LeafFcstFinish]],Tasks[[#This Row],[_AlapShift]],WorkWeek,Holidays)))</f>
        <v/>
      </c>
      <c r="FK141" s="91" t="str">
        <f aca="false">IF(Tasks[[#This Row],[Task Name]]="","",IF(Tasks[[#This Row],[_IsSummary]],MIN(INDEX(Tasks[_ShownCalcStart],Tasks[[#This Row],[_Row]]+1):INDEX(Tasks[_ShownCalcStart],Tasks[[#This Row],[_Row]]+Tasks[[#This Row],[_Descendants]])),Tasks[[#This Row],[_ShownCalcStart]]))</f>
        <v/>
      </c>
      <c r="FL141" s="91" t="str">
        <f aca="false">IF(Tasks[[#This Row],[Task Name]]="","",IF(Tasks[[#This Row],[_IsSummary]],MAX(INDEX(Tasks[_ShownCalcFinish],Tasks[[#This Row],[_Row]]+1):INDEX(Tasks[_ShownCalcFinish],Tasks[[#This Row],[_Row]]+Tasks[[#This Row],[_Descendants]])),Tasks[[#This Row],[_ShownCalcFinish]]))</f>
        <v/>
      </c>
      <c r="FM1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1" s="43" t="n">
        <f aca="false">IF(AND(Tasks[[#This Row],[_IsLeaf]]=1,Tasks[[#This Row],[_LeafTotalWork]]&gt;0),NETWORKDAYS.INTL(ProjectStart,Tasks[[#This Row],[_ShownFcstStart]],WorkWeek,Holidays),0)</f>
        <v>0</v>
      </c>
      <c r="FZ141" s="43" t="n">
        <f aca="false">IF(AND(Tasks[[#This Row],[_IsLeaf]]=1,Tasks[[#This Row],[_LeafTotalWork]]&gt;0),MAX(Tasks[[#This Row],[_StartWorkday]],NETWORKDAYS.INTL(ProjectStart,Tasks[[#This Row],[_ShownFcstFinish]],WorkWeek,Holidays)),0)</f>
        <v>0</v>
      </c>
      <c r="GA141" s="43" t="n">
        <f aca="false">IF(AND(Tasks[[#This Row],[_IsLeaf]]=1,Tasks[[#This Row],[_LeafTotalWork]]&gt;0),Tasks[[#This Row],[_LeafWork]]/(Tasks[[#This Row],[_FinishWorkday]]-Tasks[[#This Row],[_StartWorkday]]+1),0)</f>
        <v>0</v>
      </c>
      <c r="GB141" s="43" t="n">
        <f aca="false">Tasks[[#This Row],[_WorkPerWorkday]]*(Tasks[[#This Row],[_StartWorkday]]-1)</f>
        <v>-0</v>
      </c>
      <c r="GC141" s="43" t="n">
        <f aca="false">IF(Tasks[[#This Row],[_IsLeaf]]=1,MAX(N(Tasks[[#This Row],[_Days]]),0.1),0)</f>
        <v>0</v>
      </c>
      <c r="GD141" s="43" t="n">
        <f aca="false">Tasks[[#This Row],[_WeightDur]]*Tasks[[#This Row],[_LeafProgress]]</f>
        <v>0</v>
      </c>
      <c r="GE141" s="43" t="n">
        <f aca="false">Tasks[[#This Row],[_WeightDur]]*Tasks[[#This Row],[_PlannedPct]]</f>
        <v>0</v>
      </c>
      <c r="GF1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1" s="43" t="str">
        <f aca="false">IF(AND(Tasks[[#This Row],[_IsLeaf]]=1,N(Tasks[[#This Row],[_Days]])=0,Tasks[[#This Row],[_LeafProgress]]&lt;1),Tasks[[#This Row],[_ShownFcstFinish]]+Tasks[[#This Row],[_Row]]/100000,"")</f>
        <v/>
      </c>
      <c r="GH1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1" s="43" t="str">
        <f aca="false">IF(Tasks[[#This Row],[Task Name]]="","",LEFT(Tasks[[#This Row],[WBS]],FIND(".",Tasks[[#This Row],[WBS]]&amp;".")-1))</f>
        <v/>
      </c>
      <c r="GJ141" s="43" t="str">
        <f aca="false">IF(AND(Tasks[[#This Row],[Task Name]]&lt;&gt;"",Tasks[[#This Row],[_Level]]=1),Tasks[[#This Row],[_Row]],"")</f>
        <v/>
      </c>
      <c r="GK141" s="43" t="str">
        <f aca="false">IF(AND(Tasks[[#This Row],[_IsLeaf]]=1,N(Tasks[[#This Row],[_Days]])=0),Tasks[[#This Row],[Planned Finish]]+Tasks[[#This Row],[_Row]]/100000,"")</f>
        <v/>
      </c>
      <c r="GL141" s="43" t="str">
        <f aca="false">IF(AND(Tasks[[#This Row],[_IsLeaf]]=1,Tasks[[#This Row],[_LeafProgress]]&lt;1,OR(N(Tasks[[#This Row],[Finish Var]])&gt;0,Tasks[[#This Row],[Status]]="Late Start")),MAX(0,Tasks[[#This Row],[Finish Var]])+1-Tasks[[#This Row],[_Row]]/1000000,"")</f>
        <v/>
      </c>
      <c r="GM141" s="43" t="str">
        <f aca="false">IF(AND(Tasks[[#This Row],[_IsLeaf]]=1,N(Tasks[[#This Row],[Actual Start]])=0,Tasks[[#This Row],[_ShownFcstStart]]&gt;=StatusDate,Tasks[[#This Row],[_ShownFcstStart]]&lt;=LookaheadEnd),Tasks[[#This Row],[_ShownFcstStart]]+Tasks[[#This Row],[_Row]]/100000,"")</f>
        <v/>
      </c>
      <c r="GN141" s="43" t="str">
        <f aca="false">IF(AND(Tasks[[#This Row],[_IsLeaf]]=1,Tasks[[#This Row],[_LeafProgress]]&lt;1,Tasks[[#This Row],[_ShownFcstFinish]]&gt;=StatusDate,Tasks[[#This Row],[_ShownFcstFinish]]&lt;=LookaheadEnd),Tasks[[#This Row],[_ShownFcstFinish]]+Tasks[[#This Row],[_Row]]/100000,"")</f>
        <v/>
      </c>
      <c r="GO141" s="43" t="str">
        <f aca="false">IF(Tasks[[#This Row],[_LeafCritical]],Tasks[[#This Row],[_ShownFcstStart]]+Tasks[[#This Row],[_Row]]/100000,"")</f>
        <v/>
      </c>
      <c r="GP141" s="43" t="n">
        <f aca="false">Tasks[[#This Row],[_LeafWork]]*Tasks[[#This Row],[_LeafProgress]]</f>
        <v>0</v>
      </c>
      <c r="GQ141" s="91" t="str">
        <f aca="false">IF(AND(Tasks[[#This Row],[_IsLeaf]]=1,Tasks[[#This Row],[_LeafProgress]]&gt;=1),IF(N(Tasks[[#This Row],[Actual Finish]])&gt;0,Tasks[[#This Row],[Actual Finish]],Tasks[[#This Row],[_ShownFcstFinish]]),"")</f>
        <v/>
      </c>
      <c r="GR141" s="43" t="n">
        <f aca="false">IF(Tasks[[#This Row],[_IsLeaf]]=1,N(Tasks[[#This Row],[Story Points]]),0)</f>
        <v>0</v>
      </c>
      <c r="GS141" s="43" t="str">
        <f aca="false">""</f>
        <v/>
      </c>
      <c r="GT141" s="90" t="b">
        <f aca="false">IF(Tasks[[#This Row],[Task Name]]="",FALSE(),AND(Tasks[[#This Row],[_IsLeaf]]=1,N(Tasks[[#This Row],[_Days]])=0))</f>
        <v>0</v>
      </c>
      <c r="GU141" s="91" t="n">
        <f aca="false">IF(Tasks[[#This Row],[Task Name]]="",0,IF(AND(Tasks[[#This Row],[_IsLeaf]]=1,NOT(Tasks[[#This Row],[_IsMilestone]]),N(Tasks[[#This Row],[Progress]])&gt;0),Tasks[[#This Row],[Start]],0))</f>
        <v>0</v>
      </c>
      <c r="GV141" s="91" t="n">
        <f aca="false">IF(Tasks[[#This Row],[_DoneFrom]]=0,0,IF(Tasks[[#This Row],[Progress]]&gt;=1,Tasks[[#This Row],[Finish]],MAX(Tasks[[#This Row],[_DoneFrom]],Tasks[[#This Row],[Start]]+ROUND((Tasks[[#This Row],[Finish]]-Tasks[[#This Row],[Start]]+1)*Tasks[[#This Row],[Progress]],0)-1)))</f>
        <v>0</v>
      </c>
      <c r="GW141" s="91" t="n">
        <f aca="false">IF(Tasks[[#This Row],[Task Name]]="",0,IF(OR(NOT(Tasks[[#This Row],[_IsLeaf]]=1),Tasks[[#This Row],[_IsMilestone]],N(Tasks[[#This Row],[Progress]])&gt;=1),0,IF(Tasks[[#This Row],[_DoneTo]]&gt;0,Tasks[[#This Row],[_DoneTo]]+1,Tasks[[#This Row],[Start]])))</f>
        <v>0</v>
      </c>
      <c r="GX141" s="91" t="n">
        <f aca="false">IF(Tasks[[#This Row],[_RemFrom]]=0,0,Tasks[[#This Row],[Finish]])</f>
        <v>0</v>
      </c>
      <c r="GY141" s="90" t="b">
        <f aca="false">IF(Tasks[[#This Row],[Task Name]]="",FALSE(),OR(NOT(BaselineSet),N(Tasks[[#This Row],[Baseline Start]])&gt;0))</f>
        <v>0</v>
      </c>
      <c r="GZ14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1" s="92" t="str">
        <f aca="false">IF(Tasks[[#This Row],[_IsLeaf]]=1,Tasks[[#This Row],[_Row]],"")</f>
        <v/>
      </c>
      <c r="HD141" s="92" t="str">
        <f aca="false">IFERROR(INDEX(Tasks[UID],SMALL(Tasks[_PickKey],Tasks[[#This Row],[_Row]]))&amp;" "&amp;INDEX(Tasks[Task Name],SMALL(Tasks[_PickKey],Tasks[[#This Row],[_Row]])),"")</f>
        <v/>
      </c>
      <c r="HE141" s="43" t="str">
        <f aca="false">IF(Tasks[[#This Row],[Task Name]]="","",IF(Tasks[[#This Row],[_IsSummary]],NETWORKDAYS.INTL(Tasks[[#This Row],[Start]],Tasks[[#This Row],[Finish]],WorkWeek,Holidays),N(Tasks[[#This Row],[_Days]])))</f>
        <v/>
      </c>
      <c r="HF141" s="43" t="n">
        <f aca="false">IF(Tasks[[#This Row],[Expected]]="",0,((Tasks[[#This Row],[Pessimistic]]-Tasks[[#This Row],[Optimistic]])/6)^2)</f>
        <v>0</v>
      </c>
      <c r="HG141" s="43" t="n">
        <f aca="false">IF(Tasks[[#This Row],[Expected]]="",0,Tasks[[#This Row],[Expected]]-N(Tasks[[#This Row],[_Days]]))</f>
        <v>0</v>
      </c>
    </row>
    <row r="142" customFormat="false" ht="15" hidden="false" customHeight="false" outlineLevel="0" collapsed="false">
      <c r="A142" s="21" t="str">
        <f aca="false">IF(Tasks[[#This Row],[Task Name]]="","",COUNTA(Tasks[[#Headers],[Task Name]]:Tasks[[#This Row],[Task Name]])-1)</f>
        <v/>
      </c>
      <c r="B142" s="22" t="n">
        <v>150</v>
      </c>
      <c r="C142" s="22"/>
      <c r="D142" s="23"/>
      <c r="E142" s="22"/>
      <c r="F142" s="23"/>
      <c r="G142" s="22"/>
      <c r="H142" s="22"/>
      <c r="I142" s="23"/>
      <c r="J142" s="22"/>
      <c r="K142" s="22"/>
      <c r="L142" s="23"/>
      <c r="M142" s="22"/>
      <c r="N142" s="22"/>
      <c r="O142" s="23"/>
      <c r="P142" s="22"/>
      <c r="Q142" s="22"/>
      <c r="R142" s="23"/>
      <c r="S142" s="23"/>
      <c r="T142" s="84"/>
      <c r="U142" s="23"/>
      <c r="V142" s="84"/>
      <c r="W142" s="23"/>
      <c r="X142" s="84"/>
      <c r="Y142" s="23"/>
      <c r="Z142" s="84"/>
      <c r="AA142" s="23"/>
      <c r="AB142" s="23"/>
      <c r="AC142" s="7"/>
      <c r="AD142" s="7"/>
      <c r="AE142" s="63" t="str">
        <f aca="false">IF(Tasks[[#This Row],[Task Name]]="","",IF(Tasks[[#This Row],[_IsSummary]],MIN(INDEX(Tasks[_ShownFcstStart],Tasks[[#This Row],[_Row]]+1):INDEX(Tasks[_ShownFcstStart],Tasks[[#This Row],[_Row]]+Tasks[[#This Row],[_Descendants]])),Tasks[[#This Row],[_ShownFcstStart]]))</f>
        <v/>
      </c>
      <c r="AF142" s="63" t="str">
        <f aca="false">IF(Tasks[[#This Row],[Task Name]]="","",IF(Tasks[[#This Row],[_IsSummary]],MAX(INDEX(Tasks[_ShownFcstFinish],Tasks[[#This Row],[_Row]]+1):INDEX(Tasks[_ShownFcstFinish],Tasks[[#This Row],[_Row]]+Tasks[[#This Row],[_Descendants]])),Tasks[[#This Row],[_ShownFcstFinish]]))</f>
        <v/>
      </c>
      <c r="AG142" s="21" t="str">
        <f aca="false">""</f>
        <v/>
      </c>
      <c r="AH142" s="23"/>
      <c r="AI1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2" s="7"/>
      <c r="AK142" s="22"/>
      <c r="AL142" s="23"/>
      <c r="AM142" s="7"/>
      <c r="AN142" s="47" t="str">
        <f aca="false">IF(Tasks[[#This Row],[Task Name]]="","",IF(Tasks[[#This Row],[Finish]]&gt;=Tasks[[#This Row],[Planned Finish]],NETWORKDAYS.INTL(Tasks[[#This Row],[Planned Finish]],Tasks[[#This Row],[Finish]],WorkWeek,Holidays)-1,1-NETWORKDAYS.INTL(Tasks[[#This Row],[Finish]],Tasks[[#This Row],[Planned Finish]],WorkWeek,Holidays)))</f>
        <v/>
      </c>
      <c r="AO142" s="21" t="str">
        <f aca="false">IF(Tasks[[#This Row],[Task Name]]="","",IF(Tasks[[#This Row],[Progress]]&gt;=1,"Complete",IF(OR(N(Tasks[[#This Row],[Actual Start]])&gt;0,Tasks[[#This Row],[Progress]]&gt;0),IF(Tasks[[#This Row],[Finish Var]]&gt;0,"Behind","In Progress"),IF(Tasks[[#This Row],[Planned Start]]&lt;StatusDate,"Late Start","Not Started"))))</f>
        <v/>
      </c>
      <c r="AP142" s="21" t="str">
        <f aca="false">IF(Tasks[[#This Row],[Task Name]]="","",IF(IF(Tasks[[#This Row],[_IsSummary]],COUNTIF(INDEX(Tasks[_LeafCritical],Tasks[[#This Row],[_Row]]+1):INDEX(Tasks[_LeafCritical],Tasks[[#This Row],[_Row]]+Tasks[[#This Row],[_Descendants]]),TRUE())&gt;0,Tasks[[#This Row],[_LeafCritical]]),"Yes",""))</f>
        <v/>
      </c>
      <c r="AQ142" s="63" t="str">
        <f aca="false">IF(Tasks[[#This Row],[Task Name]]="","",IF(N(Tasks[[#This Row],[Baseline Start]])&gt;0,Tasks[[#This Row],[Baseline Start]],Tasks[[#This Row],[_CalcStart]]))</f>
        <v/>
      </c>
      <c r="AR142" s="63" t="str">
        <f aca="false">IF(Tasks[[#This Row],[Task Name]]="","",IF(N(Tasks[[#This Row],[Baseline Finish]])&gt;0,Tasks[[#This Row],[Baseline Finish]],Tasks[[#This Row],[_CalcFinish]]))</f>
        <v/>
      </c>
      <c r="AS142" s="47" t="str">
        <f aca="false">IF(Tasks[[#This Row],[Task Name]]="","",IF(Tasks[[#This Row],[Start]]&gt;=Tasks[[#This Row],[Planned Start]],NETWORKDAYS.INTL(Tasks[[#This Row],[Planned Start]],Tasks[[#This Row],[Start]],WorkWeek,Holidays)-1,1-NETWORKDAYS.INTL(Tasks[[#This Row],[Start]],Tasks[[#This Row],[Planned Start]],WorkWeek,Holidays)))</f>
        <v/>
      </c>
      <c r="AT142" s="63" t="str">
        <f aca="false">IF(Tasks[[#This Row],[Task Name]]="","",IF(Tasks[[#This Row],[_IsSummary]],MIN(INDEX(Tasks[_LeafLateStart],Tasks[[#This Row],[_Row]]+1):INDEX(Tasks[_LeafLateStart],Tasks[[#This Row],[_Row]]+Tasks[[#This Row],[_Descendants]])),Tasks[[#This Row],[_LeafLateStart]]))</f>
        <v/>
      </c>
      <c r="AU142" s="63" t="str">
        <f aca="false">IF(Tasks[[#This Row],[Task Name]]="","",IF(Tasks[[#This Row],[_IsSummary]],MAX(INDEX(Tasks[_LeafLateFinish],Tasks[[#This Row],[_Row]]+1):INDEX(Tasks[_LeafLateFinish],Tasks[[#This Row],[_Row]]+Tasks[[#This Row],[_Descendants]])),Tasks[[#This Row],[_LeafLateFinish]]))</f>
        <v/>
      </c>
      <c r="AV142" s="47" t="str">
        <f aca="false">IF(Tasks[[#This Row],[Task Name]]="","",IF(Tasks[[#This Row],[_IsSummary]],MIN(INDEX(Tasks[_LeafTotalSlack],Tasks[[#This Row],[_Row]]+1):INDEX(Tasks[_LeafTotalSlack],Tasks[[#This Row],[_Row]]+Tasks[[#This Row],[_Descendants]])),Tasks[[#This Row],[_LeafTotalSlack]]))</f>
        <v/>
      </c>
      <c r="AW1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5"/>
      <c r="BA14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t="str">
        <f aca="false">IF(Tasks[[#This Row],[Task Name]]="","",IF(Tasks[[#This Row],[_Level]]&lt;=OutlineShowLevel,"Yes","No"))</f>
        <v/>
      </c>
      <c r="BE142" s="86" t="str">
        <f aca="false">IF(Tasks[[#This Row],[Task Name]]="","",IF(Tasks[[#This Row],[_IsSummary]],SUM(INDEX(Tasks[_LeafTotalWork],Tasks[[#This Row],[_Row]]+1):INDEX(Tasks[_LeafTotalWork],Tasks[[#This Row],[_Row]]+Tasks[[#This Row],[_Descendants]])),Tasks[[#This Row],[_LeafTotalWork]]))</f>
        <v/>
      </c>
      <c r="BF142" s="23"/>
      <c r="BG1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t="str">
        <f aca="false">""</f>
        <v/>
      </c>
      <c r="BI142" s="87"/>
      <c r="BJ142" s="22"/>
      <c r="BK142" s="47" t="str">
        <f aca="false">IF(OR(Tasks[[#This Row],[Task Name]]="",Tasks[[#This Row],[Baseline Duration]]=""),"",Tasks[[#This Row],[_SpanDays]]-N(Tasks[[#This Row],[Baseline Duration]]))</f>
        <v/>
      </c>
      <c r="BL142" s="86" t="str">
        <f aca="false">IF(OR(Tasks[[#This Row],[Task Name]]="",Tasks[[#This Row],[Baseline Work]]=""),"",Tasks[[#This Row],[Work]]-N(Tasks[[#This Row],[Baseline Work]]))</f>
        <v/>
      </c>
      <c r="BM142" s="63" t="str">
        <f aca="false">IF(Tasks[[#This Row],[Task Name]]="","",IF(OR(TakeBaseline="Yes",N(Tasks[[#This Row],[Baseline Start]])=0),Tasks[[#This Row],[Start]],Tasks[[#This Row],[Baseline Start]]))</f>
        <v/>
      </c>
      <c r="BN142" s="63" t="str">
        <f aca="false">IF(Tasks[[#This Row],[Task Name]]="","",IF(OR(TakeBaseline="Yes",N(Tasks[[#This Row],[Baseline Finish]])=0),Tasks[[#This Row],[Finish]],Tasks[[#This Row],[Baseline Finish]]))</f>
        <v/>
      </c>
      <c r="BO142" s="21" t="str">
        <f aca="false">IF(Tasks[[#This Row],[Task Name]]="","",IF(OR(TakeBaseline="Yes",N(Tasks[[#This Row],[Baseline Duration]])=0),Tasks[[#This Row],[_SpanDays]],Tasks[[#This Row],[Baseline Duration]]))</f>
        <v/>
      </c>
      <c r="BP142" s="86" t="str">
        <f aca="false">IF(Tasks[[#This Row],[Task Name]]="","",IF(OR(TakeBaseline="Yes",N(Tasks[[#This Row],[Baseline Work]])=0),Tasks[[#This Row],[Work]],Tasks[[#This Row],[Baseline Work]]))</f>
        <v/>
      </c>
      <c r="BQ142" s="7"/>
      <c r="BR142" s="7"/>
      <c r="BS142" s="22"/>
      <c r="BT142" s="88"/>
      <c r="BU142" s="23"/>
      <c r="BV142" s="23"/>
      <c r="BW142" s="23"/>
      <c r="BX142" s="89" t="str">
        <f aca="false">IF(AND(Tasks[[#This Row],[_IsLeaf]]=1,ISNUMBER(Tasks[[#This Row],[Optimistic]]),ISNUMBER(Tasks[[#This Row],[Pessimistic]])),ROUND((Tasks[[#This Row],[Optimistic]]+4*N(Tasks[[#This Row],[_Days]])+Tasks[[#This Row],[Pessimistic]])/6,1),"")</f>
        <v/>
      </c>
      <c r="BY142" s="87"/>
      <c r="BZ142" s="87"/>
      <c r="CA142" s="22"/>
      <c r="CB142" s="43" t="str">
        <f aca="false">IF(Tasks[[#This Row],[Task Name]]="","",MAX(1,N(Tasks[[#This Row],[Level]])))</f>
        <v/>
      </c>
      <c r="CC142" s="43" t="n">
        <f aca="false">ROW()-ROW(Tasks[[#Headers],[ID]])</f>
        <v>137</v>
      </c>
      <c r="CD142" s="43" t="n">
        <f aca="false">IF(OR(Tasks[[#This Row],[Task Name]]="",Tasks[[#This Row],[_Level]]&lt;=1),0,IFERROR(LOOKUP(2,1/(Tasks[[#Headers],[_Level]]:Tasks[[#This Row],[_Level]]=Tasks[[#This Row],[_Level]]-1),ROW(Tasks[[#Headers],[_Level]]:Tasks[[#This Row],[_Level]])),0))</f>
        <v>0</v>
      </c>
      <c r="CE142" s="43" t="n">
        <f aca="false">IFERROR(N(INDEX(Tasks[_Level],Tasks[[#This Row],[_Row]]+1)),0)</f>
        <v>0</v>
      </c>
      <c r="CF142" s="90" t="b">
        <f aca="false">AND(Tasks[[#This Row],[Task Name]]&lt;&gt;"",Tasks[[#This Row],[_NextLevel]]&gt;Tasks[[#This Row],[_Level]])</f>
        <v>0</v>
      </c>
      <c r="CG142" s="43" t="n">
        <f aca="false">IF(Tasks[[#This Row],[_IsSummary]],COUNTIF(Tasks[WBS],Tasks[[#This Row],[WBS]]&amp;".*"),0)</f>
        <v>0</v>
      </c>
      <c r="CH142" s="43" t="n">
        <f aca="false">IF(AND(Tasks[[#This Row],[Task Name]]&lt;&gt;"",NOT(Tasks[[#This Row],[_IsSummary]])),1,0)</f>
        <v>0</v>
      </c>
      <c r="CI142" s="43" t="n">
        <f aca="false">IF(N(Tasks[[#This Row],[_Pred1UID]])=0,0,IFERROR(MATCH(Tasks[[#This Row],[_Pred1UID]],Tasks[UID],0),-1))</f>
        <v>0</v>
      </c>
      <c r="CJ142" s="43" t="n">
        <f aca="false">IF(N(Tasks[[#This Row],[_Pred2UID]])=0,0,IFERROR(MATCH(Tasks[[#This Row],[_Pred2UID]],Tasks[UID],0),-1))</f>
        <v>0</v>
      </c>
      <c r="CK142" s="43" t="n">
        <f aca="false">IF(N(Tasks[[#This Row],[_Pred3UID]])=0,0,IFERROR(MATCH(Tasks[[#This Row],[_Pred3UID]],Tasks[UID],0),-1))</f>
        <v>0</v>
      </c>
      <c r="CL142" s="43" t="n">
        <f aca="false">IF(N(Tasks[[#This Row],[_Pred4UID]])=0,0,IFERROR(MATCH(Tasks[[#This Row],[_Pred4UID]],Tasks[UID],0),-1))</f>
        <v>0</v>
      </c>
      <c r="CM1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2" s="91" t="n">
        <f aca="false">IF(OR(Tasks[[#This Row],[_ConstraintCode]]=2,Tasks[[#This Row],[_ConstraintCode]]=3,Tasks[[#This Row],[_ConstraintCode]]=4,Tasks[[#This Row],[_ConstraintCode]]=6),Tasks[[#This Row],[_ConstraintStart]],0)</f>
        <v>0</v>
      </c>
      <c r="CP142" s="91" t="n">
        <f aca="false">IF(OR(Tasks[[#This Row],[_ConstraintCode]]=2,Tasks[[#This Row],[_ConstraintCode]]=3,Tasks[[#This Row],[_ConstraintCode]]=5,Tasks[[#This Row],[_ConstraintCode]]=7),Tasks[[#This Row],[_ConstraintStart]],2958465)</f>
        <v>2958465</v>
      </c>
      <c r="CQ1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2" s="91" t="str">
        <f aca="false">IF(NOT(Tasks[[#This Row],[_IsLeaf]]=1),"",IF(N(Tasks[[#This Row],[_Days]])&lt;=0,Tasks[[#This Row],[_LeafCalcStart]],WORKDAY.INTL(Tasks[[#This Row],[_LeafCalcStart]],Tasks[[#This Row],[_Days]]-1,WorkWeek,Holidays)))</f>
        <v/>
      </c>
      <c r="CS1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2" s="43" t="str">
        <f aca="false">IF(Tasks[[#This Row],[_Predecessors]]="","",TRIM(MID(SUBSTITUTE(SUBSTITUTE(SUBSTITUTE(UPPER(Tasks[[#This Row],[_Predecessors]]),";",",")," ",""),",",REPT(" ",99)),1,99)))</f>
        <v/>
      </c>
      <c r="CV142" s="43" t="str">
        <f aca="false">IF(Tasks[[#This Row],[_Pred1Text]]="","",IFERROR(VALUE(LEFT(Tasks[[#This Row],[_Pred1Text]],MIN(FIND("F",Tasks[[#This Row],[_Pred1Text]]&amp;"F"),FIND("S",Tasks[[#This Row],[_Pred1Text]]&amp;"S"),FIND("+",Tasks[[#This Row],[_Pred1Text]]&amp;"+"),FIND("-",Tasks[[#This Row],[_Pred1Text]]&amp;"-"))-1)),""))</f>
        <v/>
      </c>
      <c r="CW1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2" s="43" t="str">
        <f aca="false">IF(Tasks[[#This Row],[_Pred1Text]]="","",TRIM(MID(SUBSTITUTE(SUBSTITUTE(SUBSTITUTE(UPPER(Tasks[[#This Row],[_Predecessors]]),";",",")," ",""),",",REPT(" ",99)),100,99)))</f>
        <v/>
      </c>
      <c r="CZ142" s="43" t="str">
        <f aca="false">IF(Tasks[[#This Row],[_Pred2Text]]="","",IFERROR(VALUE(LEFT(Tasks[[#This Row],[_Pred2Text]],MIN(FIND("F",Tasks[[#This Row],[_Pred2Text]]&amp;"F"),FIND("S",Tasks[[#This Row],[_Pred2Text]]&amp;"S"),FIND("+",Tasks[[#This Row],[_Pred2Text]]&amp;"+"),FIND("-",Tasks[[#This Row],[_Pred2Text]]&amp;"-"))-1)),""))</f>
        <v/>
      </c>
      <c r="DA1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2" s="43" t="str">
        <f aca="false">IF(Tasks[[#This Row],[_Pred2Text]]="","",TRIM(MID(SUBSTITUTE(SUBSTITUTE(SUBSTITUTE(UPPER(Tasks[[#This Row],[_Predecessors]]),";",",")," ",""),",",REPT(" ",99)),199,99)))</f>
        <v/>
      </c>
      <c r="DD142" s="43" t="str">
        <f aca="false">IF(Tasks[[#This Row],[_Pred3Text]]="","",IFERROR(VALUE(LEFT(Tasks[[#This Row],[_Pred3Text]],MIN(FIND("F",Tasks[[#This Row],[_Pred3Text]]&amp;"F"),FIND("S",Tasks[[#This Row],[_Pred3Text]]&amp;"S"),FIND("+",Tasks[[#This Row],[_Pred3Text]]&amp;"+"),FIND("-",Tasks[[#This Row],[_Pred3Text]]&amp;"-"))-1)),""))</f>
        <v/>
      </c>
      <c r="DE1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2" s="43" t="str">
        <f aca="false">IF(Tasks[[#This Row],[_Pred3Text]]="","",TRIM(MID(SUBSTITUTE(SUBSTITUTE(SUBSTITUTE(UPPER(Tasks[[#This Row],[_Predecessors]]),";",",")," ",""),",",REPT(" ",99)),298,99)))</f>
        <v/>
      </c>
      <c r="DH142" s="43" t="str">
        <f aca="false">IF(Tasks[[#This Row],[_Pred4Text]]="","",IFERROR(VALUE(LEFT(Tasks[[#This Row],[_Pred4Text]],MIN(FIND("F",Tasks[[#This Row],[_Pred4Text]]&amp;"F"),FIND("S",Tasks[[#This Row],[_Pred4Text]]&amp;"S"),FIND("+",Tasks[[#This Row],[_Pred4Text]]&amp;"+"),FIND("-",Tasks[[#This Row],[_Pred4Text]]&amp;"-"))-1)),""))</f>
        <v/>
      </c>
      <c r="DI1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2" s="43" t="str">
        <f aca="false">IF(OR(Tasks[[#This Row],[Task Name]]="",Tasks[[#This Row],[_Resources]]=""),"",TRIM(MID(SUBSTITUTE(Tasks[[#This Row],[_Resources]],",",REPT(" ",99)),1,99)))</f>
        <v/>
      </c>
      <c r="DL142" s="43" t="str">
        <f aca="false">IF(Tasks[[#This Row],[_Res1Text]]="","",TRIM(MID(SUBSTITUTE(Tasks[[#This Row],[_Resources]],",",REPT(" ",99)),100,99)))</f>
        <v/>
      </c>
      <c r="DM142" s="43" t="str">
        <f aca="false">IF(Tasks[[#This Row],[_Res2Text]]="","",TRIM(MID(SUBSTITUTE(Tasks[[#This Row],[_Resources]],",",REPT(" ",99)),199,99)))</f>
        <v/>
      </c>
      <c r="DN142" s="43" t="str">
        <f aca="false">IF(Tasks[[#This Row],[_Res3Text]]="","",TRIM(MID(SUBSTITUTE(Tasks[[#This Row],[_Resources]],",",REPT(" ",99)),298,99)))</f>
        <v/>
      </c>
      <c r="DO142" s="43" t="n">
        <f aca="false">IF(Tasks[[#This Row],[_Res1Text]]="",0,IFERROR(MATCH(TRIM(LEFT(Tasks[[#This Row],[_Res1Text]],FIND("[",Tasks[[#This Row],[_Res1Text]]&amp;"[")-1)),res_Name,0),IFERROR(MATCH(TRIM(LEFT(Tasks[[#This Row],[_Res1Text]],FIND("[",Tasks[[#This Row],[_Res1Text]]&amp;"[")-1)),res_Initials,0),0)))</f>
        <v>0</v>
      </c>
      <c r="DP142" s="43" t="n">
        <f aca="false">IF(Tasks[[#This Row],[_Res2Text]]="",0,IFERROR(MATCH(TRIM(LEFT(Tasks[[#This Row],[_Res2Text]],FIND("[",Tasks[[#This Row],[_Res2Text]]&amp;"[")-1)),res_Name,0),IFERROR(MATCH(TRIM(LEFT(Tasks[[#This Row],[_Res2Text]],FIND("[",Tasks[[#This Row],[_Res2Text]]&amp;"[")-1)),res_Initials,0),0)))</f>
        <v>0</v>
      </c>
      <c r="DQ142" s="43" t="n">
        <f aca="false">IF(Tasks[[#This Row],[_Res3Text]]="",0,IFERROR(MATCH(TRIM(LEFT(Tasks[[#This Row],[_Res3Text]],FIND("[",Tasks[[#This Row],[_Res3Text]]&amp;"[")-1)),res_Name,0),IFERROR(MATCH(TRIM(LEFT(Tasks[[#This Row],[_Res3Text]],FIND("[",Tasks[[#This Row],[_Res3Text]]&amp;"[")-1)),res_Initials,0),0)))</f>
        <v>0</v>
      </c>
      <c r="DR142" s="43" t="n">
        <f aca="false">IF(Tasks[[#This Row],[_Res4Text]]="",0,IFERROR(MATCH(TRIM(LEFT(Tasks[[#This Row],[_Res4Text]],FIND("[",Tasks[[#This Row],[_Res4Text]]&amp;"[")-1)),res_Name,0),IFERROR(MATCH(TRIM(LEFT(Tasks[[#This Row],[_Res4Text]],FIND("[",Tasks[[#This Row],[_Res4Text]]&amp;"[")-1)),res_Initials,0),0)))</f>
        <v>0</v>
      </c>
      <c r="DS142" s="43" t="str">
        <f aca="false">IF(Tasks[[#This Row],[_Res1Text]]="","",IF(Tasks[[#This Row],[_Res1Row]]&gt;0,INDEX(res_Name,Tasks[[#This Row],[_Res1Row]]),TRIM(LEFT(Tasks[[#This Row],[_Res1Text]],FIND("[",Tasks[[#This Row],[_Res1Text]]&amp;"[")-1))))</f>
        <v/>
      </c>
      <c r="DT1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2" s="43" t="n">
        <f aca="false">IF(NOT(Tasks[[#This Row],[_IsLeaf]]=1),0,(Tasks[[#This Row],[_Resource1]]&lt;&gt;"")+(Tasks[[#This Row],[_Res2]]&lt;&gt;"")+(Tasks[[#This Row],[_Res3]]&lt;&gt;"")+(Tasks[[#This Row],[_Res4]]&lt;&gt;""))</f>
        <v>0</v>
      </c>
      <c r="DV142" s="43" t="str">
        <f aca="false">IF(Tasks[[#This Row],[_Res2Text]]="","",IF(Tasks[[#This Row],[_Res2Row]]&gt;0,INDEX(res_Name,Tasks[[#This Row],[_Res2Row]]),TRIM(LEFT(Tasks[[#This Row],[_Res2Text]],FIND("[",Tasks[[#This Row],[_Res2Text]]&amp;"[")-1))))</f>
        <v/>
      </c>
      <c r="DW1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2" s="43" t="n">
        <f aca="false">IF(OR(NOT(Tasks[[#This Row],[_IsLeaf]]=1),Tasks[[#This Row],[_Res2Row]]=0),0,N(Tasks[[#This Row],[_Days]])*HoursPerDay*IF(Tasks[[#This Row],[_Res2Units]]="",DefaultUnits,Tasks[[#This Row],[_Res2Units]]))</f>
        <v>0</v>
      </c>
      <c r="DY142" s="43" t="n">
        <f aca="false">IF(AND(AND(Tasks[[#This Row],[_IsLeaf]]=1,Tasks[[#This Row],[_LeafTotalWork]]&gt;0),Tasks[[#This Row],[_Res2Work]]&gt;0),Tasks[[#This Row],[_Res2Work]]/(Tasks[[#This Row],[_FinishWorkday]]-Tasks[[#This Row],[_StartWorkday]]+1),0)</f>
        <v>0</v>
      </c>
      <c r="DZ142" s="43" t="n">
        <f aca="false">Tasks[[#This Row],[_Res2WorkPerWD]]*MAX(0,Tasks[[#This Row],[_StartWorkday]]-1)</f>
        <v>0</v>
      </c>
      <c r="EA142" s="43" t="n">
        <f aca="false">Tasks[[#This Row],[_Res2Work]]*Tasks[[#This Row],[_LeafProgress]]</f>
        <v>0</v>
      </c>
      <c r="EB142" s="43" t="str">
        <f aca="false">IF(Tasks[[#This Row],[_Res3Text]]="","",IF(Tasks[[#This Row],[_Res3Row]]&gt;0,INDEX(res_Name,Tasks[[#This Row],[_Res3Row]]),TRIM(LEFT(Tasks[[#This Row],[_Res3Text]],FIND("[",Tasks[[#This Row],[_Res3Text]]&amp;"[")-1))))</f>
        <v/>
      </c>
      <c r="EC1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2" s="43" t="n">
        <f aca="false">IF(OR(NOT(Tasks[[#This Row],[_IsLeaf]]=1),Tasks[[#This Row],[_Res3Row]]=0),0,N(Tasks[[#This Row],[_Days]])*HoursPerDay*IF(Tasks[[#This Row],[_Res3Units]]="",DefaultUnits,Tasks[[#This Row],[_Res3Units]]))</f>
        <v>0</v>
      </c>
      <c r="EE142" s="43" t="n">
        <f aca="false">IF(AND(AND(Tasks[[#This Row],[_IsLeaf]]=1,Tasks[[#This Row],[_LeafTotalWork]]&gt;0),Tasks[[#This Row],[_Res3Work]]&gt;0),Tasks[[#This Row],[_Res3Work]]/(Tasks[[#This Row],[_FinishWorkday]]-Tasks[[#This Row],[_StartWorkday]]+1),0)</f>
        <v>0</v>
      </c>
      <c r="EF142" s="43" t="n">
        <f aca="false">Tasks[[#This Row],[_Res3WorkPerWD]]*MAX(0,Tasks[[#This Row],[_StartWorkday]]-1)</f>
        <v>0</v>
      </c>
      <c r="EG142" s="43" t="n">
        <f aca="false">Tasks[[#This Row],[_Res3Work]]*Tasks[[#This Row],[_LeafProgress]]</f>
        <v>0</v>
      </c>
      <c r="EH142" s="43" t="str">
        <f aca="false">IF(Tasks[[#This Row],[_Res4Text]]="","",IF(Tasks[[#This Row],[_Res4Row]]&gt;0,INDEX(res_Name,Tasks[[#This Row],[_Res4Row]]),TRIM(LEFT(Tasks[[#This Row],[_Res4Text]],FIND("[",Tasks[[#This Row],[_Res4Text]]&amp;"[")-1))))</f>
        <v/>
      </c>
      <c r="EI1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2" s="43" t="n">
        <f aca="false">IF(OR(NOT(Tasks[[#This Row],[_IsLeaf]]=1),Tasks[[#This Row],[_Res4Row]]=0),0,N(Tasks[[#This Row],[_Days]])*HoursPerDay*IF(Tasks[[#This Row],[_Res4Units]]="",DefaultUnits,Tasks[[#This Row],[_Res4Units]]))</f>
        <v>0</v>
      </c>
      <c r="EK142" s="43" t="n">
        <f aca="false">IF(AND(AND(Tasks[[#This Row],[_IsLeaf]]=1,Tasks[[#This Row],[_LeafTotalWork]]&gt;0),Tasks[[#This Row],[_Res4Work]]&gt;0),Tasks[[#This Row],[_Res4Work]]/(Tasks[[#This Row],[_FinishWorkday]]-Tasks[[#This Row],[_StartWorkday]]+1),0)</f>
        <v>0</v>
      </c>
      <c r="EL142" s="43" t="n">
        <f aca="false">Tasks[[#This Row],[_Res4WorkPerWD]]*MAX(0,Tasks[[#This Row],[_StartWorkday]]-1)</f>
        <v>0</v>
      </c>
      <c r="EM142" s="43" t="n">
        <f aca="false">Tasks[[#This Row],[_Res4Work]]*Tasks[[#This Row],[_LeafProgress]]</f>
        <v>0</v>
      </c>
      <c r="EN142" s="43" t="n">
        <f aca="false">IF(ISNUMBER(Tasks[[#This Row],[% Complete]]),Tasks[[#This Row],[% Complete]],IF(Tasks[[#This Row],[Stage]]="",0,IFERROR(INDEX(stg_Pct,MATCH(Tasks[[#This Row],[Stage]],stg_Name,0)),0)))</f>
        <v>0</v>
      </c>
      <c r="EO142" s="43" t="n">
        <f aca="false">IF(NOT(Tasks[[#This Row],[_IsLeaf]]=1),0,IF(N(Tasks[[#This Row],[Actual Finish]])&gt;0,1,MIN(1,Tasks[[#This Row],[_Pct]])))</f>
        <v>0</v>
      </c>
      <c r="EP142" s="43" t="n">
        <f aca="false">IF(OR(NOT(Tasks[[#This Row],[_IsLeaf]]=1),Tasks[[#This Row],[_Res1Row]]=0),0,N(Tasks[[#This Row],[_Days]])*HoursPerDay*IF(Tasks[[#This Row],[_Units1]]="",DefaultUnits,Tasks[[#This Row],[_Units1]]))</f>
        <v>0</v>
      </c>
      <c r="EQ142" s="43" t="n">
        <f aca="false">Tasks[[#This Row],[_LeafWork]]+Tasks[[#This Row],[_Res2Work]]+Tasks[[#This Row],[_Res3Work]]+Tasks[[#This Row],[_Res4Work]]</f>
        <v>0</v>
      </c>
      <c r="ER14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2" s="43" t="n">
        <f aca="false">IF(NOT(Tasks[[#This Row],[_IsLeaf]]=1),0,MAX(_xlfn.MAXIFS(Tasks[_Row],Tasks[_Pred1UID],Tasks[[#This Row],[UID]]),_xlfn.MAXIFS(Tasks[_Row],Tasks[_Pred2UID],Tasks[[#This Row],[UID]]),_xlfn.MAXIFS(Tasks[_Row],Tasks[_Pred3UID],Tasks[[#This Row],[UID]]),_xlfn.MAXIFS(Tasks[_Row],Tasks[_Pred4UID],Tasks[[#This Row],[UID]])))</f>
        <v>0</v>
      </c>
      <c r="FA1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2" s="91" t="str">
        <f aca="false">IF(NOT(Tasks[[#This Row],[_IsLeaf]]=1),"",IF(N(Tasks[[#This Row],[_Days]])&lt;=0,Tasks[[#This Row],[_LeafLateFinish]],WORKDAY.INTL(Tasks[[#This Row],[_LeafLateFinish]],-(Tasks[[#This Row],[_Days]]-1),WorkWeek,Holidays)))</f>
        <v/>
      </c>
      <c r="FD1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2" s="90" t="b">
        <f aca="false">AND(Tasks[[#This Row],[_IsLeaf]]=1,Tasks[[#This Row],[_LeafProgress]]&lt;1,N(Tasks[[#This Row],[_LeafTotalSlack]])&lt;=CriticalSlackDays)</f>
        <v>0</v>
      </c>
      <c r="FF142" s="43" t="n">
        <f aca="false">IF(AND(Tasks[[#This Row],[_IsLeaf]]=1,Tasks[[#This Row],[_ConstraintCode]]=1,Tasks[[#This Row],[Mode]]&lt;&gt;"Manual",N(Tasks[[#This Row],[Actual Start]])=0),MAX(0,N(Tasks[[#This Row],[Free Slack]])),0)</f>
        <v>0</v>
      </c>
      <c r="FG142" s="91" t="str">
        <f aca="false">IF(NOT(Tasks[[#This Row],[_IsLeaf]]=1),"",IF(Tasks[[#This Row],[_AlapShift]]=0,Tasks[[#This Row],[_LeafCalcStart]],WORKDAY.INTL(Tasks[[#This Row],[_LeafCalcStart]],Tasks[[#This Row],[_AlapShift]],WorkWeek,Holidays)))</f>
        <v/>
      </c>
      <c r="FH142" s="91" t="str">
        <f aca="false">IF(NOT(Tasks[[#This Row],[_IsLeaf]]=1),"",IF(Tasks[[#This Row],[_AlapShift]]=0,Tasks[[#This Row],[_LeafCalcFinish]],WORKDAY.INTL(Tasks[[#This Row],[_LeafCalcFinish]],Tasks[[#This Row],[_AlapShift]],WorkWeek,Holidays)))</f>
        <v/>
      </c>
      <c r="FI142" s="91" t="str">
        <f aca="false">IF(NOT(Tasks[[#This Row],[_IsLeaf]]=1),"",IF(Tasks[[#This Row],[_AlapShift]]=0,Tasks[[#This Row],[_LeafFcstStart]],WORKDAY.INTL(Tasks[[#This Row],[_LeafFcstStart]],Tasks[[#This Row],[_AlapShift]],WorkWeek,Holidays)))</f>
        <v/>
      </c>
      <c r="FJ142" s="91" t="str">
        <f aca="false">IF(NOT(Tasks[[#This Row],[_IsLeaf]]=1),"",IF(Tasks[[#This Row],[_AlapShift]]=0,Tasks[[#This Row],[_LeafFcstFinish]],WORKDAY.INTL(Tasks[[#This Row],[_LeafFcstFinish]],Tasks[[#This Row],[_AlapShift]],WorkWeek,Holidays)))</f>
        <v/>
      </c>
      <c r="FK142" s="91" t="str">
        <f aca="false">IF(Tasks[[#This Row],[Task Name]]="","",IF(Tasks[[#This Row],[_IsSummary]],MIN(INDEX(Tasks[_ShownCalcStart],Tasks[[#This Row],[_Row]]+1):INDEX(Tasks[_ShownCalcStart],Tasks[[#This Row],[_Row]]+Tasks[[#This Row],[_Descendants]])),Tasks[[#This Row],[_ShownCalcStart]]))</f>
        <v/>
      </c>
      <c r="FL142" s="91" t="str">
        <f aca="false">IF(Tasks[[#This Row],[Task Name]]="","",IF(Tasks[[#This Row],[_IsSummary]],MAX(INDEX(Tasks[_ShownCalcFinish],Tasks[[#This Row],[_Row]]+1):INDEX(Tasks[_ShownCalcFinish],Tasks[[#This Row],[_Row]]+Tasks[[#This Row],[_Descendants]])),Tasks[[#This Row],[_ShownCalcFinish]]))</f>
        <v/>
      </c>
      <c r="FM1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2" s="43" t="n">
        <f aca="false">IF(AND(Tasks[[#This Row],[_IsLeaf]]=1,Tasks[[#This Row],[_LeafTotalWork]]&gt;0),NETWORKDAYS.INTL(ProjectStart,Tasks[[#This Row],[_ShownFcstStart]],WorkWeek,Holidays),0)</f>
        <v>0</v>
      </c>
      <c r="FZ142" s="43" t="n">
        <f aca="false">IF(AND(Tasks[[#This Row],[_IsLeaf]]=1,Tasks[[#This Row],[_LeafTotalWork]]&gt;0),MAX(Tasks[[#This Row],[_StartWorkday]],NETWORKDAYS.INTL(ProjectStart,Tasks[[#This Row],[_ShownFcstFinish]],WorkWeek,Holidays)),0)</f>
        <v>0</v>
      </c>
      <c r="GA142" s="43" t="n">
        <f aca="false">IF(AND(Tasks[[#This Row],[_IsLeaf]]=1,Tasks[[#This Row],[_LeafTotalWork]]&gt;0),Tasks[[#This Row],[_LeafWork]]/(Tasks[[#This Row],[_FinishWorkday]]-Tasks[[#This Row],[_StartWorkday]]+1),0)</f>
        <v>0</v>
      </c>
      <c r="GB142" s="43" t="n">
        <f aca="false">Tasks[[#This Row],[_WorkPerWorkday]]*(Tasks[[#This Row],[_StartWorkday]]-1)</f>
        <v>-0</v>
      </c>
      <c r="GC142" s="43" t="n">
        <f aca="false">IF(Tasks[[#This Row],[_IsLeaf]]=1,MAX(N(Tasks[[#This Row],[_Days]]),0.1),0)</f>
        <v>0</v>
      </c>
      <c r="GD142" s="43" t="n">
        <f aca="false">Tasks[[#This Row],[_WeightDur]]*Tasks[[#This Row],[_LeafProgress]]</f>
        <v>0</v>
      </c>
      <c r="GE142" s="43" t="n">
        <f aca="false">Tasks[[#This Row],[_WeightDur]]*Tasks[[#This Row],[_PlannedPct]]</f>
        <v>0</v>
      </c>
      <c r="GF1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2" s="43" t="str">
        <f aca="false">IF(AND(Tasks[[#This Row],[_IsLeaf]]=1,N(Tasks[[#This Row],[_Days]])=0,Tasks[[#This Row],[_LeafProgress]]&lt;1),Tasks[[#This Row],[_ShownFcstFinish]]+Tasks[[#This Row],[_Row]]/100000,"")</f>
        <v/>
      </c>
      <c r="GH1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2" s="43" t="str">
        <f aca="false">IF(Tasks[[#This Row],[Task Name]]="","",LEFT(Tasks[[#This Row],[WBS]],FIND(".",Tasks[[#This Row],[WBS]]&amp;".")-1))</f>
        <v/>
      </c>
      <c r="GJ142" s="43" t="str">
        <f aca="false">IF(AND(Tasks[[#This Row],[Task Name]]&lt;&gt;"",Tasks[[#This Row],[_Level]]=1),Tasks[[#This Row],[_Row]],"")</f>
        <v/>
      </c>
      <c r="GK142" s="43" t="str">
        <f aca="false">IF(AND(Tasks[[#This Row],[_IsLeaf]]=1,N(Tasks[[#This Row],[_Days]])=0),Tasks[[#This Row],[Planned Finish]]+Tasks[[#This Row],[_Row]]/100000,"")</f>
        <v/>
      </c>
      <c r="GL142" s="43" t="str">
        <f aca="false">IF(AND(Tasks[[#This Row],[_IsLeaf]]=1,Tasks[[#This Row],[_LeafProgress]]&lt;1,OR(N(Tasks[[#This Row],[Finish Var]])&gt;0,Tasks[[#This Row],[Status]]="Late Start")),MAX(0,Tasks[[#This Row],[Finish Var]])+1-Tasks[[#This Row],[_Row]]/1000000,"")</f>
        <v/>
      </c>
      <c r="GM142" s="43" t="str">
        <f aca="false">IF(AND(Tasks[[#This Row],[_IsLeaf]]=1,N(Tasks[[#This Row],[Actual Start]])=0,Tasks[[#This Row],[_ShownFcstStart]]&gt;=StatusDate,Tasks[[#This Row],[_ShownFcstStart]]&lt;=LookaheadEnd),Tasks[[#This Row],[_ShownFcstStart]]+Tasks[[#This Row],[_Row]]/100000,"")</f>
        <v/>
      </c>
      <c r="GN142" s="43" t="str">
        <f aca="false">IF(AND(Tasks[[#This Row],[_IsLeaf]]=1,Tasks[[#This Row],[_LeafProgress]]&lt;1,Tasks[[#This Row],[_ShownFcstFinish]]&gt;=StatusDate,Tasks[[#This Row],[_ShownFcstFinish]]&lt;=LookaheadEnd),Tasks[[#This Row],[_ShownFcstFinish]]+Tasks[[#This Row],[_Row]]/100000,"")</f>
        <v/>
      </c>
      <c r="GO142" s="43" t="str">
        <f aca="false">IF(Tasks[[#This Row],[_LeafCritical]],Tasks[[#This Row],[_ShownFcstStart]]+Tasks[[#This Row],[_Row]]/100000,"")</f>
        <v/>
      </c>
      <c r="GP142" s="43" t="n">
        <f aca="false">Tasks[[#This Row],[_LeafWork]]*Tasks[[#This Row],[_LeafProgress]]</f>
        <v>0</v>
      </c>
      <c r="GQ142" s="91" t="str">
        <f aca="false">IF(AND(Tasks[[#This Row],[_IsLeaf]]=1,Tasks[[#This Row],[_LeafProgress]]&gt;=1),IF(N(Tasks[[#This Row],[Actual Finish]])&gt;0,Tasks[[#This Row],[Actual Finish]],Tasks[[#This Row],[_ShownFcstFinish]]),"")</f>
        <v/>
      </c>
      <c r="GR142" s="43" t="n">
        <f aca="false">IF(Tasks[[#This Row],[_IsLeaf]]=1,N(Tasks[[#This Row],[Story Points]]),0)</f>
        <v>0</v>
      </c>
      <c r="GS142" s="43" t="str">
        <f aca="false">""</f>
        <v/>
      </c>
      <c r="GT142" s="90" t="b">
        <f aca="false">IF(Tasks[[#This Row],[Task Name]]="",FALSE(),AND(Tasks[[#This Row],[_IsLeaf]]=1,N(Tasks[[#This Row],[_Days]])=0))</f>
        <v>0</v>
      </c>
      <c r="GU142" s="91" t="n">
        <f aca="false">IF(Tasks[[#This Row],[Task Name]]="",0,IF(AND(Tasks[[#This Row],[_IsLeaf]]=1,NOT(Tasks[[#This Row],[_IsMilestone]]),N(Tasks[[#This Row],[Progress]])&gt;0),Tasks[[#This Row],[Start]],0))</f>
        <v>0</v>
      </c>
      <c r="GV142" s="91" t="n">
        <f aca="false">IF(Tasks[[#This Row],[_DoneFrom]]=0,0,IF(Tasks[[#This Row],[Progress]]&gt;=1,Tasks[[#This Row],[Finish]],MAX(Tasks[[#This Row],[_DoneFrom]],Tasks[[#This Row],[Start]]+ROUND((Tasks[[#This Row],[Finish]]-Tasks[[#This Row],[Start]]+1)*Tasks[[#This Row],[Progress]],0)-1)))</f>
        <v>0</v>
      </c>
      <c r="GW142" s="91" t="n">
        <f aca="false">IF(Tasks[[#This Row],[Task Name]]="",0,IF(OR(NOT(Tasks[[#This Row],[_IsLeaf]]=1),Tasks[[#This Row],[_IsMilestone]],N(Tasks[[#This Row],[Progress]])&gt;=1),0,IF(Tasks[[#This Row],[_DoneTo]]&gt;0,Tasks[[#This Row],[_DoneTo]]+1,Tasks[[#This Row],[Start]])))</f>
        <v>0</v>
      </c>
      <c r="GX142" s="91" t="n">
        <f aca="false">IF(Tasks[[#This Row],[_RemFrom]]=0,0,Tasks[[#This Row],[Finish]])</f>
        <v>0</v>
      </c>
      <c r="GY142" s="90" t="b">
        <f aca="false">IF(Tasks[[#This Row],[Task Name]]="",FALSE(),OR(NOT(BaselineSet),N(Tasks[[#This Row],[Baseline Start]])&gt;0))</f>
        <v>0</v>
      </c>
      <c r="GZ14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2" s="92" t="str">
        <f aca="false">IF(Tasks[[#This Row],[_IsLeaf]]=1,Tasks[[#This Row],[_Row]],"")</f>
        <v/>
      </c>
      <c r="HD142" s="92" t="str">
        <f aca="false">IFERROR(INDEX(Tasks[UID],SMALL(Tasks[_PickKey],Tasks[[#This Row],[_Row]]))&amp;" "&amp;INDEX(Tasks[Task Name],SMALL(Tasks[_PickKey],Tasks[[#This Row],[_Row]])),"")</f>
        <v/>
      </c>
      <c r="HE142" s="43" t="str">
        <f aca="false">IF(Tasks[[#This Row],[Task Name]]="","",IF(Tasks[[#This Row],[_IsSummary]],NETWORKDAYS.INTL(Tasks[[#This Row],[Start]],Tasks[[#This Row],[Finish]],WorkWeek,Holidays),N(Tasks[[#This Row],[_Days]])))</f>
        <v/>
      </c>
      <c r="HF142" s="43" t="n">
        <f aca="false">IF(Tasks[[#This Row],[Expected]]="",0,((Tasks[[#This Row],[Pessimistic]]-Tasks[[#This Row],[Optimistic]])/6)^2)</f>
        <v>0</v>
      </c>
      <c r="HG142" s="43" t="n">
        <f aca="false">IF(Tasks[[#This Row],[Expected]]="",0,Tasks[[#This Row],[Expected]]-N(Tasks[[#This Row],[_Days]]))</f>
        <v>0</v>
      </c>
    </row>
    <row r="143" customFormat="false" ht="15" hidden="false" customHeight="false" outlineLevel="0" collapsed="false">
      <c r="A143" s="21" t="str">
        <f aca="false">IF(Tasks[[#This Row],[Task Name]]="","",COUNTA(Tasks[[#Headers],[Task Name]]:Tasks[[#This Row],[Task Name]])-1)</f>
        <v/>
      </c>
      <c r="B143" s="22" t="n">
        <v>151</v>
      </c>
      <c r="C143" s="22"/>
      <c r="D143" s="23"/>
      <c r="E143" s="22"/>
      <c r="F143" s="23"/>
      <c r="G143" s="22"/>
      <c r="H143" s="22"/>
      <c r="I143" s="23"/>
      <c r="J143" s="22"/>
      <c r="K143" s="22"/>
      <c r="L143" s="23"/>
      <c r="M143" s="22"/>
      <c r="N143" s="22"/>
      <c r="O143" s="23"/>
      <c r="P143" s="22"/>
      <c r="Q143" s="22"/>
      <c r="R143" s="23"/>
      <c r="S143" s="23"/>
      <c r="T143" s="84"/>
      <c r="U143" s="23"/>
      <c r="V143" s="84"/>
      <c r="W143" s="23"/>
      <c r="X143" s="84"/>
      <c r="Y143" s="23"/>
      <c r="Z143" s="84"/>
      <c r="AA143" s="23"/>
      <c r="AB143" s="23"/>
      <c r="AC143" s="7"/>
      <c r="AD143" s="7"/>
      <c r="AE143" s="63" t="str">
        <f aca="false">IF(Tasks[[#This Row],[Task Name]]="","",IF(Tasks[[#This Row],[_IsSummary]],MIN(INDEX(Tasks[_ShownFcstStart],Tasks[[#This Row],[_Row]]+1):INDEX(Tasks[_ShownFcstStart],Tasks[[#This Row],[_Row]]+Tasks[[#This Row],[_Descendants]])),Tasks[[#This Row],[_ShownFcstStart]]))</f>
        <v/>
      </c>
      <c r="AF143" s="63" t="str">
        <f aca="false">IF(Tasks[[#This Row],[Task Name]]="","",IF(Tasks[[#This Row],[_IsSummary]],MAX(INDEX(Tasks[_ShownFcstFinish],Tasks[[#This Row],[_Row]]+1):INDEX(Tasks[_ShownFcstFinish],Tasks[[#This Row],[_Row]]+Tasks[[#This Row],[_Descendants]])),Tasks[[#This Row],[_ShownFcstFinish]]))</f>
        <v/>
      </c>
      <c r="AG143" s="21" t="str">
        <f aca="false">""</f>
        <v/>
      </c>
      <c r="AH143" s="23"/>
      <c r="AI1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3" s="7"/>
      <c r="AK143" s="22"/>
      <c r="AL143" s="23"/>
      <c r="AM143" s="7"/>
      <c r="AN143" s="47" t="str">
        <f aca="false">IF(Tasks[[#This Row],[Task Name]]="","",IF(Tasks[[#This Row],[Finish]]&gt;=Tasks[[#This Row],[Planned Finish]],NETWORKDAYS.INTL(Tasks[[#This Row],[Planned Finish]],Tasks[[#This Row],[Finish]],WorkWeek,Holidays)-1,1-NETWORKDAYS.INTL(Tasks[[#This Row],[Finish]],Tasks[[#This Row],[Planned Finish]],WorkWeek,Holidays)))</f>
        <v/>
      </c>
      <c r="AO143" s="21" t="str">
        <f aca="false">IF(Tasks[[#This Row],[Task Name]]="","",IF(Tasks[[#This Row],[Progress]]&gt;=1,"Complete",IF(OR(N(Tasks[[#This Row],[Actual Start]])&gt;0,Tasks[[#This Row],[Progress]]&gt;0),IF(Tasks[[#This Row],[Finish Var]]&gt;0,"Behind","In Progress"),IF(Tasks[[#This Row],[Planned Start]]&lt;StatusDate,"Late Start","Not Started"))))</f>
        <v/>
      </c>
      <c r="AP143" s="21" t="str">
        <f aca="false">IF(Tasks[[#This Row],[Task Name]]="","",IF(IF(Tasks[[#This Row],[_IsSummary]],COUNTIF(INDEX(Tasks[_LeafCritical],Tasks[[#This Row],[_Row]]+1):INDEX(Tasks[_LeafCritical],Tasks[[#This Row],[_Row]]+Tasks[[#This Row],[_Descendants]]),TRUE())&gt;0,Tasks[[#This Row],[_LeafCritical]]),"Yes",""))</f>
        <v/>
      </c>
      <c r="AQ143" s="63" t="str">
        <f aca="false">IF(Tasks[[#This Row],[Task Name]]="","",IF(N(Tasks[[#This Row],[Baseline Start]])&gt;0,Tasks[[#This Row],[Baseline Start]],Tasks[[#This Row],[_CalcStart]]))</f>
        <v/>
      </c>
      <c r="AR143" s="63" t="str">
        <f aca="false">IF(Tasks[[#This Row],[Task Name]]="","",IF(N(Tasks[[#This Row],[Baseline Finish]])&gt;0,Tasks[[#This Row],[Baseline Finish]],Tasks[[#This Row],[_CalcFinish]]))</f>
        <v/>
      </c>
      <c r="AS143" s="47" t="str">
        <f aca="false">IF(Tasks[[#This Row],[Task Name]]="","",IF(Tasks[[#This Row],[Start]]&gt;=Tasks[[#This Row],[Planned Start]],NETWORKDAYS.INTL(Tasks[[#This Row],[Planned Start]],Tasks[[#This Row],[Start]],WorkWeek,Holidays)-1,1-NETWORKDAYS.INTL(Tasks[[#This Row],[Start]],Tasks[[#This Row],[Planned Start]],WorkWeek,Holidays)))</f>
        <v/>
      </c>
      <c r="AT143" s="63" t="str">
        <f aca="false">IF(Tasks[[#This Row],[Task Name]]="","",IF(Tasks[[#This Row],[_IsSummary]],MIN(INDEX(Tasks[_LeafLateStart],Tasks[[#This Row],[_Row]]+1):INDEX(Tasks[_LeafLateStart],Tasks[[#This Row],[_Row]]+Tasks[[#This Row],[_Descendants]])),Tasks[[#This Row],[_LeafLateStart]]))</f>
        <v/>
      </c>
      <c r="AU143" s="63" t="str">
        <f aca="false">IF(Tasks[[#This Row],[Task Name]]="","",IF(Tasks[[#This Row],[_IsSummary]],MAX(INDEX(Tasks[_LeafLateFinish],Tasks[[#This Row],[_Row]]+1):INDEX(Tasks[_LeafLateFinish],Tasks[[#This Row],[_Row]]+Tasks[[#This Row],[_Descendants]])),Tasks[[#This Row],[_LeafLateFinish]]))</f>
        <v/>
      </c>
      <c r="AV143" s="47" t="str">
        <f aca="false">IF(Tasks[[#This Row],[Task Name]]="","",IF(Tasks[[#This Row],[_IsSummary]],MIN(INDEX(Tasks[_LeafTotalSlack],Tasks[[#This Row],[_Row]]+1):INDEX(Tasks[_LeafTotalSlack],Tasks[[#This Row],[_Row]]+Tasks[[#This Row],[_Descendants]])),Tasks[[#This Row],[_LeafTotalSlack]]))</f>
        <v/>
      </c>
      <c r="AW1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5"/>
      <c r="BA14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t="str">
        <f aca="false">IF(Tasks[[#This Row],[Task Name]]="","",IF(Tasks[[#This Row],[_Level]]&lt;=OutlineShowLevel,"Yes","No"))</f>
        <v/>
      </c>
      <c r="BE143" s="86" t="str">
        <f aca="false">IF(Tasks[[#This Row],[Task Name]]="","",IF(Tasks[[#This Row],[_IsSummary]],SUM(INDEX(Tasks[_LeafTotalWork],Tasks[[#This Row],[_Row]]+1):INDEX(Tasks[_LeafTotalWork],Tasks[[#This Row],[_Row]]+Tasks[[#This Row],[_Descendants]])),Tasks[[#This Row],[_LeafTotalWork]]))</f>
        <v/>
      </c>
      <c r="BF143" s="23"/>
      <c r="BG1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t="str">
        <f aca="false">""</f>
        <v/>
      </c>
      <c r="BI143" s="87"/>
      <c r="BJ143" s="22"/>
      <c r="BK143" s="47" t="str">
        <f aca="false">IF(OR(Tasks[[#This Row],[Task Name]]="",Tasks[[#This Row],[Baseline Duration]]=""),"",Tasks[[#This Row],[_SpanDays]]-N(Tasks[[#This Row],[Baseline Duration]]))</f>
        <v/>
      </c>
      <c r="BL143" s="86" t="str">
        <f aca="false">IF(OR(Tasks[[#This Row],[Task Name]]="",Tasks[[#This Row],[Baseline Work]]=""),"",Tasks[[#This Row],[Work]]-N(Tasks[[#This Row],[Baseline Work]]))</f>
        <v/>
      </c>
      <c r="BM143" s="63" t="str">
        <f aca="false">IF(Tasks[[#This Row],[Task Name]]="","",IF(OR(TakeBaseline="Yes",N(Tasks[[#This Row],[Baseline Start]])=0),Tasks[[#This Row],[Start]],Tasks[[#This Row],[Baseline Start]]))</f>
        <v/>
      </c>
      <c r="BN143" s="63" t="str">
        <f aca="false">IF(Tasks[[#This Row],[Task Name]]="","",IF(OR(TakeBaseline="Yes",N(Tasks[[#This Row],[Baseline Finish]])=0),Tasks[[#This Row],[Finish]],Tasks[[#This Row],[Baseline Finish]]))</f>
        <v/>
      </c>
      <c r="BO143" s="21" t="str">
        <f aca="false">IF(Tasks[[#This Row],[Task Name]]="","",IF(OR(TakeBaseline="Yes",N(Tasks[[#This Row],[Baseline Duration]])=0),Tasks[[#This Row],[_SpanDays]],Tasks[[#This Row],[Baseline Duration]]))</f>
        <v/>
      </c>
      <c r="BP143" s="86" t="str">
        <f aca="false">IF(Tasks[[#This Row],[Task Name]]="","",IF(OR(TakeBaseline="Yes",N(Tasks[[#This Row],[Baseline Work]])=0),Tasks[[#This Row],[Work]],Tasks[[#This Row],[Baseline Work]]))</f>
        <v/>
      </c>
      <c r="BQ143" s="7"/>
      <c r="BR143" s="7"/>
      <c r="BS143" s="22"/>
      <c r="BT143" s="88"/>
      <c r="BU143" s="23"/>
      <c r="BV143" s="23"/>
      <c r="BW143" s="23"/>
      <c r="BX143" s="89" t="str">
        <f aca="false">IF(AND(Tasks[[#This Row],[_IsLeaf]]=1,ISNUMBER(Tasks[[#This Row],[Optimistic]]),ISNUMBER(Tasks[[#This Row],[Pessimistic]])),ROUND((Tasks[[#This Row],[Optimistic]]+4*N(Tasks[[#This Row],[_Days]])+Tasks[[#This Row],[Pessimistic]])/6,1),"")</f>
        <v/>
      </c>
      <c r="BY143" s="87"/>
      <c r="BZ143" s="87"/>
      <c r="CA143" s="22"/>
      <c r="CB143" s="43" t="str">
        <f aca="false">IF(Tasks[[#This Row],[Task Name]]="","",MAX(1,N(Tasks[[#This Row],[Level]])))</f>
        <v/>
      </c>
      <c r="CC143" s="43" t="n">
        <f aca="false">ROW()-ROW(Tasks[[#Headers],[ID]])</f>
        <v>138</v>
      </c>
      <c r="CD143" s="43" t="n">
        <f aca="false">IF(OR(Tasks[[#This Row],[Task Name]]="",Tasks[[#This Row],[_Level]]&lt;=1),0,IFERROR(LOOKUP(2,1/(Tasks[[#Headers],[_Level]]:Tasks[[#This Row],[_Level]]=Tasks[[#This Row],[_Level]]-1),ROW(Tasks[[#Headers],[_Level]]:Tasks[[#This Row],[_Level]])),0))</f>
        <v>0</v>
      </c>
      <c r="CE143" s="43" t="n">
        <f aca="false">IFERROR(N(INDEX(Tasks[_Level],Tasks[[#This Row],[_Row]]+1)),0)</f>
        <v>0</v>
      </c>
      <c r="CF143" s="90" t="b">
        <f aca="false">AND(Tasks[[#This Row],[Task Name]]&lt;&gt;"",Tasks[[#This Row],[_NextLevel]]&gt;Tasks[[#This Row],[_Level]])</f>
        <v>0</v>
      </c>
      <c r="CG143" s="43" t="n">
        <f aca="false">IF(Tasks[[#This Row],[_IsSummary]],COUNTIF(Tasks[WBS],Tasks[[#This Row],[WBS]]&amp;".*"),0)</f>
        <v>0</v>
      </c>
      <c r="CH143" s="43" t="n">
        <f aca="false">IF(AND(Tasks[[#This Row],[Task Name]]&lt;&gt;"",NOT(Tasks[[#This Row],[_IsSummary]])),1,0)</f>
        <v>0</v>
      </c>
      <c r="CI143" s="43" t="n">
        <f aca="false">IF(N(Tasks[[#This Row],[_Pred1UID]])=0,0,IFERROR(MATCH(Tasks[[#This Row],[_Pred1UID]],Tasks[UID],0),-1))</f>
        <v>0</v>
      </c>
      <c r="CJ143" s="43" t="n">
        <f aca="false">IF(N(Tasks[[#This Row],[_Pred2UID]])=0,0,IFERROR(MATCH(Tasks[[#This Row],[_Pred2UID]],Tasks[UID],0),-1))</f>
        <v>0</v>
      </c>
      <c r="CK143" s="43" t="n">
        <f aca="false">IF(N(Tasks[[#This Row],[_Pred3UID]])=0,0,IFERROR(MATCH(Tasks[[#This Row],[_Pred3UID]],Tasks[UID],0),-1))</f>
        <v>0</v>
      </c>
      <c r="CL143" s="43" t="n">
        <f aca="false">IF(N(Tasks[[#This Row],[_Pred4UID]])=0,0,IFERROR(MATCH(Tasks[[#This Row],[_Pred4UID]],Tasks[UID],0),-1))</f>
        <v>0</v>
      </c>
      <c r="CM1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3" s="91" t="n">
        <f aca="false">IF(OR(Tasks[[#This Row],[_ConstraintCode]]=2,Tasks[[#This Row],[_ConstraintCode]]=3,Tasks[[#This Row],[_ConstraintCode]]=4,Tasks[[#This Row],[_ConstraintCode]]=6),Tasks[[#This Row],[_ConstraintStart]],0)</f>
        <v>0</v>
      </c>
      <c r="CP143" s="91" t="n">
        <f aca="false">IF(OR(Tasks[[#This Row],[_ConstraintCode]]=2,Tasks[[#This Row],[_ConstraintCode]]=3,Tasks[[#This Row],[_ConstraintCode]]=5,Tasks[[#This Row],[_ConstraintCode]]=7),Tasks[[#This Row],[_ConstraintStart]],2958465)</f>
        <v>2958465</v>
      </c>
      <c r="CQ1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3" s="91" t="str">
        <f aca="false">IF(NOT(Tasks[[#This Row],[_IsLeaf]]=1),"",IF(N(Tasks[[#This Row],[_Days]])&lt;=0,Tasks[[#This Row],[_LeafCalcStart]],WORKDAY.INTL(Tasks[[#This Row],[_LeafCalcStart]],Tasks[[#This Row],[_Days]]-1,WorkWeek,Holidays)))</f>
        <v/>
      </c>
      <c r="CS1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3" s="43" t="str">
        <f aca="false">IF(Tasks[[#This Row],[_Predecessors]]="","",TRIM(MID(SUBSTITUTE(SUBSTITUTE(SUBSTITUTE(UPPER(Tasks[[#This Row],[_Predecessors]]),";",",")," ",""),",",REPT(" ",99)),1,99)))</f>
        <v/>
      </c>
      <c r="CV143" s="43" t="str">
        <f aca="false">IF(Tasks[[#This Row],[_Pred1Text]]="","",IFERROR(VALUE(LEFT(Tasks[[#This Row],[_Pred1Text]],MIN(FIND("F",Tasks[[#This Row],[_Pred1Text]]&amp;"F"),FIND("S",Tasks[[#This Row],[_Pred1Text]]&amp;"S"),FIND("+",Tasks[[#This Row],[_Pred1Text]]&amp;"+"),FIND("-",Tasks[[#This Row],[_Pred1Text]]&amp;"-"))-1)),""))</f>
        <v/>
      </c>
      <c r="CW1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3" s="43" t="str">
        <f aca="false">IF(Tasks[[#This Row],[_Pred1Text]]="","",TRIM(MID(SUBSTITUTE(SUBSTITUTE(SUBSTITUTE(UPPER(Tasks[[#This Row],[_Predecessors]]),";",",")," ",""),",",REPT(" ",99)),100,99)))</f>
        <v/>
      </c>
      <c r="CZ143" s="43" t="str">
        <f aca="false">IF(Tasks[[#This Row],[_Pred2Text]]="","",IFERROR(VALUE(LEFT(Tasks[[#This Row],[_Pred2Text]],MIN(FIND("F",Tasks[[#This Row],[_Pred2Text]]&amp;"F"),FIND("S",Tasks[[#This Row],[_Pred2Text]]&amp;"S"),FIND("+",Tasks[[#This Row],[_Pred2Text]]&amp;"+"),FIND("-",Tasks[[#This Row],[_Pred2Text]]&amp;"-"))-1)),""))</f>
        <v/>
      </c>
      <c r="DA1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3" s="43" t="str">
        <f aca="false">IF(Tasks[[#This Row],[_Pred2Text]]="","",TRIM(MID(SUBSTITUTE(SUBSTITUTE(SUBSTITUTE(UPPER(Tasks[[#This Row],[_Predecessors]]),";",",")," ",""),",",REPT(" ",99)),199,99)))</f>
        <v/>
      </c>
      <c r="DD143" s="43" t="str">
        <f aca="false">IF(Tasks[[#This Row],[_Pred3Text]]="","",IFERROR(VALUE(LEFT(Tasks[[#This Row],[_Pred3Text]],MIN(FIND("F",Tasks[[#This Row],[_Pred3Text]]&amp;"F"),FIND("S",Tasks[[#This Row],[_Pred3Text]]&amp;"S"),FIND("+",Tasks[[#This Row],[_Pred3Text]]&amp;"+"),FIND("-",Tasks[[#This Row],[_Pred3Text]]&amp;"-"))-1)),""))</f>
        <v/>
      </c>
      <c r="DE1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3" s="43" t="str">
        <f aca="false">IF(Tasks[[#This Row],[_Pred3Text]]="","",TRIM(MID(SUBSTITUTE(SUBSTITUTE(SUBSTITUTE(UPPER(Tasks[[#This Row],[_Predecessors]]),";",",")," ",""),",",REPT(" ",99)),298,99)))</f>
        <v/>
      </c>
      <c r="DH143" s="43" t="str">
        <f aca="false">IF(Tasks[[#This Row],[_Pred4Text]]="","",IFERROR(VALUE(LEFT(Tasks[[#This Row],[_Pred4Text]],MIN(FIND("F",Tasks[[#This Row],[_Pred4Text]]&amp;"F"),FIND("S",Tasks[[#This Row],[_Pred4Text]]&amp;"S"),FIND("+",Tasks[[#This Row],[_Pred4Text]]&amp;"+"),FIND("-",Tasks[[#This Row],[_Pred4Text]]&amp;"-"))-1)),""))</f>
        <v/>
      </c>
      <c r="DI1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3" s="43" t="str">
        <f aca="false">IF(OR(Tasks[[#This Row],[Task Name]]="",Tasks[[#This Row],[_Resources]]=""),"",TRIM(MID(SUBSTITUTE(Tasks[[#This Row],[_Resources]],",",REPT(" ",99)),1,99)))</f>
        <v/>
      </c>
      <c r="DL143" s="43" t="str">
        <f aca="false">IF(Tasks[[#This Row],[_Res1Text]]="","",TRIM(MID(SUBSTITUTE(Tasks[[#This Row],[_Resources]],",",REPT(" ",99)),100,99)))</f>
        <v/>
      </c>
      <c r="DM143" s="43" t="str">
        <f aca="false">IF(Tasks[[#This Row],[_Res2Text]]="","",TRIM(MID(SUBSTITUTE(Tasks[[#This Row],[_Resources]],",",REPT(" ",99)),199,99)))</f>
        <v/>
      </c>
      <c r="DN143" s="43" t="str">
        <f aca="false">IF(Tasks[[#This Row],[_Res3Text]]="","",TRIM(MID(SUBSTITUTE(Tasks[[#This Row],[_Resources]],",",REPT(" ",99)),298,99)))</f>
        <v/>
      </c>
      <c r="DO143" s="43" t="n">
        <f aca="false">IF(Tasks[[#This Row],[_Res1Text]]="",0,IFERROR(MATCH(TRIM(LEFT(Tasks[[#This Row],[_Res1Text]],FIND("[",Tasks[[#This Row],[_Res1Text]]&amp;"[")-1)),res_Name,0),IFERROR(MATCH(TRIM(LEFT(Tasks[[#This Row],[_Res1Text]],FIND("[",Tasks[[#This Row],[_Res1Text]]&amp;"[")-1)),res_Initials,0),0)))</f>
        <v>0</v>
      </c>
      <c r="DP143" s="43" t="n">
        <f aca="false">IF(Tasks[[#This Row],[_Res2Text]]="",0,IFERROR(MATCH(TRIM(LEFT(Tasks[[#This Row],[_Res2Text]],FIND("[",Tasks[[#This Row],[_Res2Text]]&amp;"[")-1)),res_Name,0),IFERROR(MATCH(TRIM(LEFT(Tasks[[#This Row],[_Res2Text]],FIND("[",Tasks[[#This Row],[_Res2Text]]&amp;"[")-1)),res_Initials,0),0)))</f>
        <v>0</v>
      </c>
      <c r="DQ143" s="43" t="n">
        <f aca="false">IF(Tasks[[#This Row],[_Res3Text]]="",0,IFERROR(MATCH(TRIM(LEFT(Tasks[[#This Row],[_Res3Text]],FIND("[",Tasks[[#This Row],[_Res3Text]]&amp;"[")-1)),res_Name,0),IFERROR(MATCH(TRIM(LEFT(Tasks[[#This Row],[_Res3Text]],FIND("[",Tasks[[#This Row],[_Res3Text]]&amp;"[")-1)),res_Initials,0),0)))</f>
        <v>0</v>
      </c>
      <c r="DR143" s="43" t="n">
        <f aca="false">IF(Tasks[[#This Row],[_Res4Text]]="",0,IFERROR(MATCH(TRIM(LEFT(Tasks[[#This Row],[_Res4Text]],FIND("[",Tasks[[#This Row],[_Res4Text]]&amp;"[")-1)),res_Name,0),IFERROR(MATCH(TRIM(LEFT(Tasks[[#This Row],[_Res4Text]],FIND("[",Tasks[[#This Row],[_Res4Text]]&amp;"[")-1)),res_Initials,0),0)))</f>
        <v>0</v>
      </c>
      <c r="DS143" s="43" t="str">
        <f aca="false">IF(Tasks[[#This Row],[_Res1Text]]="","",IF(Tasks[[#This Row],[_Res1Row]]&gt;0,INDEX(res_Name,Tasks[[#This Row],[_Res1Row]]),TRIM(LEFT(Tasks[[#This Row],[_Res1Text]],FIND("[",Tasks[[#This Row],[_Res1Text]]&amp;"[")-1))))</f>
        <v/>
      </c>
      <c r="DT1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3" s="43" t="n">
        <f aca="false">IF(NOT(Tasks[[#This Row],[_IsLeaf]]=1),0,(Tasks[[#This Row],[_Resource1]]&lt;&gt;"")+(Tasks[[#This Row],[_Res2]]&lt;&gt;"")+(Tasks[[#This Row],[_Res3]]&lt;&gt;"")+(Tasks[[#This Row],[_Res4]]&lt;&gt;""))</f>
        <v>0</v>
      </c>
      <c r="DV143" s="43" t="str">
        <f aca="false">IF(Tasks[[#This Row],[_Res2Text]]="","",IF(Tasks[[#This Row],[_Res2Row]]&gt;0,INDEX(res_Name,Tasks[[#This Row],[_Res2Row]]),TRIM(LEFT(Tasks[[#This Row],[_Res2Text]],FIND("[",Tasks[[#This Row],[_Res2Text]]&amp;"[")-1))))</f>
        <v/>
      </c>
      <c r="DW1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3" s="43" t="n">
        <f aca="false">IF(OR(NOT(Tasks[[#This Row],[_IsLeaf]]=1),Tasks[[#This Row],[_Res2Row]]=0),0,N(Tasks[[#This Row],[_Days]])*HoursPerDay*IF(Tasks[[#This Row],[_Res2Units]]="",DefaultUnits,Tasks[[#This Row],[_Res2Units]]))</f>
        <v>0</v>
      </c>
      <c r="DY143" s="43" t="n">
        <f aca="false">IF(AND(AND(Tasks[[#This Row],[_IsLeaf]]=1,Tasks[[#This Row],[_LeafTotalWork]]&gt;0),Tasks[[#This Row],[_Res2Work]]&gt;0),Tasks[[#This Row],[_Res2Work]]/(Tasks[[#This Row],[_FinishWorkday]]-Tasks[[#This Row],[_StartWorkday]]+1),0)</f>
        <v>0</v>
      </c>
      <c r="DZ143" s="43" t="n">
        <f aca="false">Tasks[[#This Row],[_Res2WorkPerWD]]*MAX(0,Tasks[[#This Row],[_StartWorkday]]-1)</f>
        <v>0</v>
      </c>
      <c r="EA143" s="43" t="n">
        <f aca="false">Tasks[[#This Row],[_Res2Work]]*Tasks[[#This Row],[_LeafProgress]]</f>
        <v>0</v>
      </c>
      <c r="EB143" s="43" t="str">
        <f aca="false">IF(Tasks[[#This Row],[_Res3Text]]="","",IF(Tasks[[#This Row],[_Res3Row]]&gt;0,INDEX(res_Name,Tasks[[#This Row],[_Res3Row]]),TRIM(LEFT(Tasks[[#This Row],[_Res3Text]],FIND("[",Tasks[[#This Row],[_Res3Text]]&amp;"[")-1))))</f>
        <v/>
      </c>
      <c r="EC1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3" s="43" t="n">
        <f aca="false">IF(OR(NOT(Tasks[[#This Row],[_IsLeaf]]=1),Tasks[[#This Row],[_Res3Row]]=0),0,N(Tasks[[#This Row],[_Days]])*HoursPerDay*IF(Tasks[[#This Row],[_Res3Units]]="",DefaultUnits,Tasks[[#This Row],[_Res3Units]]))</f>
        <v>0</v>
      </c>
      <c r="EE143" s="43" t="n">
        <f aca="false">IF(AND(AND(Tasks[[#This Row],[_IsLeaf]]=1,Tasks[[#This Row],[_LeafTotalWork]]&gt;0),Tasks[[#This Row],[_Res3Work]]&gt;0),Tasks[[#This Row],[_Res3Work]]/(Tasks[[#This Row],[_FinishWorkday]]-Tasks[[#This Row],[_StartWorkday]]+1),0)</f>
        <v>0</v>
      </c>
      <c r="EF143" s="43" t="n">
        <f aca="false">Tasks[[#This Row],[_Res3WorkPerWD]]*MAX(0,Tasks[[#This Row],[_StartWorkday]]-1)</f>
        <v>0</v>
      </c>
      <c r="EG143" s="43" t="n">
        <f aca="false">Tasks[[#This Row],[_Res3Work]]*Tasks[[#This Row],[_LeafProgress]]</f>
        <v>0</v>
      </c>
      <c r="EH143" s="43" t="str">
        <f aca="false">IF(Tasks[[#This Row],[_Res4Text]]="","",IF(Tasks[[#This Row],[_Res4Row]]&gt;0,INDEX(res_Name,Tasks[[#This Row],[_Res4Row]]),TRIM(LEFT(Tasks[[#This Row],[_Res4Text]],FIND("[",Tasks[[#This Row],[_Res4Text]]&amp;"[")-1))))</f>
        <v/>
      </c>
      <c r="EI1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3" s="43" t="n">
        <f aca="false">IF(OR(NOT(Tasks[[#This Row],[_IsLeaf]]=1),Tasks[[#This Row],[_Res4Row]]=0),0,N(Tasks[[#This Row],[_Days]])*HoursPerDay*IF(Tasks[[#This Row],[_Res4Units]]="",DefaultUnits,Tasks[[#This Row],[_Res4Units]]))</f>
        <v>0</v>
      </c>
      <c r="EK143" s="43" t="n">
        <f aca="false">IF(AND(AND(Tasks[[#This Row],[_IsLeaf]]=1,Tasks[[#This Row],[_LeafTotalWork]]&gt;0),Tasks[[#This Row],[_Res4Work]]&gt;0),Tasks[[#This Row],[_Res4Work]]/(Tasks[[#This Row],[_FinishWorkday]]-Tasks[[#This Row],[_StartWorkday]]+1),0)</f>
        <v>0</v>
      </c>
      <c r="EL143" s="43" t="n">
        <f aca="false">Tasks[[#This Row],[_Res4WorkPerWD]]*MAX(0,Tasks[[#This Row],[_StartWorkday]]-1)</f>
        <v>0</v>
      </c>
      <c r="EM143" s="43" t="n">
        <f aca="false">Tasks[[#This Row],[_Res4Work]]*Tasks[[#This Row],[_LeafProgress]]</f>
        <v>0</v>
      </c>
      <c r="EN143" s="43" t="n">
        <f aca="false">IF(ISNUMBER(Tasks[[#This Row],[% Complete]]),Tasks[[#This Row],[% Complete]],IF(Tasks[[#This Row],[Stage]]="",0,IFERROR(INDEX(stg_Pct,MATCH(Tasks[[#This Row],[Stage]],stg_Name,0)),0)))</f>
        <v>0</v>
      </c>
      <c r="EO143" s="43" t="n">
        <f aca="false">IF(NOT(Tasks[[#This Row],[_IsLeaf]]=1),0,IF(N(Tasks[[#This Row],[Actual Finish]])&gt;0,1,MIN(1,Tasks[[#This Row],[_Pct]])))</f>
        <v>0</v>
      </c>
      <c r="EP143" s="43" t="n">
        <f aca="false">IF(OR(NOT(Tasks[[#This Row],[_IsLeaf]]=1),Tasks[[#This Row],[_Res1Row]]=0),0,N(Tasks[[#This Row],[_Days]])*HoursPerDay*IF(Tasks[[#This Row],[_Units1]]="",DefaultUnits,Tasks[[#This Row],[_Units1]]))</f>
        <v>0</v>
      </c>
      <c r="EQ143" s="43" t="n">
        <f aca="false">Tasks[[#This Row],[_LeafWork]]+Tasks[[#This Row],[_Res2Work]]+Tasks[[#This Row],[_Res3Work]]+Tasks[[#This Row],[_Res4Work]]</f>
        <v>0</v>
      </c>
      <c r="ER14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3" s="43" t="n">
        <f aca="false">IF(NOT(Tasks[[#This Row],[_IsLeaf]]=1),0,MAX(_xlfn.MAXIFS(Tasks[_Row],Tasks[_Pred1UID],Tasks[[#This Row],[UID]]),_xlfn.MAXIFS(Tasks[_Row],Tasks[_Pred2UID],Tasks[[#This Row],[UID]]),_xlfn.MAXIFS(Tasks[_Row],Tasks[_Pred3UID],Tasks[[#This Row],[UID]]),_xlfn.MAXIFS(Tasks[_Row],Tasks[_Pred4UID],Tasks[[#This Row],[UID]])))</f>
        <v>0</v>
      </c>
      <c r="FA1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3" s="91" t="str">
        <f aca="false">IF(NOT(Tasks[[#This Row],[_IsLeaf]]=1),"",IF(N(Tasks[[#This Row],[_Days]])&lt;=0,Tasks[[#This Row],[_LeafLateFinish]],WORKDAY.INTL(Tasks[[#This Row],[_LeafLateFinish]],-(Tasks[[#This Row],[_Days]]-1),WorkWeek,Holidays)))</f>
        <v/>
      </c>
      <c r="FD1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3" s="90" t="b">
        <f aca="false">AND(Tasks[[#This Row],[_IsLeaf]]=1,Tasks[[#This Row],[_LeafProgress]]&lt;1,N(Tasks[[#This Row],[_LeafTotalSlack]])&lt;=CriticalSlackDays)</f>
        <v>0</v>
      </c>
      <c r="FF143" s="43" t="n">
        <f aca="false">IF(AND(Tasks[[#This Row],[_IsLeaf]]=1,Tasks[[#This Row],[_ConstraintCode]]=1,Tasks[[#This Row],[Mode]]&lt;&gt;"Manual",N(Tasks[[#This Row],[Actual Start]])=0),MAX(0,N(Tasks[[#This Row],[Free Slack]])),0)</f>
        <v>0</v>
      </c>
      <c r="FG143" s="91" t="str">
        <f aca="false">IF(NOT(Tasks[[#This Row],[_IsLeaf]]=1),"",IF(Tasks[[#This Row],[_AlapShift]]=0,Tasks[[#This Row],[_LeafCalcStart]],WORKDAY.INTL(Tasks[[#This Row],[_LeafCalcStart]],Tasks[[#This Row],[_AlapShift]],WorkWeek,Holidays)))</f>
        <v/>
      </c>
      <c r="FH143" s="91" t="str">
        <f aca="false">IF(NOT(Tasks[[#This Row],[_IsLeaf]]=1),"",IF(Tasks[[#This Row],[_AlapShift]]=0,Tasks[[#This Row],[_LeafCalcFinish]],WORKDAY.INTL(Tasks[[#This Row],[_LeafCalcFinish]],Tasks[[#This Row],[_AlapShift]],WorkWeek,Holidays)))</f>
        <v/>
      </c>
      <c r="FI143" s="91" t="str">
        <f aca="false">IF(NOT(Tasks[[#This Row],[_IsLeaf]]=1),"",IF(Tasks[[#This Row],[_AlapShift]]=0,Tasks[[#This Row],[_LeafFcstStart]],WORKDAY.INTL(Tasks[[#This Row],[_LeafFcstStart]],Tasks[[#This Row],[_AlapShift]],WorkWeek,Holidays)))</f>
        <v/>
      </c>
      <c r="FJ143" s="91" t="str">
        <f aca="false">IF(NOT(Tasks[[#This Row],[_IsLeaf]]=1),"",IF(Tasks[[#This Row],[_AlapShift]]=0,Tasks[[#This Row],[_LeafFcstFinish]],WORKDAY.INTL(Tasks[[#This Row],[_LeafFcstFinish]],Tasks[[#This Row],[_AlapShift]],WorkWeek,Holidays)))</f>
        <v/>
      </c>
      <c r="FK143" s="91" t="str">
        <f aca="false">IF(Tasks[[#This Row],[Task Name]]="","",IF(Tasks[[#This Row],[_IsSummary]],MIN(INDEX(Tasks[_ShownCalcStart],Tasks[[#This Row],[_Row]]+1):INDEX(Tasks[_ShownCalcStart],Tasks[[#This Row],[_Row]]+Tasks[[#This Row],[_Descendants]])),Tasks[[#This Row],[_ShownCalcStart]]))</f>
        <v/>
      </c>
      <c r="FL143" s="91" t="str">
        <f aca="false">IF(Tasks[[#This Row],[Task Name]]="","",IF(Tasks[[#This Row],[_IsSummary]],MAX(INDEX(Tasks[_ShownCalcFinish],Tasks[[#This Row],[_Row]]+1):INDEX(Tasks[_ShownCalcFinish],Tasks[[#This Row],[_Row]]+Tasks[[#This Row],[_Descendants]])),Tasks[[#This Row],[_ShownCalcFinish]]))</f>
        <v/>
      </c>
      <c r="FM1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3" s="43" t="n">
        <f aca="false">IF(AND(Tasks[[#This Row],[_IsLeaf]]=1,Tasks[[#This Row],[_LeafTotalWork]]&gt;0),NETWORKDAYS.INTL(ProjectStart,Tasks[[#This Row],[_ShownFcstStart]],WorkWeek,Holidays),0)</f>
        <v>0</v>
      </c>
      <c r="FZ143" s="43" t="n">
        <f aca="false">IF(AND(Tasks[[#This Row],[_IsLeaf]]=1,Tasks[[#This Row],[_LeafTotalWork]]&gt;0),MAX(Tasks[[#This Row],[_StartWorkday]],NETWORKDAYS.INTL(ProjectStart,Tasks[[#This Row],[_ShownFcstFinish]],WorkWeek,Holidays)),0)</f>
        <v>0</v>
      </c>
      <c r="GA143" s="43" t="n">
        <f aca="false">IF(AND(Tasks[[#This Row],[_IsLeaf]]=1,Tasks[[#This Row],[_LeafTotalWork]]&gt;0),Tasks[[#This Row],[_LeafWork]]/(Tasks[[#This Row],[_FinishWorkday]]-Tasks[[#This Row],[_StartWorkday]]+1),0)</f>
        <v>0</v>
      </c>
      <c r="GB143" s="43" t="n">
        <f aca="false">Tasks[[#This Row],[_WorkPerWorkday]]*(Tasks[[#This Row],[_StartWorkday]]-1)</f>
        <v>-0</v>
      </c>
      <c r="GC143" s="43" t="n">
        <f aca="false">IF(Tasks[[#This Row],[_IsLeaf]]=1,MAX(N(Tasks[[#This Row],[_Days]]),0.1),0)</f>
        <v>0</v>
      </c>
      <c r="GD143" s="43" t="n">
        <f aca="false">Tasks[[#This Row],[_WeightDur]]*Tasks[[#This Row],[_LeafProgress]]</f>
        <v>0</v>
      </c>
      <c r="GE143" s="43" t="n">
        <f aca="false">Tasks[[#This Row],[_WeightDur]]*Tasks[[#This Row],[_PlannedPct]]</f>
        <v>0</v>
      </c>
      <c r="GF1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3" s="43" t="str">
        <f aca="false">IF(AND(Tasks[[#This Row],[_IsLeaf]]=1,N(Tasks[[#This Row],[_Days]])=0,Tasks[[#This Row],[_LeafProgress]]&lt;1),Tasks[[#This Row],[_ShownFcstFinish]]+Tasks[[#This Row],[_Row]]/100000,"")</f>
        <v/>
      </c>
      <c r="GH1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3" s="43" t="str">
        <f aca="false">IF(Tasks[[#This Row],[Task Name]]="","",LEFT(Tasks[[#This Row],[WBS]],FIND(".",Tasks[[#This Row],[WBS]]&amp;".")-1))</f>
        <v/>
      </c>
      <c r="GJ143" s="43" t="str">
        <f aca="false">IF(AND(Tasks[[#This Row],[Task Name]]&lt;&gt;"",Tasks[[#This Row],[_Level]]=1),Tasks[[#This Row],[_Row]],"")</f>
        <v/>
      </c>
      <c r="GK143" s="43" t="str">
        <f aca="false">IF(AND(Tasks[[#This Row],[_IsLeaf]]=1,N(Tasks[[#This Row],[_Days]])=0),Tasks[[#This Row],[Planned Finish]]+Tasks[[#This Row],[_Row]]/100000,"")</f>
        <v/>
      </c>
      <c r="GL143" s="43" t="str">
        <f aca="false">IF(AND(Tasks[[#This Row],[_IsLeaf]]=1,Tasks[[#This Row],[_LeafProgress]]&lt;1,OR(N(Tasks[[#This Row],[Finish Var]])&gt;0,Tasks[[#This Row],[Status]]="Late Start")),MAX(0,Tasks[[#This Row],[Finish Var]])+1-Tasks[[#This Row],[_Row]]/1000000,"")</f>
        <v/>
      </c>
      <c r="GM143" s="43" t="str">
        <f aca="false">IF(AND(Tasks[[#This Row],[_IsLeaf]]=1,N(Tasks[[#This Row],[Actual Start]])=0,Tasks[[#This Row],[_ShownFcstStart]]&gt;=StatusDate,Tasks[[#This Row],[_ShownFcstStart]]&lt;=LookaheadEnd),Tasks[[#This Row],[_ShownFcstStart]]+Tasks[[#This Row],[_Row]]/100000,"")</f>
        <v/>
      </c>
      <c r="GN143" s="43" t="str">
        <f aca="false">IF(AND(Tasks[[#This Row],[_IsLeaf]]=1,Tasks[[#This Row],[_LeafProgress]]&lt;1,Tasks[[#This Row],[_ShownFcstFinish]]&gt;=StatusDate,Tasks[[#This Row],[_ShownFcstFinish]]&lt;=LookaheadEnd),Tasks[[#This Row],[_ShownFcstFinish]]+Tasks[[#This Row],[_Row]]/100000,"")</f>
        <v/>
      </c>
      <c r="GO143" s="43" t="str">
        <f aca="false">IF(Tasks[[#This Row],[_LeafCritical]],Tasks[[#This Row],[_ShownFcstStart]]+Tasks[[#This Row],[_Row]]/100000,"")</f>
        <v/>
      </c>
      <c r="GP143" s="43" t="n">
        <f aca="false">Tasks[[#This Row],[_LeafWork]]*Tasks[[#This Row],[_LeafProgress]]</f>
        <v>0</v>
      </c>
      <c r="GQ143" s="91" t="str">
        <f aca="false">IF(AND(Tasks[[#This Row],[_IsLeaf]]=1,Tasks[[#This Row],[_LeafProgress]]&gt;=1),IF(N(Tasks[[#This Row],[Actual Finish]])&gt;0,Tasks[[#This Row],[Actual Finish]],Tasks[[#This Row],[_ShownFcstFinish]]),"")</f>
        <v/>
      </c>
      <c r="GR143" s="43" t="n">
        <f aca="false">IF(Tasks[[#This Row],[_IsLeaf]]=1,N(Tasks[[#This Row],[Story Points]]),0)</f>
        <v>0</v>
      </c>
      <c r="GS143" s="43" t="str">
        <f aca="false">""</f>
        <v/>
      </c>
      <c r="GT143" s="90" t="b">
        <f aca="false">IF(Tasks[[#This Row],[Task Name]]="",FALSE(),AND(Tasks[[#This Row],[_IsLeaf]]=1,N(Tasks[[#This Row],[_Days]])=0))</f>
        <v>0</v>
      </c>
      <c r="GU143" s="91" t="n">
        <f aca="false">IF(Tasks[[#This Row],[Task Name]]="",0,IF(AND(Tasks[[#This Row],[_IsLeaf]]=1,NOT(Tasks[[#This Row],[_IsMilestone]]),N(Tasks[[#This Row],[Progress]])&gt;0),Tasks[[#This Row],[Start]],0))</f>
        <v>0</v>
      </c>
      <c r="GV143" s="91" t="n">
        <f aca="false">IF(Tasks[[#This Row],[_DoneFrom]]=0,0,IF(Tasks[[#This Row],[Progress]]&gt;=1,Tasks[[#This Row],[Finish]],MAX(Tasks[[#This Row],[_DoneFrom]],Tasks[[#This Row],[Start]]+ROUND((Tasks[[#This Row],[Finish]]-Tasks[[#This Row],[Start]]+1)*Tasks[[#This Row],[Progress]],0)-1)))</f>
        <v>0</v>
      </c>
      <c r="GW143" s="91" t="n">
        <f aca="false">IF(Tasks[[#This Row],[Task Name]]="",0,IF(OR(NOT(Tasks[[#This Row],[_IsLeaf]]=1),Tasks[[#This Row],[_IsMilestone]],N(Tasks[[#This Row],[Progress]])&gt;=1),0,IF(Tasks[[#This Row],[_DoneTo]]&gt;0,Tasks[[#This Row],[_DoneTo]]+1,Tasks[[#This Row],[Start]])))</f>
        <v>0</v>
      </c>
      <c r="GX143" s="91" t="n">
        <f aca="false">IF(Tasks[[#This Row],[_RemFrom]]=0,0,Tasks[[#This Row],[Finish]])</f>
        <v>0</v>
      </c>
      <c r="GY143" s="90" t="b">
        <f aca="false">IF(Tasks[[#This Row],[Task Name]]="",FALSE(),OR(NOT(BaselineSet),N(Tasks[[#This Row],[Baseline Start]])&gt;0))</f>
        <v>0</v>
      </c>
      <c r="GZ14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3" s="92" t="str">
        <f aca="false">IF(Tasks[[#This Row],[_IsLeaf]]=1,Tasks[[#This Row],[_Row]],"")</f>
        <v/>
      </c>
      <c r="HD143" s="92" t="str">
        <f aca="false">IFERROR(INDEX(Tasks[UID],SMALL(Tasks[_PickKey],Tasks[[#This Row],[_Row]]))&amp;" "&amp;INDEX(Tasks[Task Name],SMALL(Tasks[_PickKey],Tasks[[#This Row],[_Row]])),"")</f>
        <v/>
      </c>
      <c r="HE143" s="43" t="str">
        <f aca="false">IF(Tasks[[#This Row],[Task Name]]="","",IF(Tasks[[#This Row],[_IsSummary]],NETWORKDAYS.INTL(Tasks[[#This Row],[Start]],Tasks[[#This Row],[Finish]],WorkWeek,Holidays),N(Tasks[[#This Row],[_Days]])))</f>
        <v/>
      </c>
      <c r="HF143" s="43" t="n">
        <f aca="false">IF(Tasks[[#This Row],[Expected]]="",0,((Tasks[[#This Row],[Pessimistic]]-Tasks[[#This Row],[Optimistic]])/6)^2)</f>
        <v>0</v>
      </c>
      <c r="HG143" s="43" t="n">
        <f aca="false">IF(Tasks[[#This Row],[Expected]]="",0,Tasks[[#This Row],[Expected]]-N(Tasks[[#This Row],[_Days]]))</f>
        <v>0</v>
      </c>
    </row>
    <row r="144" customFormat="false" ht="15" hidden="false" customHeight="false" outlineLevel="0" collapsed="false">
      <c r="A144" s="21" t="str">
        <f aca="false">IF(Tasks[[#This Row],[Task Name]]="","",COUNTA(Tasks[[#Headers],[Task Name]]:Tasks[[#This Row],[Task Name]])-1)</f>
        <v/>
      </c>
      <c r="B144" s="22" t="n">
        <v>152</v>
      </c>
      <c r="C144" s="22"/>
      <c r="D144" s="23"/>
      <c r="E144" s="22"/>
      <c r="F144" s="23"/>
      <c r="G144" s="22"/>
      <c r="H144" s="22"/>
      <c r="I144" s="23"/>
      <c r="J144" s="22"/>
      <c r="K144" s="22"/>
      <c r="L144" s="23"/>
      <c r="M144" s="22"/>
      <c r="N144" s="22"/>
      <c r="O144" s="23"/>
      <c r="P144" s="22"/>
      <c r="Q144" s="22"/>
      <c r="R144" s="23"/>
      <c r="S144" s="23"/>
      <c r="T144" s="84"/>
      <c r="U144" s="23"/>
      <c r="V144" s="84"/>
      <c r="W144" s="23"/>
      <c r="X144" s="84"/>
      <c r="Y144" s="23"/>
      <c r="Z144" s="84"/>
      <c r="AA144" s="23"/>
      <c r="AB144" s="23"/>
      <c r="AC144" s="7"/>
      <c r="AD144" s="7"/>
      <c r="AE144" s="63" t="str">
        <f aca="false">IF(Tasks[[#This Row],[Task Name]]="","",IF(Tasks[[#This Row],[_IsSummary]],MIN(INDEX(Tasks[_ShownFcstStart],Tasks[[#This Row],[_Row]]+1):INDEX(Tasks[_ShownFcstStart],Tasks[[#This Row],[_Row]]+Tasks[[#This Row],[_Descendants]])),Tasks[[#This Row],[_ShownFcstStart]]))</f>
        <v/>
      </c>
      <c r="AF144" s="63" t="str">
        <f aca="false">IF(Tasks[[#This Row],[Task Name]]="","",IF(Tasks[[#This Row],[_IsSummary]],MAX(INDEX(Tasks[_ShownFcstFinish],Tasks[[#This Row],[_Row]]+1):INDEX(Tasks[_ShownFcstFinish],Tasks[[#This Row],[_Row]]+Tasks[[#This Row],[_Descendants]])),Tasks[[#This Row],[_ShownFcstFinish]]))</f>
        <v/>
      </c>
      <c r="AG144" s="21" t="str">
        <f aca="false">""</f>
        <v/>
      </c>
      <c r="AH144" s="23"/>
      <c r="AI1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4" s="7"/>
      <c r="AK144" s="22"/>
      <c r="AL144" s="23"/>
      <c r="AM144" s="7"/>
      <c r="AN144" s="47" t="str">
        <f aca="false">IF(Tasks[[#This Row],[Task Name]]="","",IF(Tasks[[#This Row],[Finish]]&gt;=Tasks[[#This Row],[Planned Finish]],NETWORKDAYS.INTL(Tasks[[#This Row],[Planned Finish]],Tasks[[#This Row],[Finish]],WorkWeek,Holidays)-1,1-NETWORKDAYS.INTL(Tasks[[#This Row],[Finish]],Tasks[[#This Row],[Planned Finish]],WorkWeek,Holidays)))</f>
        <v/>
      </c>
      <c r="AO144" s="21" t="str">
        <f aca="false">IF(Tasks[[#This Row],[Task Name]]="","",IF(Tasks[[#This Row],[Progress]]&gt;=1,"Complete",IF(OR(N(Tasks[[#This Row],[Actual Start]])&gt;0,Tasks[[#This Row],[Progress]]&gt;0),IF(Tasks[[#This Row],[Finish Var]]&gt;0,"Behind","In Progress"),IF(Tasks[[#This Row],[Planned Start]]&lt;StatusDate,"Late Start","Not Started"))))</f>
        <v/>
      </c>
      <c r="AP144" s="21" t="str">
        <f aca="false">IF(Tasks[[#This Row],[Task Name]]="","",IF(IF(Tasks[[#This Row],[_IsSummary]],COUNTIF(INDEX(Tasks[_LeafCritical],Tasks[[#This Row],[_Row]]+1):INDEX(Tasks[_LeafCritical],Tasks[[#This Row],[_Row]]+Tasks[[#This Row],[_Descendants]]),TRUE())&gt;0,Tasks[[#This Row],[_LeafCritical]]),"Yes",""))</f>
        <v/>
      </c>
      <c r="AQ144" s="63" t="str">
        <f aca="false">IF(Tasks[[#This Row],[Task Name]]="","",IF(N(Tasks[[#This Row],[Baseline Start]])&gt;0,Tasks[[#This Row],[Baseline Start]],Tasks[[#This Row],[_CalcStart]]))</f>
        <v/>
      </c>
      <c r="AR144" s="63" t="str">
        <f aca="false">IF(Tasks[[#This Row],[Task Name]]="","",IF(N(Tasks[[#This Row],[Baseline Finish]])&gt;0,Tasks[[#This Row],[Baseline Finish]],Tasks[[#This Row],[_CalcFinish]]))</f>
        <v/>
      </c>
      <c r="AS144" s="47" t="str">
        <f aca="false">IF(Tasks[[#This Row],[Task Name]]="","",IF(Tasks[[#This Row],[Start]]&gt;=Tasks[[#This Row],[Planned Start]],NETWORKDAYS.INTL(Tasks[[#This Row],[Planned Start]],Tasks[[#This Row],[Start]],WorkWeek,Holidays)-1,1-NETWORKDAYS.INTL(Tasks[[#This Row],[Start]],Tasks[[#This Row],[Planned Start]],WorkWeek,Holidays)))</f>
        <v/>
      </c>
      <c r="AT144" s="63" t="str">
        <f aca="false">IF(Tasks[[#This Row],[Task Name]]="","",IF(Tasks[[#This Row],[_IsSummary]],MIN(INDEX(Tasks[_LeafLateStart],Tasks[[#This Row],[_Row]]+1):INDEX(Tasks[_LeafLateStart],Tasks[[#This Row],[_Row]]+Tasks[[#This Row],[_Descendants]])),Tasks[[#This Row],[_LeafLateStart]]))</f>
        <v/>
      </c>
      <c r="AU144" s="63" t="str">
        <f aca="false">IF(Tasks[[#This Row],[Task Name]]="","",IF(Tasks[[#This Row],[_IsSummary]],MAX(INDEX(Tasks[_LeafLateFinish],Tasks[[#This Row],[_Row]]+1):INDEX(Tasks[_LeafLateFinish],Tasks[[#This Row],[_Row]]+Tasks[[#This Row],[_Descendants]])),Tasks[[#This Row],[_LeafLateFinish]]))</f>
        <v/>
      </c>
      <c r="AV144" s="47" t="str">
        <f aca="false">IF(Tasks[[#This Row],[Task Name]]="","",IF(Tasks[[#This Row],[_IsSummary]],MIN(INDEX(Tasks[_LeafTotalSlack],Tasks[[#This Row],[_Row]]+1):INDEX(Tasks[_LeafTotalSlack],Tasks[[#This Row],[_Row]]+Tasks[[#This Row],[_Descendants]])),Tasks[[#This Row],[_LeafTotalSlack]]))</f>
        <v/>
      </c>
      <c r="AW1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5"/>
      <c r="BA14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t="str">
        <f aca="false">IF(Tasks[[#This Row],[Task Name]]="","",IF(Tasks[[#This Row],[_Level]]&lt;=OutlineShowLevel,"Yes","No"))</f>
        <v/>
      </c>
      <c r="BE144" s="86" t="str">
        <f aca="false">IF(Tasks[[#This Row],[Task Name]]="","",IF(Tasks[[#This Row],[_IsSummary]],SUM(INDEX(Tasks[_LeafTotalWork],Tasks[[#This Row],[_Row]]+1):INDEX(Tasks[_LeafTotalWork],Tasks[[#This Row],[_Row]]+Tasks[[#This Row],[_Descendants]])),Tasks[[#This Row],[_LeafTotalWork]]))</f>
        <v/>
      </c>
      <c r="BF144" s="23"/>
      <c r="BG1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t="str">
        <f aca="false">""</f>
        <v/>
      </c>
      <c r="BI144" s="87"/>
      <c r="BJ144" s="22"/>
      <c r="BK144" s="47" t="str">
        <f aca="false">IF(OR(Tasks[[#This Row],[Task Name]]="",Tasks[[#This Row],[Baseline Duration]]=""),"",Tasks[[#This Row],[_SpanDays]]-N(Tasks[[#This Row],[Baseline Duration]]))</f>
        <v/>
      </c>
      <c r="BL144" s="86" t="str">
        <f aca="false">IF(OR(Tasks[[#This Row],[Task Name]]="",Tasks[[#This Row],[Baseline Work]]=""),"",Tasks[[#This Row],[Work]]-N(Tasks[[#This Row],[Baseline Work]]))</f>
        <v/>
      </c>
      <c r="BM144" s="63" t="str">
        <f aca="false">IF(Tasks[[#This Row],[Task Name]]="","",IF(OR(TakeBaseline="Yes",N(Tasks[[#This Row],[Baseline Start]])=0),Tasks[[#This Row],[Start]],Tasks[[#This Row],[Baseline Start]]))</f>
        <v/>
      </c>
      <c r="BN144" s="63" t="str">
        <f aca="false">IF(Tasks[[#This Row],[Task Name]]="","",IF(OR(TakeBaseline="Yes",N(Tasks[[#This Row],[Baseline Finish]])=0),Tasks[[#This Row],[Finish]],Tasks[[#This Row],[Baseline Finish]]))</f>
        <v/>
      </c>
      <c r="BO144" s="21" t="str">
        <f aca="false">IF(Tasks[[#This Row],[Task Name]]="","",IF(OR(TakeBaseline="Yes",N(Tasks[[#This Row],[Baseline Duration]])=0),Tasks[[#This Row],[_SpanDays]],Tasks[[#This Row],[Baseline Duration]]))</f>
        <v/>
      </c>
      <c r="BP144" s="86" t="str">
        <f aca="false">IF(Tasks[[#This Row],[Task Name]]="","",IF(OR(TakeBaseline="Yes",N(Tasks[[#This Row],[Baseline Work]])=0),Tasks[[#This Row],[Work]],Tasks[[#This Row],[Baseline Work]]))</f>
        <v/>
      </c>
      <c r="BQ144" s="7"/>
      <c r="BR144" s="7"/>
      <c r="BS144" s="22"/>
      <c r="BT144" s="88"/>
      <c r="BU144" s="23"/>
      <c r="BV144" s="23"/>
      <c r="BW144" s="23"/>
      <c r="BX144" s="89" t="str">
        <f aca="false">IF(AND(Tasks[[#This Row],[_IsLeaf]]=1,ISNUMBER(Tasks[[#This Row],[Optimistic]]),ISNUMBER(Tasks[[#This Row],[Pessimistic]])),ROUND((Tasks[[#This Row],[Optimistic]]+4*N(Tasks[[#This Row],[_Days]])+Tasks[[#This Row],[Pessimistic]])/6,1),"")</f>
        <v/>
      </c>
      <c r="BY144" s="87"/>
      <c r="BZ144" s="87"/>
      <c r="CA144" s="22"/>
      <c r="CB144" s="43" t="str">
        <f aca="false">IF(Tasks[[#This Row],[Task Name]]="","",MAX(1,N(Tasks[[#This Row],[Level]])))</f>
        <v/>
      </c>
      <c r="CC144" s="43" t="n">
        <f aca="false">ROW()-ROW(Tasks[[#Headers],[ID]])</f>
        <v>139</v>
      </c>
      <c r="CD144" s="43" t="n">
        <f aca="false">IF(OR(Tasks[[#This Row],[Task Name]]="",Tasks[[#This Row],[_Level]]&lt;=1),0,IFERROR(LOOKUP(2,1/(Tasks[[#Headers],[_Level]]:Tasks[[#This Row],[_Level]]=Tasks[[#This Row],[_Level]]-1),ROW(Tasks[[#Headers],[_Level]]:Tasks[[#This Row],[_Level]])),0))</f>
        <v>0</v>
      </c>
      <c r="CE144" s="43" t="n">
        <f aca="false">IFERROR(N(INDEX(Tasks[_Level],Tasks[[#This Row],[_Row]]+1)),0)</f>
        <v>0</v>
      </c>
      <c r="CF144" s="90" t="b">
        <f aca="false">AND(Tasks[[#This Row],[Task Name]]&lt;&gt;"",Tasks[[#This Row],[_NextLevel]]&gt;Tasks[[#This Row],[_Level]])</f>
        <v>0</v>
      </c>
      <c r="CG144" s="43" t="n">
        <f aca="false">IF(Tasks[[#This Row],[_IsSummary]],COUNTIF(Tasks[WBS],Tasks[[#This Row],[WBS]]&amp;".*"),0)</f>
        <v>0</v>
      </c>
      <c r="CH144" s="43" t="n">
        <f aca="false">IF(AND(Tasks[[#This Row],[Task Name]]&lt;&gt;"",NOT(Tasks[[#This Row],[_IsSummary]])),1,0)</f>
        <v>0</v>
      </c>
      <c r="CI144" s="43" t="n">
        <f aca="false">IF(N(Tasks[[#This Row],[_Pred1UID]])=0,0,IFERROR(MATCH(Tasks[[#This Row],[_Pred1UID]],Tasks[UID],0),-1))</f>
        <v>0</v>
      </c>
      <c r="CJ144" s="43" t="n">
        <f aca="false">IF(N(Tasks[[#This Row],[_Pred2UID]])=0,0,IFERROR(MATCH(Tasks[[#This Row],[_Pred2UID]],Tasks[UID],0),-1))</f>
        <v>0</v>
      </c>
      <c r="CK144" s="43" t="n">
        <f aca="false">IF(N(Tasks[[#This Row],[_Pred3UID]])=0,0,IFERROR(MATCH(Tasks[[#This Row],[_Pred3UID]],Tasks[UID],0),-1))</f>
        <v>0</v>
      </c>
      <c r="CL144" s="43" t="n">
        <f aca="false">IF(N(Tasks[[#This Row],[_Pred4UID]])=0,0,IFERROR(MATCH(Tasks[[#This Row],[_Pred4UID]],Tasks[UID],0),-1))</f>
        <v>0</v>
      </c>
      <c r="CM1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4" s="91" t="n">
        <f aca="false">IF(OR(Tasks[[#This Row],[_ConstraintCode]]=2,Tasks[[#This Row],[_ConstraintCode]]=3,Tasks[[#This Row],[_ConstraintCode]]=4,Tasks[[#This Row],[_ConstraintCode]]=6),Tasks[[#This Row],[_ConstraintStart]],0)</f>
        <v>0</v>
      </c>
      <c r="CP144" s="91" t="n">
        <f aca="false">IF(OR(Tasks[[#This Row],[_ConstraintCode]]=2,Tasks[[#This Row],[_ConstraintCode]]=3,Tasks[[#This Row],[_ConstraintCode]]=5,Tasks[[#This Row],[_ConstraintCode]]=7),Tasks[[#This Row],[_ConstraintStart]],2958465)</f>
        <v>2958465</v>
      </c>
      <c r="CQ1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4" s="91" t="str">
        <f aca="false">IF(NOT(Tasks[[#This Row],[_IsLeaf]]=1),"",IF(N(Tasks[[#This Row],[_Days]])&lt;=0,Tasks[[#This Row],[_LeafCalcStart]],WORKDAY.INTL(Tasks[[#This Row],[_LeafCalcStart]],Tasks[[#This Row],[_Days]]-1,WorkWeek,Holidays)))</f>
        <v/>
      </c>
      <c r="CS1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4" s="43" t="str">
        <f aca="false">IF(Tasks[[#This Row],[_Predecessors]]="","",TRIM(MID(SUBSTITUTE(SUBSTITUTE(SUBSTITUTE(UPPER(Tasks[[#This Row],[_Predecessors]]),";",",")," ",""),",",REPT(" ",99)),1,99)))</f>
        <v/>
      </c>
      <c r="CV144" s="43" t="str">
        <f aca="false">IF(Tasks[[#This Row],[_Pred1Text]]="","",IFERROR(VALUE(LEFT(Tasks[[#This Row],[_Pred1Text]],MIN(FIND("F",Tasks[[#This Row],[_Pred1Text]]&amp;"F"),FIND("S",Tasks[[#This Row],[_Pred1Text]]&amp;"S"),FIND("+",Tasks[[#This Row],[_Pred1Text]]&amp;"+"),FIND("-",Tasks[[#This Row],[_Pred1Text]]&amp;"-"))-1)),""))</f>
        <v/>
      </c>
      <c r="CW1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4" s="43" t="str">
        <f aca="false">IF(Tasks[[#This Row],[_Pred1Text]]="","",TRIM(MID(SUBSTITUTE(SUBSTITUTE(SUBSTITUTE(UPPER(Tasks[[#This Row],[_Predecessors]]),";",",")," ",""),",",REPT(" ",99)),100,99)))</f>
        <v/>
      </c>
      <c r="CZ144" s="43" t="str">
        <f aca="false">IF(Tasks[[#This Row],[_Pred2Text]]="","",IFERROR(VALUE(LEFT(Tasks[[#This Row],[_Pred2Text]],MIN(FIND("F",Tasks[[#This Row],[_Pred2Text]]&amp;"F"),FIND("S",Tasks[[#This Row],[_Pred2Text]]&amp;"S"),FIND("+",Tasks[[#This Row],[_Pred2Text]]&amp;"+"),FIND("-",Tasks[[#This Row],[_Pred2Text]]&amp;"-"))-1)),""))</f>
        <v/>
      </c>
      <c r="DA1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4" s="43" t="str">
        <f aca="false">IF(Tasks[[#This Row],[_Pred2Text]]="","",TRIM(MID(SUBSTITUTE(SUBSTITUTE(SUBSTITUTE(UPPER(Tasks[[#This Row],[_Predecessors]]),";",",")," ",""),",",REPT(" ",99)),199,99)))</f>
        <v/>
      </c>
      <c r="DD144" s="43" t="str">
        <f aca="false">IF(Tasks[[#This Row],[_Pred3Text]]="","",IFERROR(VALUE(LEFT(Tasks[[#This Row],[_Pred3Text]],MIN(FIND("F",Tasks[[#This Row],[_Pred3Text]]&amp;"F"),FIND("S",Tasks[[#This Row],[_Pred3Text]]&amp;"S"),FIND("+",Tasks[[#This Row],[_Pred3Text]]&amp;"+"),FIND("-",Tasks[[#This Row],[_Pred3Text]]&amp;"-"))-1)),""))</f>
        <v/>
      </c>
      <c r="DE1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4" s="43" t="str">
        <f aca="false">IF(Tasks[[#This Row],[_Pred3Text]]="","",TRIM(MID(SUBSTITUTE(SUBSTITUTE(SUBSTITUTE(UPPER(Tasks[[#This Row],[_Predecessors]]),";",",")," ",""),",",REPT(" ",99)),298,99)))</f>
        <v/>
      </c>
      <c r="DH144" s="43" t="str">
        <f aca="false">IF(Tasks[[#This Row],[_Pred4Text]]="","",IFERROR(VALUE(LEFT(Tasks[[#This Row],[_Pred4Text]],MIN(FIND("F",Tasks[[#This Row],[_Pred4Text]]&amp;"F"),FIND("S",Tasks[[#This Row],[_Pred4Text]]&amp;"S"),FIND("+",Tasks[[#This Row],[_Pred4Text]]&amp;"+"),FIND("-",Tasks[[#This Row],[_Pred4Text]]&amp;"-"))-1)),""))</f>
        <v/>
      </c>
      <c r="DI1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4" s="43" t="str">
        <f aca="false">IF(OR(Tasks[[#This Row],[Task Name]]="",Tasks[[#This Row],[_Resources]]=""),"",TRIM(MID(SUBSTITUTE(Tasks[[#This Row],[_Resources]],",",REPT(" ",99)),1,99)))</f>
        <v/>
      </c>
      <c r="DL144" s="43" t="str">
        <f aca="false">IF(Tasks[[#This Row],[_Res1Text]]="","",TRIM(MID(SUBSTITUTE(Tasks[[#This Row],[_Resources]],",",REPT(" ",99)),100,99)))</f>
        <v/>
      </c>
      <c r="DM144" s="43" t="str">
        <f aca="false">IF(Tasks[[#This Row],[_Res2Text]]="","",TRIM(MID(SUBSTITUTE(Tasks[[#This Row],[_Resources]],",",REPT(" ",99)),199,99)))</f>
        <v/>
      </c>
      <c r="DN144" s="43" t="str">
        <f aca="false">IF(Tasks[[#This Row],[_Res3Text]]="","",TRIM(MID(SUBSTITUTE(Tasks[[#This Row],[_Resources]],",",REPT(" ",99)),298,99)))</f>
        <v/>
      </c>
      <c r="DO144" s="43" t="n">
        <f aca="false">IF(Tasks[[#This Row],[_Res1Text]]="",0,IFERROR(MATCH(TRIM(LEFT(Tasks[[#This Row],[_Res1Text]],FIND("[",Tasks[[#This Row],[_Res1Text]]&amp;"[")-1)),res_Name,0),IFERROR(MATCH(TRIM(LEFT(Tasks[[#This Row],[_Res1Text]],FIND("[",Tasks[[#This Row],[_Res1Text]]&amp;"[")-1)),res_Initials,0),0)))</f>
        <v>0</v>
      </c>
      <c r="DP144" s="43" t="n">
        <f aca="false">IF(Tasks[[#This Row],[_Res2Text]]="",0,IFERROR(MATCH(TRIM(LEFT(Tasks[[#This Row],[_Res2Text]],FIND("[",Tasks[[#This Row],[_Res2Text]]&amp;"[")-1)),res_Name,0),IFERROR(MATCH(TRIM(LEFT(Tasks[[#This Row],[_Res2Text]],FIND("[",Tasks[[#This Row],[_Res2Text]]&amp;"[")-1)),res_Initials,0),0)))</f>
        <v>0</v>
      </c>
      <c r="DQ144" s="43" t="n">
        <f aca="false">IF(Tasks[[#This Row],[_Res3Text]]="",0,IFERROR(MATCH(TRIM(LEFT(Tasks[[#This Row],[_Res3Text]],FIND("[",Tasks[[#This Row],[_Res3Text]]&amp;"[")-1)),res_Name,0),IFERROR(MATCH(TRIM(LEFT(Tasks[[#This Row],[_Res3Text]],FIND("[",Tasks[[#This Row],[_Res3Text]]&amp;"[")-1)),res_Initials,0),0)))</f>
        <v>0</v>
      </c>
      <c r="DR144" s="43" t="n">
        <f aca="false">IF(Tasks[[#This Row],[_Res4Text]]="",0,IFERROR(MATCH(TRIM(LEFT(Tasks[[#This Row],[_Res4Text]],FIND("[",Tasks[[#This Row],[_Res4Text]]&amp;"[")-1)),res_Name,0),IFERROR(MATCH(TRIM(LEFT(Tasks[[#This Row],[_Res4Text]],FIND("[",Tasks[[#This Row],[_Res4Text]]&amp;"[")-1)),res_Initials,0),0)))</f>
        <v>0</v>
      </c>
      <c r="DS144" s="43" t="str">
        <f aca="false">IF(Tasks[[#This Row],[_Res1Text]]="","",IF(Tasks[[#This Row],[_Res1Row]]&gt;0,INDEX(res_Name,Tasks[[#This Row],[_Res1Row]]),TRIM(LEFT(Tasks[[#This Row],[_Res1Text]],FIND("[",Tasks[[#This Row],[_Res1Text]]&amp;"[")-1))))</f>
        <v/>
      </c>
      <c r="DT1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4" s="43" t="n">
        <f aca="false">IF(NOT(Tasks[[#This Row],[_IsLeaf]]=1),0,(Tasks[[#This Row],[_Resource1]]&lt;&gt;"")+(Tasks[[#This Row],[_Res2]]&lt;&gt;"")+(Tasks[[#This Row],[_Res3]]&lt;&gt;"")+(Tasks[[#This Row],[_Res4]]&lt;&gt;""))</f>
        <v>0</v>
      </c>
      <c r="DV144" s="43" t="str">
        <f aca="false">IF(Tasks[[#This Row],[_Res2Text]]="","",IF(Tasks[[#This Row],[_Res2Row]]&gt;0,INDEX(res_Name,Tasks[[#This Row],[_Res2Row]]),TRIM(LEFT(Tasks[[#This Row],[_Res2Text]],FIND("[",Tasks[[#This Row],[_Res2Text]]&amp;"[")-1))))</f>
        <v/>
      </c>
      <c r="DW1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4" s="43" t="n">
        <f aca="false">IF(OR(NOT(Tasks[[#This Row],[_IsLeaf]]=1),Tasks[[#This Row],[_Res2Row]]=0),0,N(Tasks[[#This Row],[_Days]])*HoursPerDay*IF(Tasks[[#This Row],[_Res2Units]]="",DefaultUnits,Tasks[[#This Row],[_Res2Units]]))</f>
        <v>0</v>
      </c>
      <c r="DY144" s="43" t="n">
        <f aca="false">IF(AND(AND(Tasks[[#This Row],[_IsLeaf]]=1,Tasks[[#This Row],[_LeafTotalWork]]&gt;0),Tasks[[#This Row],[_Res2Work]]&gt;0),Tasks[[#This Row],[_Res2Work]]/(Tasks[[#This Row],[_FinishWorkday]]-Tasks[[#This Row],[_StartWorkday]]+1),0)</f>
        <v>0</v>
      </c>
      <c r="DZ144" s="43" t="n">
        <f aca="false">Tasks[[#This Row],[_Res2WorkPerWD]]*MAX(0,Tasks[[#This Row],[_StartWorkday]]-1)</f>
        <v>0</v>
      </c>
      <c r="EA144" s="43" t="n">
        <f aca="false">Tasks[[#This Row],[_Res2Work]]*Tasks[[#This Row],[_LeafProgress]]</f>
        <v>0</v>
      </c>
      <c r="EB144" s="43" t="str">
        <f aca="false">IF(Tasks[[#This Row],[_Res3Text]]="","",IF(Tasks[[#This Row],[_Res3Row]]&gt;0,INDEX(res_Name,Tasks[[#This Row],[_Res3Row]]),TRIM(LEFT(Tasks[[#This Row],[_Res3Text]],FIND("[",Tasks[[#This Row],[_Res3Text]]&amp;"[")-1))))</f>
        <v/>
      </c>
      <c r="EC1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4" s="43" t="n">
        <f aca="false">IF(OR(NOT(Tasks[[#This Row],[_IsLeaf]]=1),Tasks[[#This Row],[_Res3Row]]=0),0,N(Tasks[[#This Row],[_Days]])*HoursPerDay*IF(Tasks[[#This Row],[_Res3Units]]="",DefaultUnits,Tasks[[#This Row],[_Res3Units]]))</f>
        <v>0</v>
      </c>
      <c r="EE144" s="43" t="n">
        <f aca="false">IF(AND(AND(Tasks[[#This Row],[_IsLeaf]]=1,Tasks[[#This Row],[_LeafTotalWork]]&gt;0),Tasks[[#This Row],[_Res3Work]]&gt;0),Tasks[[#This Row],[_Res3Work]]/(Tasks[[#This Row],[_FinishWorkday]]-Tasks[[#This Row],[_StartWorkday]]+1),0)</f>
        <v>0</v>
      </c>
      <c r="EF144" s="43" t="n">
        <f aca="false">Tasks[[#This Row],[_Res3WorkPerWD]]*MAX(0,Tasks[[#This Row],[_StartWorkday]]-1)</f>
        <v>0</v>
      </c>
      <c r="EG144" s="43" t="n">
        <f aca="false">Tasks[[#This Row],[_Res3Work]]*Tasks[[#This Row],[_LeafProgress]]</f>
        <v>0</v>
      </c>
      <c r="EH144" s="43" t="str">
        <f aca="false">IF(Tasks[[#This Row],[_Res4Text]]="","",IF(Tasks[[#This Row],[_Res4Row]]&gt;0,INDEX(res_Name,Tasks[[#This Row],[_Res4Row]]),TRIM(LEFT(Tasks[[#This Row],[_Res4Text]],FIND("[",Tasks[[#This Row],[_Res4Text]]&amp;"[")-1))))</f>
        <v/>
      </c>
      <c r="EI1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4" s="43" t="n">
        <f aca="false">IF(OR(NOT(Tasks[[#This Row],[_IsLeaf]]=1),Tasks[[#This Row],[_Res4Row]]=0),0,N(Tasks[[#This Row],[_Days]])*HoursPerDay*IF(Tasks[[#This Row],[_Res4Units]]="",DefaultUnits,Tasks[[#This Row],[_Res4Units]]))</f>
        <v>0</v>
      </c>
      <c r="EK144" s="43" t="n">
        <f aca="false">IF(AND(AND(Tasks[[#This Row],[_IsLeaf]]=1,Tasks[[#This Row],[_LeafTotalWork]]&gt;0),Tasks[[#This Row],[_Res4Work]]&gt;0),Tasks[[#This Row],[_Res4Work]]/(Tasks[[#This Row],[_FinishWorkday]]-Tasks[[#This Row],[_StartWorkday]]+1),0)</f>
        <v>0</v>
      </c>
      <c r="EL144" s="43" t="n">
        <f aca="false">Tasks[[#This Row],[_Res4WorkPerWD]]*MAX(0,Tasks[[#This Row],[_StartWorkday]]-1)</f>
        <v>0</v>
      </c>
      <c r="EM144" s="43" t="n">
        <f aca="false">Tasks[[#This Row],[_Res4Work]]*Tasks[[#This Row],[_LeafProgress]]</f>
        <v>0</v>
      </c>
      <c r="EN144" s="43" t="n">
        <f aca="false">IF(ISNUMBER(Tasks[[#This Row],[% Complete]]),Tasks[[#This Row],[% Complete]],IF(Tasks[[#This Row],[Stage]]="",0,IFERROR(INDEX(stg_Pct,MATCH(Tasks[[#This Row],[Stage]],stg_Name,0)),0)))</f>
        <v>0</v>
      </c>
      <c r="EO144" s="43" t="n">
        <f aca="false">IF(NOT(Tasks[[#This Row],[_IsLeaf]]=1),0,IF(N(Tasks[[#This Row],[Actual Finish]])&gt;0,1,MIN(1,Tasks[[#This Row],[_Pct]])))</f>
        <v>0</v>
      </c>
      <c r="EP144" s="43" t="n">
        <f aca="false">IF(OR(NOT(Tasks[[#This Row],[_IsLeaf]]=1),Tasks[[#This Row],[_Res1Row]]=0),0,N(Tasks[[#This Row],[_Days]])*HoursPerDay*IF(Tasks[[#This Row],[_Units1]]="",DefaultUnits,Tasks[[#This Row],[_Units1]]))</f>
        <v>0</v>
      </c>
      <c r="EQ144" s="43" t="n">
        <f aca="false">Tasks[[#This Row],[_LeafWork]]+Tasks[[#This Row],[_Res2Work]]+Tasks[[#This Row],[_Res3Work]]+Tasks[[#This Row],[_Res4Work]]</f>
        <v>0</v>
      </c>
      <c r="ER14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4" s="43" t="n">
        <f aca="false">IF(NOT(Tasks[[#This Row],[_IsLeaf]]=1),0,MAX(_xlfn.MAXIFS(Tasks[_Row],Tasks[_Pred1UID],Tasks[[#This Row],[UID]]),_xlfn.MAXIFS(Tasks[_Row],Tasks[_Pred2UID],Tasks[[#This Row],[UID]]),_xlfn.MAXIFS(Tasks[_Row],Tasks[_Pred3UID],Tasks[[#This Row],[UID]]),_xlfn.MAXIFS(Tasks[_Row],Tasks[_Pred4UID],Tasks[[#This Row],[UID]])))</f>
        <v>0</v>
      </c>
      <c r="FA1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4" s="91" t="str">
        <f aca="false">IF(NOT(Tasks[[#This Row],[_IsLeaf]]=1),"",IF(N(Tasks[[#This Row],[_Days]])&lt;=0,Tasks[[#This Row],[_LeafLateFinish]],WORKDAY.INTL(Tasks[[#This Row],[_LeafLateFinish]],-(Tasks[[#This Row],[_Days]]-1),WorkWeek,Holidays)))</f>
        <v/>
      </c>
      <c r="FD1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4" s="90" t="b">
        <f aca="false">AND(Tasks[[#This Row],[_IsLeaf]]=1,Tasks[[#This Row],[_LeafProgress]]&lt;1,N(Tasks[[#This Row],[_LeafTotalSlack]])&lt;=CriticalSlackDays)</f>
        <v>0</v>
      </c>
      <c r="FF144" s="43" t="n">
        <f aca="false">IF(AND(Tasks[[#This Row],[_IsLeaf]]=1,Tasks[[#This Row],[_ConstraintCode]]=1,Tasks[[#This Row],[Mode]]&lt;&gt;"Manual",N(Tasks[[#This Row],[Actual Start]])=0),MAX(0,N(Tasks[[#This Row],[Free Slack]])),0)</f>
        <v>0</v>
      </c>
      <c r="FG144" s="91" t="str">
        <f aca="false">IF(NOT(Tasks[[#This Row],[_IsLeaf]]=1),"",IF(Tasks[[#This Row],[_AlapShift]]=0,Tasks[[#This Row],[_LeafCalcStart]],WORKDAY.INTL(Tasks[[#This Row],[_LeafCalcStart]],Tasks[[#This Row],[_AlapShift]],WorkWeek,Holidays)))</f>
        <v/>
      </c>
      <c r="FH144" s="91" t="str">
        <f aca="false">IF(NOT(Tasks[[#This Row],[_IsLeaf]]=1),"",IF(Tasks[[#This Row],[_AlapShift]]=0,Tasks[[#This Row],[_LeafCalcFinish]],WORKDAY.INTL(Tasks[[#This Row],[_LeafCalcFinish]],Tasks[[#This Row],[_AlapShift]],WorkWeek,Holidays)))</f>
        <v/>
      </c>
      <c r="FI144" s="91" t="str">
        <f aca="false">IF(NOT(Tasks[[#This Row],[_IsLeaf]]=1),"",IF(Tasks[[#This Row],[_AlapShift]]=0,Tasks[[#This Row],[_LeafFcstStart]],WORKDAY.INTL(Tasks[[#This Row],[_LeafFcstStart]],Tasks[[#This Row],[_AlapShift]],WorkWeek,Holidays)))</f>
        <v/>
      </c>
      <c r="FJ144" s="91" t="str">
        <f aca="false">IF(NOT(Tasks[[#This Row],[_IsLeaf]]=1),"",IF(Tasks[[#This Row],[_AlapShift]]=0,Tasks[[#This Row],[_LeafFcstFinish]],WORKDAY.INTL(Tasks[[#This Row],[_LeafFcstFinish]],Tasks[[#This Row],[_AlapShift]],WorkWeek,Holidays)))</f>
        <v/>
      </c>
      <c r="FK144" s="91" t="str">
        <f aca="false">IF(Tasks[[#This Row],[Task Name]]="","",IF(Tasks[[#This Row],[_IsSummary]],MIN(INDEX(Tasks[_ShownCalcStart],Tasks[[#This Row],[_Row]]+1):INDEX(Tasks[_ShownCalcStart],Tasks[[#This Row],[_Row]]+Tasks[[#This Row],[_Descendants]])),Tasks[[#This Row],[_ShownCalcStart]]))</f>
        <v/>
      </c>
      <c r="FL144" s="91" t="str">
        <f aca="false">IF(Tasks[[#This Row],[Task Name]]="","",IF(Tasks[[#This Row],[_IsSummary]],MAX(INDEX(Tasks[_ShownCalcFinish],Tasks[[#This Row],[_Row]]+1):INDEX(Tasks[_ShownCalcFinish],Tasks[[#This Row],[_Row]]+Tasks[[#This Row],[_Descendants]])),Tasks[[#This Row],[_ShownCalcFinish]]))</f>
        <v/>
      </c>
      <c r="FM1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4" s="43" t="n">
        <f aca="false">IF(AND(Tasks[[#This Row],[_IsLeaf]]=1,Tasks[[#This Row],[_LeafTotalWork]]&gt;0),NETWORKDAYS.INTL(ProjectStart,Tasks[[#This Row],[_ShownFcstStart]],WorkWeek,Holidays),0)</f>
        <v>0</v>
      </c>
      <c r="FZ144" s="43" t="n">
        <f aca="false">IF(AND(Tasks[[#This Row],[_IsLeaf]]=1,Tasks[[#This Row],[_LeafTotalWork]]&gt;0),MAX(Tasks[[#This Row],[_StartWorkday]],NETWORKDAYS.INTL(ProjectStart,Tasks[[#This Row],[_ShownFcstFinish]],WorkWeek,Holidays)),0)</f>
        <v>0</v>
      </c>
      <c r="GA144" s="43" t="n">
        <f aca="false">IF(AND(Tasks[[#This Row],[_IsLeaf]]=1,Tasks[[#This Row],[_LeafTotalWork]]&gt;0),Tasks[[#This Row],[_LeafWork]]/(Tasks[[#This Row],[_FinishWorkday]]-Tasks[[#This Row],[_StartWorkday]]+1),0)</f>
        <v>0</v>
      </c>
      <c r="GB144" s="43" t="n">
        <f aca="false">Tasks[[#This Row],[_WorkPerWorkday]]*(Tasks[[#This Row],[_StartWorkday]]-1)</f>
        <v>-0</v>
      </c>
      <c r="GC144" s="43" t="n">
        <f aca="false">IF(Tasks[[#This Row],[_IsLeaf]]=1,MAX(N(Tasks[[#This Row],[_Days]]),0.1),0)</f>
        <v>0</v>
      </c>
      <c r="GD144" s="43" t="n">
        <f aca="false">Tasks[[#This Row],[_WeightDur]]*Tasks[[#This Row],[_LeafProgress]]</f>
        <v>0</v>
      </c>
      <c r="GE144" s="43" t="n">
        <f aca="false">Tasks[[#This Row],[_WeightDur]]*Tasks[[#This Row],[_PlannedPct]]</f>
        <v>0</v>
      </c>
      <c r="GF1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4" s="43" t="str">
        <f aca="false">IF(AND(Tasks[[#This Row],[_IsLeaf]]=1,N(Tasks[[#This Row],[_Days]])=0,Tasks[[#This Row],[_LeafProgress]]&lt;1),Tasks[[#This Row],[_ShownFcstFinish]]+Tasks[[#This Row],[_Row]]/100000,"")</f>
        <v/>
      </c>
      <c r="GH1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4" s="43" t="str">
        <f aca="false">IF(Tasks[[#This Row],[Task Name]]="","",LEFT(Tasks[[#This Row],[WBS]],FIND(".",Tasks[[#This Row],[WBS]]&amp;".")-1))</f>
        <v/>
      </c>
      <c r="GJ144" s="43" t="str">
        <f aca="false">IF(AND(Tasks[[#This Row],[Task Name]]&lt;&gt;"",Tasks[[#This Row],[_Level]]=1),Tasks[[#This Row],[_Row]],"")</f>
        <v/>
      </c>
      <c r="GK144" s="43" t="str">
        <f aca="false">IF(AND(Tasks[[#This Row],[_IsLeaf]]=1,N(Tasks[[#This Row],[_Days]])=0),Tasks[[#This Row],[Planned Finish]]+Tasks[[#This Row],[_Row]]/100000,"")</f>
        <v/>
      </c>
      <c r="GL144" s="43" t="str">
        <f aca="false">IF(AND(Tasks[[#This Row],[_IsLeaf]]=1,Tasks[[#This Row],[_LeafProgress]]&lt;1,OR(N(Tasks[[#This Row],[Finish Var]])&gt;0,Tasks[[#This Row],[Status]]="Late Start")),MAX(0,Tasks[[#This Row],[Finish Var]])+1-Tasks[[#This Row],[_Row]]/1000000,"")</f>
        <v/>
      </c>
      <c r="GM144" s="43" t="str">
        <f aca="false">IF(AND(Tasks[[#This Row],[_IsLeaf]]=1,N(Tasks[[#This Row],[Actual Start]])=0,Tasks[[#This Row],[_ShownFcstStart]]&gt;=StatusDate,Tasks[[#This Row],[_ShownFcstStart]]&lt;=LookaheadEnd),Tasks[[#This Row],[_ShownFcstStart]]+Tasks[[#This Row],[_Row]]/100000,"")</f>
        <v/>
      </c>
      <c r="GN144" s="43" t="str">
        <f aca="false">IF(AND(Tasks[[#This Row],[_IsLeaf]]=1,Tasks[[#This Row],[_LeafProgress]]&lt;1,Tasks[[#This Row],[_ShownFcstFinish]]&gt;=StatusDate,Tasks[[#This Row],[_ShownFcstFinish]]&lt;=LookaheadEnd),Tasks[[#This Row],[_ShownFcstFinish]]+Tasks[[#This Row],[_Row]]/100000,"")</f>
        <v/>
      </c>
      <c r="GO144" s="43" t="str">
        <f aca="false">IF(Tasks[[#This Row],[_LeafCritical]],Tasks[[#This Row],[_ShownFcstStart]]+Tasks[[#This Row],[_Row]]/100000,"")</f>
        <v/>
      </c>
      <c r="GP144" s="43" t="n">
        <f aca="false">Tasks[[#This Row],[_LeafWork]]*Tasks[[#This Row],[_LeafProgress]]</f>
        <v>0</v>
      </c>
      <c r="GQ144" s="91" t="str">
        <f aca="false">IF(AND(Tasks[[#This Row],[_IsLeaf]]=1,Tasks[[#This Row],[_LeafProgress]]&gt;=1),IF(N(Tasks[[#This Row],[Actual Finish]])&gt;0,Tasks[[#This Row],[Actual Finish]],Tasks[[#This Row],[_ShownFcstFinish]]),"")</f>
        <v/>
      </c>
      <c r="GR144" s="43" t="n">
        <f aca="false">IF(Tasks[[#This Row],[_IsLeaf]]=1,N(Tasks[[#This Row],[Story Points]]),0)</f>
        <v>0</v>
      </c>
      <c r="GS144" s="43" t="str">
        <f aca="false">""</f>
        <v/>
      </c>
      <c r="GT144" s="90" t="b">
        <f aca="false">IF(Tasks[[#This Row],[Task Name]]="",FALSE(),AND(Tasks[[#This Row],[_IsLeaf]]=1,N(Tasks[[#This Row],[_Days]])=0))</f>
        <v>0</v>
      </c>
      <c r="GU144" s="91" t="n">
        <f aca="false">IF(Tasks[[#This Row],[Task Name]]="",0,IF(AND(Tasks[[#This Row],[_IsLeaf]]=1,NOT(Tasks[[#This Row],[_IsMilestone]]),N(Tasks[[#This Row],[Progress]])&gt;0),Tasks[[#This Row],[Start]],0))</f>
        <v>0</v>
      </c>
      <c r="GV144" s="91" t="n">
        <f aca="false">IF(Tasks[[#This Row],[_DoneFrom]]=0,0,IF(Tasks[[#This Row],[Progress]]&gt;=1,Tasks[[#This Row],[Finish]],MAX(Tasks[[#This Row],[_DoneFrom]],Tasks[[#This Row],[Start]]+ROUND((Tasks[[#This Row],[Finish]]-Tasks[[#This Row],[Start]]+1)*Tasks[[#This Row],[Progress]],0)-1)))</f>
        <v>0</v>
      </c>
      <c r="GW144" s="91" t="n">
        <f aca="false">IF(Tasks[[#This Row],[Task Name]]="",0,IF(OR(NOT(Tasks[[#This Row],[_IsLeaf]]=1),Tasks[[#This Row],[_IsMilestone]],N(Tasks[[#This Row],[Progress]])&gt;=1),0,IF(Tasks[[#This Row],[_DoneTo]]&gt;0,Tasks[[#This Row],[_DoneTo]]+1,Tasks[[#This Row],[Start]])))</f>
        <v>0</v>
      </c>
      <c r="GX144" s="91" t="n">
        <f aca="false">IF(Tasks[[#This Row],[_RemFrom]]=0,0,Tasks[[#This Row],[Finish]])</f>
        <v>0</v>
      </c>
      <c r="GY144" s="90" t="b">
        <f aca="false">IF(Tasks[[#This Row],[Task Name]]="",FALSE(),OR(NOT(BaselineSet),N(Tasks[[#This Row],[Baseline Start]])&gt;0))</f>
        <v>0</v>
      </c>
      <c r="GZ14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4" s="92" t="str">
        <f aca="false">IF(Tasks[[#This Row],[_IsLeaf]]=1,Tasks[[#This Row],[_Row]],"")</f>
        <v/>
      </c>
      <c r="HD144" s="92" t="str">
        <f aca="false">IFERROR(INDEX(Tasks[UID],SMALL(Tasks[_PickKey],Tasks[[#This Row],[_Row]]))&amp;" "&amp;INDEX(Tasks[Task Name],SMALL(Tasks[_PickKey],Tasks[[#This Row],[_Row]])),"")</f>
        <v/>
      </c>
      <c r="HE144" s="43" t="str">
        <f aca="false">IF(Tasks[[#This Row],[Task Name]]="","",IF(Tasks[[#This Row],[_IsSummary]],NETWORKDAYS.INTL(Tasks[[#This Row],[Start]],Tasks[[#This Row],[Finish]],WorkWeek,Holidays),N(Tasks[[#This Row],[_Days]])))</f>
        <v/>
      </c>
      <c r="HF144" s="43" t="n">
        <f aca="false">IF(Tasks[[#This Row],[Expected]]="",0,((Tasks[[#This Row],[Pessimistic]]-Tasks[[#This Row],[Optimistic]])/6)^2)</f>
        <v>0</v>
      </c>
      <c r="HG144" s="43" t="n">
        <f aca="false">IF(Tasks[[#This Row],[Expected]]="",0,Tasks[[#This Row],[Expected]]-N(Tasks[[#This Row],[_Days]]))</f>
        <v>0</v>
      </c>
    </row>
    <row r="145" customFormat="false" ht="15" hidden="false" customHeight="false" outlineLevel="0" collapsed="false">
      <c r="A145" s="21" t="str">
        <f aca="false">IF(Tasks[[#This Row],[Task Name]]="","",COUNTA(Tasks[[#Headers],[Task Name]]:Tasks[[#This Row],[Task Name]])-1)</f>
        <v/>
      </c>
      <c r="B145" s="22" t="n">
        <v>153</v>
      </c>
      <c r="C145" s="22"/>
      <c r="D145" s="23"/>
      <c r="E145" s="22"/>
      <c r="F145" s="23"/>
      <c r="G145" s="22"/>
      <c r="H145" s="22"/>
      <c r="I145" s="23"/>
      <c r="J145" s="22"/>
      <c r="K145" s="22"/>
      <c r="L145" s="23"/>
      <c r="M145" s="22"/>
      <c r="N145" s="22"/>
      <c r="O145" s="23"/>
      <c r="P145" s="22"/>
      <c r="Q145" s="22"/>
      <c r="R145" s="23"/>
      <c r="S145" s="23"/>
      <c r="T145" s="84"/>
      <c r="U145" s="23"/>
      <c r="V145" s="84"/>
      <c r="W145" s="23"/>
      <c r="X145" s="84"/>
      <c r="Y145" s="23"/>
      <c r="Z145" s="84"/>
      <c r="AA145" s="23"/>
      <c r="AB145" s="23"/>
      <c r="AC145" s="7"/>
      <c r="AD145" s="7"/>
      <c r="AE145" s="63" t="str">
        <f aca="false">IF(Tasks[[#This Row],[Task Name]]="","",IF(Tasks[[#This Row],[_IsSummary]],MIN(INDEX(Tasks[_ShownFcstStart],Tasks[[#This Row],[_Row]]+1):INDEX(Tasks[_ShownFcstStart],Tasks[[#This Row],[_Row]]+Tasks[[#This Row],[_Descendants]])),Tasks[[#This Row],[_ShownFcstStart]]))</f>
        <v/>
      </c>
      <c r="AF145" s="63" t="str">
        <f aca="false">IF(Tasks[[#This Row],[Task Name]]="","",IF(Tasks[[#This Row],[_IsSummary]],MAX(INDEX(Tasks[_ShownFcstFinish],Tasks[[#This Row],[_Row]]+1):INDEX(Tasks[_ShownFcstFinish],Tasks[[#This Row],[_Row]]+Tasks[[#This Row],[_Descendants]])),Tasks[[#This Row],[_ShownFcstFinish]]))</f>
        <v/>
      </c>
      <c r="AG145" s="21" t="str">
        <f aca="false">""</f>
        <v/>
      </c>
      <c r="AH145" s="23"/>
      <c r="AI1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5" s="7"/>
      <c r="AK145" s="22"/>
      <c r="AL145" s="23"/>
      <c r="AM145" s="7"/>
      <c r="AN145" s="47" t="str">
        <f aca="false">IF(Tasks[[#This Row],[Task Name]]="","",IF(Tasks[[#This Row],[Finish]]&gt;=Tasks[[#This Row],[Planned Finish]],NETWORKDAYS.INTL(Tasks[[#This Row],[Planned Finish]],Tasks[[#This Row],[Finish]],WorkWeek,Holidays)-1,1-NETWORKDAYS.INTL(Tasks[[#This Row],[Finish]],Tasks[[#This Row],[Planned Finish]],WorkWeek,Holidays)))</f>
        <v/>
      </c>
      <c r="AO145" s="21" t="str">
        <f aca="false">IF(Tasks[[#This Row],[Task Name]]="","",IF(Tasks[[#This Row],[Progress]]&gt;=1,"Complete",IF(OR(N(Tasks[[#This Row],[Actual Start]])&gt;0,Tasks[[#This Row],[Progress]]&gt;0),IF(Tasks[[#This Row],[Finish Var]]&gt;0,"Behind","In Progress"),IF(Tasks[[#This Row],[Planned Start]]&lt;StatusDate,"Late Start","Not Started"))))</f>
        <v/>
      </c>
      <c r="AP145" s="21" t="str">
        <f aca="false">IF(Tasks[[#This Row],[Task Name]]="","",IF(IF(Tasks[[#This Row],[_IsSummary]],COUNTIF(INDEX(Tasks[_LeafCritical],Tasks[[#This Row],[_Row]]+1):INDEX(Tasks[_LeafCritical],Tasks[[#This Row],[_Row]]+Tasks[[#This Row],[_Descendants]]),TRUE())&gt;0,Tasks[[#This Row],[_LeafCritical]]),"Yes",""))</f>
        <v/>
      </c>
      <c r="AQ145" s="63" t="str">
        <f aca="false">IF(Tasks[[#This Row],[Task Name]]="","",IF(N(Tasks[[#This Row],[Baseline Start]])&gt;0,Tasks[[#This Row],[Baseline Start]],Tasks[[#This Row],[_CalcStart]]))</f>
        <v/>
      </c>
      <c r="AR145" s="63" t="str">
        <f aca="false">IF(Tasks[[#This Row],[Task Name]]="","",IF(N(Tasks[[#This Row],[Baseline Finish]])&gt;0,Tasks[[#This Row],[Baseline Finish]],Tasks[[#This Row],[_CalcFinish]]))</f>
        <v/>
      </c>
      <c r="AS145" s="47" t="str">
        <f aca="false">IF(Tasks[[#This Row],[Task Name]]="","",IF(Tasks[[#This Row],[Start]]&gt;=Tasks[[#This Row],[Planned Start]],NETWORKDAYS.INTL(Tasks[[#This Row],[Planned Start]],Tasks[[#This Row],[Start]],WorkWeek,Holidays)-1,1-NETWORKDAYS.INTL(Tasks[[#This Row],[Start]],Tasks[[#This Row],[Planned Start]],WorkWeek,Holidays)))</f>
        <v/>
      </c>
      <c r="AT145" s="63" t="str">
        <f aca="false">IF(Tasks[[#This Row],[Task Name]]="","",IF(Tasks[[#This Row],[_IsSummary]],MIN(INDEX(Tasks[_LeafLateStart],Tasks[[#This Row],[_Row]]+1):INDEX(Tasks[_LeafLateStart],Tasks[[#This Row],[_Row]]+Tasks[[#This Row],[_Descendants]])),Tasks[[#This Row],[_LeafLateStart]]))</f>
        <v/>
      </c>
      <c r="AU145" s="63" t="str">
        <f aca="false">IF(Tasks[[#This Row],[Task Name]]="","",IF(Tasks[[#This Row],[_IsSummary]],MAX(INDEX(Tasks[_LeafLateFinish],Tasks[[#This Row],[_Row]]+1):INDEX(Tasks[_LeafLateFinish],Tasks[[#This Row],[_Row]]+Tasks[[#This Row],[_Descendants]])),Tasks[[#This Row],[_LeafLateFinish]]))</f>
        <v/>
      </c>
      <c r="AV145" s="47" t="str">
        <f aca="false">IF(Tasks[[#This Row],[Task Name]]="","",IF(Tasks[[#This Row],[_IsSummary]],MIN(INDEX(Tasks[_LeafTotalSlack],Tasks[[#This Row],[_Row]]+1):INDEX(Tasks[_LeafTotalSlack],Tasks[[#This Row],[_Row]]+Tasks[[#This Row],[_Descendants]])),Tasks[[#This Row],[_LeafTotalSlack]]))</f>
        <v/>
      </c>
      <c r="AW1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5"/>
      <c r="BA14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t="str">
        <f aca="false">IF(Tasks[[#This Row],[Task Name]]="","",IF(Tasks[[#This Row],[_Level]]&lt;=OutlineShowLevel,"Yes","No"))</f>
        <v/>
      </c>
      <c r="BE145" s="86" t="str">
        <f aca="false">IF(Tasks[[#This Row],[Task Name]]="","",IF(Tasks[[#This Row],[_IsSummary]],SUM(INDEX(Tasks[_LeafTotalWork],Tasks[[#This Row],[_Row]]+1):INDEX(Tasks[_LeafTotalWork],Tasks[[#This Row],[_Row]]+Tasks[[#This Row],[_Descendants]])),Tasks[[#This Row],[_LeafTotalWork]]))</f>
        <v/>
      </c>
      <c r="BF145" s="23"/>
      <c r="BG1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t="str">
        <f aca="false">""</f>
        <v/>
      </c>
      <c r="BI145" s="87"/>
      <c r="BJ145" s="22"/>
      <c r="BK145" s="47" t="str">
        <f aca="false">IF(OR(Tasks[[#This Row],[Task Name]]="",Tasks[[#This Row],[Baseline Duration]]=""),"",Tasks[[#This Row],[_SpanDays]]-N(Tasks[[#This Row],[Baseline Duration]]))</f>
        <v/>
      </c>
      <c r="BL145" s="86" t="str">
        <f aca="false">IF(OR(Tasks[[#This Row],[Task Name]]="",Tasks[[#This Row],[Baseline Work]]=""),"",Tasks[[#This Row],[Work]]-N(Tasks[[#This Row],[Baseline Work]]))</f>
        <v/>
      </c>
      <c r="BM145" s="63" t="str">
        <f aca="false">IF(Tasks[[#This Row],[Task Name]]="","",IF(OR(TakeBaseline="Yes",N(Tasks[[#This Row],[Baseline Start]])=0),Tasks[[#This Row],[Start]],Tasks[[#This Row],[Baseline Start]]))</f>
        <v/>
      </c>
      <c r="BN145" s="63" t="str">
        <f aca="false">IF(Tasks[[#This Row],[Task Name]]="","",IF(OR(TakeBaseline="Yes",N(Tasks[[#This Row],[Baseline Finish]])=0),Tasks[[#This Row],[Finish]],Tasks[[#This Row],[Baseline Finish]]))</f>
        <v/>
      </c>
      <c r="BO145" s="21" t="str">
        <f aca="false">IF(Tasks[[#This Row],[Task Name]]="","",IF(OR(TakeBaseline="Yes",N(Tasks[[#This Row],[Baseline Duration]])=0),Tasks[[#This Row],[_SpanDays]],Tasks[[#This Row],[Baseline Duration]]))</f>
        <v/>
      </c>
      <c r="BP145" s="86" t="str">
        <f aca="false">IF(Tasks[[#This Row],[Task Name]]="","",IF(OR(TakeBaseline="Yes",N(Tasks[[#This Row],[Baseline Work]])=0),Tasks[[#This Row],[Work]],Tasks[[#This Row],[Baseline Work]]))</f>
        <v/>
      </c>
      <c r="BQ145" s="7"/>
      <c r="BR145" s="7"/>
      <c r="BS145" s="22"/>
      <c r="BT145" s="88"/>
      <c r="BU145" s="23"/>
      <c r="BV145" s="23"/>
      <c r="BW145" s="23"/>
      <c r="BX145" s="89" t="str">
        <f aca="false">IF(AND(Tasks[[#This Row],[_IsLeaf]]=1,ISNUMBER(Tasks[[#This Row],[Optimistic]]),ISNUMBER(Tasks[[#This Row],[Pessimistic]])),ROUND((Tasks[[#This Row],[Optimistic]]+4*N(Tasks[[#This Row],[_Days]])+Tasks[[#This Row],[Pessimistic]])/6,1),"")</f>
        <v/>
      </c>
      <c r="BY145" s="87"/>
      <c r="BZ145" s="87"/>
      <c r="CA145" s="22"/>
      <c r="CB145" s="43" t="str">
        <f aca="false">IF(Tasks[[#This Row],[Task Name]]="","",MAX(1,N(Tasks[[#This Row],[Level]])))</f>
        <v/>
      </c>
      <c r="CC145" s="43" t="n">
        <f aca="false">ROW()-ROW(Tasks[[#Headers],[ID]])</f>
        <v>140</v>
      </c>
      <c r="CD145" s="43" t="n">
        <f aca="false">IF(OR(Tasks[[#This Row],[Task Name]]="",Tasks[[#This Row],[_Level]]&lt;=1),0,IFERROR(LOOKUP(2,1/(Tasks[[#Headers],[_Level]]:Tasks[[#This Row],[_Level]]=Tasks[[#This Row],[_Level]]-1),ROW(Tasks[[#Headers],[_Level]]:Tasks[[#This Row],[_Level]])),0))</f>
        <v>0</v>
      </c>
      <c r="CE145" s="43" t="n">
        <f aca="false">IFERROR(N(INDEX(Tasks[_Level],Tasks[[#This Row],[_Row]]+1)),0)</f>
        <v>0</v>
      </c>
      <c r="CF145" s="90" t="b">
        <f aca="false">AND(Tasks[[#This Row],[Task Name]]&lt;&gt;"",Tasks[[#This Row],[_NextLevel]]&gt;Tasks[[#This Row],[_Level]])</f>
        <v>0</v>
      </c>
      <c r="CG145" s="43" t="n">
        <f aca="false">IF(Tasks[[#This Row],[_IsSummary]],COUNTIF(Tasks[WBS],Tasks[[#This Row],[WBS]]&amp;".*"),0)</f>
        <v>0</v>
      </c>
      <c r="CH145" s="43" t="n">
        <f aca="false">IF(AND(Tasks[[#This Row],[Task Name]]&lt;&gt;"",NOT(Tasks[[#This Row],[_IsSummary]])),1,0)</f>
        <v>0</v>
      </c>
      <c r="CI145" s="43" t="n">
        <f aca="false">IF(N(Tasks[[#This Row],[_Pred1UID]])=0,0,IFERROR(MATCH(Tasks[[#This Row],[_Pred1UID]],Tasks[UID],0),-1))</f>
        <v>0</v>
      </c>
      <c r="CJ145" s="43" t="n">
        <f aca="false">IF(N(Tasks[[#This Row],[_Pred2UID]])=0,0,IFERROR(MATCH(Tasks[[#This Row],[_Pred2UID]],Tasks[UID],0),-1))</f>
        <v>0</v>
      </c>
      <c r="CK145" s="43" t="n">
        <f aca="false">IF(N(Tasks[[#This Row],[_Pred3UID]])=0,0,IFERROR(MATCH(Tasks[[#This Row],[_Pred3UID]],Tasks[UID],0),-1))</f>
        <v>0</v>
      </c>
      <c r="CL145" s="43" t="n">
        <f aca="false">IF(N(Tasks[[#This Row],[_Pred4UID]])=0,0,IFERROR(MATCH(Tasks[[#This Row],[_Pred4UID]],Tasks[UID],0),-1))</f>
        <v>0</v>
      </c>
      <c r="CM1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5" s="91" t="n">
        <f aca="false">IF(OR(Tasks[[#This Row],[_ConstraintCode]]=2,Tasks[[#This Row],[_ConstraintCode]]=3,Tasks[[#This Row],[_ConstraintCode]]=4,Tasks[[#This Row],[_ConstraintCode]]=6),Tasks[[#This Row],[_ConstraintStart]],0)</f>
        <v>0</v>
      </c>
      <c r="CP145" s="91" t="n">
        <f aca="false">IF(OR(Tasks[[#This Row],[_ConstraintCode]]=2,Tasks[[#This Row],[_ConstraintCode]]=3,Tasks[[#This Row],[_ConstraintCode]]=5,Tasks[[#This Row],[_ConstraintCode]]=7),Tasks[[#This Row],[_ConstraintStart]],2958465)</f>
        <v>2958465</v>
      </c>
      <c r="CQ1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5" s="91" t="str">
        <f aca="false">IF(NOT(Tasks[[#This Row],[_IsLeaf]]=1),"",IF(N(Tasks[[#This Row],[_Days]])&lt;=0,Tasks[[#This Row],[_LeafCalcStart]],WORKDAY.INTL(Tasks[[#This Row],[_LeafCalcStart]],Tasks[[#This Row],[_Days]]-1,WorkWeek,Holidays)))</f>
        <v/>
      </c>
      <c r="CS1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5" s="43" t="str">
        <f aca="false">IF(Tasks[[#This Row],[_Predecessors]]="","",TRIM(MID(SUBSTITUTE(SUBSTITUTE(SUBSTITUTE(UPPER(Tasks[[#This Row],[_Predecessors]]),";",",")," ",""),",",REPT(" ",99)),1,99)))</f>
        <v/>
      </c>
      <c r="CV145" s="43" t="str">
        <f aca="false">IF(Tasks[[#This Row],[_Pred1Text]]="","",IFERROR(VALUE(LEFT(Tasks[[#This Row],[_Pred1Text]],MIN(FIND("F",Tasks[[#This Row],[_Pred1Text]]&amp;"F"),FIND("S",Tasks[[#This Row],[_Pred1Text]]&amp;"S"),FIND("+",Tasks[[#This Row],[_Pred1Text]]&amp;"+"),FIND("-",Tasks[[#This Row],[_Pred1Text]]&amp;"-"))-1)),""))</f>
        <v/>
      </c>
      <c r="CW1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5" s="43" t="str">
        <f aca="false">IF(Tasks[[#This Row],[_Pred1Text]]="","",TRIM(MID(SUBSTITUTE(SUBSTITUTE(SUBSTITUTE(UPPER(Tasks[[#This Row],[_Predecessors]]),";",",")," ",""),",",REPT(" ",99)),100,99)))</f>
        <v/>
      </c>
      <c r="CZ145" s="43" t="str">
        <f aca="false">IF(Tasks[[#This Row],[_Pred2Text]]="","",IFERROR(VALUE(LEFT(Tasks[[#This Row],[_Pred2Text]],MIN(FIND("F",Tasks[[#This Row],[_Pred2Text]]&amp;"F"),FIND("S",Tasks[[#This Row],[_Pred2Text]]&amp;"S"),FIND("+",Tasks[[#This Row],[_Pred2Text]]&amp;"+"),FIND("-",Tasks[[#This Row],[_Pred2Text]]&amp;"-"))-1)),""))</f>
        <v/>
      </c>
      <c r="DA1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5" s="43" t="str">
        <f aca="false">IF(Tasks[[#This Row],[_Pred2Text]]="","",TRIM(MID(SUBSTITUTE(SUBSTITUTE(SUBSTITUTE(UPPER(Tasks[[#This Row],[_Predecessors]]),";",",")," ",""),",",REPT(" ",99)),199,99)))</f>
        <v/>
      </c>
      <c r="DD145" s="43" t="str">
        <f aca="false">IF(Tasks[[#This Row],[_Pred3Text]]="","",IFERROR(VALUE(LEFT(Tasks[[#This Row],[_Pred3Text]],MIN(FIND("F",Tasks[[#This Row],[_Pred3Text]]&amp;"F"),FIND("S",Tasks[[#This Row],[_Pred3Text]]&amp;"S"),FIND("+",Tasks[[#This Row],[_Pred3Text]]&amp;"+"),FIND("-",Tasks[[#This Row],[_Pred3Text]]&amp;"-"))-1)),""))</f>
        <v/>
      </c>
      <c r="DE1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5" s="43" t="str">
        <f aca="false">IF(Tasks[[#This Row],[_Pred3Text]]="","",TRIM(MID(SUBSTITUTE(SUBSTITUTE(SUBSTITUTE(UPPER(Tasks[[#This Row],[_Predecessors]]),";",",")," ",""),",",REPT(" ",99)),298,99)))</f>
        <v/>
      </c>
      <c r="DH145" s="43" t="str">
        <f aca="false">IF(Tasks[[#This Row],[_Pred4Text]]="","",IFERROR(VALUE(LEFT(Tasks[[#This Row],[_Pred4Text]],MIN(FIND("F",Tasks[[#This Row],[_Pred4Text]]&amp;"F"),FIND("S",Tasks[[#This Row],[_Pred4Text]]&amp;"S"),FIND("+",Tasks[[#This Row],[_Pred4Text]]&amp;"+"),FIND("-",Tasks[[#This Row],[_Pred4Text]]&amp;"-"))-1)),""))</f>
        <v/>
      </c>
      <c r="DI1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5" s="43" t="str">
        <f aca="false">IF(OR(Tasks[[#This Row],[Task Name]]="",Tasks[[#This Row],[_Resources]]=""),"",TRIM(MID(SUBSTITUTE(Tasks[[#This Row],[_Resources]],",",REPT(" ",99)),1,99)))</f>
        <v/>
      </c>
      <c r="DL145" s="43" t="str">
        <f aca="false">IF(Tasks[[#This Row],[_Res1Text]]="","",TRIM(MID(SUBSTITUTE(Tasks[[#This Row],[_Resources]],",",REPT(" ",99)),100,99)))</f>
        <v/>
      </c>
      <c r="DM145" s="43" t="str">
        <f aca="false">IF(Tasks[[#This Row],[_Res2Text]]="","",TRIM(MID(SUBSTITUTE(Tasks[[#This Row],[_Resources]],",",REPT(" ",99)),199,99)))</f>
        <v/>
      </c>
      <c r="DN145" s="43" t="str">
        <f aca="false">IF(Tasks[[#This Row],[_Res3Text]]="","",TRIM(MID(SUBSTITUTE(Tasks[[#This Row],[_Resources]],",",REPT(" ",99)),298,99)))</f>
        <v/>
      </c>
      <c r="DO145" s="43" t="n">
        <f aca="false">IF(Tasks[[#This Row],[_Res1Text]]="",0,IFERROR(MATCH(TRIM(LEFT(Tasks[[#This Row],[_Res1Text]],FIND("[",Tasks[[#This Row],[_Res1Text]]&amp;"[")-1)),res_Name,0),IFERROR(MATCH(TRIM(LEFT(Tasks[[#This Row],[_Res1Text]],FIND("[",Tasks[[#This Row],[_Res1Text]]&amp;"[")-1)),res_Initials,0),0)))</f>
        <v>0</v>
      </c>
      <c r="DP145" s="43" t="n">
        <f aca="false">IF(Tasks[[#This Row],[_Res2Text]]="",0,IFERROR(MATCH(TRIM(LEFT(Tasks[[#This Row],[_Res2Text]],FIND("[",Tasks[[#This Row],[_Res2Text]]&amp;"[")-1)),res_Name,0),IFERROR(MATCH(TRIM(LEFT(Tasks[[#This Row],[_Res2Text]],FIND("[",Tasks[[#This Row],[_Res2Text]]&amp;"[")-1)),res_Initials,0),0)))</f>
        <v>0</v>
      </c>
      <c r="DQ145" s="43" t="n">
        <f aca="false">IF(Tasks[[#This Row],[_Res3Text]]="",0,IFERROR(MATCH(TRIM(LEFT(Tasks[[#This Row],[_Res3Text]],FIND("[",Tasks[[#This Row],[_Res3Text]]&amp;"[")-1)),res_Name,0),IFERROR(MATCH(TRIM(LEFT(Tasks[[#This Row],[_Res3Text]],FIND("[",Tasks[[#This Row],[_Res3Text]]&amp;"[")-1)),res_Initials,0),0)))</f>
        <v>0</v>
      </c>
      <c r="DR145" s="43" t="n">
        <f aca="false">IF(Tasks[[#This Row],[_Res4Text]]="",0,IFERROR(MATCH(TRIM(LEFT(Tasks[[#This Row],[_Res4Text]],FIND("[",Tasks[[#This Row],[_Res4Text]]&amp;"[")-1)),res_Name,0),IFERROR(MATCH(TRIM(LEFT(Tasks[[#This Row],[_Res4Text]],FIND("[",Tasks[[#This Row],[_Res4Text]]&amp;"[")-1)),res_Initials,0),0)))</f>
        <v>0</v>
      </c>
      <c r="DS145" s="43" t="str">
        <f aca="false">IF(Tasks[[#This Row],[_Res1Text]]="","",IF(Tasks[[#This Row],[_Res1Row]]&gt;0,INDEX(res_Name,Tasks[[#This Row],[_Res1Row]]),TRIM(LEFT(Tasks[[#This Row],[_Res1Text]],FIND("[",Tasks[[#This Row],[_Res1Text]]&amp;"[")-1))))</f>
        <v/>
      </c>
      <c r="DT1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5" s="43" t="n">
        <f aca="false">IF(NOT(Tasks[[#This Row],[_IsLeaf]]=1),0,(Tasks[[#This Row],[_Resource1]]&lt;&gt;"")+(Tasks[[#This Row],[_Res2]]&lt;&gt;"")+(Tasks[[#This Row],[_Res3]]&lt;&gt;"")+(Tasks[[#This Row],[_Res4]]&lt;&gt;""))</f>
        <v>0</v>
      </c>
      <c r="DV145" s="43" t="str">
        <f aca="false">IF(Tasks[[#This Row],[_Res2Text]]="","",IF(Tasks[[#This Row],[_Res2Row]]&gt;0,INDEX(res_Name,Tasks[[#This Row],[_Res2Row]]),TRIM(LEFT(Tasks[[#This Row],[_Res2Text]],FIND("[",Tasks[[#This Row],[_Res2Text]]&amp;"[")-1))))</f>
        <v/>
      </c>
      <c r="DW1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5" s="43" t="n">
        <f aca="false">IF(OR(NOT(Tasks[[#This Row],[_IsLeaf]]=1),Tasks[[#This Row],[_Res2Row]]=0),0,N(Tasks[[#This Row],[_Days]])*HoursPerDay*IF(Tasks[[#This Row],[_Res2Units]]="",DefaultUnits,Tasks[[#This Row],[_Res2Units]]))</f>
        <v>0</v>
      </c>
      <c r="DY145" s="43" t="n">
        <f aca="false">IF(AND(AND(Tasks[[#This Row],[_IsLeaf]]=1,Tasks[[#This Row],[_LeafTotalWork]]&gt;0),Tasks[[#This Row],[_Res2Work]]&gt;0),Tasks[[#This Row],[_Res2Work]]/(Tasks[[#This Row],[_FinishWorkday]]-Tasks[[#This Row],[_StartWorkday]]+1),0)</f>
        <v>0</v>
      </c>
      <c r="DZ145" s="43" t="n">
        <f aca="false">Tasks[[#This Row],[_Res2WorkPerWD]]*MAX(0,Tasks[[#This Row],[_StartWorkday]]-1)</f>
        <v>0</v>
      </c>
      <c r="EA145" s="43" t="n">
        <f aca="false">Tasks[[#This Row],[_Res2Work]]*Tasks[[#This Row],[_LeafProgress]]</f>
        <v>0</v>
      </c>
      <c r="EB145" s="43" t="str">
        <f aca="false">IF(Tasks[[#This Row],[_Res3Text]]="","",IF(Tasks[[#This Row],[_Res3Row]]&gt;0,INDEX(res_Name,Tasks[[#This Row],[_Res3Row]]),TRIM(LEFT(Tasks[[#This Row],[_Res3Text]],FIND("[",Tasks[[#This Row],[_Res3Text]]&amp;"[")-1))))</f>
        <v/>
      </c>
      <c r="EC1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5" s="43" t="n">
        <f aca="false">IF(OR(NOT(Tasks[[#This Row],[_IsLeaf]]=1),Tasks[[#This Row],[_Res3Row]]=0),0,N(Tasks[[#This Row],[_Days]])*HoursPerDay*IF(Tasks[[#This Row],[_Res3Units]]="",DefaultUnits,Tasks[[#This Row],[_Res3Units]]))</f>
        <v>0</v>
      </c>
      <c r="EE145" s="43" t="n">
        <f aca="false">IF(AND(AND(Tasks[[#This Row],[_IsLeaf]]=1,Tasks[[#This Row],[_LeafTotalWork]]&gt;0),Tasks[[#This Row],[_Res3Work]]&gt;0),Tasks[[#This Row],[_Res3Work]]/(Tasks[[#This Row],[_FinishWorkday]]-Tasks[[#This Row],[_StartWorkday]]+1),0)</f>
        <v>0</v>
      </c>
      <c r="EF145" s="43" t="n">
        <f aca="false">Tasks[[#This Row],[_Res3WorkPerWD]]*MAX(0,Tasks[[#This Row],[_StartWorkday]]-1)</f>
        <v>0</v>
      </c>
      <c r="EG145" s="43" t="n">
        <f aca="false">Tasks[[#This Row],[_Res3Work]]*Tasks[[#This Row],[_LeafProgress]]</f>
        <v>0</v>
      </c>
      <c r="EH145" s="43" t="str">
        <f aca="false">IF(Tasks[[#This Row],[_Res4Text]]="","",IF(Tasks[[#This Row],[_Res4Row]]&gt;0,INDEX(res_Name,Tasks[[#This Row],[_Res4Row]]),TRIM(LEFT(Tasks[[#This Row],[_Res4Text]],FIND("[",Tasks[[#This Row],[_Res4Text]]&amp;"[")-1))))</f>
        <v/>
      </c>
      <c r="EI1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5" s="43" t="n">
        <f aca="false">IF(OR(NOT(Tasks[[#This Row],[_IsLeaf]]=1),Tasks[[#This Row],[_Res4Row]]=0),0,N(Tasks[[#This Row],[_Days]])*HoursPerDay*IF(Tasks[[#This Row],[_Res4Units]]="",DefaultUnits,Tasks[[#This Row],[_Res4Units]]))</f>
        <v>0</v>
      </c>
      <c r="EK145" s="43" t="n">
        <f aca="false">IF(AND(AND(Tasks[[#This Row],[_IsLeaf]]=1,Tasks[[#This Row],[_LeafTotalWork]]&gt;0),Tasks[[#This Row],[_Res4Work]]&gt;0),Tasks[[#This Row],[_Res4Work]]/(Tasks[[#This Row],[_FinishWorkday]]-Tasks[[#This Row],[_StartWorkday]]+1),0)</f>
        <v>0</v>
      </c>
      <c r="EL145" s="43" t="n">
        <f aca="false">Tasks[[#This Row],[_Res4WorkPerWD]]*MAX(0,Tasks[[#This Row],[_StartWorkday]]-1)</f>
        <v>0</v>
      </c>
      <c r="EM145" s="43" t="n">
        <f aca="false">Tasks[[#This Row],[_Res4Work]]*Tasks[[#This Row],[_LeafProgress]]</f>
        <v>0</v>
      </c>
      <c r="EN145" s="43" t="n">
        <f aca="false">IF(ISNUMBER(Tasks[[#This Row],[% Complete]]),Tasks[[#This Row],[% Complete]],IF(Tasks[[#This Row],[Stage]]="",0,IFERROR(INDEX(stg_Pct,MATCH(Tasks[[#This Row],[Stage]],stg_Name,0)),0)))</f>
        <v>0</v>
      </c>
      <c r="EO145" s="43" t="n">
        <f aca="false">IF(NOT(Tasks[[#This Row],[_IsLeaf]]=1),0,IF(N(Tasks[[#This Row],[Actual Finish]])&gt;0,1,MIN(1,Tasks[[#This Row],[_Pct]])))</f>
        <v>0</v>
      </c>
      <c r="EP145" s="43" t="n">
        <f aca="false">IF(OR(NOT(Tasks[[#This Row],[_IsLeaf]]=1),Tasks[[#This Row],[_Res1Row]]=0),0,N(Tasks[[#This Row],[_Days]])*HoursPerDay*IF(Tasks[[#This Row],[_Units1]]="",DefaultUnits,Tasks[[#This Row],[_Units1]]))</f>
        <v>0</v>
      </c>
      <c r="EQ145" s="43" t="n">
        <f aca="false">Tasks[[#This Row],[_LeafWork]]+Tasks[[#This Row],[_Res2Work]]+Tasks[[#This Row],[_Res3Work]]+Tasks[[#This Row],[_Res4Work]]</f>
        <v>0</v>
      </c>
      <c r="ER14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5" s="43" t="n">
        <f aca="false">IF(NOT(Tasks[[#This Row],[_IsLeaf]]=1),0,MAX(_xlfn.MAXIFS(Tasks[_Row],Tasks[_Pred1UID],Tasks[[#This Row],[UID]]),_xlfn.MAXIFS(Tasks[_Row],Tasks[_Pred2UID],Tasks[[#This Row],[UID]]),_xlfn.MAXIFS(Tasks[_Row],Tasks[_Pred3UID],Tasks[[#This Row],[UID]]),_xlfn.MAXIFS(Tasks[_Row],Tasks[_Pred4UID],Tasks[[#This Row],[UID]])))</f>
        <v>0</v>
      </c>
      <c r="FA1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5" s="91" t="str">
        <f aca="false">IF(NOT(Tasks[[#This Row],[_IsLeaf]]=1),"",IF(N(Tasks[[#This Row],[_Days]])&lt;=0,Tasks[[#This Row],[_LeafLateFinish]],WORKDAY.INTL(Tasks[[#This Row],[_LeafLateFinish]],-(Tasks[[#This Row],[_Days]]-1),WorkWeek,Holidays)))</f>
        <v/>
      </c>
      <c r="FD1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5" s="90" t="b">
        <f aca="false">AND(Tasks[[#This Row],[_IsLeaf]]=1,Tasks[[#This Row],[_LeafProgress]]&lt;1,N(Tasks[[#This Row],[_LeafTotalSlack]])&lt;=CriticalSlackDays)</f>
        <v>0</v>
      </c>
      <c r="FF145" s="43" t="n">
        <f aca="false">IF(AND(Tasks[[#This Row],[_IsLeaf]]=1,Tasks[[#This Row],[_ConstraintCode]]=1,Tasks[[#This Row],[Mode]]&lt;&gt;"Manual",N(Tasks[[#This Row],[Actual Start]])=0),MAX(0,N(Tasks[[#This Row],[Free Slack]])),0)</f>
        <v>0</v>
      </c>
      <c r="FG145" s="91" t="str">
        <f aca="false">IF(NOT(Tasks[[#This Row],[_IsLeaf]]=1),"",IF(Tasks[[#This Row],[_AlapShift]]=0,Tasks[[#This Row],[_LeafCalcStart]],WORKDAY.INTL(Tasks[[#This Row],[_LeafCalcStart]],Tasks[[#This Row],[_AlapShift]],WorkWeek,Holidays)))</f>
        <v/>
      </c>
      <c r="FH145" s="91" t="str">
        <f aca="false">IF(NOT(Tasks[[#This Row],[_IsLeaf]]=1),"",IF(Tasks[[#This Row],[_AlapShift]]=0,Tasks[[#This Row],[_LeafCalcFinish]],WORKDAY.INTL(Tasks[[#This Row],[_LeafCalcFinish]],Tasks[[#This Row],[_AlapShift]],WorkWeek,Holidays)))</f>
        <v/>
      </c>
      <c r="FI145" s="91" t="str">
        <f aca="false">IF(NOT(Tasks[[#This Row],[_IsLeaf]]=1),"",IF(Tasks[[#This Row],[_AlapShift]]=0,Tasks[[#This Row],[_LeafFcstStart]],WORKDAY.INTL(Tasks[[#This Row],[_LeafFcstStart]],Tasks[[#This Row],[_AlapShift]],WorkWeek,Holidays)))</f>
        <v/>
      </c>
      <c r="FJ145" s="91" t="str">
        <f aca="false">IF(NOT(Tasks[[#This Row],[_IsLeaf]]=1),"",IF(Tasks[[#This Row],[_AlapShift]]=0,Tasks[[#This Row],[_LeafFcstFinish]],WORKDAY.INTL(Tasks[[#This Row],[_LeafFcstFinish]],Tasks[[#This Row],[_AlapShift]],WorkWeek,Holidays)))</f>
        <v/>
      </c>
      <c r="FK145" s="91" t="str">
        <f aca="false">IF(Tasks[[#This Row],[Task Name]]="","",IF(Tasks[[#This Row],[_IsSummary]],MIN(INDEX(Tasks[_ShownCalcStart],Tasks[[#This Row],[_Row]]+1):INDEX(Tasks[_ShownCalcStart],Tasks[[#This Row],[_Row]]+Tasks[[#This Row],[_Descendants]])),Tasks[[#This Row],[_ShownCalcStart]]))</f>
        <v/>
      </c>
      <c r="FL145" s="91" t="str">
        <f aca="false">IF(Tasks[[#This Row],[Task Name]]="","",IF(Tasks[[#This Row],[_IsSummary]],MAX(INDEX(Tasks[_ShownCalcFinish],Tasks[[#This Row],[_Row]]+1):INDEX(Tasks[_ShownCalcFinish],Tasks[[#This Row],[_Row]]+Tasks[[#This Row],[_Descendants]])),Tasks[[#This Row],[_ShownCalcFinish]]))</f>
        <v/>
      </c>
      <c r="FM1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5" s="43" t="n">
        <f aca="false">IF(AND(Tasks[[#This Row],[_IsLeaf]]=1,Tasks[[#This Row],[_LeafTotalWork]]&gt;0),NETWORKDAYS.INTL(ProjectStart,Tasks[[#This Row],[_ShownFcstStart]],WorkWeek,Holidays),0)</f>
        <v>0</v>
      </c>
      <c r="FZ145" s="43" t="n">
        <f aca="false">IF(AND(Tasks[[#This Row],[_IsLeaf]]=1,Tasks[[#This Row],[_LeafTotalWork]]&gt;0),MAX(Tasks[[#This Row],[_StartWorkday]],NETWORKDAYS.INTL(ProjectStart,Tasks[[#This Row],[_ShownFcstFinish]],WorkWeek,Holidays)),0)</f>
        <v>0</v>
      </c>
      <c r="GA145" s="43" t="n">
        <f aca="false">IF(AND(Tasks[[#This Row],[_IsLeaf]]=1,Tasks[[#This Row],[_LeafTotalWork]]&gt;0),Tasks[[#This Row],[_LeafWork]]/(Tasks[[#This Row],[_FinishWorkday]]-Tasks[[#This Row],[_StartWorkday]]+1),0)</f>
        <v>0</v>
      </c>
      <c r="GB145" s="43" t="n">
        <f aca="false">Tasks[[#This Row],[_WorkPerWorkday]]*(Tasks[[#This Row],[_StartWorkday]]-1)</f>
        <v>-0</v>
      </c>
      <c r="GC145" s="43" t="n">
        <f aca="false">IF(Tasks[[#This Row],[_IsLeaf]]=1,MAX(N(Tasks[[#This Row],[_Days]]),0.1),0)</f>
        <v>0</v>
      </c>
      <c r="GD145" s="43" t="n">
        <f aca="false">Tasks[[#This Row],[_WeightDur]]*Tasks[[#This Row],[_LeafProgress]]</f>
        <v>0</v>
      </c>
      <c r="GE145" s="43" t="n">
        <f aca="false">Tasks[[#This Row],[_WeightDur]]*Tasks[[#This Row],[_PlannedPct]]</f>
        <v>0</v>
      </c>
      <c r="GF1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5" s="43" t="str">
        <f aca="false">IF(AND(Tasks[[#This Row],[_IsLeaf]]=1,N(Tasks[[#This Row],[_Days]])=0,Tasks[[#This Row],[_LeafProgress]]&lt;1),Tasks[[#This Row],[_ShownFcstFinish]]+Tasks[[#This Row],[_Row]]/100000,"")</f>
        <v/>
      </c>
      <c r="GH1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5" s="43" t="str">
        <f aca="false">IF(Tasks[[#This Row],[Task Name]]="","",LEFT(Tasks[[#This Row],[WBS]],FIND(".",Tasks[[#This Row],[WBS]]&amp;".")-1))</f>
        <v/>
      </c>
      <c r="GJ145" s="43" t="str">
        <f aca="false">IF(AND(Tasks[[#This Row],[Task Name]]&lt;&gt;"",Tasks[[#This Row],[_Level]]=1),Tasks[[#This Row],[_Row]],"")</f>
        <v/>
      </c>
      <c r="GK145" s="43" t="str">
        <f aca="false">IF(AND(Tasks[[#This Row],[_IsLeaf]]=1,N(Tasks[[#This Row],[_Days]])=0),Tasks[[#This Row],[Planned Finish]]+Tasks[[#This Row],[_Row]]/100000,"")</f>
        <v/>
      </c>
      <c r="GL145" s="43" t="str">
        <f aca="false">IF(AND(Tasks[[#This Row],[_IsLeaf]]=1,Tasks[[#This Row],[_LeafProgress]]&lt;1,OR(N(Tasks[[#This Row],[Finish Var]])&gt;0,Tasks[[#This Row],[Status]]="Late Start")),MAX(0,Tasks[[#This Row],[Finish Var]])+1-Tasks[[#This Row],[_Row]]/1000000,"")</f>
        <v/>
      </c>
      <c r="GM145" s="43" t="str">
        <f aca="false">IF(AND(Tasks[[#This Row],[_IsLeaf]]=1,N(Tasks[[#This Row],[Actual Start]])=0,Tasks[[#This Row],[_ShownFcstStart]]&gt;=StatusDate,Tasks[[#This Row],[_ShownFcstStart]]&lt;=LookaheadEnd),Tasks[[#This Row],[_ShownFcstStart]]+Tasks[[#This Row],[_Row]]/100000,"")</f>
        <v/>
      </c>
      <c r="GN145" s="43" t="str">
        <f aca="false">IF(AND(Tasks[[#This Row],[_IsLeaf]]=1,Tasks[[#This Row],[_LeafProgress]]&lt;1,Tasks[[#This Row],[_ShownFcstFinish]]&gt;=StatusDate,Tasks[[#This Row],[_ShownFcstFinish]]&lt;=LookaheadEnd),Tasks[[#This Row],[_ShownFcstFinish]]+Tasks[[#This Row],[_Row]]/100000,"")</f>
        <v/>
      </c>
      <c r="GO145" s="43" t="str">
        <f aca="false">IF(Tasks[[#This Row],[_LeafCritical]],Tasks[[#This Row],[_ShownFcstStart]]+Tasks[[#This Row],[_Row]]/100000,"")</f>
        <v/>
      </c>
      <c r="GP145" s="43" t="n">
        <f aca="false">Tasks[[#This Row],[_LeafWork]]*Tasks[[#This Row],[_LeafProgress]]</f>
        <v>0</v>
      </c>
      <c r="GQ145" s="91" t="str">
        <f aca="false">IF(AND(Tasks[[#This Row],[_IsLeaf]]=1,Tasks[[#This Row],[_LeafProgress]]&gt;=1),IF(N(Tasks[[#This Row],[Actual Finish]])&gt;0,Tasks[[#This Row],[Actual Finish]],Tasks[[#This Row],[_ShownFcstFinish]]),"")</f>
        <v/>
      </c>
      <c r="GR145" s="43" t="n">
        <f aca="false">IF(Tasks[[#This Row],[_IsLeaf]]=1,N(Tasks[[#This Row],[Story Points]]),0)</f>
        <v>0</v>
      </c>
      <c r="GS145" s="43" t="str">
        <f aca="false">""</f>
        <v/>
      </c>
      <c r="GT145" s="90" t="b">
        <f aca="false">IF(Tasks[[#This Row],[Task Name]]="",FALSE(),AND(Tasks[[#This Row],[_IsLeaf]]=1,N(Tasks[[#This Row],[_Days]])=0))</f>
        <v>0</v>
      </c>
      <c r="GU145" s="91" t="n">
        <f aca="false">IF(Tasks[[#This Row],[Task Name]]="",0,IF(AND(Tasks[[#This Row],[_IsLeaf]]=1,NOT(Tasks[[#This Row],[_IsMilestone]]),N(Tasks[[#This Row],[Progress]])&gt;0),Tasks[[#This Row],[Start]],0))</f>
        <v>0</v>
      </c>
      <c r="GV145" s="91" t="n">
        <f aca="false">IF(Tasks[[#This Row],[_DoneFrom]]=0,0,IF(Tasks[[#This Row],[Progress]]&gt;=1,Tasks[[#This Row],[Finish]],MAX(Tasks[[#This Row],[_DoneFrom]],Tasks[[#This Row],[Start]]+ROUND((Tasks[[#This Row],[Finish]]-Tasks[[#This Row],[Start]]+1)*Tasks[[#This Row],[Progress]],0)-1)))</f>
        <v>0</v>
      </c>
      <c r="GW145" s="91" t="n">
        <f aca="false">IF(Tasks[[#This Row],[Task Name]]="",0,IF(OR(NOT(Tasks[[#This Row],[_IsLeaf]]=1),Tasks[[#This Row],[_IsMilestone]],N(Tasks[[#This Row],[Progress]])&gt;=1),0,IF(Tasks[[#This Row],[_DoneTo]]&gt;0,Tasks[[#This Row],[_DoneTo]]+1,Tasks[[#This Row],[Start]])))</f>
        <v>0</v>
      </c>
      <c r="GX145" s="91" t="n">
        <f aca="false">IF(Tasks[[#This Row],[_RemFrom]]=0,0,Tasks[[#This Row],[Finish]])</f>
        <v>0</v>
      </c>
      <c r="GY145" s="90" t="b">
        <f aca="false">IF(Tasks[[#This Row],[Task Name]]="",FALSE(),OR(NOT(BaselineSet),N(Tasks[[#This Row],[Baseline Start]])&gt;0))</f>
        <v>0</v>
      </c>
      <c r="GZ14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5" s="92" t="str">
        <f aca="false">IF(Tasks[[#This Row],[_IsLeaf]]=1,Tasks[[#This Row],[_Row]],"")</f>
        <v/>
      </c>
      <c r="HD145" s="92" t="str">
        <f aca="false">IFERROR(INDEX(Tasks[UID],SMALL(Tasks[_PickKey],Tasks[[#This Row],[_Row]]))&amp;" "&amp;INDEX(Tasks[Task Name],SMALL(Tasks[_PickKey],Tasks[[#This Row],[_Row]])),"")</f>
        <v/>
      </c>
      <c r="HE145" s="43" t="str">
        <f aca="false">IF(Tasks[[#This Row],[Task Name]]="","",IF(Tasks[[#This Row],[_IsSummary]],NETWORKDAYS.INTL(Tasks[[#This Row],[Start]],Tasks[[#This Row],[Finish]],WorkWeek,Holidays),N(Tasks[[#This Row],[_Days]])))</f>
        <v/>
      </c>
      <c r="HF145" s="43" t="n">
        <f aca="false">IF(Tasks[[#This Row],[Expected]]="",0,((Tasks[[#This Row],[Pessimistic]]-Tasks[[#This Row],[Optimistic]])/6)^2)</f>
        <v>0</v>
      </c>
      <c r="HG145" s="43" t="n">
        <f aca="false">IF(Tasks[[#This Row],[Expected]]="",0,Tasks[[#This Row],[Expected]]-N(Tasks[[#This Row],[_Days]]))</f>
        <v>0</v>
      </c>
    </row>
    <row r="146" customFormat="false" ht="15" hidden="false" customHeight="false" outlineLevel="0" collapsed="false">
      <c r="A146" s="21" t="str">
        <f aca="false">IF(Tasks[[#This Row],[Task Name]]="","",COUNTA(Tasks[[#Headers],[Task Name]]:Tasks[[#This Row],[Task Name]])-1)</f>
        <v/>
      </c>
      <c r="B146" s="22" t="n">
        <v>154</v>
      </c>
      <c r="C146" s="22"/>
      <c r="D146" s="23"/>
      <c r="E146" s="22"/>
      <c r="F146" s="23"/>
      <c r="G146" s="22"/>
      <c r="H146" s="22"/>
      <c r="I146" s="23"/>
      <c r="J146" s="22"/>
      <c r="K146" s="22"/>
      <c r="L146" s="23"/>
      <c r="M146" s="22"/>
      <c r="N146" s="22"/>
      <c r="O146" s="23"/>
      <c r="P146" s="22"/>
      <c r="Q146" s="22"/>
      <c r="R146" s="23"/>
      <c r="S146" s="23"/>
      <c r="T146" s="84"/>
      <c r="U146" s="23"/>
      <c r="V146" s="84"/>
      <c r="W146" s="23"/>
      <c r="X146" s="84"/>
      <c r="Y146" s="23"/>
      <c r="Z146" s="84"/>
      <c r="AA146" s="23"/>
      <c r="AB146" s="23"/>
      <c r="AC146" s="7"/>
      <c r="AD146" s="7"/>
      <c r="AE146" s="63" t="str">
        <f aca="false">IF(Tasks[[#This Row],[Task Name]]="","",IF(Tasks[[#This Row],[_IsSummary]],MIN(INDEX(Tasks[_ShownFcstStart],Tasks[[#This Row],[_Row]]+1):INDEX(Tasks[_ShownFcstStart],Tasks[[#This Row],[_Row]]+Tasks[[#This Row],[_Descendants]])),Tasks[[#This Row],[_ShownFcstStart]]))</f>
        <v/>
      </c>
      <c r="AF146" s="63" t="str">
        <f aca="false">IF(Tasks[[#This Row],[Task Name]]="","",IF(Tasks[[#This Row],[_IsSummary]],MAX(INDEX(Tasks[_ShownFcstFinish],Tasks[[#This Row],[_Row]]+1):INDEX(Tasks[_ShownFcstFinish],Tasks[[#This Row],[_Row]]+Tasks[[#This Row],[_Descendants]])),Tasks[[#This Row],[_ShownFcstFinish]]))</f>
        <v/>
      </c>
      <c r="AG146" s="21" t="str">
        <f aca="false">""</f>
        <v/>
      </c>
      <c r="AH146" s="23"/>
      <c r="AI1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6" s="7"/>
      <c r="AK146" s="22"/>
      <c r="AL146" s="23"/>
      <c r="AM146" s="7"/>
      <c r="AN146" s="47" t="str">
        <f aca="false">IF(Tasks[[#This Row],[Task Name]]="","",IF(Tasks[[#This Row],[Finish]]&gt;=Tasks[[#This Row],[Planned Finish]],NETWORKDAYS.INTL(Tasks[[#This Row],[Planned Finish]],Tasks[[#This Row],[Finish]],WorkWeek,Holidays)-1,1-NETWORKDAYS.INTL(Tasks[[#This Row],[Finish]],Tasks[[#This Row],[Planned Finish]],WorkWeek,Holidays)))</f>
        <v/>
      </c>
      <c r="AO146" s="21" t="str">
        <f aca="false">IF(Tasks[[#This Row],[Task Name]]="","",IF(Tasks[[#This Row],[Progress]]&gt;=1,"Complete",IF(OR(N(Tasks[[#This Row],[Actual Start]])&gt;0,Tasks[[#This Row],[Progress]]&gt;0),IF(Tasks[[#This Row],[Finish Var]]&gt;0,"Behind","In Progress"),IF(Tasks[[#This Row],[Planned Start]]&lt;StatusDate,"Late Start","Not Started"))))</f>
        <v/>
      </c>
      <c r="AP146" s="21" t="str">
        <f aca="false">IF(Tasks[[#This Row],[Task Name]]="","",IF(IF(Tasks[[#This Row],[_IsSummary]],COUNTIF(INDEX(Tasks[_LeafCritical],Tasks[[#This Row],[_Row]]+1):INDEX(Tasks[_LeafCritical],Tasks[[#This Row],[_Row]]+Tasks[[#This Row],[_Descendants]]),TRUE())&gt;0,Tasks[[#This Row],[_LeafCritical]]),"Yes",""))</f>
        <v/>
      </c>
      <c r="AQ146" s="63" t="str">
        <f aca="false">IF(Tasks[[#This Row],[Task Name]]="","",IF(N(Tasks[[#This Row],[Baseline Start]])&gt;0,Tasks[[#This Row],[Baseline Start]],Tasks[[#This Row],[_CalcStart]]))</f>
        <v/>
      </c>
      <c r="AR146" s="63" t="str">
        <f aca="false">IF(Tasks[[#This Row],[Task Name]]="","",IF(N(Tasks[[#This Row],[Baseline Finish]])&gt;0,Tasks[[#This Row],[Baseline Finish]],Tasks[[#This Row],[_CalcFinish]]))</f>
        <v/>
      </c>
      <c r="AS146" s="47" t="str">
        <f aca="false">IF(Tasks[[#This Row],[Task Name]]="","",IF(Tasks[[#This Row],[Start]]&gt;=Tasks[[#This Row],[Planned Start]],NETWORKDAYS.INTL(Tasks[[#This Row],[Planned Start]],Tasks[[#This Row],[Start]],WorkWeek,Holidays)-1,1-NETWORKDAYS.INTL(Tasks[[#This Row],[Start]],Tasks[[#This Row],[Planned Start]],WorkWeek,Holidays)))</f>
        <v/>
      </c>
      <c r="AT146" s="63" t="str">
        <f aca="false">IF(Tasks[[#This Row],[Task Name]]="","",IF(Tasks[[#This Row],[_IsSummary]],MIN(INDEX(Tasks[_LeafLateStart],Tasks[[#This Row],[_Row]]+1):INDEX(Tasks[_LeafLateStart],Tasks[[#This Row],[_Row]]+Tasks[[#This Row],[_Descendants]])),Tasks[[#This Row],[_LeafLateStart]]))</f>
        <v/>
      </c>
      <c r="AU146" s="63" t="str">
        <f aca="false">IF(Tasks[[#This Row],[Task Name]]="","",IF(Tasks[[#This Row],[_IsSummary]],MAX(INDEX(Tasks[_LeafLateFinish],Tasks[[#This Row],[_Row]]+1):INDEX(Tasks[_LeafLateFinish],Tasks[[#This Row],[_Row]]+Tasks[[#This Row],[_Descendants]])),Tasks[[#This Row],[_LeafLateFinish]]))</f>
        <v/>
      </c>
      <c r="AV146" s="47" t="str">
        <f aca="false">IF(Tasks[[#This Row],[Task Name]]="","",IF(Tasks[[#This Row],[_IsSummary]],MIN(INDEX(Tasks[_LeafTotalSlack],Tasks[[#This Row],[_Row]]+1):INDEX(Tasks[_LeafTotalSlack],Tasks[[#This Row],[_Row]]+Tasks[[#This Row],[_Descendants]])),Tasks[[#This Row],[_LeafTotalSlack]]))</f>
        <v/>
      </c>
      <c r="AW1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5"/>
      <c r="BA14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t="str">
        <f aca="false">IF(Tasks[[#This Row],[Task Name]]="","",IF(Tasks[[#This Row],[_Level]]&lt;=OutlineShowLevel,"Yes","No"))</f>
        <v/>
      </c>
      <c r="BE146" s="86" t="str">
        <f aca="false">IF(Tasks[[#This Row],[Task Name]]="","",IF(Tasks[[#This Row],[_IsSummary]],SUM(INDEX(Tasks[_LeafTotalWork],Tasks[[#This Row],[_Row]]+1):INDEX(Tasks[_LeafTotalWork],Tasks[[#This Row],[_Row]]+Tasks[[#This Row],[_Descendants]])),Tasks[[#This Row],[_LeafTotalWork]]))</f>
        <v/>
      </c>
      <c r="BF146" s="23"/>
      <c r="BG1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t="str">
        <f aca="false">""</f>
        <v/>
      </c>
      <c r="BI146" s="87"/>
      <c r="BJ146" s="22"/>
      <c r="BK146" s="47" t="str">
        <f aca="false">IF(OR(Tasks[[#This Row],[Task Name]]="",Tasks[[#This Row],[Baseline Duration]]=""),"",Tasks[[#This Row],[_SpanDays]]-N(Tasks[[#This Row],[Baseline Duration]]))</f>
        <v/>
      </c>
      <c r="BL146" s="86" t="str">
        <f aca="false">IF(OR(Tasks[[#This Row],[Task Name]]="",Tasks[[#This Row],[Baseline Work]]=""),"",Tasks[[#This Row],[Work]]-N(Tasks[[#This Row],[Baseline Work]]))</f>
        <v/>
      </c>
      <c r="BM146" s="63" t="str">
        <f aca="false">IF(Tasks[[#This Row],[Task Name]]="","",IF(OR(TakeBaseline="Yes",N(Tasks[[#This Row],[Baseline Start]])=0),Tasks[[#This Row],[Start]],Tasks[[#This Row],[Baseline Start]]))</f>
        <v/>
      </c>
      <c r="BN146" s="63" t="str">
        <f aca="false">IF(Tasks[[#This Row],[Task Name]]="","",IF(OR(TakeBaseline="Yes",N(Tasks[[#This Row],[Baseline Finish]])=0),Tasks[[#This Row],[Finish]],Tasks[[#This Row],[Baseline Finish]]))</f>
        <v/>
      </c>
      <c r="BO146" s="21" t="str">
        <f aca="false">IF(Tasks[[#This Row],[Task Name]]="","",IF(OR(TakeBaseline="Yes",N(Tasks[[#This Row],[Baseline Duration]])=0),Tasks[[#This Row],[_SpanDays]],Tasks[[#This Row],[Baseline Duration]]))</f>
        <v/>
      </c>
      <c r="BP146" s="86" t="str">
        <f aca="false">IF(Tasks[[#This Row],[Task Name]]="","",IF(OR(TakeBaseline="Yes",N(Tasks[[#This Row],[Baseline Work]])=0),Tasks[[#This Row],[Work]],Tasks[[#This Row],[Baseline Work]]))</f>
        <v/>
      </c>
      <c r="BQ146" s="7"/>
      <c r="BR146" s="7"/>
      <c r="BS146" s="22"/>
      <c r="BT146" s="88"/>
      <c r="BU146" s="23"/>
      <c r="BV146" s="23"/>
      <c r="BW146" s="23"/>
      <c r="BX146" s="89" t="str">
        <f aca="false">IF(AND(Tasks[[#This Row],[_IsLeaf]]=1,ISNUMBER(Tasks[[#This Row],[Optimistic]]),ISNUMBER(Tasks[[#This Row],[Pessimistic]])),ROUND((Tasks[[#This Row],[Optimistic]]+4*N(Tasks[[#This Row],[_Days]])+Tasks[[#This Row],[Pessimistic]])/6,1),"")</f>
        <v/>
      </c>
      <c r="BY146" s="87"/>
      <c r="BZ146" s="87"/>
      <c r="CA146" s="22"/>
      <c r="CB146" s="43" t="str">
        <f aca="false">IF(Tasks[[#This Row],[Task Name]]="","",MAX(1,N(Tasks[[#This Row],[Level]])))</f>
        <v/>
      </c>
      <c r="CC146" s="43" t="n">
        <f aca="false">ROW()-ROW(Tasks[[#Headers],[ID]])</f>
        <v>141</v>
      </c>
      <c r="CD146" s="43" t="n">
        <f aca="false">IF(OR(Tasks[[#This Row],[Task Name]]="",Tasks[[#This Row],[_Level]]&lt;=1),0,IFERROR(LOOKUP(2,1/(Tasks[[#Headers],[_Level]]:Tasks[[#This Row],[_Level]]=Tasks[[#This Row],[_Level]]-1),ROW(Tasks[[#Headers],[_Level]]:Tasks[[#This Row],[_Level]])),0))</f>
        <v>0</v>
      </c>
      <c r="CE146" s="43" t="n">
        <f aca="false">IFERROR(N(INDEX(Tasks[_Level],Tasks[[#This Row],[_Row]]+1)),0)</f>
        <v>0</v>
      </c>
      <c r="CF146" s="90" t="b">
        <f aca="false">AND(Tasks[[#This Row],[Task Name]]&lt;&gt;"",Tasks[[#This Row],[_NextLevel]]&gt;Tasks[[#This Row],[_Level]])</f>
        <v>0</v>
      </c>
      <c r="CG146" s="43" t="n">
        <f aca="false">IF(Tasks[[#This Row],[_IsSummary]],COUNTIF(Tasks[WBS],Tasks[[#This Row],[WBS]]&amp;".*"),0)</f>
        <v>0</v>
      </c>
      <c r="CH146" s="43" t="n">
        <f aca="false">IF(AND(Tasks[[#This Row],[Task Name]]&lt;&gt;"",NOT(Tasks[[#This Row],[_IsSummary]])),1,0)</f>
        <v>0</v>
      </c>
      <c r="CI146" s="43" t="n">
        <f aca="false">IF(N(Tasks[[#This Row],[_Pred1UID]])=0,0,IFERROR(MATCH(Tasks[[#This Row],[_Pred1UID]],Tasks[UID],0),-1))</f>
        <v>0</v>
      </c>
      <c r="CJ146" s="43" t="n">
        <f aca="false">IF(N(Tasks[[#This Row],[_Pred2UID]])=0,0,IFERROR(MATCH(Tasks[[#This Row],[_Pred2UID]],Tasks[UID],0),-1))</f>
        <v>0</v>
      </c>
      <c r="CK146" s="43" t="n">
        <f aca="false">IF(N(Tasks[[#This Row],[_Pred3UID]])=0,0,IFERROR(MATCH(Tasks[[#This Row],[_Pred3UID]],Tasks[UID],0),-1))</f>
        <v>0</v>
      </c>
      <c r="CL146" s="43" t="n">
        <f aca="false">IF(N(Tasks[[#This Row],[_Pred4UID]])=0,0,IFERROR(MATCH(Tasks[[#This Row],[_Pred4UID]],Tasks[UID],0),-1))</f>
        <v>0</v>
      </c>
      <c r="CM1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6" s="91" t="n">
        <f aca="false">IF(OR(Tasks[[#This Row],[_ConstraintCode]]=2,Tasks[[#This Row],[_ConstraintCode]]=3,Tasks[[#This Row],[_ConstraintCode]]=4,Tasks[[#This Row],[_ConstraintCode]]=6),Tasks[[#This Row],[_ConstraintStart]],0)</f>
        <v>0</v>
      </c>
      <c r="CP146" s="91" t="n">
        <f aca="false">IF(OR(Tasks[[#This Row],[_ConstraintCode]]=2,Tasks[[#This Row],[_ConstraintCode]]=3,Tasks[[#This Row],[_ConstraintCode]]=5,Tasks[[#This Row],[_ConstraintCode]]=7),Tasks[[#This Row],[_ConstraintStart]],2958465)</f>
        <v>2958465</v>
      </c>
      <c r="CQ1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6" s="91" t="str">
        <f aca="false">IF(NOT(Tasks[[#This Row],[_IsLeaf]]=1),"",IF(N(Tasks[[#This Row],[_Days]])&lt;=0,Tasks[[#This Row],[_LeafCalcStart]],WORKDAY.INTL(Tasks[[#This Row],[_LeafCalcStart]],Tasks[[#This Row],[_Days]]-1,WorkWeek,Holidays)))</f>
        <v/>
      </c>
      <c r="CS1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6" s="43" t="str">
        <f aca="false">IF(Tasks[[#This Row],[_Predecessors]]="","",TRIM(MID(SUBSTITUTE(SUBSTITUTE(SUBSTITUTE(UPPER(Tasks[[#This Row],[_Predecessors]]),";",",")," ",""),",",REPT(" ",99)),1,99)))</f>
        <v/>
      </c>
      <c r="CV146" s="43" t="str">
        <f aca="false">IF(Tasks[[#This Row],[_Pred1Text]]="","",IFERROR(VALUE(LEFT(Tasks[[#This Row],[_Pred1Text]],MIN(FIND("F",Tasks[[#This Row],[_Pred1Text]]&amp;"F"),FIND("S",Tasks[[#This Row],[_Pred1Text]]&amp;"S"),FIND("+",Tasks[[#This Row],[_Pred1Text]]&amp;"+"),FIND("-",Tasks[[#This Row],[_Pred1Text]]&amp;"-"))-1)),""))</f>
        <v/>
      </c>
      <c r="CW1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6" s="43" t="str">
        <f aca="false">IF(Tasks[[#This Row],[_Pred1Text]]="","",TRIM(MID(SUBSTITUTE(SUBSTITUTE(SUBSTITUTE(UPPER(Tasks[[#This Row],[_Predecessors]]),";",",")," ",""),",",REPT(" ",99)),100,99)))</f>
        <v/>
      </c>
      <c r="CZ146" s="43" t="str">
        <f aca="false">IF(Tasks[[#This Row],[_Pred2Text]]="","",IFERROR(VALUE(LEFT(Tasks[[#This Row],[_Pred2Text]],MIN(FIND("F",Tasks[[#This Row],[_Pred2Text]]&amp;"F"),FIND("S",Tasks[[#This Row],[_Pred2Text]]&amp;"S"),FIND("+",Tasks[[#This Row],[_Pred2Text]]&amp;"+"),FIND("-",Tasks[[#This Row],[_Pred2Text]]&amp;"-"))-1)),""))</f>
        <v/>
      </c>
      <c r="DA1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6" s="43" t="str">
        <f aca="false">IF(Tasks[[#This Row],[_Pred2Text]]="","",TRIM(MID(SUBSTITUTE(SUBSTITUTE(SUBSTITUTE(UPPER(Tasks[[#This Row],[_Predecessors]]),";",",")," ",""),",",REPT(" ",99)),199,99)))</f>
        <v/>
      </c>
      <c r="DD146" s="43" t="str">
        <f aca="false">IF(Tasks[[#This Row],[_Pred3Text]]="","",IFERROR(VALUE(LEFT(Tasks[[#This Row],[_Pred3Text]],MIN(FIND("F",Tasks[[#This Row],[_Pred3Text]]&amp;"F"),FIND("S",Tasks[[#This Row],[_Pred3Text]]&amp;"S"),FIND("+",Tasks[[#This Row],[_Pred3Text]]&amp;"+"),FIND("-",Tasks[[#This Row],[_Pred3Text]]&amp;"-"))-1)),""))</f>
        <v/>
      </c>
      <c r="DE1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6" s="43" t="str">
        <f aca="false">IF(Tasks[[#This Row],[_Pred3Text]]="","",TRIM(MID(SUBSTITUTE(SUBSTITUTE(SUBSTITUTE(UPPER(Tasks[[#This Row],[_Predecessors]]),";",",")," ",""),",",REPT(" ",99)),298,99)))</f>
        <v/>
      </c>
      <c r="DH146" s="43" t="str">
        <f aca="false">IF(Tasks[[#This Row],[_Pred4Text]]="","",IFERROR(VALUE(LEFT(Tasks[[#This Row],[_Pred4Text]],MIN(FIND("F",Tasks[[#This Row],[_Pred4Text]]&amp;"F"),FIND("S",Tasks[[#This Row],[_Pred4Text]]&amp;"S"),FIND("+",Tasks[[#This Row],[_Pred4Text]]&amp;"+"),FIND("-",Tasks[[#This Row],[_Pred4Text]]&amp;"-"))-1)),""))</f>
        <v/>
      </c>
      <c r="DI1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6" s="43" t="str">
        <f aca="false">IF(OR(Tasks[[#This Row],[Task Name]]="",Tasks[[#This Row],[_Resources]]=""),"",TRIM(MID(SUBSTITUTE(Tasks[[#This Row],[_Resources]],",",REPT(" ",99)),1,99)))</f>
        <v/>
      </c>
      <c r="DL146" s="43" t="str">
        <f aca="false">IF(Tasks[[#This Row],[_Res1Text]]="","",TRIM(MID(SUBSTITUTE(Tasks[[#This Row],[_Resources]],",",REPT(" ",99)),100,99)))</f>
        <v/>
      </c>
      <c r="DM146" s="43" t="str">
        <f aca="false">IF(Tasks[[#This Row],[_Res2Text]]="","",TRIM(MID(SUBSTITUTE(Tasks[[#This Row],[_Resources]],",",REPT(" ",99)),199,99)))</f>
        <v/>
      </c>
      <c r="DN146" s="43" t="str">
        <f aca="false">IF(Tasks[[#This Row],[_Res3Text]]="","",TRIM(MID(SUBSTITUTE(Tasks[[#This Row],[_Resources]],",",REPT(" ",99)),298,99)))</f>
        <v/>
      </c>
      <c r="DO146" s="43" t="n">
        <f aca="false">IF(Tasks[[#This Row],[_Res1Text]]="",0,IFERROR(MATCH(TRIM(LEFT(Tasks[[#This Row],[_Res1Text]],FIND("[",Tasks[[#This Row],[_Res1Text]]&amp;"[")-1)),res_Name,0),IFERROR(MATCH(TRIM(LEFT(Tasks[[#This Row],[_Res1Text]],FIND("[",Tasks[[#This Row],[_Res1Text]]&amp;"[")-1)),res_Initials,0),0)))</f>
        <v>0</v>
      </c>
      <c r="DP146" s="43" t="n">
        <f aca="false">IF(Tasks[[#This Row],[_Res2Text]]="",0,IFERROR(MATCH(TRIM(LEFT(Tasks[[#This Row],[_Res2Text]],FIND("[",Tasks[[#This Row],[_Res2Text]]&amp;"[")-1)),res_Name,0),IFERROR(MATCH(TRIM(LEFT(Tasks[[#This Row],[_Res2Text]],FIND("[",Tasks[[#This Row],[_Res2Text]]&amp;"[")-1)),res_Initials,0),0)))</f>
        <v>0</v>
      </c>
      <c r="DQ146" s="43" t="n">
        <f aca="false">IF(Tasks[[#This Row],[_Res3Text]]="",0,IFERROR(MATCH(TRIM(LEFT(Tasks[[#This Row],[_Res3Text]],FIND("[",Tasks[[#This Row],[_Res3Text]]&amp;"[")-1)),res_Name,0),IFERROR(MATCH(TRIM(LEFT(Tasks[[#This Row],[_Res3Text]],FIND("[",Tasks[[#This Row],[_Res3Text]]&amp;"[")-1)),res_Initials,0),0)))</f>
        <v>0</v>
      </c>
      <c r="DR146" s="43" t="n">
        <f aca="false">IF(Tasks[[#This Row],[_Res4Text]]="",0,IFERROR(MATCH(TRIM(LEFT(Tasks[[#This Row],[_Res4Text]],FIND("[",Tasks[[#This Row],[_Res4Text]]&amp;"[")-1)),res_Name,0),IFERROR(MATCH(TRIM(LEFT(Tasks[[#This Row],[_Res4Text]],FIND("[",Tasks[[#This Row],[_Res4Text]]&amp;"[")-1)),res_Initials,0),0)))</f>
        <v>0</v>
      </c>
      <c r="DS146" s="43" t="str">
        <f aca="false">IF(Tasks[[#This Row],[_Res1Text]]="","",IF(Tasks[[#This Row],[_Res1Row]]&gt;0,INDEX(res_Name,Tasks[[#This Row],[_Res1Row]]),TRIM(LEFT(Tasks[[#This Row],[_Res1Text]],FIND("[",Tasks[[#This Row],[_Res1Text]]&amp;"[")-1))))</f>
        <v/>
      </c>
      <c r="DT1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6" s="43" t="n">
        <f aca="false">IF(NOT(Tasks[[#This Row],[_IsLeaf]]=1),0,(Tasks[[#This Row],[_Resource1]]&lt;&gt;"")+(Tasks[[#This Row],[_Res2]]&lt;&gt;"")+(Tasks[[#This Row],[_Res3]]&lt;&gt;"")+(Tasks[[#This Row],[_Res4]]&lt;&gt;""))</f>
        <v>0</v>
      </c>
      <c r="DV146" s="43" t="str">
        <f aca="false">IF(Tasks[[#This Row],[_Res2Text]]="","",IF(Tasks[[#This Row],[_Res2Row]]&gt;0,INDEX(res_Name,Tasks[[#This Row],[_Res2Row]]),TRIM(LEFT(Tasks[[#This Row],[_Res2Text]],FIND("[",Tasks[[#This Row],[_Res2Text]]&amp;"[")-1))))</f>
        <v/>
      </c>
      <c r="DW1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6" s="43" t="n">
        <f aca="false">IF(OR(NOT(Tasks[[#This Row],[_IsLeaf]]=1),Tasks[[#This Row],[_Res2Row]]=0),0,N(Tasks[[#This Row],[_Days]])*HoursPerDay*IF(Tasks[[#This Row],[_Res2Units]]="",DefaultUnits,Tasks[[#This Row],[_Res2Units]]))</f>
        <v>0</v>
      </c>
      <c r="DY146" s="43" t="n">
        <f aca="false">IF(AND(AND(Tasks[[#This Row],[_IsLeaf]]=1,Tasks[[#This Row],[_LeafTotalWork]]&gt;0),Tasks[[#This Row],[_Res2Work]]&gt;0),Tasks[[#This Row],[_Res2Work]]/(Tasks[[#This Row],[_FinishWorkday]]-Tasks[[#This Row],[_StartWorkday]]+1),0)</f>
        <v>0</v>
      </c>
      <c r="DZ146" s="43" t="n">
        <f aca="false">Tasks[[#This Row],[_Res2WorkPerWD]]*MAX(0,Tasks[[#This Row],[_StartWorkday]]-1)</f>
        <v>0</v>
      </c>
      <c r="EA146" s="43" t="n">
        <f aca="false">Tasks[[#This Row],[_Res2Work]]*Tasks[[#This Row],[_LeafProgress]]</f>
        <v>0</v>
      </c>
      <c r="EB146" s="43" t="str">
        <f aca="false">IF(Tasks[[#This Row],[_Res3Text]]="","",IF(Tasks[[#This Row],[_Res3Row]]&gt;0,INDEX(res_Name,Tasks[[#This Row],[_Res3Row]]),TRIM(LEFT(Tasks[[#This Row],[_Res3Text]],FIND("[",Tasks[[#This Row],[_Res3Text]]&amp;"[")-1))))</f>
        <v/>
      </c>
      <c r="EC1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6" s="43" t="n">
        <f aca="false">IF(OR(NOT(Tasks[[#This Row],[_IsLeaf]]=1),Tasks[[#This Row],[_Res3Row]]=0),0,N(Tasks[[#This Row],[_Days]])*HoursPerDay*IF(Tasks[[#This Row],[_Res3Units]]="",DefaultUnits,Tasks[[#This Row],[_Res3Units]]))</f>
        <v>0</v>
      </c>
      <c r="EE146" s="43" t="n">
        <f aca="false">IF(AND(AND(Tasks[[#This Row],[_IsLeaf]]=1,Tasks[[#This Row],[_LeafTotalWork]]&gt;0),Tasks[[#This Row],[_Res3Work]]&gt;0),Tasks[[#This Row],[_Res3Work]]/(Tasks[[#This Row],[_FinishWorkday]]-Tasks[[#This Row],[_StartWorkday]]+1),0)</f>
        <v>0</v>
      </c>
      <c r="EF146" s="43" t="n">
        <f aca="false">Tasks[[#This Row],[_Res3WorkPerWD]]*MAX(0,Tasks[[#This Row],[_StartWorkday]]-1)</f>
        <v>0</v>
      </c>
      <c r="EG146" s="43" t="n">
        <f aca="false">Tasks[[#This Row],[_Res3Work]]*Tasks[[#This Row],[_LeafProgress]]</f>
        <v>0</v>
      </c>
      <c r="EH146" s="43" t="str">
        <f aca="false">IF(Tasks[[#This Row],[_Res4Text]]="","",IF(Tasks[[#This Row],[_Res4Row]]&gt;0,INDEX(res_Name,Tasks[[#This Row],[_Res4Row]]),TRIM(LEFT(Tasks[[#This Row],[_Res4Text]],FIND("[",Tasks[[#This Row],[_Res4Text]]&amp;"[")-1))))</f>
        <v/>
      </c>
      <c r="EI1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6" s="43" t="n">
        <f aca="false">IF(OR(NOT(Tasks[[#This Row],[_IsLeaf]]=1),Tasks[[#This Row],[_Res4Row]]=0),0,N(Tasks[[#This Row],[_Days]])*HoursPerDay*IF(Tasks[[#This Row],[_Res4Units]]="",DefaultUnits,Tasks[[#This Row],[_Res4Units]]))</f>
        <v>0</v>
      </c>
      <c r="EK146" s="43" t="n">
        <f aca="false">IF(AND(AND(Tasks[[#This Row],[_IsLeaf]]=1,Tasks[[#This Row],[_LeafTotalWork]]&gt;0),Tasks[[#This Row],[_Res4Work]]&gt;0),Tasks[[#This Row],[_Res4Work]]/(Tasks[[#This Row],[_FinishWorkday]]-Tasks[[#This Row],[_StartWorkday]]+1),0)</f>
        <v>0</v>
      </c>
      <c r="EL146" s="43" t="n">
        <f aca="false">Tasks[[#This Row],[_Res4WorkPerWD]]*MAX(0,Tasks[[#This Row],[_StartWorkday]]-1)</f>
        <v>0</v>
      </c>
      <c r="EM146" s="43" t="n">
        <f aca="false">Tasks[[#This Row],[_Res4Work]]*Tasks[[#This Row],[_LeafProgress]]</f>
        <v>0</v>
      </c>
      <c r="EN146" s="43" t="n">
        <f aca="false">IF(ISNUMBER(Tasks[[#This Row],[% Complete]]),Tasks[[#This Row],[% Complete]],IF(Tasks[[#This Row],[Stage]]="",0,IFERROR(INDEX(stg_Pct,MATCH(Tasks[[#This Row],[Stage]],stg_Name,0)),0)))</f>
        <v>0</v>
      </c>
      <c r="EO146" s="43" t="n">
        <f aca="false">IF(NOT(Tasks[[#This Row],[_IsLeaf]]=1),0,IF(N(Tasks[[#This Row],[Actual Finish]])&gt;0,1,MIN(1,Tasks[[#This Row],[_Pct]])))</f>
        <v>0</v>
      </c>
      <c r="EP146" s="43" t="n">
        <f aca="false">IF(OR(NOT(Tasks[[#This Row],[_IsLeaf]]=1),Tasks[[#This Row],[_Res1Row]]=0),0,N(Tasks[[#This Row],[_Days]])*HoursPerDay*IF(Tasks[[#This Row],[_Units1]]="",DefaultUnits,Tasks[[#This Row],[_Units1]]))</f>
        <v>0</v>
      </c>
      <c r="EQ146" s="43" t="n">
        <f aca="false">Tasks[[#This Row],[_LeafWork]]+Tasks[[#This Row],[_Res2Work]]+Tasks[[#This Row],[_Res3Work]]+Tasks[[#This Row],[_Res4Work]]</f>
        <v>0</v>
      </c>
      <c r="ER14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6" s="43" t="n">
        <f aca="false">IF(NOT(Tasks[[#This Row],[_IsLeaf]]=1),0,MAX(_xlfn.MAXIFS(Tasks[_Row],Tasks[_Pred1UID],Tasks[[#This Row],[UID]]),_xlfn.MAXIFS(Tasks[_Row],Tasks[_Pred2UID],Tasks[[#This Row],[UID]]),_xlfn.MAXIFS(Tasks[_Row],Tasks[_Pred3UID],Tasks[[#This Row],[UID]]),_xlfn.MAXIFS(Tasks[_Row],Tasks[_Pred4UID],Tasks[[#This Row],[UID]])))</f>
        <v>0</v>
      </c>
      <c r="FA1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6" s="91" t="str">
        <f aca="false">IF(NOT(Tasks[[#This Row],[_IsLeaf]]=1),"",IF(N(Tasks[[#This Row],[_Days]])&lt;=0,Tasks[[#This Row],[_LeafLateFinish]],WORKDAY.INTL(Tasks[[#This Row],[_LeafLateFinish]],-(Tasks[[#This Row],[_Days]]-1),WorkWeek,Holidays)))</f>
        <v/>
      </c>
      <c r="FD1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6" s="90" t="b">
        <f aca="false">AND(Tasks[[#This Row],[_IsLeaf]]=1,Tasks[[#This Row],[_LeafProgress]]&lt;1,N(Tasks[[#This Row],[_LeafTotalSlack]])&lt;=CriticalSlackDays)</f>
        <v>0</v>
      </c>
      <c r="FF146" s="43" t="n">
        <f aca="false">IF(AND(Tasks[[#This Row],[_IsLeaf]]=1,Tasks[[#This Row],[_ConstraintCode]]=1,Tasks[[#This Row],[Mode]]&lt;&gt;"Manual",N(Tasks[[#This Row],[Actual Start]])=0),MAX(0,N(Tasks[[#This Row],[Free Slack]])),0)</f>
        <v>0</v>
      </c>
      <c r="FG146" s="91" t="str">
        <f aca="false">IF(NOT(Tasks[[#This Row],[_IsLeaf]]=1),"",IF(Tasks[[#This Row],[_AlapShift]]=0,Tasks[[#This Row],[_LeafCalcStart]],WORKDAY.INTL(Tasks[[#This Row],[_LeafCalcStart]],Tasks[[#This Row],[_AlapShift]],WorkWeek,Holidays)))</f>
        <v/>
      </c>
      <c r="FH146" s="91" t="str">
        <f aca="false">IF(NOT(Tasks[[#This Row],[_IsLeaf]]=1),"",IF(Tasks[[#This Row],[_AlapShift]]=0,Tasks[[#This Row],[_LeafCalcFinish]],WORKDAY.INTL(Tasks[[#This Row],[_LeafCalcFinish]],Tasks[[#This Row],[_AlapShift]],WorkWeek,Holidays)))</f>
        <v/>
      </c>
      <c r="FI146" s="91" t="str">
        <f aca="false">IF(NOT(Tasks[[#This Row],[_IsLeaf]]=1),"",IF(Tasks[[#This Row],[_AlapShift]]=0,Tasks[[#This Row],[_LeafFcstStart]],WORKDAY.INTL(Tasks[[#This Row],[_LeafFcstStart]],Tasks[[#This Row],[_AlapShift]],WorkWeek,Holidays)))</f>
        <v/>
      </c>
      <c r="FJ146" s="91" t="str">
        <f aca="false">IF(NOT(Tasks[[#This Row],[_IsLeaf]]=1),"",IF(Tasks[[#This Row],[_AlapShift]]=0,Tasks[[#This Row],[_LeafFcstFinish]],WORKDAY.INTL(Tasks[[#This Row],[_LeafFcstFinish]],Tasks[[#This Row],[_AlapShift]],WorkWeek,Holidays)))</f>
        <v/>
      </c>
      <c r="FK146" s="91" t="str">
        <f aca="false">IF(Tasks[[#This Row],[Task Name]]="","",IF(Tasks[[#This Row],[_IsSummary]],MIN(INDEX(Tasks[_ShownCalcStart],Tasks[[#This Row],[_Row]]+1):INDEX(Tasks[_ShownCalcStart],Tasks[[#This Row],[_Row]]+Tasks[[#This Row],[_Descendants]])),Tasks[[#This Row],[_ShownCalcStart]]))</f>
        <v/>
      </c>
      <c r="FL146" s="91" t="str">
        <f aca="false">IF(Tasks[[#This Row],[Task Name]]="","",IF(Tasks[[#This Row],[_IsSummary]],MAX(INDEX(Tasks[_ShownCalcFinish],Tasks[[#This Row],[_Row]]+1):INDEX(Tasks[_ShownCalcFinish],Tasks[[#This Row],[_Row]]+Tasks[[#This Row],[_Descendants]])),Tasks[[#This Row],[_ShownCalcFinish]]))</f>
        <v/>
      </c>
      <c r="FM1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6" s="43" t="n">
        <f aca="false">IF(AND(Tasks[[#This Row],[_IsLeaf]]=1,Tasks[[#This Row],[_LeafTotalWork]]&gt;0),NETWORKDAYS.INTL(ProjectStart,Tasks[[#This Row],[_ShownFcstStart]],WorkWeek,Holidays),0)</f>
        <v>0</v>
      </c>
      <c r="FZ146" s="43" t="n">
        <f aca="false">IF(AND(Tasks[[#This Row],[_IsLeaf]]=1,Tasks[[#This Row],[_LeafTotalWork]]&gt;0),MAX(Tasks[[#This Row],[_StartWorkday]],NETWORKDAYS.INTL(ProjectStart,Tasks[[#This Row],[_ShownFcstFinish]],WorkWeek,Holidays)),0)</f>
        <v>0</v>
      </c>
      <c r="GA146" s="43" t="n">
        <f aca="false">IF(AND(Tasks[[#This Row],[_IsLeaf]]=1,Tasks[[#This Row],[_LeafTotalWork]]&gt;0),Tasks[[#This Row],[_LeafWork]]/(Tasks[[#This Row],[_FinishWorkday]]-Tasks[[#This Row],[_StartWorkday]]+1),0)</f>
        <v>0</v>
      </c>
      <c r="GB146" s="43" t="n">
        <f aca="false">Tasks[[#This Row],[_WorkPerWorkday]]*(Tasks[[#This Row],[_StartWorkday]]-1)</f>
        <v>-0</v>
      </c>
      <c r="GC146" s="43" t="n">
        <f aca="false">IF(Tasks[[#This Row],[_IsLeaf]]=1,MAX(N(Tasks[[#This Row],[_Days]]),0.1),0)</f>
        <v>0</v>
      </c>
      <c r="GD146" s="43" t="n">
        <f aca="false">Tasks[[#This Row],[_WeightDur]]*Tasks[[#This Row],[_LeafProgress]]</f>
        <v>0</v>
      </c>
      <c r="GE146" s="43" t="n">
        <f aca="false">Tasks[[#This Row],[_WeightDur]]*Tasks[[#This Row],[_PlannedPct]]</f>
        <v>0</v>
      </c>
      <c r="GF1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6" s="43" t="str">
        <f aca="false">IF(AND(Tasks[[#This Row],[_IsLeaf]]=1,N(Tasks[[#This Row],[_Days]])=0,Tasks[[#This Row],[_LeafProgress]]&lt;1),Tasks[[#This Row],[_ShownFcstFinish]]+Tasks[[#This Row],[_Row]]/100000,"")</f>
        <v/>
      </c>
      <c r="GH1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6" s="43" t="str">
        <f aca="false">IF(Tasks[[#This Row],[Task Name]]="","",LEFT(Tasks[[#This Row],[WBS]],FIND(".",Tasks[[#This Row],[WBS]]&amp;".")-1))</f>
        <v/>
      </c>
      <c r="GJ146" s="43" t="str">
        <f aca="false">IF(AND(Tasks[[#This Row],[Task Name]]&lt;&gt;"",Tasks[[#This Row],[_Level]]=1),Tasks[[#This Row],[_Row]],"")</f>
        <v/>
      </c>
      <c r="GK146" s="43" t="str">
        <f aca="false">IF(AND(Tasks[[#This Row],[_IsLeaf]]=1,N(Tasks[[#This Row],[_Days]])=0),Tasks[[#This Row],[Planned Finish]]+Tasks[[#This Row],[_Row]]/100000,"")</f>
        <v/>
      </c>
      <c r="GL146" s="43" t="str">
        <f aca="false">IF(AND(Tasks[[#This Row],[_IsLeaf]]=1,Tasks[[#This Row],[_LeafProgress]]&lt;1,OR(N(Tasks[[#This Row],[Finish Var]])&gt;0,Tasks[[#This Row],[Status]]="Late Start")),MAX(0,Tasks[[#This Row],[Finish Var]])+1-Tasks[[#This Row],[_Row]]/1000000,"")</f>
        <v/>
      </c>
      <c r="GM146" s="43" t="str">
        <f aca="false">IF(AND(Tasks[[#This Row],[_IsLeaf]]=1,N(Tasks[[#This Row],[Actual Start]])=0,Tasks[[#This Row],[_ShownFcstStart]]&gt;=StatusDate,Tasks[[#This Row],[_ShownFcstStart]]&lt;=LookaheadEnd),Tasks[[#This Row],[_ShownFcstStart]]+Tasks[[#This Row],[_Row]]/100000,"")</f>
        <v/>
      </c>
      <c r="GN146" s="43" t="str">
        <f aca="false">IF(AND(Tasks[[#This Row],[_IsLeaf]]=1,Tasks[[#This Row],[_LeafProgress]]&lt;1,Tasks[[#This Row],[_ShownFcstFinish]]&gt;=StatusDate,Tasks[[#This Row],[_ShownFcstFinish]]&lt;=LookaheadEnd),Tasks[[#This Row],[_ShownFcstFinish]]+Tasks[[#This Row],[_Row]]/100000,"")</f>
        <v/>
      </c>
      <c r="GO146" s="43" t="str">
        <f aca="false">IF(Tasks[[#This Row],[_LeafCritical]],Tasks[[#This Row],[_ShownFcstStart]]+Tasks[[#This Row],[_Row]]/100000,"")</f>
        <v/>
      </c>
      <c r="GP146" s="43" t="n">
        <f aca="false">Tasks[[#This Row],[_LeafWork]]*Tasks[[#This Row],[_LeafProgress]]</f>
        <v>0</v>
      </c>
      <c r="GQ146" s="91" t="str">
        <f aca="false">IF(AND(Tasks[[#This Row],[_IsLeaf]]=1,Tasks[[#This Row],[_LeafProgress]]&gt;=1),IF(N(Tasks[[#This Row],[Actual Finish]])&gt;0,Tasks[[#This Row],[Actual Finish]],Tasks[[#This Row],[_ShownFcstFinish]]),"")</f>
        <v/>
      </c>
      <c r="GR146" s="43" t="n">
        <f aca="false">IF(Tasks[[#This Row],[_IsLeaf]]=1,N(Tasks[[#This Row],[Story Points]]),0)</f>
        <v>0</v>
      </c>
      <c r="GS146" s="43" t="str">
        <f aca="false">""</f>
        <v/>
      </c>
      <c r="GT146" s="90" t="b">
        <f aca="false">IF(Tasks[[#This Row],[Task Name]]="",FALSE(),AND(Tasks[[#This Row],[_IsLeaf]]=1,N(Tasks[[#This Row],[_Days]])=0))</f>
        <v>0</v>
      </c>
      <c r="GU146" s="91" t="n">
        <f aca="false">IF(Tasks[[#This Row],[Task Name]]="",0,IF(AND(Tasks[[#This Row],[_IsLeaf]]=1,NOT(Tasks[[#This Row],[_IsMilestone]]),N(Tasks[[#This Row],[Progress]])&gt;0),Tasks[[#This Row],[Start]],0))</f>
        <v>0</v>
      </c>
      <c r="GV146" s="91" t="n">
        <f aca="false">IF(Tasks[[#This Row],[_DoneFrom]]=0,0,IF(Tasks[[#This Row],[Progress]]&gt;=1,Tasks[[#This Row],[Finish]],MAX(Tasks[[#This Row],[_DoneFrom]],Tasks[[#This Row],[Start]]+ROUND((Tasks[[#This Row],[Finish]]-Tasks[[#This Row],[Start]]+1)*Tasks[[#This Row],[Progress]],0)-1)))</f>
        <v>0</v>
      </c>
      <c r="GW146" s="91" t="n">
        <f aca="false">IF(Tasks[[#This Row],[Task Name]]="",0,IF(OR(NOT(Tasks[[#This Row],[_IsLeaf]]=1),Tasks[[#This Row],[_IsMilestone]],N(Tasks[[#This Row],[Progress]])&gt;=1),0,IF(Tasks[[#This Row],[_DoneTo]]&gt;0,Tasks[[#This Row],[_DoneTo]]+1,Tasks[[#This Row],[Start]])))</f>
        <v>0</v>
      </c>
      <c r="GX146" s="91" t="n">
        <f aca="false">IF(Tasks[[#This Row],[_RemFrom]]=0,0,Tasks[[#This Row],[Finish]])</f>
        <v>0</v>
      </c>
      <c r="GY146" s="90" t="b">
        <f aca="false">IF(Tasks[[#This Row],[Task Name]]="",FALSE(),OR(NOT(BaselineSet),N(Tasks[[#This Row],[Baseline Start]])&gt;0))</f>
        <v>0</v>
      </c>
      <c r="GZ14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6" s="92" t="str">
        <f aca="false">IF(Tasks[[#This Row],[_IsLeaf]]=1,Tasks[[#This Row],[_Row]],"")</f>
        <v/>
      </c>
      <c r="HD146" s="92" t="str">
        <f aca="false">IFERROR(INDEX(Tasks[UID],SMALL(Tasks[_PickKey],Tasks[[#This Row],[_Row]]))&amp;" "&amp;INDEX(Tasks[Task Name],SMALL(Tasks[_PickKey],Tasks[[#This Row],[_Row]])),"")</f>
        <v/>
      </c>
      <c r="HE146" s="43" t="str">
        <f aca="false">IF(Tasks[[#This Row],[Task Name]]="","",IF(Tasks[[#This Row],[_IsSummary]],NETWORKDAYS.INTL(Tasks[[#This Row],[Start]],Tasks[[#This Row],[Finish]],WorkWeek,Holidays),N(Tasks[[#This Row],[_Days]])))</f>
        <v/>
      </c>
      <c r="HF146" s="43" t="n">
        <f aca="false">IF(Tasks[[#This Row],[Expected]]="",0,((Tasks[[#This Row],[Pessimistic]]-Tasks[[#This Row],[Optimistic]])/6)^2)</f>
        <v>0</v>
      </c>
      <c r="HG146" s="43" t="n">
        <f aca="false">IF(Tasks[[#This Row],[Expected]]="",0,Tasks[[#This Row],[Expected]]-N(Tasks[[#This Row],[_Days]]))</f>
        <v>0</v>
      </c>
    </row>
    <row r="147" customFormat="false" ht="15" hidden="false" customHeight="false" outlineLevel="0" collapsed="false">
      <c r="A147" s="21" t="str">
        <f aca="false">IF(Tasks[[#This Row],[Task Name]]="","",COUNTA(Tasks[[#Headers],[Task Name]]:Tasks[[#This Row],[Task Name]])-1)</f>
        <v/>
      </c>
      <c r="B147" s="22" t="n">
        <v>155</v>
      </c>
      <c r="C147" s="22"/>
      <c r="D147" s="23"/>
      <c r="E147" s="22"/>
      <c r="F147" s="23"/>
      <c r="G147" s="22"/>
      <c r="H147" s="22"/>
      <c r="I147" s="23"/>
      <c r="J147" s="22"/>
      <c r="K147" s="22"/>
      <c r="L147" s="23"/>
      <c r="M147" s="22"/>
      <c r="N147" s="22"/>
      <c r="O147" s="23"/>
      <c r="P147" s="22"/>
      <c r="Q147" s="22"/>
      <c r="R147" s="23"/>
      <c r="S147" s="23"/>
      <c r="T147" s="84"/>
      <c r="U147" s="23"/>
      <c r="V147" s="84"/>
      <c r="W147" s="23"/>
      <c r="X147" s="84"/>
      <c r="Y147" s="23"/>
      <c r="Z147" s="84"/>
      <c r="AA147" s="23"/>
      <c r="AB147" s="23"/>
      <c r="AC147" s="7"/>
      <c r="AD147" s="7"/>
      <c r="AE147" s="63" t="str">
        <f aca="false">IF(Tasks[[#This Row],[Task Name]]="","",IF(Tasks[[#This Row],[_IsSummary]],MIN(INDEX(Tasks[_ShownFcstStart],Tasks[[#This Row],[_Row]]+1):INDEX(Tasks[_ShownFcstStart],Tasks[[#This Row],[_Row]]+Tasks[[#This Row],[_Descendants]])),Tasks[[#This Row],[_ShownFcstStart]]))</f>
        <v/>
      </c>
      <c r="AF147" s="63" t="str">
        <f aca="false">IF(Tasks[[#This Row],[Task Name]]="","",IF(Tasks[[#This Row],[_IsSummary]],MAX(INDEX(Tasks[_ShownFcstFinish],Tasks[[#This Row],[_Row]]+1):INDEX(Tasks[_ShownFcstFinish],Tasks[[#This Row],[_Row]]+Tasks[[#This Row],[_Descendants]])),Tasks[[#This Row],[_ShownFcstFinish]]))</f>
        <v/>
      </c>
      <c r="AG147" s="21" t="str">
        <f aca="false">""</f>
        <v/>
      </c>
      <c r="AH147" s="23"/>
      <c r="AI1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7" s="7"/>
      <c r="AK147" s="22"/>
      <c r="AL147" s="23"/>
      <c r="AM147" s="7"/>
      <c r="AN147" s="47" t="str">
        <f aca="false">IF(Tasks[[#This Row],[Task Name]]="","",IF(Tasks[[#This Row],[Finish]]&gt;=Tasks[[#This Row],[Planned Finish]],NETWORKDAYS.INTL(Tasks[[#This Row],[Planned Finish]],Tasks[[#This Row],[Finish]],WorkWeek,Holidays)-1,1-NETWORKDAYS.INTL(Tasks[[#This Row],[Finish]],Tasks[[#This Row],[Planned Finish]],WorkWeek,Holidays)))</f>
        <v/>
      </c>
      <c r="AO147" s="21" t="str">
        <f aca="false">IF(Tasks[[#This Row],[Task Name]]="","",IF(Tasks[[#This Row],[Progress]]&gt;=1,"Complete",IF(OR(N(Tasks[[#This Row],[Actual Start]])&gt;0,Tasks[[#This Row],[Progress]]&gt;0),IF(Tasks[[#This Row],[Finish Var]]&gt;0,"Behind","In Progress"),IF(Tasks[[#This Row],[Planned Start]]&lt;StatusDate,"Late Start","Not Started"))))</f>
        <v/>
      </c>
      <c r="AP147" s="21" t="str">
        <f aca="false">IF(Tasks[[#This Row],[Task Name]]="","",IF(IF(Tasks[[#This Row],[_IsSummary]],COUNTIF(INDEX(Tasks[_LeafCritical],Tasks[[#This Row],[_Row]]+1):INDEX(Tasks[_LeafCritical],Tasks[[#This Row],[_Row]]+Tasks[[#This Row],[_Descendants]]),TRUE())&gt;0,Tasks[[#This Row],[_LeafCritical]]),"Yes",""))</f>
        <v/>
      </c>
      <c r="AQ147" s="63" t="str">
        <f aca="false">IF(Tasks[[#This Row],[Task Name]]="","",IF(N(Tasks[[#This Row],[Baseline Start]])&gt;0,Tasks[[#This Row],[Baseline Start]],Tasks[[#This Row],[_CalcStart]]))</f>
        <v/>
      </c>
      <c r="AR147" s="63" t="str">
        <f aca="false">IF(Tasks[[#This Row],[Task Name]]="","",IF(N(Tasks[[#This Row],[Baseline Finish]])&gt;0,Tasks[[#This Row],[Baseline Finish]],Tasks[[#This Row],[_CalcFinish]]))</f>
        <v/>
      </c>
      <c r="AS147" s="47" t="str">
        <f aca="false">IF(Tasks[[#This Row],[Task Name]]="","",IF(Tasks[[#This Row],[Start]]&gt;=Tasks[[#This Row],[Planned Start]],NETWORKDAYS.INTL(Tasks[[#This Row],[Planned Start]],Tasks[[#This Row],[Start]],WorkWeek,Holidays)-1,1-NETWORKDAYS.INTL(Tasks[[#This Row],[Start]],Tasks[[#This Row],[Planned Start]],WorkWeek,Holidays)))</f>
        <v/>
      </c>
      <c r="AT147" s="63" t="str">
        <f aca="false">IF(Tasks[[#This Row],[Task Name]]="","",IF(Tasks[[#This Row],[_IsSummary]],MIN(INDEX(Tasks[_LeafLateStart],Tasks[[#This Row],[_Row]]+1):INDEX(Tasks[_LeafLateStart],Tasks[[#This Row],[_Row]]+Tasks[[#This Row],[_Descendants]])),Tasks[[#This Row],[_LeafLateStart]]))</f>
        <v/>
      </c>
      <c r="AU147" s="63" t="str">
        <f aca="false">IF(Tasks[[#This Row],[Task Name]]="","",IF(Tasks[[#This Row],[_IsSummary]],MAX(INDEX(Tasks[_LeafLateFinish],Tasks[[#This Row],[_Row]]+1):INDEX(Tasks[_LeafLateFinish],Tasks[[#This Row],[_Row]]+Tasks[[#This Row],[_Descendants]])),Tasks[[#This Row],[_LeafLateFinish]]))</f>
        <v/>
      </c>
      <c r="AV147" s="47" t="str">
        <f aca="false">IF(Tasks[[#This Row],[Task Name]]="","",IF(Tasks[[#This Row],[_IsSummary]],MIN(INDEX(Tasks[_LeafTotalSlack],Tasks[[#This Row],[_Row]]+1):INDEX(Tasks[_LeafTotalSlack],Tasks[[#This Row],[_Row]]+Tasks[[#This Row],[_Descendants]])),Tasks[[#This Row],[_LeafTotalSlack]]))</f>
        <v/>
      </c>
      <c r="AW1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5"/>
      <c r="BA14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t="str">
        <f aca="false">IF(Tasks[[#This Row],[Task Name]]="","",IF(Tasks[[#This Row],[_Level]]&lt;=OutlineShowLevel,"Yes","No"))</f>
        <v/>
      </c>
      <c r="BE147" s="86" t="str">
        <f aca="false">IF(Tasks[[#This Row],[Task Name]]="","",IF(Tasks[[#This Row],[_IsSummary]],SUM(INDEX(Tasks[_LeafTotalWork],Tasks[[#This Row],[_Row]]+1):INDEX(Tasks[_LeafTotalWork],Tasks[[#This Row],[_Row]]+Tasks[[#This Row],[_Descendants]])),Tasks[[#This Row],[_LeafTotalWork]]))</f>
        <v/>
      </c>
      <c r="BF147" s="23"/>
      <c r="BG1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t="str">
        <f aca="false">""</f>
        <v/>
      </c>
      <c r="BI147" s="87"/>
      <c r="BJ147" s="22"/>
      <c r="BK147" s="47" t="str">
        <f aca="false">IF(OR(Tasks[[#This Row],[Task Name]]="",Tasks[[#This Row],[Baseline Duration]]=""),"",Tasks[[#This Row],[_SpanDays]]-N(Tasks[[#This Row],[Baseline Duration]]))</f>
        <v/>
      </c>
      <c r="BL147" s="86" t="str">
        <f aca="false">IF(OR(Tasks[[#This Row],[Task Name]]="",Tasks[[#This Row],[Baseline Work]]=""),"",Tasks[[#This Row],[Work]]-N(Tasks[[#This Row],[Baseline Work]]))</f>
        <v/>
      </c>
      <c r="BM147" s="63" t="str">
        <f aca="false">IF(Tasks[[#This Row],[Task Name]]="","",IF(OR(TakeBaseline="Yes",N(Tasks[[#This Row],[Baseline Start]])=0),Tasks[[#This Row],[Start]],Tasks[[#This Row],[Baseline Start]]))</f>
        <v/>
      </c>
      <c r="BN147" s="63" t="str">
        <f aca="false">IF(Tasks[[#This Row],[Task Name]]="","",IF(OR(TakeBaseline="Yes",N(Tasks[[#This Row],[Baseline Finish]])=0),Tasks[[#This Row],[Finish]],Tasks[[#This Row],[Baseline Finish]]))</f>
        <v/>
      </c>
      <c r="BO147" s="21" t="str">
        <f aca="false">IF(Tasks[[#This Row],[Task Name]]="","",IF(OR(TakeBaseline="Yes",N(Tasks[[#This Row],[Baseline Duration]])=0),Tasks[[#This Row],[_SpanDays]],Tasks[[#This Row],[Baseline Duration]]))</f>
        <v/>
      </c>
      <c r="BP147" s="86" t="str">
        <f aca="false">IF(Tasks[[#This Row],[Task Name]]="","",IF(OR(TakeBaseline="Yes",N(Tasks[[#This Row],[Baseline Work]])=0),Tasks[[#This Row],[Work]],Tasks[[#This Row],[Baseline Work]]))</f>
        <v/>
      </c>
      <c r="BQ147" s="7"/>
      <c r="BR147" s="7"/>
      <c r="BS147" s="22"/>
      <c r="BT147" s="88"/>
      <c r="BU147" s="23"/>
      <c r="BV147" s="23"/>
      <c r="BW147" s="23"/>
      <c r="BX147" s="89" t="str">
        <f aca="false">IF(AND(Tasks[[#This Row],[_IsLeaf]]=1,ISNUMBER(Tasks[[#This Row],[Optimistic]]),ISNUMBER(Tasks[[#This Row],[Pessimistic]])),ROUND((Tasks[[#This Row],[Optimistic]]+4*N(Tasks[[#This Row],[_Days]])+Tasks[[#This Row],[Pessimistic]])/6,1),"")</f>
        <v/>
      </c>
      <c r="BY147" s="87"/>
      <c r="BZ147" s="87"/>
      <c r="CA147" s="22"/>
      <c r="CB147" s="43" t="str">
        <f aca="false">IF(Tasks[[#This Row],[Task Name]]="","",MAX(1,N(Tasks[[#This Row],[Level]])))</f>
        <v/>
      </c>
      <c r="CC147" s="43" t="n">
        <f aca="false">ROW()-ROW(Tasks[[#Headers],[ID]])</f>
        <v>142</v>
      </c>
      <c r="CD147" s="43" t="n">
        <f aca="false">IF(OR(Tasks[[#This Row],[Task Name]]="",Tasks[[#This Row],[_Level]]&lt;=1),0,IFERROR(LOOKUP(2,1/(Tasks[[#Headers],[_Level]]:Tasks[[#This Row],[_Level]]=Tasks[[#This Row],[_Level]]-1),ROW(Tasks[[#Headers],[_Level]]:Tasks[[#This Row],[_Level]])),0))</f>
        <v>0</v>
      </c>
      <c r="CE147" s="43" t="n">
        <f aca="false">IFERROR(N(INDEX(Tasks[_Level],Tasks[[#This Row],[_Row]]+1)),0)</f>
        <v>0</v>
      </c>
      <c r="CF147" s="90" t="b">
        <f aca="false">AND(Tasks[[#This Row],[Task Name]]&lt;&gt;"",Tasks[[#This Row],[_NextLevel]]&gt;Tasks[[#This Row],[_Level]])</f>
        <v>0</v>
      </c>
      <c r="CG147" s="43" t="n">
        <f aca="false">IF(Tasks[[#This Row],[_IsSummary]],COUNTIF(Tasks[WBS],Tasks[[#This Row],[WBS]]&amp;".*"),0)</f>
        <v>0</v>
      </c>
      <c r="CH147" s="43" t="n">
        <f aca="false">IF(AND(Tasks[[#This Row],[Task Name]]&lt;&gt;"",NOT(Tasks[[#This Row],[_IsSummary]])),1,0)</f>
        <v>0</v>
      </c>
      <c r="CI147" s="43" t="n">
        <f aca="false">IF(N(Tasks[[#This Row],[_Pred1UID]])=0,0,IFERROR(MATCH(Tasks[[#This Row],[_Pred1UID]],Tasks[UID],0),-1))</f>
        <v>0</v>
      </c>
      <c r="CJ147" s="43" t="n">
        <f aca="false">IF(N(Tasks[[#This Row],[_Pred2UID]])=0,0,IFERROR(MATCH(Tasks[[#This Row],[_Pred2UID]],Tasks[UID],0),-1))</f>
        <v>0</v>
      </c>
      <c r="CK147" s="43" t="n">
        <f aca="false">IF(N(Tasks[[#This Row],[_Pred3UID]])=0,0,IFERROR(MATCH(Tasks[[#This Row],[_Pred3UID]],Tasks[UID],0),-1))</f>
        <v>0</v>
      </c>
      <c r="CL147" s="43" t="n">
        <f aca="false">IF(N(Tasks[[#This Row],[_Pred4UID]])=0,0,IFERROR(MATCH(Tasks[[#This Row],[_Pred4UID]],Tasks[UID],0),-1))</f>
        <v>0</v>
      </c>
      <c r="CM1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7" s="91" t="n">
        <f aca="false">IF(OR(Tasks[[#This Row],[_ConstraintCode]]=2,Tasks[[#This Row],[_ConstraintCode]]=3,Tasks[[#This Row],[_ConstraintCode]]=4,Tasks[[#This Row],[_ConstraintCode]]=6),Tasks[[#This Row],[_ConstraintStart]],0)</f>
        <v>0</v>
      </c>
      <c r="CP147" s="91" t="n">
        <f aca="false">IF(OR(Tasks[[#This Row],[_ConstraintCode]]=2,Tasks[[#This Row],[_ConstraintCode]]=3,Tasks[[#This Row],[_ConstraintCode]]=5,Tasks[[#This Row],[_ConstraintCode]]=7),Tasks[[#This Row],[_ConstraintStart]],2958465)</f>
        <v>2958465</v>
      </c>
      <c r="CQ1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7" s="91" t="str">
        <f aca="false">IF(NOT(Tasks[[#This Row],[_IsLeaf]]=1),"",IF(N(Tasks[[#This Row],[_Days]])&lt;=0,Tasks[[#This Row],[_LeafCalcStart]],WORKDAY.INTL(Tasks[[#This Row],[_LeafCalcStart]],Tasks[[#This Row],[_Days]]-1,WorkWeek,Holidays)))</f>
        <v/>
      </c>
      <c r="CS1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7" s="43" t="str">
        <f aca="false">IF(Tasks[[#This Row],[_Predecessors]]="","",TRIM(MID(SUBSTITUTE(SUBSTITUTE(SUBSTITUTE(UPPER(Tasks[[#This Row],[_Predecessors]]),";",",")," ",""),",",REPT(" ",99)),1,99)))</f>
        <v/>
      </c>
      <c r="CV147" s="43" t="str">
        <f aca="false">IF(Tasks[[#This Row],[_Pred1Text]]="","",IFERROR(VALUE(LEFT(Tasks[[#This Row],[_Pred1Text]],MIN(FIND("F",Tasks[[#This Row],[_Pred1Text]]&amp;"F"),FIND("S",Tasks[[#This Row],[_Pred1Text]]&amp;"S"),FIND("+",Tasks[[#This Row],[_Pred1Text]]&amp;"+"),FIND("-",Tasks[[#This Row],[_Pred1Text]]&amp;"-"))-1)),""))</f>
        <v/>
      </c>
      <c r="CW1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7" s="43" t="str">
        <f aca="false">IF(Tasks[[#This Row],[_Pred1Text]]="","",TRIM(MID(SUBSTITUTE(SUBSTITUTE(SUBSTITUTE(UPPER(Tasks[[#This Row],[_Predecessors]]),";",",")," ",""),",",REPT(" ",99)),100,99)))</f>
        <v/>
      </c>
      <c r="CZ147" s="43" t="str">
        <f aca="false">IF(Tasks[[#This Row],[_Pred2Text]]="","",IFERROR(VALUE(LEFT(Tasks[[#This Row],[_Pred2Text]],MIN(FIND("F",Tasks[[#This Row],[_Pred2Text]]&amp;"F"),FIND("S",Tasks[[#This Row],[_Pred2Text]]&amp;"S"),FIND("+",Tasks[[#This Row],[_Pred2Text]]&amp;"+"),FIND("-",Tasks[[#This Row],[_Pred2Text]]&amp;"-"))-1)),""))</f>
        <v/>
      </c>
      <c r="DA1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7" s="43" t="str">
        <f aca="false">IF(Tasks[[#This Row],[_Pred2Text]]="","",TRIM(MID(SUBSTITUTE(SUBSTITUTE(SUBSTITUTE(UPPER(Tasks[[#This Row],[_Predecessors]]),";",",")," ",""),",",REPT(" ",99)),199,99)))</f>
        <v/>
      </c>
      <c r="DD147" s="43" t="str">
        <f aca="false">IF(Tasks[[#This Row],[_Pred3Text]]="","",IFERROR(VALUE(LEFT(Tasks[[#This Row],[_Pred3Text]],MIN(FIND("F",Tasks[[#This Row],[_Pred3Text]]&amp;"F"),FIND("S",Tasks[[#This Row],[_Pred3Text]]&amp;"S"),FIND("+",Tasks[[#This Row],[_Pred3Text]]&amp;"+"),FIND("-",Tasks[[#This Row],[_Pred3Text]]&amp;"-"))-1)),""))</f>
        <v/>
      </c>
      <c r="DE1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7" s="43" t="str">
        <f aca="false">IF(Tasks[[#This Row],[_Pred3Text]]="","",TRIM(MID(SUBSTITUTE(SUBSTITUTE(SUBSTITUTE(UPPER(Tasks[[#This Row],[_Predecessors]]),";",",")," ",""),",",REPT(" ",99)),298,99)))</f>
        <v/>
      </c>
      <c r="DH147" s="43" t="str">
        <f aca="false">IF(Tasks[[#This Row],[_Pred4Text]]="","",IFERROR(VALUE(LEFT(Tasks[[#This Row],[_Pred4Text]],MIN(FIND("F",Tasks[[#This Row],[_Pred4Text]]&amp;"F"),FIND("S",Tasks[[#This Row],[_Pred4Text]]&amp;"S"),FIND("+",Tasks[[#This Row],[_Pred4Text]]&amp;"+"),FIND("-",Tasks[[#This Row],[_Pred4Text]]&amp;"-"))-1)),""))</f>
        <v/>
      </c>
      <c r="DI1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7" s="43" t="str">
        <f aca="false">IF(OR(Tasks[[#This Row],[Task Name]]="",Tasks[[#This Row],[_Resources]]=""),"",TRIM(MID(SUBSTITUTE(Tasks[[#This Row],[_Resources]],",",REPT(" ",99)),1,99)))</f>
        <v/>
      </c>
      <c r="DL147" s="43" t="str">
        <f aca="false">IF(Tasks[[#This Row],[_Res1Text]]="","",TRIM(MID(SUBSTITUTE(Tasks[[#This Row],[_Resources]],",",REPT(" ",99)),100,99)))</f>
        <v/>
      </c>
      <c r="DM147" s="43" t="str">
        <f aca="false">IF(Tasks[[#This Row],[_Res2Text]]="","",TRIM(MID(SUBSTITUTE(Tasks[[#This Row],[_Resources]],",",REPT(" ",99)),199,99)))</f>
        <v/>
      </c>
      <c r="DN147" s="43" t="str">
        <f aca="false">IF(Tasks[[#This Row],[_Res3Text]]="","",TRIM(MID(SUBSTITUTE(Tasks[[#This Row],[_Resources]],",",REPT(" ",99)),298,99)))</f>
        <v/>
      </c>
      <c r="DO147" s="43" t="n">
        <f aca="false">IF(Tasks[[#This Row],[_Res1Text]]="",0,IFERROR(MATCH(TRIM(LEFT(Tasks[[#This Row],[_Res1Text]],FIND("[",Tasks[[#This Row],[_Res1Text]]&amp;"[")-1)),res_Name,0),IFERROR(MATCH(TRIM(LEFT(Tasks[[#This Row],[_Res1Text]],FIND("[",Tasks[[#This Row],[_Res1Text]]&amp;"[")-1)),res_Initials,0),0)))</f>
        <v>0</v>
      </c>
      <c r="DP147" s="43" t="n">
        <f aca="false">IF(Tasks[[#This Row],[_Res2Text]]="",0,IFERROR(MATCH(TRIM(LEFT(Tasks[[#This Row],[_Res2Text]],FIND("[",Tasks[[#This Row],[_Res2Text]]&amp;"[")-1)),res_Name,0),IFERROR(MATCH(TRIM(LEFT(Tasks[[#This Row],[_Res2Text]],FIND("[",Tasks[[#This Row],[_Res2Text]]&amp;"[")-1)),res_Initials,0),0)))</f>
        <v>0</v>
      </c>
      <c r="DQ147" s="43" t="n">
        <f aca="false">IF(Tasks[[#This Row],[_Res3Text]]="",0,IFERROR(MATCH(TRIM(LEFT(Tasks[[#This Row],[_Res3Text]],FIND("[",Tasks[[#This Row],[_Res3Text]]&amp;"[")-1)),res_Name,0),IFERROR(MATCH(TRIM(LEFT(Tasks[[#This Row],[_Res3Text]],FIND("[",Tasks[[#This Row],[_Res3Text]]&amp;"[")-1)),res_Initials,0),0)))</f>
        <v>0</v>
      </c>
      <c r="DR147" s="43" t="n">
        <f aca="false">IF(Tasks[[#This Row],[_Res4Text]]="",0,IFERROR(MATCH(TRIM(LEFT(Tasks[[#This Row],[_Res4Text]],FIND("[",Tasks[[#This Row],[_Res4Text]]&amp;"[")-1)),res_Name,0),IFERROR(MATCH(TRIM(LEFT(Tasks[[#This Row],[_Res4Text]],FIND("[",Tasks[[#This Row],[_Res4Text]]&amp;"[")-1)),res_Initials,0),0)))</f>
        <v>0</v>
      </c>
      <c r="DS147" s="43" t="str">
        <f aca="false">IF(Tasks[[#This Row],[_Res1Text]]="","",IF(Tasks[[#This Row],[_Res1Row]]&gt;0,INDEX(res_Name,Tasks[[#This Row],[_Res1Row]]),TRIM(LEFT(Tasks[[#This Row],[_Res1Text]],FIND("[",Tasks[[#This Row],[_Res1Text]]&amp;"[")-1))))</f>
        <v/>
      </c>
      <c r="DT1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7" s="43" t="n">
        <f aca="false">IF(NOT(Tasks[[#This Row],[_IsLeaf]]=1),0,(Tasks[[#This Row],[_Resource1]]&lt;&gt;"")+(Tasks[[#This Row],[_Res2]]&lt;&gt;"")+(Tasks[[#This Row],[_Res3]]&lt;&gt;"")+(Tasks[[#This Row],[_Res4]]&lt;&gt;""))</f>
        <v>0</v>
      </c>
      <c r="DV147" s="43" t="str">
        <f aca="false">IF(Tasks[[#This Row],[_Res2Text]]="","",IF(Tasks[[#This Row],[_Res2Row]]&gt;0,INDEX(res_Name,Tasks[[#This Row],[_Res2Row]]),TRIM(LEFT(Tasks[[#This Row],[_Res2Text]],FIND("[",Tasks[[#This Row],[_Res2Text]]&amp;"[")-1))))</f>
        <v/>
      </c>
      <c r="DW1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7" s="43" t="n">
        <f aca="false">IF(OR(NOT(Tasks[[#This Row],[_IsLeaf]]=1),Tasks[[#This Row],[_Res2Row]]=0),0,N(Tasks[[#This Row],[_Days]])*HoursPerDay*IF(Tasks[[#This Row],[_Res2Units]]="",DefaultUnits,Tasks[[#This Row],[_Res2Units]]))</f>
        <v>0</v>
      </c>
      <c r="DY147" s="43" t="n">
        <f aca="false">IF(AND(AND(Tasks[[#This Row],[_IsLeaf]]=1,Tasks[[#This Row],[_LeafTotalWork]]&gt;0),Tasks[[#This Row],[_Res2Work]]&gt;0),Tasks[[#This Row],[_Res2Work]]/(Tasks[[#This Row],[_FinishWorkday]]-Tasks[[#This Row],[_StartWorkday]]+1),0)</f>
        <v>0</v>
      </c>
      <c r="DZ147" s="43" t="n">
        <f aca="false">Tasks[[#This Row],[_Res2WorkPerWD]]*MAX(0,Tasks[[#This Row],[_StartWorkday]]-1)</f>
        <v>0</v>
      </c>
      <c r="EA147" s="43" t="n">
        <f aca="false">Tasks[[#This Row],[_Res2Work]]*Tasks[[#This Row],[_LeafProgress]]</f>
        <v>0</v>
      </c>
      <c r="EB147" s="43" t="str">
        <f aca="false">IF(Tasks[[#This Row],[_Res3Text]]="","",IF(Tasks[[#This Row],[_Res3Row]]&gt;0,INDEX(res_Name,Tasks[[#This Row],[_Res3Row]]),TRIM(LEFT(Tasks[[#This Row],[_Res3Text]],FIND("[",Tasks[[#This Row],[_Res3Text]]&amp;"[")-1))))</f>
        <v/>
      </c>
      <c r="EC1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7" s="43" t="n">
        <f aca="false">IF(OR(NOT(Tasks[[#This Row],[_IsLeaf]]=1),Tasks[[#This Row],[_Res3Row]]=0),0,N(Tasks[[#This Row],[_Days]])*HoursPerDay*IF(Tasks[[#This Row],[_Res3Units]]="",DefaultUnits,Tasks[[#This Row],[_Res3Units]]))</f>
        <v>0</v>
      </c>
      <c r="EE147" s="43" t="n">
        <f aca="false">IF(AND(AND(Tasks[[#This Row],[_IsLeaf]]=1,Tasks[[#This Row],[_LeafTotalWork]]&gt;0),Tasks[[#This Row],[_Res3Work]]&gt;0),Tasks[[#This Row],[_Res3Work]]/(Tasks[[#This Row],[_FinishWorkday]]-Tasks[[#This Row],[_StartWorkday]]+1),0)</f>
        <v>0</v>
      </c>
      <c r="EF147" s="43" t="n">
        <f aca="false">Tasks[[#This Row],[_Res3WorkPerWD]]*MAX(0,Tasks[[#This Row],[_StartWorkday]]-1)</f>
        <v>0</v>
      </c>
      <c r="EG147" s="43" t="n">
        <f aca="false">Tasks[[#This Row],[_Res3Work]]*Tasks[[#This Row],[_LeafProgress]]</f>
        <v>0</v>
      </c>
      <c r="EH147" s="43" t="str">
        <f aca="false">IF(Tasks[[#This Row],[_Res4Text]]="","",IF(Tasks[[#This Row],[_Res4Row]]&gt;0,INDEX(res_Name,Tasks[[#This Row],[_Res4Row]]),TRIM(LEFT(Tasks[[#This Row],[_Res4Text]],FIND("[",Tasks[[#This Row],[_Res4Text]]&amp;"[")-1))))</f>
        <v/>
      </c>
      <c r="EI1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7" s="43" t="n">
        <f aca="false">IF(OR(NOT(Tasks[[#This Row],[_IsLeaf]]=1),Tasks[[#This Row],[_Res4Row]]=0),0,N(Tasks[[#This Row],[_Days]])*HoursPerDay*IF(Tasks[[#This Row],[_Res4Units]]="",DefaultUnits,Tasks[[#This Row],[_Res4Units]]))</f>
        <v>0</v>
      </c>
      <c r="EK147" s="43" t="n">
        <f aca="false">IF(AND(AND(Tasks[[#This Row],[_IsLeaf]]=1,Tasks[[#This Row],[_LeafTotalWork]]&gt;0),Tasks[[#This Row],[_Res4Work]]&gt;0),Tasks[[#This Row],[_Res4Work]]/(Tasks[[#This Row],[_FinishWorkday]]-Tasks[[#This Row],[_StartWorkday]]+1),0)</f>
        <v>0</v>
      </c>
      <c r="EL147" s="43" t="n">
        <f aca="false">Tasks[[#This Row],[_Res4WorkPerWD]]*MAX(0,Tasks[[#This Row],[_StartWorkday]]-1)</f>
        <v>0</v>
      </c>
      <c r="EM147" s="43" t="n">
        <f aca="false">Tasks[[#This Row],[_Res4Work]]*Tasks[[#This Row],[_LeafProgress]]</f>
        <v>0</v>
      </c>
      <c r="EN147" s="43" t="n">
        <f aca="false">IF(ISNUMBER(Tasks[[#This Row],[% Complete]]),Tasks[[#This Row],[% Complete]],IF(Tasks[[#This Row],[Stage]]="",0,IFERROR(INDEX(stg_Pct,MATCH(Tasks[[#This Row],[Stage]],stg_Name,0)),0)))</f>
        <v>0</v>
      </c>
      <c r="EO147" s="43" t="n">
        <f aca="false">IF(NOT(Tasks[[#This Row],[_IsLeaf]]=1),0,IF(N(Tasks[[#This Row],[Actual Finish]])&gt;0,1,MIN(1,Tasks[[#This Row],[_Pct]])))</f>
        <v>0</v>
      </c>
      <c r="EP147" s="43" t="n">
        <f aca="false">IF(OR(NOT(Tasks[[#This Row],[_IsLeaf]]=1),Tasks[[#This Row],[_Res1Row]]=0),0,N(Tasks[[#This Row],[_Days]])*HoursPerDay*IF(Tasks[[#This Row],[_Units1]]="",DefaultUnits,Tasks[[#This Row],[_Units1]]))</f>
        <v>0</v>
      </c>
      <c r="EQ147" s="43" t="n">
        <f aca="false">Tasks[[#This Row],[_LeafWork]]+Tasks[[#This Row],[_Res2Work]]+Tasks[[#This Row],[_Res3Work]]+Tasks[[#This Row],[_Res4Work]]</f>
        <v>0</v>
      </c>
      <c r="ER14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7" s="43" t="n">
        <f aca="false">IF(NOT(Tasks[[#This Row],[_IsLeaf]]=1),0,MAX(_xlfn.MAXIFS(Tasks[_Row],Tasks[_Pred1UID],Tasks[[#This Row],[UID]]),_xlfn.MAXIFS(Tasks[_Row],Tasks[_Pred2UID],Tasks[[#This Row],[UID]]),_xlfn.MAXIFS(Tasks[_Row],Tasks[_Pred3UID],Tasks[[#This Row],[UID]]),_xlfn.MAXIFS(Tasks[_Row],Tasks[_Pred4UID],Tasks[[#This Row],[UID]])))</f>
        <v>0</v>
      </c>
      <c r="FA1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7" s="91" t="str">
        <f aca="false">IF(NOT(Tasks[[#This Row],[_IsLeaf]]=1),"",IF(N(Tasks[[#This Row],[_Days]])&lt;=0,Tasks[[#This Row],[_LeafLateFinish]],WORKDAY.INTL(Tasks[[#This Row],[_LeafLateFinish]],-(Tasks[[#This Row],[_Days]]-1),WorkWeek,Holidays)))</f>
        <v/>
      </c>
      <c r="FD1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7" s="90" t="b">
        <f aca="false">AND(Tasks[[#This Row],[_IsLeaf]]=1,Tasks[[#This Row],[_LeafProgress]]&lt;1,N(Tasks[[#This Row],[_LeafTotalSlack]])&lt;=CriticalSlackDays)</f>
        <v>0</v>
      </c>
      <c r="FF147" s="43" t="n">
        <f aca="false">IF(AND(Tasks[[#This Row],[_IsLeaf]]=1,Tasks[[#This Row],[_ConstraintCode]]=1,Tasks[[#This Row],[Mode]]&lt;&gt;"Manual",N(Tasks[[#This Row],[Actual Start]])=0),MAX(0,N(Tasks[[#This Row],[Free Slack]])),0)</f>
        <v>0</v>
      </c>
      <c r="FG147" s="91" t="str">
        <f aca="false">IF(NOT(Tasks[[#This Row],[_IsLeaf]]=1),"",IF(Tasks[[#This Row],[_AlapShift]]=0,Tasks[[#This Row],[_LeafCalcStart]],WORKDAY.INTL(Tasks[[#This Row],[_LeafCalcStart]],Tasks[[#This Row],[_AlapShift]],WorkWeek,Holidays)))</f>
        <v/>
      </c>
      <c r="FH147" s="91" t="str">
        <f aca="false">IF(NOT(Tasks[[#This Row],[_IsLeaf]]=1),"",IF(Tasks[[#This Row],[_AlapShift]]=0,Tasks[[#This Row],[_LeafCalcFinish]],WORKDAY.INTL(Tasks[[#This Row],[_LeafCalcFinish]],Tasks[[#This Row],[_AlapShift]],WorkWeek,Holidays)))</f>
        <v/>
      </c>
      <c r="FI147" s="91" t="str">
        <f aca="false">IF(NOT(Tasks[[#This Row],[_IsLeaf]]=1),"",IF(Tasks[[#This Row],[_AlapShift]]=0,Tasks[[#This Row],[_LeafFcstStart]],WORKDAY.INTL(Tasks[[#This Row],[_LeafFcstStart]],Tasks[[#This Row],[_AlapShift]],WorkWeek,Holidays)))</f>
        <v/>
      </c>
      <c r="FJ147" s="91" t="str">
        <f aca="false">IF(NOT(Tasks[[#This Row],[_IsLeaf]]=1),"",IF(Tasks[[#This Row],[_AlapShift]]=0,Tasks[[#This Row],[_LeafFcstFinish]],WORKDAY.INTL(Tasks[[#This Row],[_LeafFcstFinish]],Tasks[[#This Row],[_AlapShift]],WorkWeek,Holidays)))</f>
        <v/>
      </c>
      <c r="FK147" s="91" t="str">
        <f aca="false">IF(Tasks[[#This Row],[Task Name]]="","",IF(Tasks[[#This Row],[_IsSummary]],MIN(INDEX(Tasks[_ShownCalcStart],Tasks[[#This Row],[_Row]]+1):INDEX(Tasks[_ShownCalcStart],Tasks[[#This Row],[_Row]]+Tasks[[#This Row],[_Descendants]])),Tasks[[#This Row],[_ShownCalcStart]]))</f>
        <v/>
      </c>
      <c r="FL147" s="91" t="str">
        <f aca="false">IF(Tasks[[#This Row],[Task Name]]="","",IF(Tasks[[#This Row],[_IsSummary]],MAX(INDEX(Tasks[_ShownCalcFinish],Tasks[[#This Row],[_Row]]+1):INDEX(Tasks[_ShownCalcFinish],Tasks[[#This Row],[_Row]]+Tasks[[#This Row],[_Descendants]])),Tasks[[#This Row],[_ShownCalcFinish]]))</f>
        <v/>
      </c>
      <c r="FM1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7" s="43" t="n">
        <f aca="false">IF(AND(Tasks[[#This Row],[_IsLeaf]]=1,Tasks[[#This Row],[_LeafTotalWork]]&gt;0),NETWORKDAYS.INTL(ProjectStart,Tasks[[#This Row],[_ShownFcstStart]],WorkWeek,Holidays),0)</f>
        <v>0</v>
      </c>
      <c r="FZ147" s="43" t="n">
        <f aca="false">IF(AND(Tasks[[#This Row],[_IsLeaf]]=1,Tasks[[#This Row],[_LeafTotalWork]]&gt;0),MAX(Tasks[[#This Row],[_StartWorkday]],NETWORKDAYS.INTL(ProjectStart,Tasks[[#This Row],[_ShownFcstFinish]],WorkWeek,Holidays)),0)</f>
        <v>0</v>
      </c>
      <c r="GA147" s="43" t="n">
        <f aca="false">IF(AND(Tasks[[#This Row],[_IsLeaf]]=1,Tasks[[#This Row],[_LeafTotalWork]]&gt;0),Tasks[[#This Row],[_LeafWork]]/(Tasks[[#This Row],[_FinishWorkday]]-Tasks[[#This Row],[_StartWorkday]]+1),0)</f>
        <v>0</v>
      </c>
      <c r="GB147" s="43" t="n">
        <f aca="false">Tasks[[#This Row],[_WorkPerWorkday]]*(Tasks[[#This Row],[_StartWorkday]]-1)</f>
        <v>-0</v>
      </c>
      <c r="GC147" s="43" t="n">
        <f aca="false">IF(Tasks[[#This Row],[_IsLeaf]]=1,MAX(N(Tasks[[#This Row],[_Days]]),0.1),0)</f>
        <v>0</v>
      </c>
      <c r="GD147" s="43" t="n">
        <f aca="false">Tasks[[#This Row],[_WeightDur]]*Tasks[[#This Row],[_LeafProgress]]</f>
        <v>0</v>
      </c>
      <c r="GE147" s="43" t="n">
        <f aca="false">Tasks[[#This Row],[_WeightDur]]*Tasks[[#This Row],[_PlannedPct]]</f>
        <v>0</v>
      </c>
      <c r="GF1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7" s="43" t="str">
        <f aca="false">IF(AND(Tasks[[#This Row],[_IsLeaf]]=1,N(Tasks[[#This Row],[_Days]])=0,Tasks[[#This Row],[_LeafProgress]]&lt;1),Tasks[[#This Row],[_ShownFcstFinish]]+Tasks[[#This Row],[_Row]]/100000,"")</f>
        <v/>
      </c>
      <c r="GH1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7" s="43" t="str">
        <f aca="false">IF(Tasks[[#This Row],[Task Name]]="","",LEFT(Tasks[[#This Row],[WBS]],FIND(".",Tasks[[#This Row],[WBS]]&amp;".")-1))</f>
        <v/>
      </c>
      <c r="GJ147" s="43" t="str">
        <f aca="false">IF(AND(Tasks[[#This Row],[Task Name]]&lt;&gt;"",Tasks[[#This Row],[_Level]]=1),Tasks[[#This Row],[_Row]],"")</f>
        <v/>
      </c>
      <c r="GK147" s="43" t="str">
        <f aca="false">IF(AND(Tasks[[#This Row],[_IsLeaf]]=1,N(Tasks[[#This Row],[_Days]])=0),Tasks[[#This Row],[Planned Finish]]+Tasks[[#This Row],[_Row]]/100000,"")</f>
        <v/>
      </c>
      <c r="GL147" s="43" t="str">
        <f aca="false">IF(AND(Tasks[[#This Row],[_IsLeaf]]=1,Tasks[[#This Row],[_LeafProgress]]&lt;1,OR(N(Tasks[[#This Row],[Finish Var]])&gt;0,Tasks[[#This Row],[Status]]="Late Start")),MAX(0,Tasks[[#This Row],[Finish Var]])+1-Tasks[[#This Row],[_Row]]/1000000,"")</f>
        <v/>
      </c>
      <c r="GM147" s="43" t="str">
        <f aca="false">IF(AND(Tasks[[#This Row],[_IsLeaf]]=1,N(Tasks[[#This Row],[Actual Start]])=0,Tasks[[#This Row],[_ShownFcstStart]]&gt;=StatusDate,Tasks[[#This Row],[_ShownFcstStart]]&lt;=LookaheadEnd),Tasks[[#This Row],[_ShownFcstStart]]+Tasks[[#This Row],[_Row]]/100000,"")</f>
        <v/>
      </c>
      <c r="GN147" s="43" t="str">
        <f aca="false">IF(AND(Tasks[[#This Row],[_IsLeaf]]=1,Tasks[[#This Row],[_LeafProgress]]&lt;1,Tasks[[#This Row],[_ShownFcstFinish]]&gt;=StatusDate,Tasks[[#This Row],[_ShownFcstFinish]]&lt;=LookaheadEnd),Tasks[[#This Row],[_ShownFcstFinish]]+Tasks[[#This Row],[_Row]]/100000,"")</f>
        <v/>
      </c>
      <c r="GO147" s="43" t="str">
        <f aca="false">IF(Tasks[[#This Row],[_LeafCritical]],Tasks[[#This Row],[_ShownFcstStart]]+Tasks[[#This Row],[_Row]]/100000,"")</f>
        <v/>
      </c>
      <c r="GP147" s="43" t="n">
        <f aca="false">Tasks[[#This Row],[_LeafWork]]*Tasks[[#This Row],[_LeafProgress]]</f>
        <v>0</v>
      </c>
      <c r="GQ147" s="91" t="str">
        <f aca="false">IF(AND(Tasks[[#This Row],[_IsLeaf]]=1,Tasks[[#This Row],[_LeafProgress]]&gt;=1),IF(N(Tasks[[#This Row],[Actual Finish]])&gt;0,Tasks[[#This Row],[Actual Finish]],Tasks[[#This Row],[_ShownFcstFinish]]),"")</f>
        <v/>
      </c>
      <c r="GR147" s="43" t="n">
        <f aca="false">IF(Tasks[[#This Row],[_IsLeaf]]=1,N(Tasks[[#This Row],[Story Points]]),0)</f>
        <v>0</v>
      </c>
      <c r="GS147" s="43" t="str">
        <f aca="false">""</f>
        <v/>
      </c>
      <c r="GT147" s="90" t="b">
        <f aca="false">IF(Tasks[[#This Row],[Task Name]]="",FALSE(),AND(Tasks[[#This Row],[_IsLeaf]]=1,N(Tasks[[#This Row],[_Days]])=0))</f>
        <v>0</v>
      </c>
      <c r="GU147" s="91" t="n">
        <f aca="false">IF(Tasks[[#This Row],[Task Name]]="",0,IF(AND(Tasks[[#This Row],[_IsLeaf]]=1,NOT(Tasks[[#This Row],[_IsMilestone]]),N(Tasks[[#This Row],[Progress]])&gt;0),Tasks[[#This Row],[Start]],0))</f>
        <v>0</v>
      </c>
      <c r="GV147" s="91" t="n">
        <f aca="false">IF(Tasks[[#This Row],[_DoneFrom]]=0,0,IF(Tasks[[#This Row],[Progress]]&gt;=1,Tasks[[#This Row],[Finish]],MAX(Tasks[[#This Row],[_DoneFrom]],Tasks[[#This Row],[Start]]+ROUND((Tasks[[#This Row],[Finish]]-Tasks[[#This Row],[Start]]+1)*Tasks[[#This Row],[Progress]],0)-1)))</f>
        <v>0</v>
      </c>
      <c r="GW147" s="91" t="n">
        <f aca="false">IF(Tasks[[#This Row],[Task Name]]="",0,IF(OR(NOT(Tasks[[#This Row],[_IsLeaf]]=1),Tasks[[#This Row],[_IsMilestone]],N(Tasks[[#This Row],[Progress]])&gt;=1),0,IF(Tasks[[#This Row],[_DoneTo]]&gt;0,Tasks[[#This Row],[_DoneTo]]+1,Tasks[[#This Row],[Start]])))</f>
        <v>0</v>
      </c>
      <c r="GX147" s="91" t="n">
        <f aca="false">IF(Tasks[[#This Row],[_RemFrom]]=0,0,Tasks[[#This Row],[Finish]])</f>
        <v>0</v>
      </c>
      <c r="GY147" s="90" t="b">
        <f aca="false">IF(Tasks[[#This Row],[Task Name]]="",FALSE(),OR(NOT(BaselineSet),N(Tasks[[#This Row],[Baseline Start]])&gt;0))</f>
        <v>0</v>
      </c>
      <c r="GZ14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7" s="92" t="str">
        <f aca="false">IF(Tasks[[#This Row],[_IsLeaf]]=1,Tasks[[#This Row],[_Row]],"")</f>
        <v/>
      </c>
      <c r="HD147" s="92" t="str">
        <f aca="false">IFERROR(INDEX(Tasks[UID],SMALL(Tasks[_PickKey],Tasks[[#This Row],[_Row]]))&amp;" "&amp;INDEX(Tasks[Task Name],SMALL(Tasks[_PickKey],Tasks[[#This Row],[_Row]])),"")</f>
        <v/>
      </c>
      <c r="HE147" s="43" t="str">
        <f aca="false">IF(Tasks[[#This Row],[Task Name]]="","",IF(Tasks[[#This Row],[_IsSummary]],NETWORKDAYS.INTL(Tasks[[#This Row],[Start]],Tasks[[#This Row],[Finish]],WorkWeek,Holidays),N(Tasks[[#This Row],[_Days]])))</f>
        <v/>
      </c>
      <c r="HF147" s="43" t="n">
        <f aca="false">IF(Tasks[[#This Row],[Expected]]="",0,((Tasks[[#This Row],[Pessimistic]]-Tasks[[#This Row],[Optimistic]])/6)^2)</f>
        <v>0</v>
      </c>
      <c r="HG147" s="43" t="n">
        <f aca="false">IF(Tasks[[#This Row],[Expected]]="",0,Tasks[[#This Row],[Expected]]-N(Tasks[[#This Row],[_Days]]))</f>
        <v>0</v>
      </c>
    </row>
    <row r="148" customFormat="false" ht="15" hidden="false" customHeight="false" outlineLevel="0" collapsed="false">
      <c r="A148" s="21" t="str">
        <f aca="false">IF(Tasks[[#This Row],[Task Name]]="","",COUNTA(Tasks[[#Headers],[Task Name]]:Tasks[[#This Row],[Task Name]])-1)</f>
        <v/>
      </c>
      <c r="B148" s="22" t="n">
        <v>156</v>
      </c>
      <c r="C148" s="22"/>
      <c r="D148" s="23"/>
      <c r="E148" s="22"/>
      <c r="F148" s="23"/>
      <c r="G148" s="22"/>
      <c r="H148" s="22"/>
      <c r="I148" s="23"/>
      <c r="J148" s="22"/>
      <c r="K148" s="22"/>
      <c r="L148" s="23"/>
      <c r="M148" s="22"/>
      <c r="N148" s="22"/>
      <c r="O148" s="23"/>
      <c r="P148" s="22"/>
      <c r="Q148" s="22"/>
      <c r="R148" s="23"/>
      <c r="S148" s="23"/>
      <c r="T148" s="84"/>
      <c r="U148" s="23"/>
      <c r="V148" s="84"/>
      <c r="W148" s="23"/>
      <c r="X148" s="84"/>
      <c r="Y148" s="23"/>
      <c r="Z148" s="84"/>
      <c r="AA148" s="23"/>
      <c r="AB148" s="23"/>
      <c r="AC148" s="7"/>
      <c r="AD148" s="7"/>
      <c r="AE148" s="63" t="str">
        <f aca="false">IF(Tasks[[#This Row],[Task Name]]="","",IF(Tasks[[#This Row],[_IsSummary]],MIN(INDEX(Tasks[_ShownFcstStart],Tasks[[#This Row],[_Row]]+1):INDEX(Tasks[_ShownFcstStart],Tasks[[#This Row],[_Row]]+Tasks[[#This Row],[_Descendants]])),Tasks[[#This Row],[_ShownFcstStart]]))</f>
        <v/>
      </c>
      <c r="AF148" s="63" t="str">
        <f aca="false">IF(Tasks[[#This Row],[Task Name]]="","",IF(Tasks[[#This Row],[_IsSummary]],MAX(INDEX(Tasks[_ShownFcstFinish],Tasks[[#This Row],[_Row]]+1):INDEX(Tasks[_ShownFcstFinish],Tasks[[#This Row],[_Row]]+Tasks[[#This Row],[_Descendants]])),Tasks[[#This Row],[_ShownFcstFinish]]))</f>
        <v/>
      </c>
      <c r="AG148" s="21" t="str">
        <f aca="false">""</f>
        <v/>
      </c>
      <c r="AH148" s="23"/>
      <c r="AI1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8" s="7"/>
      <c r="AK148" s="22"/>
      <c r="AL148" s="23"/>
      <c r="AM148" s="7"/>
      <c r="AN148" s="47" t="str">
        <f aca="false">IF(Tasks[[#This Row],[Task Name]]="","",IF(Tasks[[#This Row],[Finish]]&gt;=Tasks[[#This Row],[Planned Finish]],NETWORKDAYS.INTL(Tasks[[#This Row],[Planned Finish]],Tasks[[#This Row],[Finish]],WorkWeek,Holidays)-1,1-NETWORKDAYS.INTL(Tasks[[#This Row],[Finish]],Tasks[[#This Row],[Planned Finish]],WorkWeek,Holidays)))</f>
        <v/>
      </c>
      <c r="AO148" s="21" t="str">
        <f aca="false">IF(Tasks[[#This Row],[Task Name]]="","",IF(Tasks[[#This Row],[Progress]]&gt;=1,"Complete",IF(OR(N(Tasks[[#This Row],[Actual Start]])&gt;0,Tasks[[#This Row],[Progress]]&gt;0),IF(Tasks[[#This Row],[Finish Var]]&gt;0,"Behind","In Progress"),IF(Tasks[[#This Row],[Planned Start]]&lt;StatusDate,"Late Start","Not Started"))))</f>
        <v/>
      </c>
      <c r="AP148" s="21" t="str">
        <f aca="false">IF(Tasks[[#This Row],[Task Name]]="","",IF(IF(Tasks[[#This Row],[_IsSummary]],COUNTIF(INDEX(Tasks[_LeafCritical],Tasks[[#This Row],[_Row]]+1):INDEX(Tasks[_LeafCritical],Tasks[[#This Row],[_Row]]+Tasks[[#This Row],[_Descendants]]),TRUE())&gt;0,Tasks[[#This Row],[_LeafCritical]]),"Yes",""))</f>
        <v/>
      </c>
      <c r="AQ148" s="63" t="str">
        <f aca="false">IF(Tasks[[#This Row],[Task Name]]="","",IF(N(Tasks[[#This Row],[Baseline Start]])&gt;0,Tasks[[#This Row],[Baseline Start]],Tasks[[#This Row],[_CalcStart]]))</f>
        <v/>
      </c>
      <c r="AR148" s="63" t="str">
        <f aca="false">IF(Tasks[[#This Row],[Task Name]]="","",IF(N(Tasks[[#This Row],[Baseline Finish]])&gt;0,Tasks[[#This Row],[Baseline Finish]],Tasks[[#This Row],[_CalcFinish]]))</f>
        <v/>
      </c>
      <c r="AS148" s="47" t="str">
        <f aca="false">IF(Tasks[[#This Row],[Task Name]]="","",IF(Tasks[[#This Row],[Start]]&gt;=Tasks[[#This Row],[Planned Start]],NETWORKDAYS.INTL(Tasks[[#This Row],[Planned Start]],Tasks[[#This Row],[Start]],WorkWeek,Holidays)-1,1-NETWORKDAYS.INTL(Tasks[[#This Row],[Start]],Tasks[[#This Row],[Planned Start]],WorkWeek,Holidays)))</f>
        <v/>
      </c>
      <c r="AT148" s="63" t="str">
        <f aca="false">IF(Tasks[[#This Row],[Task Name]]="","",IF(Tasks[[#This Row],[_IsSummary]],MIN(INDEX(Tasks[_LeafLateStart],Tasks[[#This Row],[_Row]]+1):INDEX(Tasks[_LeafLateStart],Tasks[[#This Row],[_Row]]+Tasks[[#This Row],[_Descendants]])),Tasks[[#This Row],[_LeafLateStart]]))</f>
        <v/>
      </c>
      <c r="AU148" s="63" t="str">
        <f aca="false">IF(Tasks[[#This Row],[Task Name]]="","",IF(Tasks[[#This Row],[_IsSummary]],MAX(INDEX(Tasks[_LeafLateFinish],Tasks[[#This Row],[_Row]]+1):INDEX(Tasks[_LeafLateFinish],Tasks[[#This Row],[_Row]]+Tasks[[#This Row],[_Descendants]])),Tasks[[#This Row],[_LeafLateFinish]]))</f>
        <v/>
      </c>
      <c r="AV148" s="47" t="str">
        <f aca="false">IF(Tasks[[#This Row],[Task Name]]="","",IF(Tasks[[#This Row],[_IsSummary]],MIN(INDEX(Tasks[_LeafTotalSlack],Tasks[[#This Row],[_Row]]+1):INDEX(Tasks[_LeafTotalSlack],Tasks[[#This Row],[_Row]]+Tasks[[#This Row],[_Descendants]])),Tasks[[#This Row],[_LeafTotalSlack]]))</f>
        <v/>
      </c>
      <c r="AW1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5"/>
      <c r="BA14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t="str">
        <f aca="false">IF(Tasks[[#This Row],[Task Name]]="","",IF(Tasks[[#This Row],[_Level]]&lt;=OutlineShowLevel,"Yes","No"))</f>
        <v/>
      </c>
      <c r="BE148" s="86" t="str">
        <f aca="false">IF(Tasks[[#This Row],[Task Name]]="","",IF(Tasks[[#This Row],[_IsSummary]],SUM(INDEX(Tasks[_LeafTotalWork],Tasks[[#This Row],[_Row]]+1):INDEX(Tasks[_LeafTotalWork],Tasks[[#This Row],[_Row]]+Tasks[[#This Row],[_Descendants]])),Tasks[[#This Row],[_LeafTotalWork]]))</f>
        <v/>
      </c>
      <c r="BF148" s="23"/>
      <c r="BG1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t="str">
        <f aca="false">""</f>
        <v/>
      </c>
      <c r="BI148" s="87"/>
      <c r="BJ148" s="22"/>
      <c r="BK148" s="47" t="str">
        <f aca="false">IF(OR(Tasks[[#This Row],[Task Name]]="",Tasks[[#This Row],[Baseline Duration]]=""),"",Tasks[[#This Row],[_SpanDays]]-N(Tasks[[#This Row],[Baseline Duration]]))</f>
        <v/>
      </c>
      <c r="BL148" s="86" t="str">
        <f aca="false">IF(OR(Tasks[[#This Row],[Task Name]]="",Tasks[[#This Row],[Baseline Work]]=""),"",Tasks[[#This Row],[Work]]-N(Tasks[[#This Row],[Baseline Work]]))</f>
        <v/>
      </c>
      <c r="BM148" s="63" t="str">
        <f aca="false">IF(Tasks[[#This Row],[Task Name]]="","",IF(OR(TakeBaseline="Yes",N(Tasks[[#This Row],[Baseline Start]])=0),Tasks[[#This Row],[Start]],Tasks[[#This Row],[Baseline Start]]))</f>
        <v/>
      </c>
      <c r="BN148" s="63" t="str">
        <f aca="false">IF(Tasks[[#This Row],[Task Name]]="","",IF(OR(TakeBaseline="Yes",N(Tasks[[#This Row],[Baseline Finish]])=0),Tasks[[#This Row],[Finish]],Tasks[[#This Row],[Baseline Finish]]))</f>
        <v/>
      </c>
      <c r="BO148" s="21" t="str">
        <f aca="false">IF(Tasks[[#This Row],[Task Name]]="","",IF(OR(TakeBaseline="Yes",N(Tasks[[#This Row],[Baseline Duration]])=0),Tasks[[#This Row],[_SpanDays]],Tasks[[#This Row],[Baseline Duration]]))</f>
        <v/>
      </c>
      <c r="BP148" s="86" t="str">
        <f aca="false">IF(Tasks[[#This Row],[Task Name]]="","",IF(OR(TakeBaseline="Yes",N(Tasks[[#This Row],[Baseline Work]])=0),Tasks[[#This Row],[Work]],Tasks[[#This Row],[Baseline Work]]))</f>
        <v/>
      </c>
      <c r="BQ148" s="7"/>
      <c r="BR148" s="7"/>
      <c r="BS148" s="22"/>
      <c r="BT148" s="88"/>
      <c r="BU148" s="23"/>
      <c r="BV148" s="23"/>
      <c r="BW148" s="23"/>
      <c r="BX148" s="89" t="str">
        <f aca="false">IF(AND(Tasks[[#This Row],[_IsLeaf]]=1,ISNUMBER(Tasks[[#This Row],[Optimistic]]),ISNUMBER(Tasks[[#This Row],[Pessimistic]])),ROUND((Tasks[[#This Row],[Optimistic]]+4*N(Tasks[[#This Row],[_Days]])+Tasks[[#This Row],[Pessimistic]])/6,1),"")</f>
        <v/>
      </c>
      <c r="BY148" s="87"/>
      <c r="BZ148" s="87"/>
      <c r="CA148" s="22"/>
      <c r="CB148" s="43" t="str">
        <f aca="false">IF(Tasks[[#This Row],[Task Name]]="","",MAX(1,N(Tasks[[#This Row],[Level]])))</f>
        <v/>
      </c>
      <c r="CC148" s="43" t="n">
        <f aca="false">ROW()-ROW(Tasks[[#Headers],[ID]])</f>
        <v>143</v>
      </c>
      <c r="CD148" s="43" t="n">
        <f aca="false">IF(OR(Tasks[[#This Row],[Task Name]]="",Tasks[[#This Row],[_Level]]&lt;=1),0,IFERROR(LOOKUP(2,1/(Tasks[[#Headers],[_Level]]:Tasks[[#This Row],[_Level]]=Tasks[[#This Row],[_Level]]-1),ROW(Tasks[[#Headers],[_Level]]:Tasks[[#This Row],[_Level]])),0))</f>
        <v>0</v>
      </c>
      <c r="CE148" s="43" t="n">
        <f aca="false">IFERROR(N(INDEX(Tasks[_Level],Tasks[[#This Row],[_Row]]+1)),0)</f>
        <v>0</v>
      </c>
      <c r="CF148" s="90" t="b">
        <f aca="false">AND(Tasks[[#This Row],[Task Name]]&lt;&gt;"",Tasks[[#This Row],[_NextLevel]]&gt;Tasks[[#This Row],[_Level]])</f>
        <v>0</v>
      </c>
      <c r="CG148" s="43" t="n">
        <f aca="false">IF(Tasks[[#This Row],[_IsSummary]],COUNTIF(Tasks[WBS],Tasks[[#This Row],[WBS]]&amp;".*"),0)</f>
        <v>0</v>
      </c>
      <c r="CH148" s="43" t="n">
        <f aca="false">IF(AND(Tasks[[#This Row],[Task Name]]&lt;&gt;"",NOT(Tasks[[#This Row],[_IsSummary]])),1,0)</f>
        <v>0</v>
      </c>
      <c r="CI148" s="43" t="n">
        <f aca="false">IF(N(Tasks[[#This Row],[_Pred1UID]])=0,0,IFERROR(MATCH(Tasks[[#This Row],[_Pred1UID]],Tasks[UID],0),-1))</f>
        <v>0</v>
      </c>
      <c r="CJ148" s="43" t="n">
        <f aca="false">IF(N(Tasks[[#This Row],[_Pred2UID]])=0,0,IFERROR(MATCH(Tasks[[#This Row],[_Pred2UID]],Tasks[UID],0),-1))</f>
        <v>0</v>
      </c>
      <c r="CK148" s="43" t="n">
        <f aca="false">IF(N(Tasks[[#This Row],[_Pred3UID]])=0,0,IFERROR(MATCH(Tasks[[#This Row],[_Pred3UID]],Tasks[UID],0),-1))</f>
        <v>0</v>
      </c>
      <c r="CL148" s="43" t="n">
        <f aca="false">IF(N(Tasks[[#This Row],[_Pred4UID]])=0,0,IFERROR(MATCH(Tasks[[#This Row],[_Pred4UID]],Tasks[UID],0),-1))</f>
        <v>0</v>
      </c>
      <c r="CM1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8" s="91" t="n">
        <f aca="false">IF(OR(Tasks[[#This Row],[_ConstraintCode]]=2,Tasks[[#This Row],[_ConstraintCode]]=3,Tasks[[#This Row],[_ConstraintCode]]=4,Tasks[[#This Row],[_ConstraintCode]]=6),Tasks[[#This Row],[_ConstraintStart]],0)</f>
        <v>0</v>
      </c>
      <c r="CP148" s="91" t="n">
        <f aca="false">IF(OR(Tasks[[#This Row],[_ConstraintCode]]=2,Tasks[[#This Row],[_ConstraintCode]]=3,Tasks[[#This Row],[_ConstraintCode]]=5,Tasks[[#This Row],[_ConstraintCode]]=7),Tasks[[#This Row],[_ConstraintStart]],2958465)</f>
        <v>2958465</v>
      </c>
      <c r="CQ1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8" s="91" t="str">
        <f aca="false">IF(NOT(Tasks[[#This Row],[_IsLeaf]]=1),"",IF(N(Tasks[[#This Row],[_Days]])&lt;=0,Tasks[[#This Row],[_LeafCalcStart]],WORKDAY.INTL(Tasks[[#This Row],[_LeafCalcStart]],Tasks[[#This Row],[_Days]]-1,WorkWeek,Holidays)))</f>
        <v/>
      </c>
      <c r="CS1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8" s="43" t="str">
        <f aca="false">IF(Tasks[[#This Row],[_Predecessors]]="","",TRIM(MID(SUBSTITUTE(SUBSTITUTE(SUBSTITUTE(UPPER(Tasks[[#This Row],[_Predecessors]]),";",",")," ",""),",",REPT(" ",99)),1,99)))</f>
        <v/>
      </c>
      <c r="CV148" s="43" t="str">
        <f aca="false">IF(Tasks[[#This Row],[_Pred1Text]]="","",IFERROR(VALUE(LEFT(Tasks[[#This Row],[_Pred1Text]],MIN(FIND("F",Tasks[[#This Row],[_Pred1Text]]&amp;"F"),FIND("S",Tasks[[#This Row],[_Pred1Text]]&amp;"S"),FIND("+",Tasks[[#This Row],[_Pred1Text]]&amp;"+"),FIND("-",Tasks[[#This Row],[_Pred1Text]]&amp;"-"))-1)),""))</f>
        <v/>
      </c>
      <c r="CW1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8" s="43" t="str">
        <f aca="false">IF(Tasks[[#This Row],[_Pred1Text]]="","",TRIM(MID(SUBSTITUTE(SUBSTITUTE(SUBSTITUTE(UPPER(Tasks[[#This Row],[_Predecessors]]),";",",")," ",""),",",REPT(" ",99)),100,99)))</f>
        <v/>
      </c>
      <c r="CZ148" s="43" t="str">
        <f aca="false">IF(Tasks[[#This Row],[_Pred2Text]]="","",IFERROR(VALUE(LEFT(Tasks[[#This Row],[_Pred2Text]],MIN(FIND("F",Tasks[[#This Row],[_Pred2Text]]&amp;"F"),FIND("S",Tasks[[#This Row],[_Pred2Text]]&amp;"S"),FIND("+",Tasks[[#This Row],[_Pred2Text]]&amp;"+"),FIND("-",Tasks[[#This Row],[_Pred2Text]]&amp;"-"))-1)),""))</f>
        <v/>
      </c>
      <c r="DA1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8" s="43" t="str">
        <f aca="false">IF(Tasks[[#This Row],[_Pred2Text]]="","",TRIM(MID(SUBSTITUTE(SUBSTITUTE(SUBSTITUTE(UPPER(Tasks[[#This Row],[_Predecessors]]),";",",")," ",""),",",REPT(" ",99)),199,99)))</f>
        <v/>
      </c>
      <c r="DD148" s="43" t="str">
        <f aca="false">IF(Tasks[[#This Row],[_Pred3Text]]="","",IFERROR(VALUE(LEFT(Tasks[[#This Row],[_Pred3Text]],MIN(FIND("F",Tasks[[#This Row],[_Pred3Text]]&amp;"F"),FIND("S",Tasks[[#This Row],[_Pred3Text]]&amp;"S"),FIND("+",Tasks[[#This Row],[_Pred3Text]]&amp;"+"),FIND("-",Tasks[[#This Row],[_Pred3Text]]&amp;"-"))-1)),""))</f>
        <v/>
      </c>
      <c r="DE1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8" s="43" t="str">
        <f aca="false">IF(Tasks[[#This Row],[_Pred3Text]]="","",TRIM(MID(SUBSTITUTE(SUBSTITUTE(SUBSTITUTE(UPPER(Tasks[[#This Row],[_Predecessors]]),";",",")," ",""),",",REPT(" ",99)),298,99)))</f>
        <v/>
      </c>
      <c r="DH148" s="43" t="str">
        <f aca="false">IF(Tasks[[#This Row],[_Pred4Text]]="","",IFERROR(VALUE(LEFT(Tasks[[#This Row],[_Pred4Text]],MIN(FIND("F",Tasks[[#This Row],[_Pred4Text]]&amp;"F"),FIND("S",Tasks[[#This Row],[_Pred4Text]]&amp;"S"),FIND("+",Tasks[[#This Row],[_Pred4Text]]&amp;"+"),FIND("-",Tasks[[#This Row],[_Pred4Text]]&amp;"-"))-1)),""))</f>
        <v/>
      </c>
      <c r="DI1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8" s="43" t="str">
        <f aca="false">IF(OR(Tasks[[#This Row],[Task Name]]="",Tasks[[#This Row],[_Resources]]=""),"",TRIM(MID(SUBSTITUTE(Tasks[[#This Row],[_Resources]],",",REPT(" ",99)),1,99)))</f>
        <v/>
      </c>
      <c r="DL148" s="43" t="str">
        <f aca="false">IF(Tasks[[#This Row],[_Res1Text]]="","",TRIM(MID(SUBSTITUTE(Tasks[[#This Row],[_Resources]],",",REPT(" ",99)),100,99)))</f>
        <v/>
      </c>
      <c r="DM148" s="43" t="str">
        <f aca="false">IF(Tasks[[#This Row],[_Res2Text]]="","",TRIM(MID(SUBSTITUTE(Tasks[[#This Row],[_Resources]],",",REPT(" ",99)),199,99)))</f>
        <v/>
      </c>
      <c r="DN148" s="43" t="str">
        <f aca="false">IF(Tasks[[#This Row],[_Res3Text]]="","",TRIM(MID(SUBSTITUTE(Tasks[[#This Row],[_Resources]],",",REPT(" ",99)),298,99)))</f>
        <v/>
      </c>
      <c r="DO148" s="43" t="n">
        <f aca="false">IF(Tasks[[#This Row],[_Res1Text]]="",0,IFERROR(MATCH(TRIM(LEFT(Tasks[[#This Row],[_Res1Text]],FIND("[",Tasks[[#This Row],[_Res1Text]]&amp;"[")-1)),res_Name,0),IFERROR(MATCH(TRIM(LEFT(Tasks[[#This Row],[_Res1Text]],FIND("[",Tasks[[#This Row],[_Res1Text]]&amp;"[")-1)),res_Initials,0),0)))</f>
        <v>0</v>
      </c>
      <c r="DP148" s="43" t="n">
        <f aca="false">IF(Tasks[[#This Row],[_Res2Text]]="",0,IFERROR(MATCH(TRIM(LEFT(Tasks[[#This Row],[_Res2Text]],FIND("[",Tasks[[#This Row],[_Res2Text]]&amp;"[")-1)),res_Name,0),IFERROR(MATCH(TRIM(LEFT(Tasks[[#This Row],[_Res2Text]],FIND("[",Tasks[[#This Row],[_Res2Text]]&amp;"[")-1)),res_Initials,0),0)))</f>
        <v>0</v>
      </c>
      <c r="DQ148" s="43" t="n">
        <f aca="false">IF(Tasks[[#This Row],[_Res3Text]]="",0,IFERROR(MATCH(TRIM(LEFT(Tasks[[#This Row],[_Res3Text]],FIND("[",Tasks[[#This Row],[_Res3Text]]&amp;"[")-1)),res_Name,0),IFERROR(MATCH(TRIM(LEFT(Tasks[[#This Row],[_Res3Text]],FIND("[",Tasks[[#This Row],[_Res3Text]]&amp;"[")-1)),res_Initials,0),0)))</f>
        <v>0</v>
      </c>
      <c r="DR148" s="43" t="n">
        <f aca="false">IF(Tasks[[#This Row],[_Res4Text]]="",0,IFERROR(MATCH(TRIM(LEFT(Tasks[[#This Row],[_Res4Text]],FIND("[",Tasks[[#This Row],[_Res4Text]]&amp;"[")-1)),res_Name,0),IFERROR(MATCH(TRIM(LEFT(Tasks[[#This Row],[_Res4Text]],FIND("[",Tasks[[#This Row],[_Res4Text]]&amp;"[")-1)),res_Initials,0),0)))</f>
        <v>0</v>
      </c>
      <c r="DS148" s="43" t="str">
        <f aca="false">IF(Tasks[[#This Row],[_Res1Text]]="","",IF(Tasks[[#This Row],[_Res1Row]]&gt;0,INDEX(res_Name,Tasks[[#This Row],[_Res1Row]]),TRIM(LEFT(Tasks[[#This Row],[_Res1Text]],FIND("[",Tasks[[#This Row],[_Res1Text]]&amp;"[")-1))))</f>
        <v/>
      </c>
      <c r="DT1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8" s="43" t="n">
        <f aca="false">IF(NOT(Tasks[[#This Row],[_IsLeaf]]=1),0,(Tasks[[#This Row],[_Resource1]]&lt;&gt;"")+(Tasks[[#This Row],[_Res2]]&lt;&gt;"")+(Tasks[[#This Row],[_Res3]]&lt;&gt;"")+(Tasks[[#This Row],[_Res4]]&lt;&gt;""))</f>
        <v>0</v>
      </c>
      <c r="DV148" s="43" t="str">
        <f aca="false">IF(Tasks[[#This Row],[_Res2Text]]="","",IF(Tasks[[#This Row],[_Res2Row]]&gt;0,INDEX(res_Name,Tasks[[#This Row],[_Res2Row]]),TRIM(LEFT(Tasks[[#This Row],[_Res2Text]],FIND("[",Tasks[[#This Row],[_Res2Text]]&amp;"[")-1))))</f>
        <v/>
      </c>
      <c r="DW1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8" s="43" t="n">
        <f aca="false">IF(OR(NOT(Tasks[[#This Row],[_IsLeaf]]=1),Tasks[[#This Row],[_Res2Row]]=0),0,N(Tasks[[#This Row],[_Days]])*HoursPerDay*IF(Tasks[[#This Row],[_Res2Units]]="",DefaultUnits,Tasks[[#This Row],[_Res2Units]]))</f>
        <v>0</v>
      </c>
      <c r="DY148" s="43" t="n">
        <f aca="false">IF(AND(AND(Tasks[[#This Row],[_IsLeaf]]=1,Tasks[[#This Row],[_LeafTotalWork]]&gt;0),Tasks[[#This Row],[_Res2Work]]&gt;0),Tasks[[#This Row],[_Res2Work]]/(Tasks[[#This Row],[_FinishWorkday]]-Tasks[[#This Row],[_StartWorkday]]+1),0)</f>
        <v>0</v>
      </c>
      <c r="DZ148" s="43" t="n">
        <f aca="false">Tasks[[#This Row],[_Res2WorkPerWD]]*MAX(0,Tasks[[#This Row],[_StartWorkday]]-1)</f>
        <v>0</v>
      </c>
      <c r="EA148" s="43" t="n">
        <f aca="false">Tasks[[#This Row],[_Res2Work]]*Tasks[[#This Row],[_LeafProgress]]</f>
        <v>0</v>
      </c>
      <c r="EB148" s="43" t="str">
        <f aca="false">IF(Tasks[[#This Row],[_Res3Text]]="","",IF(Tasks[[#This Row],[_Res3Row]]&gt;0,INDEX(res_Name,Tasks[[#This Row],[_Res3Row]]),TRIM(LEFT(Tasks[[#This Row],[_Res3Text]],FIND("[",Tasks[[#This Row],[_Res3Text]]&amp;"[")-1))))</f>
        <v/>
      </c>
      <c r="EC1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8" s="43" t="n">
        <f aca="false">IF(OR(NOT(Tasks[[#This Row],[_IsLeaf]]=1),Tasks[[#This Row],[_Res3Row]]=0),0,N(Tasks[[#This Row],[_Days]])*HoursPerDay*IF(Tasks[[#This Row],[_Res3Units]]="",DefaultUnits,Tasks[[#This Row],[_Res3Units]]))</f>
        <v>0</v>
      </c>
      <c r="EE148" s="43" t="n">
        <f aca="false">IF(AND(AND(Tasks[[#This Row],[_IsLeaf]]=1,Tasks[[#This Row],[_LeafTotalWork]]&gt;0),Tasks[[#This Row],[_Res3Work]]&gt;0),Tasks[[#This Row],[_Res3Work]]/(Tasks[[#This Row],[_FinishWorkday]]-Tasks[[#This Row],[_StartWorkday]]+1),0)</f>
        <v>0</v>
      </c>
      <c r="EF148" s="43" t="n">
        <f aca="false">Tasks[[#This Row],[_Res3WorkPerWD]]*MAX(0,Tasks[[#This Row],[_StartWorkday]]-1)</f>
        <v>0</v>
      </c>
      <c r="EG148" s="43" t="n">
        <f aca="false">Tasks[[#This Row],[_Res3Work]]*Tasks[[#This Row],[_LeafProgress]]</f>
        <v>0</v>
      </c>
      <c r="EH148" s="43" t="str">
        <f aca="false">IF(Tasks[[#This Row],[_Res4Text]]="","",IF(Tasks[[#This Row],[_Res4Row]]&gt;0,INDEX(res_Name,Tasks[[#This Row],[_Res4Row]]),TRIM(LEFT(Tasks[[#This Row],[_Res4Text]],FIND("[",Tasks[[#This Row],[_Res4Text]]&amp;"[")-1))))</f>
        <v/>
      </c>
      <c r="EI1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8" s="43" t="n">
        <f aca="false">IF(OR(NOT(Tasks[[#This Row],[_IsLeaf]]=1),Tasks[[#This Row],[_Res4Row]]=0),0,N(Tasks[[#This Row],[_Days]])*HoursPerDay*IF(Tasks[[#This Row],[_Res4Units]]="",DefaultUnits,Tasks[[#This Row],[_Res4Units]]))</f>
        <v>0</v>
      </c>
      <c r="EK148" s="43" t="n">
        <f aca="false">IF(AND(AND(Tasks[[#This Row],[_IsLeaf]]=1,Tasks[[#This Row],[_LeafTotalWork]]&gt;0),Tasks[[#This Row],[_Res4Work]]&gt;0),Tasks[[#This Row],[_Res4Work]]/(Tasks[[#This Row],[_FinishWorkday]]-Tasks[[#This Row],[_StartWorkday]]+1),0)</f>
        <v>0</v>
      </c>
      <c r="EL148" s="43" t="n">
        <f aca="false">Tasks[[#This Row],[_Res4WorkPerWD]]*MAX(0,Tasks[[#This Row],[_StartWorkday]]-1)</f>
        <v>0</v>
      </c>
      <c r="EM148" s="43" t="n">
        <f aca="false">Tasks[[#This Row],[_Res4Work]]*Tasks[[#This Row],[_LeafProgress]]</f>
        <v>0</v>
      </c>
      <c r="EN148" s="43" t="n">
        <f aca="false">IF(ISNUMBER(Tasks[[#This Row],[% Complete]]),Tasks[[#This Row],[% Complete]],IF(Tasks[[#This Row],[Stage]]="",0,IFERROR(INDEX(stg_Pct,MATCH(Tasks[[#This Row],[Stage]],stg_Name,0)),0)))</f>
        <v>0</v>
      </c>
      <c r="EO148" s="43" t="n">
        <f aca="false">IF(NOT(Tasks[[#This Row],[_IsLeaf]]=1),0,IF(N(Tasks[[#This Row],[Actual Finish]])&gt;0,1,MIN(1,Tasks[[#This Row],[_Pct]])))</f>
        <v>0</v>
      </c>
      <c r="EP148" s="43" t="n">
        <f aca="false">IF(OR(NOT(Tasks[[#This Row],[_IsLeaf]]=1),Tasks[[#This Row],[_Res1Row]]=0),0,N(Tasks[[#This Row],[_Days]])*HoursPerDay*IF(Tasks[[#This Row],[_Units1]]="",DefaultUnits,Tasks[[#This Row],[_Units1]]))</f>
        <v>0</v>
      </c>
      <c r="EQ148" s="43" t="n">
        <f aca="false">Tasks[[#This Row],[_LeafWork]]+Tasks[[#This Row],[_Res2Work]]+Tasks[[#This Row],[_Res3Work]]+Tasks[[#This Row],[_Res4Work]]</f>
        <v>0</v>
      </c>
      <c r="ER14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8" s="43" t="n">
        <f aca="false">IF(NOT(Tasks[[#This Row],[_IsLeaf]]=1),0,MAX(_xlfn.MAXIFS(Tasks[_Row],Tasks[_Pred1UID],Tasks[[#This Row],[UID]]),_xlfn.MAXIFS(Tasks[_Row],Tasks[_Pred2UID],Tasks[[#This Row],[UID]]),_xlfn.MAXIFS(Tasks[_Row],Tasks[_Pred3UID],Tasks[[#This Row],[UID]]),_xlfn.MAXIFS(Tasks[_Row],Tasks[_Pred4UID],Tasks[[#This Row],[UID]])))</f>
        <v>0</v>
      </c>
      <c r="FA1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8" s="91" t="str">
        <f aca="false">IF(NOT(Tasks[[#This Row],[_IsLeaf]]=1),"",IF(N(Tasks[[#This Row],[_Days]])&lt;=0,Tasks[[#This Row],[_LeafLateFinish]],WORKDAY.INTL(Tasks[[#This Row],[_LeafLateFinish]],-(Tasks[[#This Row],[_Days]]-1),WorkWeek,Holidays)))</f>
        <v/>
      </c>
      <c r="FD1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8" s="90" t="b">
        <f aca="false">AND(Tasks[[#This Row],[_IsLeaf]]=1,Tasks[[#This Row],[_LeafProgress]]&lt;1,N(Tasks[[#This Row],[_LeafTotalSlack]])&lt;=CriticalSlackDays)</f>
        <v>0</v>
      </c>
      <c r="FF148" s="43" t="n">
        <f aca="false">IF(AND(Tasks[[#This Row],[_IsLeaf]]=1,Tasks[[#This Row],[_ConstraintCode]]=1,Tasks[[#This Row],[Mode]]&lt;&gt;"Manual",N(Tasks[[#This Row],[Actual Start]])=0),MAX(0,N(Tasks[[#This Row],[Free Slack]])),0)</f>
        <v>0</v>
      </c>
      <c r="FG148" s="91" t="str">
        <f aca="false">IF(NOT(Tasks[[#This Row],[_IsLeaf]]=1),"",IF(Tasks[[#This Row],[_AlapShift]]=0,Tasks[[#This Row],[_LeafCalcStart]],WORKDAY.INTL(Tasks[[#This Row],[_LeafCalcStart]],Tasks[[#This Row],[_AlapShift]],WorkWeek,Holidays)))</f>
        <v/>
      </c>
      <c r="FH148" s="91" t="str">
        <f aca="false">IF(NOT(Tasks[[#This Row],[_IsLeaf]]=1),"",IF(Tasks[[#This Row],[_AlapShift]]=0,Tasks[[#This Row],[_LeafCalcFinish]],WORKDAY.INTL(Tasks[[#This Row],[_LeafCalcFinish]],Tasks[[#This Row],[_AlapShift]],WorkWeek,Holidays)))</f>
        <v/>
      </c>
      <c r="FI148" s="91" t="str">
        <f aca="false">IF(NOT(Tasks[[#This Row],[_IsLeaf]]=1),"",IF(Tasks[[#This Row],[_AlapShift]]=0,Tasks[[#This Row],[_LeafFcstStart]],WORKDAY.INTL(Tasks[[#This Row],[_LeafFcstStart]],Tasks[[#This Row],[_AlapShift]],WorkWeek,Holidays)))</f>
        <v/>
      </c>
      <c r="FJ148" s="91" t="str">
        <f aca="false">IF(NOT(Tasks[[#This Row],[_IsLeaf]]=1),"",IF(Tasks[[#This Row],[_AlapShift]]=0,Tasks[[#This Row],[_LeafFcstFinish]],WORKDAY.INTL(Tasks[[#This Row],[_LeafFcstFinish]],Tasks[[#This Row],[_AlapShift]],WorkWeek,Holidays)))</f>
        <v/>
      </c>
      <c r="FK148" s="91" t="str">
        <f aca="false">IF(Tasks[[#This Row],[Task Name]]="","",IF(Tasks[[#This Row],[_IsSummary]],MIN(INDEX(Tasks[_ShownCalcStart],Tasks[[#This Row],[_Row]]+1):INDEX(Tasks[_ShownCalcStart],Tasks[[#This Row],[_Row]]+Tasks[[#This Row],[_Descendants]])),Tasks[[#This Row],[_ShownCalcStart]]))</f>
        <v/>
      </c>
      <c r="FL148" s="91" t="str">
        <f aca="false">IF(Tasks[[#This Row],[Task Name]]="","",IF(Tasks[[#This Row],[_IsSummary]],MAX(INDEX(Tasks[_ShownCalcFinish],Tasks[[#This Row],[_Row]]+1):INDEX(Tasks[_ShownCalcFinish],Tasks[[#This Row],[_Row]]+Tasks[[#This Row],[_Descendants]])),Tasks[[#This Row],[_ShownCalcFinish]]))</f>
        <v/>
      </c>
      <c r="FM1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8" s="43" t="n">
        <f aca="false">IF(AND(Tasks[[#This Row],[_IsLeaf]]=1,Tasks[[#This Row],[_LeafTotalWork]]&gt;0),NETWORKDAYS.INTL(ProjectStart,Tasks[[#This Row],[_ShownFcstStart]],WorkWeek,Holidays),0)</f>
        <v>0</v>
      </c>
      <c r="FZ148" s="43" t="n">
        <f aca="false">IF(AND(Tasks[[#This Row],[_IsLeaf]]=1,Tasks[[#This Row],[_LeafTotalWork]]&gt;0),MAX(Tasks[[#This Row],[_StartWorkday]],NETWORKDAYS.INTL(ProjectStart,Tasks[[#This Row],[_ShownFcstFinish]],WorkWeek,Holidays)),0)</f>
        <v>0</v>
      </c>
      <c r="GA148" s="43" t="n">
        <f aca="false">IF(AND(Tasks[[#This Row],[_IsLeaf]]=1,Tasks[[#This Row],[_LeafTotalWork]]&gt;0),Tasks[[#This Row],[_LeafWork]]/(Tasks[[#This Row],[_FinishWorkday]]-Tasks[[#This Row],[_StartWorkday]]+1),0)</f>
        <v>0</v>
      </c>
      <c r="GB148" s="43" t="n">
        <f aca="false">Tasks[[#This Row],[_WorkPerWorkday]]*(Tasks[[#This Row],[_StartWorkday]]-1)</f>
        <v>-0</v>
      </c>
      <c r="GC148" s="43" t="n">
        <f aca="false">IF(Tasks[[#This Row],[_IsLeaf]]=1,MAX(N(Tasks[[#This Row],[_Days]]),0.1),0)</f>
        <v>0</v>
      </c>
      <c r="GD148" s="43" t="n">
        <f aca="false">Tasks[[#This Row],[_WeightDur]]*Tasks[[#This Row],[_LeafProgress]]</f>
        <v>0</v>
      </c>
      <c r="GE148" s="43" t="n">
        <f aca="false">Tasks[[#This Row],[_WeightDur]]*Tasks[[#This Row],[_PlannedPct]]</f>
        <v>0</v>
      </c>
      <c r="GF1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8" s="43" t="str">
        <f aca="false">IF(AND(Tasks[[#This Row],[_IsLeaf]]=1,N(Tasks[[#This Row],[_Days]])=0,Tasks[[#This Row],[_LeafProgress]]&lt;1),Tasks[[#This Row],[_ShownFcstFinish]]+Tasks[[#This Row],[_Row]]/100000,"")</f>
        <v/>
      </c>
      <c r="GH1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8" s="43" t="str">
        <f aca="false">IF(Tasks[[#This Row],[Task Name]]="","",LEFT(Tasks[[#This Row],[WBS]],FIND(".",Tasks[[#This Row],[WBS]]&amp;".")-1))</f>
        <v/>
      </c>
      <c r="GJ148" s="43" t="str">
        <f aca="false">IF(AND(Tasks[[#This Row],[Task Name]]&lt;&gt;"",Tasks[[#This Row],[_Level]]=1),Tasks[[#This Row],[_Row]],"")</f>
        <v/>
      </c>
      <c r="GK148" s="43" t="str">
        <f aca="false">IF(AND(Tasks[[#This Row],[_IsLeaf]]=1,N(Tasks[[#This Row],[_Days]])=0),Tasks[[#This Row],[Planned Finish]]+Tasks[[#This Row],[_Row]]/100000,"")</f>
        <v/>
      </c>
      <c r="GL148" s="43" t="str">
        <f aca="false">IF(AND(Tasks[[#This Row],[_IsLeaf]]=1,Tasks[[#This Row],[_LeafProgress]]&lt;1,OR(N(Tasks[[#This Row],[Finish Var]])&gt;0,Tasks[[#This Row],[Status]]="Late Start")),MAX(0,Tasks[[#This Row],[Finish Var]])+1-Tasks[[#This Row],[_Row]]/1000000,"")</f>
        <v/>
      </c>
      <c r="GM148" s="43" t="str">
        <f aca="false">IF(AND(Tasks[[#This Row],[_IsLeaf]]=1,N(Tasks[[#This Row],[Actual Start]])=0,Tasks[[#This Row],[_ShownFcstStart]]&gt;=StatusDate,Tasks[[#This Row],[_ShownFcstStart]]&lt;=LookaheadEnd),Tasks[[#This Row],[_ShownFcstStart]]+Tasks[[#This Row],[_Row]]/100000,"")</f>
        <v/>
      </c>
      <c r="GN148" s="43" t="str">
        <f aca="false">IF(AND(Tasks[[#This Row],[_IsLeaf]]=1,Tasks[[#This Row],[_LeafProgress]]&lt;1,Tasks[[#This Row],[_ShownFcstFinish]]&gt;=StatusDate,Tasks[[#This Row],[_ShownFcstFinish]]&lt;=LookaheadEnd),Tasks[[#This Row],[_ShownFcstFinish]]+Tasks[[#This Row],[_Row]]/100000,"")</f>
        <v/>
      </c>
      <c r="GO148" s="43" t="str">
        <f aca="false">IF(Tasks[[#This Row],[_LeafCritical]],Tasks[[#This Row],[_ShownFcstStart]]+Tasks[[#This Row],[_Row]]/100000,"")</f>
        <v/>
      </c>
      <c r="GP148" s="43" t="n">
        <f aca="false">Tasks[[#This Row],[_LeafWork]]*Tasks[[#This Row],[_LeafProgress]]</f>
        <v>0</v>
      </c>
      <c r="GQ148" s="91" t="str">
        <f aca="false">IF(AND(Tasks[[#This Row],[_IsLeaf]]=1,Tasks[[#This Row],[_LeafProgress]]&gt;=1),IF(N(Tasks[[#This Row],[Actual Finish]])&gt;0,Tasks[[#This Row],[Actual Finish]],Tasks[[#This Row],[_ShownFcstFinish]]),"")</f>
        <v/>
      </c>
      <c r="GR148" s="43" t="n">
        <f aca="false">IF(Tasks[[#This Row],[_IsLeaf]]=1,N(Tasks[[#This Row],[Story Points]]),0)</f>
        <v>0</v>
      </c>
      <c r="GS148" s="43" t="str">
        <f aca="false">""</f>
        <v/>
      </c>
      <c r="GT148" s="90" t="b">
        <f aca="false">IF(Tasks[[#This Row],[Task Name]]="",FALSE(),AND(Tasks[[#This Row],[_IsLeaf]]=1,N(Tasks[[#This Row],[_Days]])=0))</f>
        <v>0</v>
      </c>
      <c r="GU148" s="91" t="n">
        <f aca="false">IF(Tasks[[#This Row],[Task Name]]="",0,IF(AND(Tasks[[#This Row],[_IsLeaf]]=1,NOT(Tasks[[#This Row],[_IsMilestone]]),N(Tasks[[#This Row],[Progress]])&gt;0),Tasks[[#This Row],[Start]],0))</f>
        <v>0</v>
      </c>
      <c r="GV148" s="91" t="n">
        <f aca="false">IF(Tasks[[#This Row],[_DoneFrom]]=0,0,IF(Tasks[[#This Row],[Progress]]&gt;=1,Tasks[[#This Row],[Finish]],MAX(Tasks[[#This Row],[_DoneFrom]],Tasks[[#This Row],[Start]]+ROUND((Tasks[[#This Row],[Finish]]-Tasks[[#This Row],[Start]]+1)*Tasks[[#This Row],[Progress]],0)-1)))</f>
        <v>0</v>
      </c>
      <c r="GW148" s="91" t="n">
        <f aca="false">IF(Tasks[[#This Row],[Task Name]]="",0,IF(OR(NOT(Tasks[[#This Row],[_IsLeaf]]=1),Tasks[[#This Row],[_IsMilestone]],N(Tasks[[#This Row],[Progress]])&gt;=1),0,IF(Tasks[[#This Row],[_DoneTo]]&gt;0,Tasks[[#This Row],[_DoneTo]]+1,Tasks[[#This Row],[Start]])))</f>
        <v>0</v>
      </c>
      <c r="GX148" s="91" t="n">
        <f aca="false">IF(Tasks[[#This Row],[_RemFrom]]=0,0,Tasks[[#This Row],[Finish]])</f>
        <v>0</v>
      </c>
      <c r="GY148" s="90" t="b">
        <f aca="false">IF(Tasks[[#This Row],[Task Name]]="",FALSE(),OR(NOT(BaselineSet),N(Tasks[[#This Row],[Baseline Start]])&gt;0))</f>
        <v>0</v>
      </c>
      <c r="GZ14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8" s="92" t="str">
        <f aca="false">IF(Tasks[[#This Row],[_IsLeaf]]=1,Tasks[[#This Row],[_Row]],"")</f>
        <v/>
      </c>
      <c r="HD148" s="92" t="str">
        <f aca="false">IFERROR(INDEX(Tasks[UID],SMALL(Tasks[_PickKey],Tasks[[#This Row],[_Row]]))&amp;" "&amp;INDEX(Tasks[Task Name],SMALL(Tasks[_PickKey],Tasks[[#This Row],[_Row]])),"")</f>
        <v/>
      </c>
      <c r="HE148" s="43" t="str">
        <f aca="false">IF(Tasks[[#This Row],[Task Name]]="","",IF(Tasks[[#This Row],[_IsSummary]],NETWORKDAYS.INTL(Tasks[[#This Row],[Start]],Tasks[[#This Row],[Finish]],WorkWeek,Holidays),N(Tasks[[#This Row],[_Days]])))</f>
        <v/>
      </c>
      <c r="HF148" s="43" t="n">
        <f aca="false">IF(Tasks[[#This Row],[Expected]]="",0,((Tasks[[#This Row],[Pessimistic]]-Tasks[[#This Row],[Optimistic]])/6)^2)</f>
        <v>0</v>
      </c>
      <c r="HG148" s="43" t="n">
        <f aca="false">IF(Tasks[[#This Row],[Expected]]="",0,Tasks[[#This Row],[Expected]]-N(Tasks[[#This Row],[_Days]]))</f>
        <v>0</v>
      </c>
    </row>
    <row r="149" customFormat="false" ht="15" hidden="false" customHeight="false" outlineLevel="0" collapsed="false">
      <c r="A149" s="21" t="str">
        <f aca="false">IF(Tasks[[#This Row],[Task Name]]="","",COUNTA(Tasks[[#Headers],[Task Name]]:Tasks[[#This Row],[Task Name]])-1)</f>
        <v/>
      </c>
      <c r="B149" s="22" t="n">
        <v>157</v>
      </c>
      <c r="C149" s="22"/>
      <c r="D149" s="23"/>
      <c r="E149" s="22"/>
      <c r="F149" s="23"/>
      <c r="G149" s="22"/>
      <c r="H149" s="22"/>
      <c r="I149" s="23"/>
      <c r="J149" s="22"/>
      <c r="K149" s="22"/>
      <c r="L149" s="23"/>
      <c r="M149" s="22"/>
      <c r="N149" s="22"/>
      <c r="O149" s="23"/>
      <c r="P149" s="22"/>
      <c r="Q149" s="22"/>
      <c r="R149" s="23"/>
      <c r="S149" s="23"/>
      <c r="T149" s="84"/>
      <c r="U149" s="23"/>
      <c r="V149" s="84"/>
      <c r="W149" s="23"/>
      <c r="X149" s="84"/>
      <c r="Y149" s="23"/>
      <c r="Z149" s="84"/>
      <c r="AA149" s="23"/>
      <c r="AB149" s="23"/>
      <c r="AC149" s="7"/>
      <c r="AD149" s="7"/>
      <c r="AE149" s="63" t="str">
        <f aca="false">IF(Tasks[[#This Row],[Task Name]]="","",IF(Tasks[[#This Row],[_IsSummary]],MIN(INDEX(Tasks[_ShownFcstStart],Tasks[[#This Row],[_Row]]+1):INDEX(Tasks[_ShownFcstStart],Tasks[[#This Row],[_Row]]+Tasks[[#This Row],[_Descendants]])),Tasks[[#This Row],[_ShownFcstStart]]))</f>
        <v/>
      </c>
      <c r="AF149" s="63" t="str">
        <f aca="false">IF(Tasks[[#This Row],[Task Name]]="","",IF(Tasks[[#This Row],[_IsSummary]],MAX(INDEX(Tasks[_ShownFcstFinish],Tasks[[#This Row],[_Row]]+1):INDEX(Tasks[_ShownFcstFinish],Tasks[[#This Row],[_Row]]+Tasks[[#This Row],[_Descendants]])),Tasks[[#This Row],[_ShownFcstFinish]]))</f>
        <v/>
      </c>
      <c r="AG149" s="21" t="str">
        <f aca="false">""</f>
        <v/>
      </c>
      <c r="AH149" s="23"/>
      <c r="AI1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9" s="7"/>
      <c r="AK149" s="22"/>
      <c r="AL149" s="23"/>
      <c r="AM149" s="7"/>
      <c r="AN149" s="47" t="str">
        <f aca="false">IF(Tasks[[#This Row],[Task Name]]="","",IF(Tasks[[#This Row],[Finish]]&gt;=Tasks[[#This Row],[Planned Finish]],NETWORKDAYS.INTL(Tasks[[#This Row],[Planned Finish]],Tasks[[#This Row],[Finish]],WorkWeek,Holidays)-1,1-NETWORKDAYS.INTL(Tasks[[#This Row],[Finish]],Tasks[[#This Row],[Planned Finish]],WorkWeek,Holidays)))</f>
        <v/>
      </c>
      <c r="AO149" s="21" t="str">
        <f aca="false">IF(Tasks[[#This Row],[Task Name]]="","",IF(Tasks[[#This Row],[Progress]]&gt;=1,"Complete",IF(OR(N(Tasks[[#This Row],[Actual Start]])&gt;0,Tasks[[#This Row],[Progress]]&gt;0),IF(Tasks[[#This Row],[Finish Var]]&gt;0,"Behind","In Progress"),IF(Tasks[[#This Row],[Planned Start]]&lt;StatusDate,"Late Start","Not Started"))))</f>
        <v/>
      </c>
      <c r="AP149" s="21" t="str">
        <f aca="false">IF(Tasks[[#This Row],[Task Name]]="","",IF(IF(Tasks[[#This Row],[_IsSummary]],COUNTIF(INDEX(Tasks[_LeafCritical],Tasks[[#This Row],[_Row]]+1):INDEX(Tasks[_LeafCritical],Tasks[[#This Row],[_Row]]+Tasks[[#This Row],[_Descendants]]),TRUE())&gt;0,Tasks[[#This Row],[_LeafCritical]]),"Yes",""))</f>
        <v/>
      </c>
      <c r="AQ149" s="63" t="str">
        <f aca="false">IF(Tasks[[#This Row],[Task Name]]="","",IF(N(Tasks[[#This Row],[Baseline Start]])&gt;0,Tasks[[#This Row],[Baseline Start]],Tasks[[#This Row],[_CalcStart]]))</f>
        <v/>
      </c>
      <c r="AR149" s="63" t="str">
        <f aca="false">IF(Tasks[[#This Row],[Task Name]]="","",IF(N(Tasks[[#This Row],[Baseline Finish]])&gt;0,Tasks[[#This Row],[Baseline Finish]],Tasks[[#This Row],[_CalcFinish]]))</f>
        <v/>
      </c>
      <c r="AS149" s="47" t="str">
        <f aca="false">IF(Tasks[[#This Row],[Task Name]]="","",IF(Tasks[[#This Row],[Start]]&gt;=Tasks[[#This Row],[Planned Start]],NETWORKDAYS.INTL(Tasks[[#This Row],[Planned Start]],Tasks[[#This Row],[Start]],WorkWeek,Holidays)-1,1-NETWORKDAYS.INTL(Tasks[[#This Row],[Start]],Tasks[[#This Row],[Planned Start]],WorkWeek,Holidays)))</f>
        <v/>
      </c>
      <c r="AT149" s="63" t="str">
        <f aca="false">IF(Tasks[[#This Row],[Task Name]]="","",IF(Tasks[[#This Row],[_IsSummary]],MIN(INDEX(Tasks[_LeafLateStart],Tasks[[#This Row],[_Row]]+1):INDEX(Tasks[_LeafLateStart],Tasks[[#This Row],[_Row]]+Tasks[[#This Row],[_Descendants]])),Tasks[[#This Row],[_LeafLateStart]]))</f>
        <v/>
      </c>
      <c r="AU149" s="63" t="str">
        <f aca="false">IF(Tasks[[#This Row],[Task Name]]="","",IF(Tasks[[#This Row],[_IsSummary]],MAX(INDEX(Tasks[_LeafLateFinish],Tasks[[#This Row],[_Row]]+1):INDEX(Tasks[_LeafLateFinish],Tasks[[#This Row],[_Row]]+Tasks[[#This Row],[_Descendants]])),Tasks[[#This Row],[_LeafLateFinish]]))</f>
        <v/>
      </c>
      <c r="AV149" s="47" t="str">
        <f aca="false">IF(Tasks[[#This Row],[Task Name]]="","",IF(Tasks[[#This Row],[_IsSummary]],MIN(INDEX(Tasks[_LeafTotalSlack],Tasks[[#This Row],[_Row]]+1):INDEX(Tasks[_LeafTotalSlack],Tasks[[#This Row],[_Row]]+Tasks[[#This Row],[_Descendants]])),Tasks[[#This Row],[_LeafTotalSlack]]))</f>
        <v/>
      </c>
      <c r="AW1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5"/>
      <c r="BA14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t="str">
        <f aca="false">IF(Tasks[[#This Row],[Task Name]]="","",IF(Tasks[[#This Row],[_Level]]&lt;=OutlineShowLevel,"Yes","No"))</f>
        <v/>
      </c>
      <c r="BE149" s="86" t="str">
        <f aca="false">IF(Tasks[[#This Row],[Task Name]]="","",IF(Tasks[[#This Row],[_IsSummary]],SUM(INDEX(Tasks[_LeafTotalWork],Tasks[[#This Row],[_Row]]+1):INDEX(Tasks[_LeafTotalWork],Tasks[[#This Row],[_Row]]+Tasks[[#This Row],[_Descendants]])),Tasks[[#This Row],[_LeafTotalWork]]))</f>
        <v/>
      </c>
      <c r="BF149" s="23"/>
      <c r="BG1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t="str">
        <f aca="false">""</f>
        <v/>
      </c>
      <c r="BI149" s="87"/>
      <c r="BJ149" s="22"/>
      <c r="BK149" s="47" t="str">
        <f aca="false">IF(OR(Tasks[[#This Row],[Task Name]]="",Tasks[[#This Row],[Baseline Duration]]=""),"",Tasks[[#This Row],[_SpanDays]]-N(Tasks[[#This Row],[Baseline Duration]]))</f>
        <v/>
      </c>
      <c r="BL149" s="86" t="str">
        <f aca="false">IF(OR(Tasks[[#This Row],[Task Name]]="",Tasks[[#This Row],[Baseline Work]]=""),"",Tasks[[#This Row],[Work]]-N(Tasks[[#This Row],[Baseline Work]]))</f>
        <v/>
      </c>
      <c r="BM149" s="63" t="str">
        <f aca="false">IF(Tasks[[#This Row],[Task Name]]="","",IF(OR(TakeBaseline="Yes",N(Tasks[[#This Row],[Baseline Start]])=0),Tasks[[#This Row],[Start]],Tasks[[#This Row],[Baseline Start]]))</f>
        <v/>
      </c>
      <c r="BN149" s="63" t="str">
        <f aca="false">IF(Tasks[[#This Row],[Task Name]]="","",IF(OR(TakeBaseline="Yes",N(Tasks[[#This Row],[Baseline Finish]])=0),Tasks[[#This Row],[Finish]],Tasks[[#This Row],[Baseline Finish]]))</f>
        <v/>
      </c>
      <c r="BO149" s="21" t="str">
        <f aca="false">IF(Tasks[[#This Row],[Task Name]]="","",IF(OR(TakeBaseline="Yes",N(Tasks[[#This Row],[Baseline Duration]])=0),Tasks[[#This Row],[_SpanDays]],Tasks[[#This Row],[Baseline Duration]]))</f>
        <v/>
      </c>
      <c r="BP149" s="86" t="str">
        <f aca="false">IF(Tasks[[#This Row],[Task Name]]="","",IF(OR(TakeBaseline="Yes",N(Tasks[[#This Row],[Baseline Work]])=0),Tasks[[#This Row],[Work]],Tasks[[#This Row],[Baseline Work]]))</f>
        <v/>
      </c>
      <c r="BQ149" s="7"/>
      <c r="BR149" s="7"/>
      <c r="BS149" s="22"/>
      <c r="BT149" s="88"/>
      <c r="BU149" s="23"/>
      <c r="BV149" s="23"/>
      <c r="BW149" s="23"/>
      <c r="BX149" s="89" t="str">
        <f aca="false">IF(AND(Tasks[[#This Row],[_IsLeaf]]=1,ISNUMBER(Tasks[[#This Row],[Optimistic]]),ISNUMBER(Tasks[[#This Row],[Pessimistic]])),ROUND((Tasks[[#This Row],[Optimistic]]+4*N(Tasks[[#This Row],[_Days]])+Tasks[[#This Row],[Pessimistic]])/6,1),"")</f>
        <v/>
      </c>
      <c r="BY149" s="87"/>
      <c r="BZ149" s="87"/>
      <c r="CA149" s="22"/>
      <c r="CB149" s="43" t="str">
        <f aca="false">IF(Tasks[[#This Row],[Task Name]]="","",MAX(1,N(Tasks[[#This Row],[Level]])))</f>
        <v/>
      </c>
      <c r="CC149" s="43" t="n">
        <f aca="false">ROW()-ROW(Tasks[[#Headers],[ID]])</f>
        <v>144</v>
      </c>
      <c r="CD149" s="43" t="n">
        <f aca="false">IF(OR(Tasks[[#This Row],[Task Name]]="",Tasks[[#This Row],[_Level]]&lt;=1),0,IFERROR(LOOKUP(2,1/(Tasks[[#Headers],[_Level]]:Tasks[[#This Row],[_Level]]=Tasks[[#This Row],[_Level]]-1),ROW(Tasks[[#Headers],[_Level]]:Tasks[[#This Row],[_Level]])),0))</f>
        <v>0</v>
      </c>
      <c r="CE149" s="43" t="n">
        <f aca="false">IFERROR(N(INDEX(Tasks[_Level],Tasks[[#This Row],[_Row]]+1)),0)</f>
        <v>0</v>
      </c>
      <c r="CF149" s="90" t="b">
        <f aca="false">AND(Tasks[[#This Row],[Task Name]]&lt;&gt;"",Tasks[[#This Row],[_NextLevel]]&gt;Tasks[[#This Row],[_Level]])</f>
        <v>0</v>
      </c>
      <c r="CG149" s="43" t="n">
        <f aca="false">IF(Tasks[[#This Row],[_IsSummary]],COUNTIF(Tasks[WBS],Tasks[[#This Row],[WBS]]&amp;".*"),0)</f>
        <v>0</v>
      </c>
      <c r="CH149" s="43" t="n">
        <f aca="false">IF(AND(Tasks[[#This Row],[Task Name]]&lt;&gt;"",NOT(Tasks[[#This Row],[_IsSummary]])),1,0)</f>
        <v>0</v>
      </c>
      <c r="CI149" s="43" t="n">
        <f aca="false">IF(N(Tasks[[#This Row],[_Pred1UID]])=0,0,IFERROR(MATCH(Tasks[[#This Row],[_Pred1UID]],Tasks[UID],0),-1))</f>
        <v>0</v>
      </c>
      <c r="CJ149" s="43" t="n">
        <f aca="false">IF(N(Tasks[[#This Row],[_Pred2UID]])=0,0,IFERROR(MATCH(Tasks[[#This Row],[_Pred2UID]],Tasks[UID],0),-1))</f>
        <v>0</v>
      </c>
      <c r="CK149" s="43" t="n">
        <f aca="false">IF(N(Tasks[[#This Row],[_Pred3UID]])=0,0,IFERROR(MATCH(Tasks[[#This Row],[_Pred3UID]],Tasks[UID],0),-1))</f>
        <v>0</v>
      </c>
      <c r="CL149" s="43" t="n">
        <f aca="false">IF(N(Tasks[[#This Row],[_Pred4UID]])=0,0,IFERROR(MATCH(Tasks[[#This Row],[_Pred4UID]],Tasks[UID],0),-1))</f>
        <v>0</v>
      </c>
      <c r="CM1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9" s="91" t="n">
        <f aca="false">IF(OR(Tasks[[#This Row],[_ConstraintCode]]=2,Tasks[[#This Row],[_ConstraintCode]]=3,Tasks[[#This Row],[_ConstraintCode]]=4,Tasks[[#This Row],[_ConstraintCode]]=6),Tasks[[#This Row],[_ConstraintStart]],0)</f>
        <v>0</v>
      </c>
      <c r="CP149" s="91" t="n">
        <f aca="false">IF(OR(Tasks[[#This Row],[_ConstraintCode]]=2,Tasks[[#This Row],[_ConstraintCode]]=3,Tasks[[#This Row],[_ConstraintCode]]=5,Tasks[[#This Row],[_ConstraintCode]]=7),Tasks[[#This Row],[_ConstraintStart]],2958465)</f>
        <v>2958465</v>
      </c>
      <c r="CQ1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9" s="91" t="str">
        <f aca="false">IF(NOT(Tasks[[#This Row],[_IsLeaf]]=1),"",IF(N(Tasks[[#This Row],[_Days]])&lt;=0,Tasks[[#This Row],[_LeafCalcStart]],WORKDAY.INTL(Tasks[[#This Row],[_LeafCalcStart]],Tasks[[#This Row],[_Days]]-1,WorkWeek,Holidays)))</f>
        <v/>
      </c>
      <c r="CS1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9" s="43" t="str">
        <f aca="false">IF(Tasks[[#This Row],[_Predecessors]]="","",TRIM(MID(SUBSTITUTE(SUBSTITUTE(SUBSTITUTE(UPPER(Tasks[[#This Row],[_Predecessors]]),";",",")," ",""),",",REPT(" ",99)),1,99)))</f>
        <v/>
      </c>
      <c r="CV149" s="43" t="str">
        <f aca="false">IF(Tasks[[#This Row],[_Pred1Text]]="","",IFERROR(VALUE(LEFT(Tasks[[#This Row],[_Pred1Text]],MIN(FIND("F",Tasks[[#This Row],[_Pred1Text]]&amp;"F"),FIND("S",Tasks[[#This Row],[_Pred1Text]]&amp;"S"),FIND("+",Tasks[[#This Row],[_Pred1Text]]&amp;"+"),FIND("-",Tasks[[#This Row],[_Pred1Text]]&amp;"-"))-1)),""))</f>
        <v/>
      </c>
      <c r="CW1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9" s="43" t="str">
        <f aca="false">IF(Tasks[[#This Row],[_Pred1Text]]="","",TRIM(MID(SUBSTITUTE(SUBSTITUTE(SUBSTITUTE(UPPER(Tasks[[#This Row],[_Predecessors]]),";",",")," ",""),",",REPT(" ",99)),100,99)))</f>
        <v/>
      </c>
      <c r="CZ149" s="43" t="str">
        <f aca="false">IF(Tasks[[#This Row],[_Pred2Text]]="","",IFERROR(VALUE(LEFT(Tasks[[#This Row],[_Pred2Text]],MIN(FIND("F",Tasks[[#This Row],[_Pred2Text]]&amp;"F"),FIND("S",Tasks[[#This Row],[_Pred2Text]]&amp;"S"),FIND("+",Tasks[[#This Row],[_Pred2Text]]&amp;"+"),FIND("-",Tasks[[#This Row],[_Pred2Text]]&amp;"-"))-1)),""))</f>
        <v/>
      </c>
      <c r="DA1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9" s="43" t="str">
        <f aca="false">IF(Tasks[[#This Row],[_Pred2Text]]="","",TRIM(MID(SUBSTITUTE(SUBSTITUTE(SUBSTITUTE(UPPER(Tasks[[#This Row],[_Predecessors]]),";",",")," ",""),",",REPT(" ",99)),199,99)))</f>
        <v/>
      </c>
      <c r="DD149" s="43" t="str">
        <f aca="false">IF(Tasks[[#This Row],[_Pred3Text]]="","",IFERROR(VALUE(LEFT(Tasks[[#This Row],[_Pred3Text]],MIN(FIND("F",Tasks[[#This Row],[_Pred3Text]]&amp;"F"),FIND("S",Tasks[[#This Row],[_Pred3Text]]&amp;"S"),FIND("+",Tasks[[#This Row],[_Pred3Text]]&amp;"+"),FIND("-",Tasks[[#This Row],[_Pred3Text]]&amp;"-"))-1)),""))</f>
        <v/>
      </c>
      <c r="DE1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9" s="43" t="str">
        <f aca="false">IF(Tasks[[#This Row],[_Pred3Text]]="","",TRIM(MID(SUBSTITUTE(SUBSTITUTE(SUBSTITUTE(UPPER(Tasks[[#This Row],[_Predecessors]]),";",",")," ",""),",",REPT(" ",99)),298,99)))</f>
        <v/>
      </c>
      <c r="DH149" s="43" t="str">
        <f aca="false">IF(Tasks[[#This Row],[_Pred4Text]]="","",IFERROR(VALUE(LEFT(Tasks[[#This Row],[_Pred4Text]],MIN(FIND("F",Tasks[[#This Row],[_Pred4Text]]&amp;"F"),FIND("S",Tasks[[#This Row],[_Pred4Text]]&amp;"S"),FIND("+",Tasks[[#This Row],[_Pred4Text]]&amp;"+"),FIND("-",Tasks[[#This Row],[_Pred4Text]]&amp;"-"))-1)),""))</f>
        <v/>
      </c>
      <c r="DI1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9" s="43" t="str">
        <f aca="false">IF(OR(Tasks[[#This Row],[Task Name]]="",Tasks[[#This Row],[_Resources]]=""),"",TRIM(MID(SUBSTITUTE(Tasks[[#This Row],[_Resources]],",",REPT(" ",99)),1,99)))</f>
        <v/>
      </c>
      <c r="DL149" s="43" t="str">
        <f aca="false">IF(Tasks[[#This Row],[_Res1Text]]="","",TRIM(MID(SUBSTITUTE(Tasks[[#This Row],[_Resources]],",",REPT(" ",99)),100,99)))</f>
        <v/>
      </c>
      <c r="DM149" s="43" t="str">
        <f aca="false">IF(Tasks[[#This Row],[_Res2Text]]="","",TRIM(MID(SUBSTITUTE(Tasks[[#This Row],[_Resources]],",",REPT(" ",99)),199,99)))</f>
        <v/>
      </c>
      <c r="DN149" s="43" t="str">
        <f aca="false">IF(Tasks[[#This Row],[_Res3Text]]="","",TRIM(MID(SUBSTITUTE(Tasks[[#This Row],[_Resources]],",",REPT(" ",99)),298,99)))</f>
        <v/>
      </c>
      <c r="DO149" s="43" t="n">
        <f aca="false">IF(Tasks[[#This Row],[_Res1Text]]="",0,IFERROR(MATCH(TRIM(LEFT(Tasks[[#This Row],[_Res1Text]],FIND("[",Tasks[[#This Row],[_Res1Text]]&amp;"[")-1)),res_Name,0),IFERROR(MATCH(TRIM(LEFT(Tasks[[#This Row],[_Res1Text]],FIND("[",Tasks[[#This Row],[_Res1Text]]&amp;"[")-1)),res_Initials,0),0)))</f>
        <v>0</v>
      </c>
      <c r="DP149" s="43" t="n">
        <f aca="false">IF(Tasks[[#This Row],[_Res2Text]]="",0,IFERROR(MATCH(TRIM(LEFT(Tasks[[#This Row],[_Res2Text]],FIND("[",Tasks[[#This Row],[_Res2Text]]&amp;"[")-1)),res_Name,0),IFERROR(MATCH(TRIM(LEFT(Tasks[[#This Row],[_Res2Text]],FIND("[",Tasks[[#This Row],[_Res2Text]]&amp;"[")-1)),res_Initials,0),0)))</f>
        <v>0</v>
      </c>
      <c r="DQ149" s="43" t="n">
        <f aca="false">IF(Tasks[[#This Row],[_Res3Text]]="",0,IFERROR(MATCH(TRIM(LEFT(Tasks[[#This Row],[_Res3Text]],FIND("[",Tasks[[#This Row],[_Res3Text]]&amp;"[")-1)),res_Name,0),IFERROR(MATCH(TRIM(LEFT(Tasks[[#This Row],[_Res3Text]],FIND("[",Tasks[[#This Row],[_Res3Text]]&amp;"[")-1)),res_Initials,0),0)))</f>
        <v>0</v>
      </c>
      <c r="DR149" s="43" t="n">
        <f aca="false">IF(Tasks[[#This Row],[_Res4Text]]="",0,IFERROR(MATCH(TRIM(LEFT(Tasks[[#This Row],[_Res4Text]],FIND("[",Tasks[[#This Row],[_Res4Text]]&amp;"[")-1)),res_Name,0),IFERROR(MATCH(TRIM(LEFT(Tasks[[#This Row],[_Res4Text]],FIND("[",Tasks[[#This Row],[_Res4Text]]&amp;"[")-1)),res_Initials,0),0)))</f>
        <v>0</v>
      </c>
      <c r="DS149" s="43" t="str">
        <f aca="false">IF(Tasks[[#This Row],[_Res1Text]]="","",IF(Tasks[[#This Row],[_Res1Row]]&gt;0,INDEX(res_Name,Tasks[[#This Row],[_Res1Row]]),TRIM(LEFT(Tasks[[#This Row],[_Res1Text]],FIND("[",Tasks[[#This Row],[_Res1Text]]&amp;"[")-1))))</f>
        <v/>
      </c>
      <c r="DT1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9" s="43" t="n">
        <f aca="false">IF(NOT(Tasks[[#This Row],[_IsLeaf]]=1),0,(Tasks[[#This Row],[_Resource1]]&lt;&gt;"")+(Tasks[[#This Row],[_Res2]]&lt;&gt;"")+(Tasks[[#This Row],[_Res3]]&lt;&gt;"")+(Tasks[[#This Row],[_Res4]]&lt;&gt;""))</f>
        <v>0</v>
      </c>
      <c r="DV149" s="43" t="str">
        <f aca="false">IF(Tasks[[#This Row],[_Res2Text]]="","",IF(Tasks[[#This Row],[_Res2Row]]&gt;0,INDEX(res_Name,Tasks[[#This Row],[_Res2Row]]),TRIM(LEFT(Tasks[[#This Row],[_Res2Text]],FIND("[",Tasks[[#This Row],[_Res2Text]]&amp;"[")-1))))</f>
        <v/>
      </c>
      <c r="DW1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9" s="43" t="n">
        <f aca="false">IF(OR(NOT(Tasks[[#This Row],[_IsLeaf]]=1),Tasks[[#This Row],[_Res2Row]]=0),0,N(Tasks[[#This Row],[_Days]])*HoursPerDay*IF(Tasks[[#This Row],[_Res2Units]]="",DefaultUnits,Tasks[[#This Row],[_Res2Units]]))</f>
        <v>0</v>
      </c>
      <c r="DY149" s="43" t="n">
        <f aca="false">IF(AND(AND(Tasks[[#This Row],[_IsLeaf]]=1,Tasks[[#This Row],[_LeafTotalWork]]&gt;0),Tasks[[#This Row],[_Res2Work]]&gt;0),Tasks[[#This Row],[_Res2Work]]/(Tasks[[#This Row],[_FinishWorkday]]-Tasks[[#This Row],[_StartWorkday]]+1),0)</f>
        <v>0</v>
      </c>
      <c r="DZ149" s="43" t="n">
        <f aca="false">Tasks[[#This Row],[_Res2WorkPerWD]]*MAX(0,Tasks[[#This Row],[_StartWorkday]]-1)</f>
        <v>0</v>
      </c>
      <c r="EA149" s="43" t="n">
        <f aca="false">Tasks[[#This Row],[_Res2Work]]*Tasks[[#This Row],[_LeafProgress]]</f>
        <v>0</v>
      </c>
      <c r="EB149" s="43" t="str">
        <f aca="false">IF(Tasks[[#This Row],[_Res3Text]]="","",IF(Tasks[[#This Row],[_Res3Row]]&gt;0,INDEX(res_Name,Tasks[[#This Row],[_Res3Row]]),TRIM(LEFT(Tasks[[#This Row],[_Res3Text]],FIND("[",Tasks[[#This Row],[_Res3Text]]&amp;"[")-1))))</f>
        <v/>
      </c>
      <c r="EC1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9" s="43" t="n">
        <f aca="false">IF(OR(NOT(Tasks[[#This Row],[_IsLeaf]]=1),Tasks[[#This Row],[_Res3Row]]=0),0,N(Tasks[[#This Row],[_Days]])*HoursPerDay*IF(Tasks[[#This Row],[_Res3Units]]="",DefaultUnits,Tasks[[#This Row],[_Res3Units]]))</f>
        <v>0</v>
      </c>
      <c r="EE149" s="43" t="n">
        <f aca="false">IF(AND(AND(Tasks[[#This Row],[_IsLeaf]]=1,Tasks[[#This Row],[_LeafTotalWork]]&gt;0),Tasks[[#This Row],[_Res3Work]]&gt;0),Tasks[[#This Row],[_Res3Work]]/(Tasks[[#This Row],[_FinishWorkday]]-Tasks[[#This Row],[_StartWorkday]]+1),0)</f>
        <v>0</v>
      </c>
      <c r="EF149" s="43" t="n">
        <f aca="false">Tasks[[#This Row],[_Res3WorkPerWD]]*MAX(0,Tasks[[#This Row],[_StartWorkday]]-1)</f>
        <v>0</v>
      </c>
      <c r="EG149" s="43" t="n">
        <f aca="false">Tasks[[#This Row],[_Res3Work]]*Tasks[[#This Row],[_LeafProgress]]</f>
        <v>0</v>
      </c>
      <c r="EH149" s="43" t="str">
        <f aca="false">IF(Tasks[[#This Row],[_Res4Text]]="","",IF(Tasks[[#This Row],[_Res4Row]]&gt;0,INDEX(res_Name,Tasks[[#This Row],[_Res4Row]]),TRIM(LEFT(Tasks[[#This Row],[_Res4Text]],FIND("[",Tasks[[#This Row],[_Res4Text]]&amp;"[")-1))))</f>
        <v/>
      </c>
      <c r="EI1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9" s="43" t="n">
        <f aca="false">IF(OR(NOT(Tasks[[#This Row],[_IsLeaf]]=1),Tasks[[#This Row],[_Res4Row]]=0),0,N(Tasks[[#This Row],[_Days]])*HoursPerDay*IF(Tasks[[#This Row],[_Res4Units]]="",DefaultUnits,Tasks[[#This Row],[_Res4Units]]))</f>
        <v>0</v>
      </c>
      <c r="EK149" s="43" t="n">
        <f aca="false">IF(AND(AND(Tasks[[#This Row],[_IsLeaf]]=1,Tasks[[#This Row],[_LeafTotalWork]]&gt;0),Tasks[[#This Row],[_Res4Work]]&gt;0),Tasks[[#This Row],[_Res4Work]]/(Tasks[[#This Row],[_FinishWorkday]]-Tasks[[#This Row],[_StartWorkday]]+1),0)</f>
        <v>0</v>
      </c>
      <c r="EL149" s="43" t="n">
        <f aca="false">Tasks[[#This Row],[_Res4WorkPerWD]]*MAX(0,Tasks[[#This Row],[_StartWorkday]]-1)</f>
        <v>0</v>
      </c>
      <c r="EM149" s="43" t="n">
        <f aca="false">Tasks[[#This Row],[_Res4Work]]*Tasks[[#This Row],[_LeafProgress]]</f>
        <v>0</v>
      </c>
      <c r="EN149" s="43" t="n">
        <f aca="false">IF(ISNUMBER(Tasks[[#This Row],[% Complete]]),Tasks[[#This Row],[% Complete]],IF(Tasks[[#This Row],[Stage]]="",0,IFERROR(INDEX(stg_Pct,MATCH(Tasks[[#This Row],[Stage]],stg_Name,0)),0)))</f>
        <v>0</v>
      </c>
      <c r="EO149" s="43" t="n">
        <f aca="false">IF(NOT(Tasks[[#This Row],[_IsLeaf]]=1),0,IF(N(Tasks[[#This Row],[Actual Finish]])&gt;0,1,MIN(1,Tasks[[#This Row],[_Pct]])))</f>
        <v>0</v>
      </c>
      <c r="EP149" s="43" t="n">
        <f aca="false">IF(OR(NOT(Tasks[[#This Row],[_IsLeaf]]=1),Tasks[[#This Row],[_Res1Row]]=0),0,N(Tasks[[#This Row],[_Days]])*HoursPerDay*IF(Tasks[[#This Row],[_Units1]]="",DefaultUnits,Tasks[[#This Row],[_Units1]]))</f>
        <v>0</v>
      </c>
      <c r="EQ149" s="43" t="n">
        <f aca="false">Tasks[[#This Row],[_LeafWork]]+Tasks[[#This Row],[_Res2Work]]+Tasks[[#This Row],[_Res3Work]]+Tasks[[#This Row],[_Res4Work]]</f>
        <v>0</v>
      </c>
      <c r="ER14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9" s="43" t="n">
        <f aca="false">IF(NOT(Tasks[[#This Row],[_IsLeaf]]=1),0,MAX(_xlfn.MAXIFS(Tasks[_Row],Tasks[_Pred1UID],Tasks[[#This Row],[UID]]),_xlfn.MAXIFS(Tasks[_Row],Tasks[_Pred2UID],Tasks[[#This Row],[UID]]),_xlfn.MAXIFS(Tasks[_Row],Tasks[_Pred3UID],Tasks[[#This Row],[UID]]),_xlfn.MAXIFS(Tasks[_Row],Tasks[_Pred4UID],Tasks[[#This Row],[UID]])))</f>
        <v>0</v>
      </c>
      <c r="FA1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9" s="91" t="str">
        <f aca="false">IF(NOT(Tasks[[#This Row],[_IsLeaf]]=1),"",IF(N(Tasks[[#This Row],[_Days]])&lt;=0,Tasks[[#This Row],[_LeafLateFinish]],WORKDAY.INTL(Tasks[[#This Row],[_LeafLateFinish]],-(Tasks[[#This Row],[_Days]]-1),WorkWeek,Holidays)))</f>
        <v/>
      </c>
      <c r="FD1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9" s="90" t="b">
        <f aca="false">AND(Tasks[[#This Row],[_IsLeaf]]=1,Tasks[[#This Row],[_LeafProgress]]&lt;1,N(Tasks[[#This Row],[_LeafTotalSlack]])&lt;=CriticalSlackDays)</f>
        <v>0</v>
      </c>
      <c r="FF149" s="43" t="n">
        <f aca="false">IF(AND(Tasks[[#This Row],[_IsLeaf]]=1,Tasks[[#This Row],[_ConstraintCode]]=1,Tasks[[#This Row],[Mode]]&lt;&gt;"Manual",N(Tasks[[#This Row],[Actual Start]])=0),MAX(0,N(Tasks[[#This Row],[Free Slack]])),0)</f>
        <v>0</v>
      </c>
      <c r="FG149" s="91" t="str">
        <f aca="false">IF(NOT(Tasks[[#This Row],[_IsLeaf]]=1),"",IF(Tasks[[#This Row],[_AlapShift]]=0,Tasks[[#This Row],[_LeafCalcStart]],WORKDAY.INTL(Tasks[[#This Row],[_LeafCalcStart]],Tasks[[#This Row],[_AlapShift]],WorkWeek,Holidays)))</f>
        <v/>
      </c>
      <c r="FH149" s="91" t="str">
        <f aca="false">IF(NOT(Tasks[[#This Row],[_IsLeaf]]=1),"",IF(Tasks[[#This Row],[_AlapShift]]=0,Tasks[[#This Row],[_LeafCalcFinish]],WORKDAY.INTL(Tasks[[#This Row],[_LeafCalcFinish]],Tasks[[#This Row],[_AlapShift]],WorkWeek,Holidays)))</f>
        <v/>
      </c>
      <c r="FI149" s="91" t="str">
        <f aca="false">IF(NOT(Tasks[[#This Row],[_IsLeaf]]=1),"",IF(Tasks[[#This Row],[_AlapShift]]=0,Tasks[[#This Row],[_LeafFcstStart]],WORKDAY.INTL(Tasks[[#This Row],[_LeafFcstStart]],Tasks[[#This Row],[_AlapShift]],WorkWeek,Holidays)))</f>
        <v/>
      </c>
      <c r="FJ149" s="91" t="str">
        <f aca="false">IF(NOT(Tasks[[#This Row],[_IsLeaf]]=1),"",IF(Tasks[[#This Row],[_AlapShift]]=0,Tasks[[#This Row],[_LeafFcstFinish]],WORKDAY.INTL(Tasks[[#This Row],[_LeafFcstFinish]],Tasks[[#This Row],[_AlapShift]],WorkWeek,Holidays)))</f>
        <v/>
      </c>
      <c r="FK149" s="91" t="str">
        <f aca="false">IF(Tasks[[#This Row],[Task Name]]="","",IF(Tasks[[#This Row],[_IsSummary]],MIN(INDEX(Tasks[_ShownCalcStart],Tasks[[#This Row],[_Row]]+1):INDEX(Tasks[_ShownCalcStart],Tasks[[#This Row],[_Row]]+Tasks[[#This Row],[_Descendants]])),Tasks[[#This Row],[_ShownCalcStart]]))</f>
        <v/>
      </c>
      <c r="FL149" s="91" t="str">
        <f aca="false">IF(Tasks[[#This Row],[Task Name]]="","",IF(Tasks[[#This Row],[_IsSummary]],MAX(INDEX(Tasks[_ShownCalcFinish],Tasks[[#This Row],[_Row]]+1):INDEX(Tasks[_ShownCalcFinish],Tasks[[#This Row],[_Row]]+Tasks[[#This Row],[_Descendants]])),Tasks[[#This Row],[_ShownCalcFinish]]))</f>
        <v/>
      </c>
      <c r="FM1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9" s="43" t="n">
        <f aca="false">IF(AND(Tasks[[#This Row],[_IsLeaf]]=1,Tasks[[#This Row],[_LeafTotalWork]]&gt;0),NETWORKDAYS.INTL(ProjectStart,Tasks[[#This Row],[_ShownFcstStart]],WorkWeek,Holidays),0)</f>
        <v>0</v>
      </c>
      <c r="FZ149" s="43" t="n">
        <f aca="false">IF(AND(Tasks[[#This Row],[_IsLeaf]]=1,Tasks[[#This Row],[_LeafTotalWork]]&gt;0),MAX(Tasks[[#This Row],[_StartWorkday]],NETWORKDAYS.INTL(ProjectStart,Tasks[[#This Row],[_ShownFcstFinish]],WorkWeek,Holidays)),0)</f>
        <v>0</v>
      </c>
      <c r="GA149" s="43" t="n">
        <f aca="false">IF(AND(Tasks[[#This Row],[_IsLeaf]]=1,Tasks[[#This Row],[_LeafTotalWork]]&gt;0),Tasks[[#This Row],[_LeafWork]]/(Tasks[[#This Row],[_FinishWorkday]]-Tasks[[#This Row],[_StartWorkday]]+1),0)</f>
        <v>0</v>
      </c>
      <c r="GB149" s="43" t="n">
        <f aca="false">Tasks[[#This Row],[_WorkPerWorkday]]*(Tasks[[#This Row],[_StartWorkday]]-1)</f>
        <v>-0</v>
      </c>
      <c r="GC149" s="43" t="n">
        <f aca="false">IF(Tasks[[#This Row],[_IsLeaf]]=1,MAX(N(Tasks[[#This Row],[_Days]]),0.1),0)</f>
        <v>0</v>
      </c>
      <c r="GD149" s="43" t="n">
        <f aca="false">Tasks[[#This Row],[_WeightDur]]*Tasks[[#This Row],[_LeafProgress]]</f>
        <v>0</v>
      </c>
      <c r="GE149" s="43" t="n">
        <f aca="false">Tasks[[#This Row],[_WeightDur]]*Tasks[[#This Row],[_PlannedPct]]</f>
        <v>0</v>
      </c>
      <c r="GF1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9" s="43" t="str">
        <f aca="false">IF(AND(Tasks[[#This Row],[_IsLeaf]]=1,N(Tasks[[#This Row],[_Days]])=0,Tasks[[#This Row],[_LeafProgress]]&lt;1),Tasks[[#This Row],[_ShownFcstFinish]]+Tasks[[#This Row],[_Row]]/100000,"")</f>
        <v/>
      </c>
      <c r="GH1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9" s="43" t="str">
        <f aca="false">IF(Tasks[[#This Row],[Task Name]]="","",LEFT(Tasks[[#This Row],[WBS]],FIND(".",Tasks[[#This Row],[WBS]]&amp;".")-1))</f>
        <v/>
      </c>
      <c r="GJ149" s="43" t="str">
        <f aca="false">IF(AND(Tasks[[#This Row],[Task Name]]&lt;&gt;"",Tasks[[#This Row],[_Level]]=1),Tasks[[#This Row],[_Row]],"")</f>
        <v/>
      </c>
      <c r="GK149" s="43" t="str">
        <f aca="false">IF(AND(Tasks[[#This Row],[_IsLeaf]]=1,N(Tasks[[#This Row],[_Days]])=0),Tasks[[#This Row],[Planned Finish]]+Tasks[[#This Row],[_Row]]/100000,"")</f>
        <v/>
      </c>
      <c r="GL149" s="43" t="str">
        <f aca="false">IF(AND(Tasks[[#This Row],[_IsLeaf]]=1,Tasks[[#This Row],[_LeafProgress]]&lt;1,OR(N(Tasks[[#This Row],[Finish Var]])&gt;0,Tasks[[#This Row],[Status]]="Late Start")),MAX(0,Tasks[[#This Row],[Finish Var]])+1-Tasks[[#This Row],[_Row]]/1000000,"")</f>
        <v/>
      </c>
      <c r="GM149" s="43" t="str">
        <f aca="false">IF(AND(Tasks[[#This Row],[_IsLeaf]]=1,N(Tasks[[#This Row],[Actual Start]])=0,Tasks[[#This Row],[_ShownFcstStart]]&gt;=StatusDate,Tasks[[#This Row],[_ShownFcstStart]]&lt;=LookaheadEnd),Tasks[[#This Row],[_ShownFcstStart]]+Tasks[[#This Row],[_Row]]/100000,"")</f>
        <v/>
      </c>
      <c r="GN149" s="43" t="str">
        <f aca="false">IF(AND(Tasks[[#This Row],[_IsLeaf]]=1,Tasks[[#This Row],[_LeafProgress]]&lt;1,Tasks[[#This Row],[_ShownFcstFinish]]&gt;=StatusDate,Tasks[[#This Row],[_ShownFcstFinish]]&lt;=LookaheadEnd),Tasks[[#This Row],[_ShownFcstFinish]]+Tasks[[#This Row],[_Row]]/100000,"")</f>
        <v/>
      </c>
      <c r="GO149" s="43" t="str">
        <f aca="false">IF(Tasks[[#This Row],[_LeafCritical]],Tasks[[#This Row],[_ShownFcstStart]]+Tasks[[#This Row],[_Row]]/100000,"")</f>
        <v/>
      </c>
      <c r="GP149" s="43" t="n">
        <f aca="false">Tasks[[#This Row],[_LeafWork]]*Tasks[[#This Row],[_LeafProgress]]</f>
        <v>0</v>
      </c>
      <c r="GQ149" s="91" t="str">
        <f aca="false">IF(AND(Tasks[[#This Row],[_IsLeaf]]=1,Tasks[[#This Row],[_LeafProgress]]&gt;=1),IF(N(Tasks[[#This Row],[Actual Finish]])&gt;0,Tasks[[#This Row],[Actual Finish]],Tasks[[#This Row],[_ShownFcstFinish]]),"")</f>
        <v/>
      </c>
      <c r="GR149" s="43" t="n">
        <f aca="false">IF(Tasks[[#This Row],[_IsLeaf]]=1,N(Tasks[[#This Row],[Story Points]]),0)</f>
        <v>0</v>
      </c>
      <c r="GS149" s="43" t="str">
        <f aca="false">""</f>
        <v/>
      </c>
      <c r="GT149" s="90" t="b">
        <f aca="false">IF(Tasks[[#This Row],[Task Name]]="",FALSE(),AND(Tasks[[#This Row],[_IsLeaf]]=1,N(Tasks[[#This Row],[_Days]])=0))</f>
        <v>0</v>
      </c>
      <c r="GU149" s="91" t="n">
        <f aca="false">IF(Tasks[[#This Row],[Task Name]]="",0,IF(AND(Tasks[[#This Row],[_IsLeaf]]=1,NOT(Tasks[[#This Row],[_IsMilestone]]),N(Tasks[[#This Row],[Progress]])&gt;0),Tasks[[#This Row],[Start]],0))</f>
        <v>0</v>
      </c>
      <c r="GV149" s="91" t="n">
        <f aca="false">IF(Tasks[[#This Row],[_DoneFrom]]=0,0,IF(Tasks[[#This Row],[Progress]]&gt;=1,Tasks[[#This Row],[Finish]],MAX(Tasks[[#This Row],[_DoneFrom]],Tasks[[#This Row],[Start]]+ROUND((Tasks[[#This Row],[Finish]]-Tasks[[#This Row],[Start]]+1)*Tasks[[#This Row],[Progress]],0)-1)))</f>
        <v>0</v>
      </c>
      <c r="GW149" s="91" t="n">
        <f aca="false">IF(Tasks[[#This Row],[Task Name]]="",0,IF(OR(NOT(Tasks[[#This Row],[_IsLeaf]]=1),Tasks[[#This Row],[_IsMilestone]],N(Tasks[[#This Row],[Progress]])&gt;=1),0,IF(Tasks[[#This Row],[_DoneTo]]&gt;0,Tasks[[#This Row],[_DoneTo]]+1,Tasks[[#This Row],[Start]])))</f>
        <v>0</v>
      </c>
      <c r="GX149" s="91" t="n">
        <f aca="false">IF(Tasks[[#This Row],[_RemFrom]]=0,0,Tasks[[#This Row],[Finish]])</f>
        <v>0</v>
      </c>
      <c r="GY149" s="90" t="b">
        <f aca="false">IF(Tasks[[#This Row],[Task Name]]="",FALSE(),OR(NOT(BaselineSet),N(Tasks[[#This Row],[Baseline Start]])&gt;0))</f>
        <v>0</v>
      </c>
      <c r="GZ14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9" s="92" t="str">
        <f aca="false">IF(Tasks[[#This Row],[_IsLeaf]]=1,Tasks[[#This Row],[_Row]],"")</f>
        <v/>
      </c>
      <c r="HD149" s="92" t="str">
        <f aca="false">IFERROR(INDEX(Tasks[UID],SMALL(Tasks[_PickKey],Tasks[[#This Row],[_Row]]))&amp;" "&amp;INDEX(Tasks[Task Name],SMALL(Tasks[_PickKey],Tasks[[#This Row],[_Row]])),"")</f>
        <v/>
      </c>
      <c r="HE149" s="43" t="str">
        <f aca="false">IF(Tasks[[#This Row],[Task Name]]="","",IF(Tasks[[#This Row],[_IsSummary]],NETWORKDAYS.INTL(Tasks[[#This Row],[Start]],Tasks[[#This Row],[Finish]],WorkWeek,Holidays),N(Tasks[[#This Row],[_Days]])))</f>
        <v/>
      </c>
      <c r="HF149" s="43" t="n">
        <f aca="false">IF(Tasks[[#This Row],[Expected]]="",0,((Tasks[[#This Row],[Pessimistic]]-Tasks[[#This Row],[Optimistic]])/6)^2)</f>
        <v>0</v>
      </c>
      <c r="HG149" s="43" t="n">
        <f aca="false">IF(Tasks[[#This Row],[Expected]]="",0,Tasks[[#This Row],[Expected]]-N(Tasks[[#This Row],[_Days]]))</f>
        <v>0</v>
      </c>
    </row>
    <row r="150" customFormat="false" ht="15" hidden="false" customHeight="false" outlineLevel="0" collapsed="false">
      <c r="A150" s="21" t="str">
        <f aca="false">IF(Tasks[[#This Row],[Task Name]]="","",COUNTA(Tasks[[#Headers],[Task Name]]:Tasks[[#This Row],[Task Name]])-1)</f>
        <v/>
      </c>
      <c r="B150" s="22" t="n">
        <v>158</v>
      </c>
      <c r="C150" s="22"/>
      <c r="D150" s="23"/>
      <c r="E150" s="22"/>
      <c r="F150" s="23"/>
      <c r="G150" s="22"/>
      <c r="H150" s="22"/>
      <c r="I150" s="23"/>
      <c r="J150" s="22"/>
      <c r="K150" s="22"/>
      <c r="L150" s="23"/>
      <c r="M150" s="22"/>
      <c r="N150" s="22"/>
      <c r="O150" s="23"/>
      <c r="P150" s="22"/>
      <c r="Q150" s="22"/>
      <c r="R150" s="23"/>
      <c r="S150" s="23"/>
      <c r="T150" s="84"/>
      <c r="U150" s="23"/>
      <c r="V150" s="84"/>
      <c r="W150" s="23"/>
      <c r="X150" s="84"/>
      <c r="Y150" s="23"/>
      <c r="Z150" s="84"/>
      <c r="AA150" s="23"/>
      <c r="AB150" s="23"/>
      <c r="AC150" s="7"/>
      <c r="AD150" s="7"/>
      <c r="AE150" s="63" t="str">
        <f aca="false">IF(Tasks[[#This Row],[Task Name]]="","",IF(Tasks[[#This Row],[_IsSummary]],MIN(INDEX(Tasks[_ShownFcstStart],Tasks[[#This Row],[_Row]]+1):INDEX(Tasks[_ShownFcstStart],Tasks[[#This Row],[_Row]]+Tasks[[#This Row],[_Descendants]])),Tasks[[#This Row],[_ShownFcstStart]]))</f>
        <v/>
      </c>
      <c r="AF150" s="63" t="str">
        <f aca="false">IF(Tasks[[#This Row],[Task Name]]="","",IF(Tasks[[#This Row],[_IsSummary]],MAX(INDEX(Tasks[_ShownFcstFinish],Tasks[[#This Row],[_Row]]+1):INDEX(Tasks[_ShownFcstFinish],Tasks[[#This Row],[_Row]]+Tasks[[#This Row],[_Descendants]])),Tasks[[#This Row],[_ShownFcstFinish]]))</f>
        <v/>
      </c>
      <c r="AG150" s="21" t="str">
        <f aca="false">""</f>
        <v/>
      </c>
      <c r="AH150" s="23"/>
      <c r="AI1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0" s="7"/>
      <c r="AK150" s="22"/>
      <c r="AL150" s="23"/>
      <c r="AM150" s="7"/>
      <c r="AN150" s="47" t="str">
        <f aca="false">IF(Tasks[[#This Row],[Task Name]]="","",IF(Tasks[[#This Row],[Finish]]&gt;=Tasks[[#This Row],[Planned Finish]],NETWORKDAYS.INTL(Tasks[[#This Row],[Planned Finish]],Tasks[[#This Row],[Finish]],WorkWeek,Holidays)-1,1-NETWORKDAYS.INTL(Tasks[[#This Row],[Finish]],Tasks[[#This Row],[Planned Finish]],WorkWeek,Holidays)))</f>
        <v/>
      </c>
      <c r="AO150" s="21" t="str">
        <f aca="false">IF(Tasks[[#This Row],[Task Name]]="","",IF(Tasks[[#This Row],[Progress]]&gt;=1,"Complete",IF(OR(N(Tasks[[#This Row],[Actual Start]])&gt;0,Tasks[[#This Row],[Progress]]&gt;0),IF(Tasks[[#This Row],[Finish Var]]&gt;0,"Behind","In Progress"),IF(Tasks[[#This Row],[Planned Start]]&lt;StatusDate,"Late Start","Not Started"))))</f>
        <v/>
      </c>
      <c r="AP150" s="21" t="str">
        <f aca="false">IF(Tasks[[#This Row],[Task Name]]="","",IF(IF(Tasks[[#This Row],[_IsSummary]],COUNTIF(INDEX(Tasks[_LeafCritical],Tasks[[#This Row],[_Row]]+1):INDEX(Tasks[_LeafCritical],Tasks[[#This Row],[_Row]]+Tasks[[#This Row],[_Descendants]]),TRUE())&gt;0,Tasks[[#This Row],[_LeafCritical]]),"Yes",""))</f>
        <v/>
      </c>
      <c r="AQ150" s="63" t="str">
        <f aca="false">IF(Tasks[[#This Row],[Task Name]]="","",IF(N(Tasks[[#This Row],[Baseline Start]])&gt;0,Tasks[[#This Row],[Baseline Start]],Tasks[[#This Row],[_CalcStart]]))</f>
        <v/>
      </c>
      <c r="AR150" s="63" t="str">
        <f aca="false">IF(Tasks[[#This Row],[Task Name]]="","",IF(N(Tasks[[#This Row],[Baseline Finish]])&gt;0,Tasks[[#This Row],[Baseline Finish]],Tasks[[#This Row],[_CalcFinish]]))</f>
        <v/>
      </c>
      <c r="AS150" s="47" t="str">
        <f aca="false">IF(Tasks[[#This Row],[Task Name]]="","",IF(Tasks[[#This Row],[Start]]&gt;=Tasks[[#This Row],[Planned Start]],NETWORKDAYS.INTL(Tasks[[#This Row],[Planned Start]],Tasks[[#This Row],[Start]],WorkWeek,Holidays)-1,1-NETWORKDAYS.INTL(Tasks[[#This Row],[Start]],Tasks[[#This Row],[Planned Start]],WorkWeek,Holidays)))</f>
        <v/>
      </c>
      <c r="AT150" s="63" t="str">
        <f aca="false">IF(Tasks[[#This Row],[Task Name]]="","",IF(Tasks[[#This Row],[_IsSummary]],MIN(INDEX(Tasks[_LeafLateStart],Tasks[[#This Row],[_Row]]+1):INDEX(Tasks[_LeafLateStart],Tasks[[#This Row],[_Row]]+Tasks[[#This Row],[_Descendants]])),Tasks[[#This Row],[_LeafLateStart]]))</f>
        <v/>
      </c>
      <c r="AU150" s="63" t="str">
        <f aca="false">IF(Tasks[[#This Row],[Task Name]]="","",IF(Tasks[[#This Row],[_IsSummary]],MAX(INDEX(Tasks[_LeafLateFinish],Tasks[[#This Row],[_Row]]+1):INDEX(Tasks[_LeafLateFinish],Tasks[[#This Row],[_Row]]+Tasks[[#This Row],[_Descendants]])),Tasks[[#This Row],[_LeafLateFinish]]))</f>
        <v/>
      </c>
      <c r="AV150" s="47" t="str">
        <f aca="false">IF(Tasks[[#This Row],[Task Name]]="","",IF(Tasks[[#This Row],[_IsSummary]],MIN(INDEX(Tasks[_LeafTotalSlack],Tasks[[#This Row],[_Row]]+1):INDEX(Tasks[_LeafTotalSlack],Tasks[[#This Row],[_Row]]+Tasks[[#This Row],[_Descendants]])),Tasks[[#This Row],[_LeafTotalSlack]]))</f>
        <v/>
      </c>
      <c r="AW1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5"/>
      <c r="BA15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t="str">
        <f aca="false">IF(Tasks[[#This Row],[Task Name]]="","",IF(Tasks[[#This Row],[_Level]]&lt;=OutlineShowLevel,"Yes","No"))</f>
        <v/>
      </c>
      <c r="BE150" s="86" t="str">
        <f aca="false">IF(Tasks[[#This Row],[Task Name]]="","",IF(Tasks[[#This Row],[_IsSummary]],SUM(INDEX(Tasks[_LeafTotalWork],Tasks[[#This Row],[_Row]]+1):INDEX(Tasks[_LeafTotalWork],Tasks[[#This Row],[_Row]]+Tasks[[#This Row],[_Descendants]])),Tasks[[#This Row],[_LeafTotalWork]]))</f>
        <v/>
      </c>
      <c r="BF150" s="23"/>
      <c r="BG1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t="str">
        <f aca="false">""</f>
        <v/>
      </c>
      <c r="BI150" s="87"/>
      <c r="BJ150" s="22"/>
      <c r="BK150" s="47" t="str">
        <f aca="false">IF(OR(Tasks[[#This Row],[Task Name]]="",Tasks[[#This Row],[Baseline Duration]]=""),"",Tasks[[#This Row],[_SpanDays]]-N(Tasks[[#This Row],[Baseline Duration]]))</f>
        <v/>
      </c>
      <c r="BL150" s="86" t="str">
        <f aca="false">IF(OR(Tasks[[#This Row],[Task Name]]="",Tasks[[#This Row],[Baseline Work]]=""),"",Tasks[[#This Row],[Work]]-N(Tasks[[#This Row],[Baseline Work]]))</f>
        <v/>
      </c>
      <c r="BM150" s="63" t="str">
        <f aca="false">IF(Tasks[[#This Row],[Task Name]]="","",IF(OR(TakeBaseline="Yes",N(Tasks[[#This Row],[Baseline Start]])=0),Tasks[[#This Row],[Start]],Tasks[[#This Row],[Baseline Start]]))</f>
        <v/>
      </c>
      <c r="BN150" s="63" t="str">
        <f aca="false">IF(Tasks[[#This Row],[Task Name]]="","",IF(OR(TakeBaseline="Yes",N(Tasks[[#This Row],[Baseline Finish]])=0),Tasks[[#This Row],[Finish]],Tasks[[#This Row],[Baseline Finish]]))</f>
        <v/>
      </c>
      <c r="BO150" s="21" t="str">
        <f aca="false">IF(Tasks[[#This Row],[Task Name]]="","",IF(OR(TakeBaseline="Yes",N(Tasks[[#This Row],[Baseline Duration]])=0),Tasks[[#This Row],[_SpanDays]],Tasks[[#This Row],[Baseline Duration]]))</f>
        <v/>
      </c>
      <c r="BP150" s="86" t="str">
        <f aca="false">IF(Tasks[[#This Row],[Task Name]]="","",IF(OR(TakeBaseline="Yes",N(Tasks[[#This Row],[Baseline Work]])=0),Tasks[[#This Row],[Work]],Tasks[[#This Row],[Baseline Work]]))</f>
        <v/>
      </c>
      <c r="BQ150" s="7"/>
      <c r="BR150" s="7"/>
      <c r="BS150" s="22"/>
      <c r="BT150" s="88"/>
      <c r="BU150" s="23"/>
      <c r="BV150" s="23"/>
      <c r="BW150" s="23"/>
      <c r="BX150" s="89" t="str">
        <f aca="false">IF(AND(Tasks[[#This Row],[_IsLeaf]]=1,ISNUMBER(Tasks[[#This Row],[Optimistic]]),ISNUMBER(Tasks[[#This Row],[Pessimistic]])),ROUND((Tasks[[#This Row],[Optimistic]]+4*N(Tasks[[#This Row],[_Days]])+Tasks[[#This Row],[Pessimistic]])/6,1),"")</f>
        <v/>
      </c>
      <c r="BY150" s="87"/>
      <c r="BZ150" s="87"/>
      <c r="CA150" s="22"/>
      <c r="CB150" s="43" t="str">
        <f aca="false">IF(Tasks[[#This Row],[Task Name]]="","",MAX(1,N(Tasks[[#This Row],[Level]])))</f>
        <v/>
      </c>
      <c r="CC150" s="43" t="n">
        <f aca="false">ROW()-ROW(Tasks[[#Headers],[ID]])</f>
        <v>145</v>
      </c>
      <c r="CD150" s="43" t="n">
        <f aca="false">IF(OR(Tasks[[#This Row],[Task Name]]="",Tasks[[#This Row],[_Level]]&lt;=1),0,IFERROR(LOOKUP(2,1/(Tasks[[#Headers],[_Level]]:Tasks[[#This Row],[_Level]]=Tasks[[#This Row],[_Level]]-1),ROW(Tasks[[#Headers],[_Level]]:Tasks[[#This Row],[_Level]])),0))</f>
        <v>0</v>
      </c>
      <c r="CE150" s="43" t="n">
        <f aca="false">IFERROR(N(INDEX(Tasks[_Level],Tasks[[#This Row],[_Row]]+1)),0)</f>
        <v>0</v>
      </c>
      <c r="CF150" s="90" t="b">
        <f aca="false">AND(Tasks[[#This Row],[Task Name]]&lt;&gt;"",Tasks[[#This Row],[_NextLevel]]&gt;Tasks[[#This Row],[_Level]])</f>
        <v>0</v>
      </c>
      <c r="CG150" s="43" t="n">
        <f aca="false">IF(Tasks[[#This Row],[_IsSummary]],COUNTIF(Tasks[WBS],Tasks[[#This Row],[WBS]]&amp;".*"),0)</f>
        <v>0</v>
      </c>
      <c r="CH150" s="43" t="n">
        <f aca="false">IF(AND(Tasks[[#This Row],[Task Name]]&lt;&gt;"",NOT(Tasks[[#This Row],[_IsSummary]])),1,0)</f>
        <v>0</v>
      </c>
      <c r="CI150" s="43" t="n">
        <f aca="false">IF(N(Tasks[[#This Row],[_Pred1UID]])=0,0,IFERROR(MATCH(Tasks[[#This Row],[_Pred1UID]],Tasks[UID],0),-1))</f>
        <v>0</v>
      </c>
      <c r="CJ150" s="43" t="n">
        <f aca="false">IF(N(Tasks[[#This Row],[_Pred2UID]])=0,0,IFERROR(MATCH(Tasks[[#This Row],[_Pred2UID]],Tasks[UID],0),-1))</f>
        <v>0</v>
      </c>
      <c r="CK150" s="43" t="n">
        <f aca="false">IF(N(Tasks[[#This Row],[_Pred3UID]])=0,0,IFERROR(MATCH(Tasks[[#This Row],[_Pred3UID]],Tasks[UID],0),-1))</f>
        <v>0</v>
      </c>
      <c r="CL150" s="43" t="n">
        <f aca="false">IF(N(Tasks[[#This Row],[_Pred4UID]])=0,0,IFERROR(MATCH(Tasks[[#This Row],[_Pred4UID]],Tasks[UID],0),-1))</f>
        <v>0</v>
      </c>
      <c r="CM1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0" s="91" t="n">
        <f aca="false">IF(OR(Tasks[[#This Row],[_ConstraintCode]]=2,Tasks[[#This Row],[_ConstraintCode]]=3,Tasks[[#This Row],[_ConstraintCode]]=4,Tasks[[#This Row],[_ConstraintCode]]=6),Tasks[[#This Row],[_ConstraintStart]],0)</f>
        <v>0</v>
      </c>
      <c r="CP150" s="91" t="n">
        <f aca="false">IF(OR(Tasks[[#This Row],[_ConstraintCode]]=2,Tasks[[#This Row],[_ConstraintCode]]=3,Tasks[[#This Row],[_ConstraintCode]]=5,Tasks[[#This Row],[_ConstraintCode]]=7),Tasks[[#This Row],[_ConstraintStart]],2958465)</f>
        <v>2958465</v>
      </c>
      <c r="CQ1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0" s="91" t="str">
        <f aca="false">IF(NOT(Tasks[[#This Row],[_IsLeaf]]=1),"",IF(N(Tasks[[#This Row],[_Days]])&lt;=0,Tasks[[#This Row],[_LeafCalcStart]],WORKDAY.INTL(Tasks[[#This Row],[_LeafCalcStart]],Tasks[[#This Row],[_Days]]-1,WorkWeek,Holidays)))</f>
        <v/>
      </c>
      <c r="CS1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0" s="43" t="str">
        <f aca="false">IF(Tasks[[#This Row],[_Predecessors]]="","",TRIM(MID(SUBSTITUTE(SUBSTITUTE(SUBSTITUTE(UPPER(Tasks[[#This Row],[_Predecessors]]),";",",")," ",""),",",REPT(" ",99)),1,99)))</f>
        <v/>
      </c>
      <c r="CV150" s="43" t="str">
        <f aca="false">IF(Tasks[[#This Row],[_Pred1Text]]="","",IFERROR(VALUE(LEFT(Tasks[[#This Row],[_Pred1Text]],MIN(FIND("F",Tasks[[#This Row],[_Pred1Text]]&amp;"F"),FIND("S",Tasks[[#This Row],[_Pred1Text]]&amp;"S"),FIND("+",Tasks[[#This Row],[_Pred1Text]]&amp;"+"),FIND("-",Tasks[[#This Row],[_Pred1Text]]&amp;"-"))-1)),""))</f>
        <v/>
      </c>
      <c r="CW1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0" s="43" t="str">
        <f aca="false">IF(Tasks[[#This Row],[_Pred1Text]]="","",TRIM(MID(SUBSTITUTE(SUBSTITUTE(SUBSTITUTE(UPPER(Tasks[[#This Row],[_Predecessors]]),";",",")," ",""),",",REPT(" ",99)),100,99)))</f>
        <v/>
      </c>
      <c r="CZ150" s="43" t="str">
        <f aca="false">IF(Tasks[[#This Row],[_Pred2Text]]="","",IFERROR(VALUE(LEFT(Tasks[[#This Row],[_Pred2Text]],MIN(FIND("F",Tasks[[#This Row],[_Pred2Text]]&amp;"F"),FIND("S",Tasks[[#This Row],[_Pred2Text]]&amp;"S"),FIND("+",Tasks[[#This Row],[_Pred2Text]]&amp;"+"),FIND("-",Tasks[[#This Row],[_Pred2Text]]&amp;"-"))-1)),""))</f>
        <v/>
      </c>
      <c r="DA1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0" s="43" t="str">
        <f aca="false">IF(Tasks[[#This Row],[_Pred2Text]]="","",TRIM(MID(SUBSTITUTE(SUBSTITUTE(SUBSTITUTE(UPPER(Tasks[[#This Row],[_Predecessors]]),";",",")," ",""),",",REPT(" ",99)),199,99)))</f>
        <v/>
      </c>
      <c r="DD150" s="43" t="str">
        <f aca="false">IF(Tasks[[#This Row],[_Pred3Text]]="","",IFERROR(VALUE(LEFT(Tasks[[#This Row],[_Pred3Text]],MIN(FIND("F",Tasks[[#This Row],[_Pred3Text]]&amp;"F"),FIND("S",Tasks[[#This Row],[_Pred3Text]]&amp;"S"),FIND("+",Tasks[[#This Row],[_Pred3Text]]&amp;"+"),FIND("-",Tasks[[#This Row],[_Pred3Text]]&amp;"-"))-1)),""))</f>
        <v/>
      </c>
      <c r="DE1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0" s="43" t="str">
        <f aca="false">IF(Tasks[[#This Row],[_Pred3Text]]="","",TRIM(MID(SUBSTITUTE(SUBSTITUTE(SUBSTITUTE(UPPER(Tasks[[#This Row],[_Predecessors]]),";",",")," ",""),",",REPT(" ",99)),298,99)))</f>
        <v/>
      </c>
      <c r="DH150" s="43" t="str">
        <f aca="false">IF(Tasks[[#This Row],[_Pred4Text]]="","",IFERROR(VALUE(LEFT(Tasks[[#This Row],[_Pred4Text]],MIN(FIND("F",Tasks[[#This Row],[_Pred4Text]]&amp;"F"),FIND("S",Tasks[[#This Row],[_Pred4Text]]&amp;"S"),FIND("+",Tasks[[#This Row],[_Pred4Text]]&amp;"+"),FIND("-",Tasks[[#This Row],[_Pred4Text]]&amp;"-"))-1)),""))</f>
        <v/>
      </c>
      <c r="DI1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0" s="43" t="str">
        <f aca="false">IF(OR(Tasks[[#This Row],[Task Name]]="",Tasks[[#This Row],[_Resources]]=""),"",TRIM(MID(SUBSTITUTE(Tasks[[#This Row],[_Resources]],",",REPT(" ",99)),1,99)))</f>
        <v/>
      </c>
      <c r="DL150" s="43" t="str">
        <f aca="false">IF(Tasks[[#This Row],[_Res1Text]]="","",TRIM(MID(SUBSTITUTE(Tasks[[#This Row],[_Resources]],",",REPT(" ",99)),100,99)))</f>
        <v/>
      </c>
      <c r="DM150" s="43" t="str">
        <f aca="false">IF(Tasks[[#This Row],[_Res2Text]]="","",TRIM(MID(SUBSTITUTE(Tasks[[#This Row],[_Resources]],",",REPT(" ",99)),199,99)))</f>
        <v/>
      </c>
      <c r="DN150" s="43" t="str">
        <f aca="false">IF(Tasks[[#This Row],[_Res3Text]]="","",TRIM(MID(SUBSTITUTE(Tasks[[#This Row],[_Resources]],",",REPT(" ",99)),298,99)))</f>
        <v/>
      </c>
      <c r="DO150" s="43" t="n">
        <f aca="false">IF(Tasks[[#This Row],[_Res1Text]]="",0,IFERROR(MATCH(TRIM(LEFT(Tasks[[#This Row],[_Res1Text]],FIND("[",Tasks[[#This Row],[_Res1Text]]&amp;"[")-1)),res_Name,0),IFERROR(MATCH(TRIM(LEFT(Tasks[[#This Row],[_Res1Text]],FIND("[",Tasks[[#This Row],[_Res1Text]]&amp;"[")-1)),res_Initials,0),0)))</f>
        <v>0</v>
      </c>
      <c r="DP150" s="43" t="n">
        <f aca="false">IF(Tasks[[#This Row],[_Res2Text]]="",0,IFERROR(MATCH(TRIM(LEFT(Tasks[[#This Row],[_Res2Text]],FIND("[",Tasks[[#This Row],[_Res2Text]]&amp;"[")-1)),res_Name,0),IFERROR(MATCH(TRIM(LEFT(Tasks[[#This Row],[_Res2Text]],FIND("[",Tasks[[#This Row],[_Res2Text]]&amp;"[")-1)),res_Initials,0),0)))</f>
        <v>0</v>
      </c>
      <c r="DQ150" s="43" t="n">
        <f aca="false">IF(Tasks[[#This Row],[_Res3Text]]="",0,IFERROR(MATCH(TRIM(LEFT(Tasks[[#This Row],[_Res3Text]],FIND("[",Tasks[[#This Row],[_Res3Text]]&amp;"[")-1)),res_Name,0),IFERROR(MATCH(TRIM(LEFT(Tasks[[#This Row],[_Res3Text]],FIND("[",Tasks[[#This Row],[_Res3Text]]&amp;"[")-1)),res_Initials,0),0)))</f>
        <v>0</v>
      </c>
      <c r="DR150" s="43" t="n">
        <f aca="false">IF(Tasks[[#This Row],[_Res4Text]]="",0,IFERROR(MATCH(TRIM(LEFT(Tasks[[#This Row],[_Res4Text]],FIND("[",Tasks[[#This Row],[_Res4Text]]&amp;"[")-1)),res_Name,0),IFERROR(MATCH(TRIM(LEFT(Tasks[[#This Row],[_Res4Text]],FIND("[",Tasks[[#This Row],[_Res4Text]]&amp;"[")-1)),res_Initials,0),0)))</f>
        <v>0</v>
      </c>
      <c r="DS150" s="43" t="str">
        <f aca="false">IF(Tasks[[#This Row],[_Res1Text]]="","",IF(Tasks[[#This Row],[_Res1Row]]&gt;0,INDEX(res_Name,Tasks[[#This Row],[_Res1Row]]),TRIM(LEFT(Tasks[[#This Row],[_Res1Text]],FIND("[",Tasks[[#This Row],[_Res1Text]]&amp;"[")-1))))</f>
        <v/>
      </c>
      <c r="DT1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0" s="43" t="n">
        <f aca="false">IF(NOT(Tasks[[#This Row],[_IsLeaf]]=1),0,(Tasks[[#This Row],[_Resource1]]&lt;&gt;"")+(Tasks[[#This Row],[_Res2]]&lt;&gt;"")+(Tasks[[#This Row],[_Res3]]&lt;&gt;"")+(Tasks[[#This Row],[_Res4]]&lt;&gt;""))</f>
        <v>0</v>
      </c>
      <c r="DV150" s="43" t="str">
        <f aca="false">IF(Tasks[[#This Row],[_Res2Text]]="","",IF(Tasks[[#This Row],[_Res2Row]]&gt;0,INDEX(res_Name,Tasks[[#This Row],[_Res2Row]]),TRIM(LEFT(Tasks[[#This Row],[_Res2Text]],FIND("[",Tasks[[#This Row],[_Res2Text]]&amp;"[")-1))))</f>
        <v/>
      </c>
      <c r="DW1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0" s="43" t="n">
        <f aca="false">IF(OR(NOT(Tasks[[#This Row],[_IsLeaf]]=1),Tasks[[#This Row],[_Res2Row]]=0),0,N(Tasks[[#This Row],[_Days]])*HoursPerDay*IF(Tasks[[#This Row],[_Res2Units]]="",DefaultUnits,Tasks[[#This Row],[_Res2Units]]))</f>
        <v>0</v>
      </c>
      <c r="DY150" s="43" t="n">
        <f aca="false">IF(AND(AND(Tasks[[#This Row],[_IsLeaf]]=1,Tasks[[#This Row],[_LeafTotalWork]]&gt;0),Tasks[[#This Row],[_Res2Work]]&gt;0),Tasks[[#This Row],[_Res2Work]]/(Tasks[[#This Row],[_FinishWorkday]]-Tasks[[#This Row],[_StartWorkday]]+1),0)</f>
        <v>0</v>
      </c>
      <c r="DZ150" s="43" t="n">
        <f aca="false">Tasks[[#This Row],[_Res2WorkPerWD]]*MAX(0,Tasks[[#This Row],[_StartWorkday]]-1)</f>
        <v>0</v>
      </c>
      <c r="EA150" s="43" t="n">
        <f aca="false">Tasks[[#This Row],[_Res2Work]]*Tasks[[#This Row],[_LeafProgress]]</f>
        <v>0</v>
      </c>
      <c r="EB150" s="43" t="str">
        <f aca="false">IF(Tasks[[#This Row],[_Res3Text]]="","",IF(Tasks[[#This Row],[_Res3Row]]&gt;0,INDEX(res_Name,Tasks[[#This Row],[_Res3Row]]),TRIM(LEFT(Tasks[[#This Row],[_Res3Text]],FIND("[",Tasks[[#This Row],[_Res3Text]]&amp;"[")-1))))</f>
        <v/>
      </c>
      <c r="EC1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0" s="43" t="n">
        <f aca="false">IF(OR(NOT(Tasks[[#This Row],[_IsLeaf]]=1),Tasks[[#This Row],[_Res3Row]]=0),0,N(Tasks[[#This Row],[_Days]])*HoursPerDay*IF(Tasks[[#This Row],[_Res3Units]]="",DefaultUnits,Tasks[[#This Row],[_Res3Units]]))</f>
        <v>0</v>
      </c>
      <c r="EE150" s="43" t="n">
        <f aca="false">IF(AND(AND(Tasks[[#This Row],[_IsLeaf]]=1,Tasks[[#This Row],[_LeafTotalWork]]&gt;0),Tasks[[#This Row],[_Res3Work]]&gt;0),Tasks[[#This Row],[_Res3Work]]/(Tasks[[#This Row],[_FinishWorkday]]-Tasks[[#This Row],[_StartWorkday]]+1),0)</f>
        <v>0</v>
      </c>
      <c r="EF150" s="43" t="n">
        <f aca="false">Tasks[[#This Row],[_Res3WorkPerWD]]*MAX(0,Tasks[[#This Row],[_StartWorkday]]-1)</f>
        <v>0</v>
      </c>
      <c r="EG150" s="43" t="n">
        <f aca="false">Tasks[[#This Row],[_Res3Work]]*Tasks[[#This Row],[_LeafProgress]]</f>
        <v>0</v>
      </c>
      <c r="EH150" s="43" t="str">
        <f aca="false">IF(Tasks[[#This Row],[_Res4Text]]="","",IF(Tasks[[#This Row],[_Res4Row]]&gt;0,INDEX(res_Name,Tasks[[#This Row],[_Res4Row]]),TRIM(LEFT(Tasks[[#This Row],[_Res4Text]],FIND("[",Tasks[[#This Row],[_Res4Text]]&amp;"[")-1))))</f>
        <v/>
      </c>
      <c r="EI1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0" s="43" t="n">
        <f aca="false">IF(OR(NOT(Tasks[[#This Row],[_IsLeaf]]=1),Tasks[[#This Row],[_Res4Row]]=0),0,N(Tasks[[#This Row],[_Days]])*HoursPerDay*IF(Tasks[[#This Row],[_Res4Units]]="",DefaultUnits,Tasks[[#This Row],[_Res4Units]]))</f>
        <v>0</v>
      </c>
      <c r="EK150" s="43" t="n">
        <f aca="false">IF(AND(AND(Tasks[[#This Row],[_IsLeaf]]=1,Tasks[[#This Row],[_LeafTotalWork]]&gt;0),Tasks[[#This Row],[_Res4Work]]&gt;0),Tasks[[#This Row],[_Res4Work]]/(Tasks[[#This Row],[_FinishWorkday]]-Tasks[[#This Row],[_StartWorkday]]+1),0)</f>
        <v>0</v>
      </c>
      <c r="EL150" s="43" t="n">
        <f aca="false">Tasks[[#This Row],[_Res4WorkPerWD]]*MAX(0,Tasks[[#This Row],[_StartWorkday]]-1)</f>
        <v>0</v>
      </c>
      <c r="EM150" s="43" t="n">
        <f aca="false">Tasks[[#This Row],[_Res4Work]]*Tasks[[#This Row],[_LeafProgress]]</f>
        <v>0</v>
      </c>
      <c r="EN150" s="43" t="n">
        <f aca="false">IF(ISNUMBER(Tasks[[#This Row],[% Complete]]),Tasks[[#This Row],[% Complete]],IF(Tasks[[#This Row],[Stage]]="",0,IFERROR(INDEX(stg_Pct,MATCH(Tasks[[#This Row],[Stage]],stg_Name,0)),0)))</f>
        <v>0</v>
      </c>
      <c r="EO150" s="43" t="n">
        <f aca="false">IF(NOT(Tasks[[#This Row],[_IsLeaf]]=1),0,IF(N(Tasks[[#This Row],[Actual Finish]])&gt;0,1,MIN(1,Tasks[[#This Row],[_Pct]])))</f>
        <v>0</v>
      </c>
      <c r="EP150" s="43" t="n">
        <f aca="false">IF(OR(NOT(Tasks[[#This Row],[_IsLeaf]]=1),Tasks[[#This Row],[_Res1Row]]=0),0,N(Tasks[[#This Row],[_Days]])*HoursPerDay*IF(Tasks[[#This Row],[_Units1]]="",DefaultUnits,Tasks[[#This Row],[_Units1]]))</f>
        <v>0</v>
      </c>
      <c r="EQ150" s="43" t="n">
        <f aca="false">Tasks[[#This Row],[_LeafWork]]+Tasks[[#This Row],[_Res2Work]]+Tasks[[#This Row],[_Res3Work]]+Tasks[[#This Row],[_Res4Work]]</f>
        <v>0</v>
      </c>
      <c r="ER15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0" s="43" t="n">
        <f aca="false">IF(NOT(Tasks[[#This Row],[_IsLeaf]]=1),0,MAX(_xlfn.MAXIFS(Tasks[_Row],Tasks[_Pred1UID],Tasks[[#This Row],[UID]]),_xlfn.MAXIFS(Tasks[_Row],Tasks[_Pred2UID],Tasks[[#This Row],[UID]]),_xlfn.MAXIFS(Tasks[_Row],Tasks[_Pred3UID],Tasks[[#This Row],[UID]]),_xlfn.MAXIFS(Tasks[_Row],Tasks[_Pred4UID],Tasks[[#This Row],[UID]])))</f>
        <v>0</v>
      </c>
      <c r="FA1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0" s="91" t="str">
        <f aca="false">IF(NOT(Tasks[[#This Row],[_IsLeaf]]=1),"",IF(N(Tasks[[#This Row],[_Days]])&lt;=0,Tasks[[#This Row],[_LeafLateFinish]],WORKDAY.INTL(Tasks[[#This Row],[_LeafLateFinish]],-(Tasks[[#This Row],[_Days]]-1),WorkWeek,Holidays)))</f>
        <v/>
      </c>
      <c r="FD1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0" s="90" t="b">
        <f aca="false">AND(Tasks[[#This Row],[_IsLeaf]]=1,Tasks[[#This Row],[_LeafProgress]]&lt;1,N(Tasks[[#This Row],[_LeafTotalSlack]])&lt;=CriticalSlackDays)</f>
        <v>0</v>
      </c>
      <c r="FF150" s="43" t="n">
        <f aca="false">IF(AND(Tasks[[#This Row],[_IsLeaf]]=1,Tasks[[#This Row],[_ConstraintCode]]=1,Tasks[[#This Row],[Mode]]&lt;&gt;"Manual",N(Tasks[[#This Row],[Actual Start]])=0),MAX(0,N(Tasks[[#This Row],[Free Slack]])),0)</f>
        <v>0</v>
      </c>
      <c r="FG150" s="91" t="str">
        <f aca="false">IF(NOT(Tasks[[#This Row],[_IsLeaf]]=1),"",IF(Tasks[[#This Row],[_AlapShift]]=0,Tasks[[#This Row],[_LeafCalcStart]],WORKDAY.INTL(Tasks[[#This Row],[_LeafCalcStart]],Tasks[[#This Row],[_AlapShift]],WorkWeek,Holidays)))</f>
        <v/>
      </c>
      <c r="FH150" s="91" t="str">
        <f aca="false">IF(NOT(Tasks[[#This Row],[_IsLeaf]]=1),"",IF(Tasks[[#This Row],[_AlapShift]]=0,Tasks[[#This Row],[_LeafCalcFinish]],WORKDAY.INTL(Tasks[[#This Row],[_LeafCalcFinish]],Tasks[[#This Row],[_AlapShift]],WorkWeek,Holidays)))</f>
        <v/>
      </c>
      <c r="FI150" s="91" t="str">
        <f aca="false">IF(NOT(Tasks[[#This Row],[_IsLeaf]]=1),"",IF(Tasks[[#This Row],[_AlapShift]]=0,Tasks[[#This Row],[_LeafFcstStart]],WORKDAY.INTL(Tasks[[#This Row],[_LeafFcstStart]],Tasks[[#This Row],[_AlapShift]],WorkWeek,Holidays)))</f>
        <v/>
      </c>
      <c r="FJ150" s="91" t="str">
        <f aca="false">IF(NOT(Tasks[[#This Row],[_IsLeaf]]=1),"",IF(Tasks[[#This Row],[_AlapShift]]=0,Tasks[[#This Row],[_LeafFcstFinish]],WORKDAY.INTL(Tasks[[#This Row],[_LeafFcstFinish]],Tasks[[#This Row],[_AlapShift]],WorkWeek,Holidays)))</f>
        <v/>
      </c>
      <c r="FK150" s="91" t="str">
        <f aca="false">IF(Tasks[[#This Row],[Task Name]]="","",IF(Tasks[[#This Row],[_IsSummary]],MIN(INDEX(Tasks[_ShownCalcStart],Tasks[[#This Row],[_Row]]+1):INDEX(Tasks[_ShownCalcStart],Tasks[[#This Row],[_Row]]+Tasks[[#This Row],[_Descendants]])),Tasks[[#This Row],[_ShownCalcStart]]))</f>
        <v/>
      </c>
      <c r="FL150" s="91" t="str">
        <f aca="false">IF(Tasks[[#This Row],[Task Name]]="","",IF(Tasks[[#This Row],[_IsSummary]],MAX(INDEX(Tasks[_ShownCalcFinish],Tasks[[#This Row],[_Row]]+1):INDEX(Tasks[_ShownCalcFinish],Tasks[[#This Row],[_Row]]+Tasks[[#This Row],[_Descendants]])),Tasks[[#This Row],[_ShownCalcFinish]]))</f>
        <v/>
      </c>
      <c r="FM1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0" s="43" t="n">
        <f aca="false">IF(AND(Tasks[[#This Row],[_IsLeaf]]=1,Tasks[[#This Row],[_LeafTotalWork]]&gt;0),NETWORKDAYS.INTL(ProjectStart,Tasks[[#This Row],[_ShownFcstStart]],WorkWeek,Holidays),0)</f>
        <v>0</v>
      </c>
      <c r="FZ150" s="43" t="n">
        <f aca="false">IF(AND(Tasks[[#This Row],[_IsLeaf]]=1,Tasks[[#This Row],[_LeafTotalWork]]&gt;0),MAX(Tasks[[#This Row],[_StartWorkday]],NETWORKDAYS.INTL(ProjectStart,Tasks[[#This Row],[_ShownFcstFinish]],WorkWeek,Holidays)),0)</f>
        <v>0</v>
      </c>
      <c r="GA150" s="43" t="n">
        <f aca="false">IF(AND(Tasks[[#This Row],[_IsLeaf]]=1,Tasks[[#This Row],[_LeafTotalWork]]&gt;0),Tasks[[#This Row],[_LeafWork]]/(Tasks[[#This Row],[_FinishWorkday]]-Tasks[[#This Row],[_StartWorkday]]+1),0)</f>
        <v>0</v>
      </c>
      <c r="GB150" s="43" t="n">
        <f aca="false">Tasks[[#This Row],[_WorkPerWorkday]]*(Tasks[[#This Row],[_StartWorkday]]-1)</f>
        <v>-0</v>
      </c>
      <c r="GC150" s="43" t="n">
        <f aca="false">IF(Tasks[[#This Row],[_IsLeaf]]=1,MAX(N(Tasks[[#This Row],[_Days]]),0.1),0)</f>
        <v>0</v>
      </c>
      <c r="GD150" s="43" t="n">
        <f aca="false">Tasks[[#This Row],[_WeightDur]]*Tasks[[#This Row],[_LeafProgress]]</f>
        <v>0</v>
      </c>
      <c r="GE150" s="43" t="n">
        <f aca="false">Tasks[[#This Row],[_WeightDur]]*Tasks[[#This Row],[_PlannedPct]]</f>
        <v>0</v>
      </c>
      <c r="GF1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0" s="43" t="str">
        <f aca="false">IF(AND(Tasks[[#This Row],[_IsLeaf]]=1,N(Tasks[[#This Row],[_Days]])=0,Tasks[[#This Row],[_LeafProgress]]&lt;1),Tasks[[#This Row],[_ShownFcstFinish]]+Tasks[[#This Row],[_Row]]/100000,"")</f>
        <v/>
      </c>
      <c r="GH1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0" s="43" t="str">
        <f aca="false">IF(Tasks[[#This Row],[Task Name]]="","",LEFT(Tasks[[#This Row],[WBS]],FIND(".",Tasks[[#This Row],[WBS]]&amp;".")-1))</f>
        <v/>
      </c>
      <c r="GJ150" s="43" t="str">
        <f aca="false">IF(AND(Tasks[[#This Row],[Task Name]]&lt;&gt;"",Tasks[[#This Row],[_Level]]=1),Tasks[[#This Row],[_Row]],"")</f>
        <v/>
      </c>
      <c r="GK150" s="43" t="str">
        <f aca="false">IF(AND(Tasks[[#This Row],[_IsLeaf]]=1,N(Tasks[[#This Row],[_Days]])=0),Tasks[[#This Row],[Planned Finish]]+Tasks[[#This Row],[_Row]]/100000,"")</f>
        <v/>
      </c>
      <c r="GL150" s="43" t="str">
        <f aca="false">IF(AND(Tasks[[#This Row],[_IsLeaf]]=1,Tasks[[#This Row],[_LeafProgress]]&lt;1,OR(N(Tasks[[#This Row],[Finish Var]])&gt;0,Tasks[[#This Row],[Status]]="Late Start")),MAX(0,Tasks[[#This Row],[Finish Var]])+1-Tasks[[#This Row],[_Row]]/1000000,"")</f>
        <v/>
      </c>
      <c r="GM150" s="43" t="str">
        <f aca="false">IF(AND(Tasks[[#This Row],[_IsLeaf]]=1,N(Tasks[[#This Row],[Actual Start]])=0,Tasks[[#This Row],[_ShownFcstStart]]&gt;=StatusDate,Tasks[[#This Row],[_ShownFcstStart]]&lt;=LookaheadEnd),Tasks[[#This Row],[_ShownFcstStart]]+Tasks[[#This Row],[_Row]]/100000,"")</f>
        <v/>
      </c>
      <c r="GN150" s="43" t="str">
        <f aca="false">IF(AND(Tasks[[#This Row],[_IsLeaf]]=1,Tasks[[#This Row],[_LeafProgress]]&lt;1,Tasks[[#This Row],[_ShownFcstFinish]]&gt;=StatusDate,Tasks[[#This Row],[_ShownFcstFinish]]&lt;=LookaheadEnd),Tasks[[#This Row],[_ShownFcstFinish]]+Tasks[[#This Row],[_Row]]/100000,"")</f>
        <v/>
      </c>
      <c r="GO150" s="43" t="str">
        <f aca="false">IF(Tasks[[#This Row],[_LeafCritical]],Tasks[[#This Row],[_ShownFcstStart]]+Tasks[[#This Row],[_Row]]/100000,"")</f>
        <v/>
      </c>
      <c r="GP150" s="43" t="n">
        <f aca="false">Tasks[[#This Row],[_LeafWork]]*Tasks[[#This Row],[_LeafProgress]]</f>
        <v>0</v>
      </c>
      <c r="GQ150" s="91" t="str">
        <f aca="false">IF(AND(Tasks[[#This Row],[_IsLeaf]]=1,Tasks[[#This Row],[_LeafProgress]]&gt;=1),IF(N(Tasks[[#This Row],[Actual Finish]])&gt;0,Tasks[[#This Row],[Actual Finish]],Tasks[[#This Row],[_ShownFcstFinish]]),"")</f>
        <v/>
      </c>
      <c r="GR150" s="43" t="n">
        <f aca="false">IF(Tasks[[#This Row],[_IsLeaf]]=1,N(Tasks[[#This Row],[Story Points]]),0)</f>
        <v>0</v>
      </c>
      <c r="GS150" s="43" t="str">
        <f aca="false">""</f>
        <v/>
      </c>
      <c r="GT150" s="90" t="b">
        <f aca="false">IF(Tasks[[#This Row],[Task Name]]="",FALSE(),AND(Tasks[[#This Row],[_IsLeaf]]=1,N(Tasks[[#This Row],[_Days]])=0))</f>
        <v>0</v>
      </c>
      <c r="GU150" s="91" t="n">
        <f aca="false">IF(Tasks[[#This Row],[Task Name]]="",0,IF(AND(Tasks[[#This Row],[_IsLeaf]]=1,NOT(Tasks[[#This Row],[_IsMilestone]]),N(Tasks[[#This Row],[Progress]])&gt;0),Tasks[[#This Row],[Start]],0))</f>
        <v>0</v>
      </c>
      <c r="GV150" s="91" t="n">
        <f aca="false">IF(Tasks[[#This Row],[_DoneFrom]]=0,0,IF(Tasks[[#This Row],[Progress]]&gt;=1,Tasks[[#This Row],[Finish]],MAX(Tasks[[#This Row],[_DoneFrom]],Tasks[[#This Row],[Start]]+ROUND((Tasks[[#This Row],[Finish]]-Tasks[[#This Row],[Start]]+1)*Tasks[[#This Row],[Progress]],0)-1)))</f>
        <v>0</v>
      </c>
      <c r="GW150" s="91" t="n">
        <f aca="false">IF(Tasks[[#This Row],[Task Name]]="",0,IF(OR(NOT(Tasks[[#This Row],[_IsLeaf]]=1),Tasks[[#This Row],[_IsMilestone]],N(Tasks[[#This Row],[Progress]])&gt;=1),0,IF(Tasks[[#This Row],[_DoneTo]]&gt;0,Tasks[[#This Row],[_DoneTo]]+1,Tasks[[#This Row],[Start]])))</f>
        <v>0</v>
      </c>
      <c r="GX150" s="91" t="n">
        <f aca="false">IF(Tasks[[#This Row],[_RemFrom]]=0,0,Tasks[[#This Row],[Finish]])</f>
        <v>0</v>
      </c>
      <c r="GY150" s="90" t="b">
        <f aca="false">IF(Tasks[[#This Row],[Task Name]]="",FALSE(),OR(NOT(BaselineSet),N(Tasks[[#This Row],[Baseline Start]])&gt;0))</f>
        <v>0</v>
      </c>
      <c r="GZ15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0" s="92" t="str">
        <f aca="false">IF(Tasks[[#This Row],[_IsLeaf]]=1,Tasks[[#This Row],[_Row]],"")</f>
        <v/>
      </c>
      <c r="HD150" s="92" t="str">
        <f aca="false">IFERROR(INDEX(Tasks[UID],SMALL(Tasks[_PickKey],Tasks[[#This Row],[_Row]]))&amp;" "&amp;INDEX(Tasks[Task Name],SMALL(Tasks[_PickKey],Tasks[[#This Row],[_Row]])),"")</f>
        <v/>
      </c>
      <c r="HE150" s="43" t="str">
        <f aca="false">IF(Tasks[[#This Row],[Task Name]]="","",IF(Tasks[[#This Row],[_IsSummary]],NETWORKDAYS.INTL(Tasks[[#This Row],[Start]],Tasks[[#This Row],[Finish]],WorkWeek,Holidays),N(Tasks[[#This Row],[_Days]])))</f>
        <v/>
      </c>
      <c r="HF150" s="43" t="n">
        <f aca="false">IF(Tasks[[#This Row],[Expected]]="",0,((Tasks[[#This Row],[Pessimistic]]-Tasks[[#This Row],[Optimistic]])/6)^2)</f>
        <v>0</v>
      </c>
      <c r="HG150" s="43" t="n">
        <f aca="false">IF(Tasks[[#This Row],[Expected]]="",0,Tasks[[#This Row],[Expected]]-N(Tasks[[#This Row],[_Days]]))</f>
        <v>0</v>
      </c>
    </row>
    <row r="151" customFormat="false" ht="15" hidden="false" customHeight="false" outlineLevel="0" collapsed="false">
      <c r="A151" s="21" t="str">
        <f aca="false">IF(Tasks[[#This Row],[Task Name]]="","",COUNTA(Tasks[[#Headers],[Task Name]]:Tasks[[#This Row],[Task Name]])-1)</f>
        <v/>
      </c>
      <c r="B151" s="22" t="n">
        <v>159</v>
      </c>
      <c r="C151" s="22"/>
      <c r="D151" s="23"/>
      <c r="E151" s="22"/>
      <c r="F151" s="23"/>
      <c r="G151" s="22"/>
      <c r="H151" s="22"/>
      <c r="I151" s="23"/>
      <c r="J151" s="22"/>
      <c r="K151" s="22"/>
      <c r="L151" s="23"/>
      <c r="M151" s="22"/>
      <c r="N151" s="22"/>
      <c r="O151" s="23"/>
      <c r="P151" s="22"/>
      <c r="Q151" s="22"/>
      <c r="R151" s="23"/>
      <c r="S151" s="23"/>
      <c r="T151" s="84"/>
      <c r="U151" s="23"/>
      <c r="V151" s="84"/>
      <c r="W151" s="23"/>
      <c r="X151" s="84"/>
      <c r="Y151" s="23"/>
      <c r="Z151" s="84"/>
      <c r="AA151" s="23"/>
      <c r="AB151" s="23"/>
      <c r="AC151" s="7"/>
      <c r="AD151" s="7"/>
      <c r="AE151" s="63" t="str">
        <f aca="false">IF(Tasks[[#This Row],[Task Name]]="","",IF(Tasks[[#This Row],[_IsSummary]],MIN(INDEX(Tasks[_ShownFcstStart],Tasks[[#This Row],[_Row]]+1):INDEX(Tasks[_ShownFcstStart],Tasks[[#This Row],[_Row]]+Tasks[[#This Row],[_Descendants]])),Tasks[[#This Row],[_ShownFcstStart]]))</f>
        <v/>
      </c>
      <c r="AF151" s="63" t="str">
        <f aca="false">IF(Tasks[[#This Row],[Task Name]]="","",IF(Tasks[[#This Row],[_IsSummary]],MAX(INDEX(Tasks[_ShownFcstFinish],Tasks[[#This Row],[_Row]]+1):INDEX(Tasks[_ShownFcstFinish],Tasks[[#This Row],[_Row]]+Tasks[[#This Row],[_Descendants]])),Tasks[[#This Row],[_ShownFcstFinish]]))</f>
        <v/>
      </c>
      <c r="AG151" s="21" t="str">
        <f aca="false">""</f>
        <v/>
      </c>
      <c r="AH151" s="23"/>
      <c r="AI1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1" s="7"/>
      <c r="AK151" s="22"/>
      <c r="AL151" s="23"/>
      <c r="AM151" s="7"/>
      <c r="AN151" s="47" t="str">
        <f aca="false">IF(Tasks[[#This Row],[Task Name]]="","",IF(Tasks[[#This Row],[Finish]]&gt;=Tasks[[#This Row],[Planned Finish]],NETWORKDAYS.INTL(Tasks[[#This Row],[Planned Finish]],Tasks[[#This Row],[Finish]],WorkWeek,Holidays)-1,1-NETWORKDAYS.INTL(Tasks[[#This Row],[Finish]],Tasks[[#This Row],[Planned Finish]],WorkWeek,Holidays)))</f>
        <v/>
      </c>
      <c r="AO151" s="21" t="str">
        <f aca="false">IF(Tasks[[#This Row],[Task Name]]="","",IF(Tasks[[#This Row],[Progress]]&gt;=1,"Complete",IF(OR(N(Tasks[[#This Row],[Actual Start]])&gt;0,Tasks[[#This Row],[Progress]]&gt;0),IF(Tasks[[#This Row],[Finish Var]]&gt;0,"Behind","In Progress"),IF(Tasks[[#This Row],[Planned Start]]&lt;StatusDate,"Late Start","Not Started"))))</f>
        <v/>
      </c>
      <c r="AP151" s="21" t="str">
        <f aca="false">IF(Tasks[[#This Row],[Task Name]]="","",IF(IF(Tasks[[#This Row],[_IsSummary]],COUNTIF(INDEX(Tasks[_LeafCritical],Tasks[[#This Row],[_Row]]+1):INDEX(Tasks[_LeafCritical],Tasks[[#This Row],[_Row]]+Tasks[[#This Row],[_Descendants]]),TRUE())&gt;0,Tasks[[#This Row],[_LeafCritical]]),"Yes",""))</f>
        <v/>
      </c>
      <c r="AQ151" s="63" t="str">
        <f aca="false">IF(Tasks[[#This Row],[Task Name]]="","",IF(N(Tasks[[#This Row],[Baseline Start]])&gt;0,Tasks[[#This Row],[Baseline Start]],Tasks[[#This Row],[_CalcStart]]))</f>
        <v/>
      </c>
      <c r="AR151" s="63" t="str">
        <f aca="false">IF(Tasks[[#This Row],[Task Name]]="","",IF(N(Tasks[[#This Row],[Baseline Finish]])&gt;0,Tasks[[#This Row],[Baseline Finish]],Tasks[[#This Row],[_CalcFinish]]))</f>
        <v/>
      </c>
      <c r="AS151" s="47" t="str">
        <f aca="false">IF(Tasks[[#This Row],[Task Name]]="","",IF(Tasks[[#This Row],[Start]]&gt;=Tasks[[#This Row],[Planned Start]],NETWORKDAYS.INTL(Tasks[[#This Row],[Planned Start]],Tasks[[#This Row],[Start]],WorkWeek,Holidays)-1,1-NETWORKDAYS.INTL(Tasks[[#This Row],[Start]],Tasks[[#This Row],[Planned Start]],WorkWeek,Holidays)))</f>
        <v/>
      </c>
      <c r="AT151" s="63" t="str">
        <f aca="false">IF(Tasks[[#This Row],[Task Name]]="","",IF(Tasks[[#This Row],[_IsSummary]],MIN(INDEX(Tasks[_LeafLateStart],Tasks[[#This Row],[_Row]]+1):INDEX(Tasks[_LeafLateStart],Tasks[[#This Row],[_Row]]+Tasks[[#This Row],[_Descendants]])),Tasks[[#This Row],[_LeafLateStart]]))</f>
        <v/>
      </c>
      <c r="AU151" s="63" t="str">
        <f aca="false">IF(Tasks[[#This Row],[Task Name]]="","",IF(Tasks[[#This Row],[_IsSummary]],MAX(INDEX(Tasks[_LeafLateFinish],Tasks[[#This Row],[_Row]]+1):INDEX(Tasks[_LeafLateFinish],Tasks[[#This Row],[_Row]]+Tasks[[#This Row],[_Descendants]])),Tasks[[#This Row],[_LeafLateFinish]]))</f>
        <v/>
      </c>
      <c r="AV151" s="47" t="str">
        <f aca="false">IF(Tasks[[#This Row],[Task Name]]="","",IF(Tasks[[#This Row],[_IsSummary]],MIN(INDEX(Tasks[_LeafTotalSlack],Tasks[[#This Row],[_Row]]+1):INDEX(Tasks[_LeafTotalSlack],Tasks[[#This Row],[_Row]]+Tasks[[#This Row],[_Descendants]])),Tasks[[#This Row],[_LeafTotalSlack]]))</f>
        <v/>
      </c>
      <c r="AW1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5"/>
      <c r="BA15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t="str">
        <f aca="false">IF(Tasks[[#This Row],[Task Name]]="","",IF(Tasks[[#This Row],[_Level]]&lt;=OutlineShowLevel,"Yes","No"))</f>
        <v/>
      </c>
      <c r="BE151" s="86" t="str">
        <f aca="false">IF(Tasks[[#This Row],[Task Name]]="","",IF(Tasks[[#This Row],[_IsSummary]],SUM(INDEX(Tasks[_LeafTotalWork],Tasks[[#This Row],[_Row]]+1):INDEX(Tasks[_LeafTotalWork],Tasks[[#This Row],[_Row]]+Tasks[[#This Row],[_Descendants]])),Tasks[[#This Row],[_LeafTotalWork]]))</f>
        <v/>
      </c>
      <c r="BF151" s="23"/>
      <c r="BG1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t="str">
        <f aca="false">""</f>
        <v/>
      </c>
      <c r="BI151" s="87"/>
      <c r="BJ151" s="22"/>
      <c r="BK151" s="47" t="str">
        <f aca="false">IF(OR(Tasks[[#This Row],[Task Name]]="",Tasks[[#This Row],[Baseline Duration]]=""),"",Tasks[[#This Row],[_SpanDays]]-N(Tasks[[#This Row],[Baseline Duration]]))</f>
        <v/>
      </c>
      <c r="BL151" s="86" t="str">
        <f aca="false">IF(OR(Tasks[[#This Row],[Task Name]]="",Tasks[[#This Row],[Baseline Work]]=""),"",Tasks[[#This Row],[Work]]-N(Tasks[[#This Row],[Baseline Work]]))</f>
        <v/>
      </c>
      <c r="BM151" s="63" t="str">
        <f aca="false">IF(Tasks[[#This Row],[Task Name]]="","",IF(OR(TakeBaseline="Yes",N(Tasks[[#This Row],[Baseline Start]])=0),Tasks[[#This Row],[Start]],Tasks[[#This Row],[Baseline Start]]))</f>
        <v/>
      </c>
      <c r="BN151" s="63" t="str">
        <f aca="false">IF(Tasks[[#This Row],[Task Name]]="","",IF(OR(TakeBaseline="Yes",N(Tasks[[#This Row],[Baseline Finish]])=0),Tasks[[#This Row],[Finish]],Tasks[[#This Row],[Baseline Finish]]))</f>
        <v/>
      </c>
      <c r="BO151" s="21" t="str">
        <f aca="false">IF(Tasks[[#This Row],[Task Name]]="","",IF(OR(TakeBaseline="Yes",N(Tasks[[#This Row],[Baseline Duration]])=0),Tasks[[#This Row],[_SpanDays]],Tasks[[#This Row],[Baseline Duration]]))</f>
        <v/>
      </c>
      <c r="BP151" s="86" t="str">
        <f aca="false">IF(Tasks[[#This Row],[Task Name]]="","",IF(OR(TakeBaseline="Yes",N(Tasks[[#This Row],[Baseline Work]])=0),Tasks[[#This Row],[Work]],Tasks[[#This Row],[Baseline Work]]))</f>
        <v/>
      </c>
      <c r="BQ151" s="7"/>
      <c r="BR151" s="7"/>
      <c r="BS151" s="22"/>
      <c r="BT151" s="88"/>
      <c r="BU151" s="23"/>
      <c r="BV151" s="23"/>
      <c r="BW151" s="23"/>
      <c r="BX151" s="89" t="str">
        <f aca="false">IF(AND(Tasks[[#This Row],[_IsLeaf]]=1,ISNUMBER(Tasks[[#This Row],[Optimistic]]),ISNUMBER(Tasks[[#This Row],[Pessimistic]])),ROUND((Tasks[[#This Row],[Optimistic]]+4*N(Tasks[[#This Row],[_Days]])+Tasks[[#This Row],[Pessimistic]])/6,1),"")</f>
        <v/>
      </c>
      <c r="BY151" s="87"/>
      <c r="BZ151" s="87"/>
      <c r="CA151" s="22"/>
      <c r="CB151" s="43" t="str">
        <f aca="false">IF(Tasks[[#This Row],[Task Name]]="","",MAX(1,N(Tasks[[#This Row],[Level]])))</f>
        <v/>
      </c>
      <c r="CC151" s="43" t="n">
        <f aca="false">ROW()-ROW(Tasks[[#Headers],[ID]])</f>
        <v>146</v>
      </c>
      <c r="CD151" s="43" t="n">
        <f aca="false">IF(OR(Tasks[[#This Row],[Task Name]]="",Tasks[[#This Row],[_Level]]&lt;=1),0,IFERROR(LOOKUP(2,1/(Tasks[[#Headers],[_Level]]:Tasks[[#This Row],[_Level]]=Tasks[[#This Row],[_Level]]-1),ROW(Tasks[[#Headers],[_Level]]:Tasks[[#This Row],[_Level]])),0))</f>
        <v>0</v>
      </c>
      <c r="CE151" s="43" t="n">
        <f aca="false">IFERROR(N(INDEX(Tasks[_Level],Tasks[[#This Row],[_Row]]+1)),0)</f>
        <v>0</v>
      </c>
      <c r="CF151" s="90" t="b">
        <f aca="false">AND(Tasks[[#This Row],[Task Name]]&lt;&gt;"",Tasks[[#This Row],[_NextLevel]]&gt;Tasks[[#This Row],[_Level]])</f>
        <v>0</v>
      </c>
      <c r="CG151" s="43" t="n">
        <f aca="false">IF(Tasks[[#This Row],[_IsSummary]],COUNTIF(Tasks[WBS],Tasks[[#This Row],[WBS]]&amp;".*"),0)</f>
        <v>0</v>
      </c>
      <c r="CH151" s="43" t="n">
        <f aca="false">IF(AND(Tasks[[#This Row],[Task Name]]&lt;&gt;"",NOT(Tasks[[#This Row],[_IsSummary]])),1,0)</f>
        <v>0</v>
      </c>
      <c r="CI151" s="43" t="n">
        <f aca="false">IF(N(Tasks[[#This Row],[_Pred1UID]])=0,0,IFERROR(MATCH(Tasks[[#This Row],[_Pred1UID]],Tasks[UID],0),-1))</f>
        <v>0</v>
      </c>
      <c r="CJ151" s="43" t="n">
        <f aca="false">IF(N(Tasks[[#This Row],[_Pred2UID]])=0,0,IFERROR(MATCH(Tasks[[#This Row],[_Pred2UID]],Tasks[UID],0),-1))</f>
        <v>0</v>
      </c>
      <c r="CK151" s="43" t="n">
        <f aca="false">IF(N(Tasks[[#This Row],[_Pred3UID]])=0,0,IFERROR(MATCH(Tasks[[#This Row],[_Pred3UID]],Tasks[UID],0),-1))</f>
        <v>0</v>
      </c>
      <c r="CL151" s="43" t="n">
        <f aca="false">IF(N(Tasks[[#This Row],[_Pred4UID]])=0,0,IFERROR(MATCH(Tasks[[#This Row],[_Pred4UID]],Tasks[UID],0),-1))</f>
        <v>0</v>
      </c>
      <c r="CM1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1" s="91" t="n">
        <f aca="false">IF(OR(Tasks[[#This Row],[_ConstraintCode]]=2,Tasks[[#This Row],[_ConstraintCode]]=3,Tasks[[#This Row],[_ConstraintCode]]=4,Tasks[[#This Row],[_ConstraintCode]]=6),Tasks[[#This Row],[_ConstraintStart]],0)</f>
        <v>0</v>
      </c>
      <c r="CP151" s="91" t="n">
        <f aca="false">IF(OR(Tasks[[#This Row],[_ConstraintCode]]=2,Tasks[[#This Row],[_ConstraintCode]]=3,Tasks[[#This Row],[_ConstraintCode]]=5,Tasks[[#This Row],[_ConstraintCode]]=7),Tasks[[#This Row],[_ConstraintStart]],2958465)</f>
        <v>2958465</v>
      </c>
      <c r="CQ1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1" s="91" t="str">
        <f aca="false">IF(NOT(Tasks[[#This Row],[_IsLeaf]]=1),"",IF(N(Tasks[[#This Row],[_Days]])&lt;=0,Tasks[[#This Row],[_LeafCalcStart]],WORKDAY.INTL(Tasks[[#This Row],[_LeafCalcStart]],Tasks[[#This Row],[_Days]]-1,WorkWeek,Holidays)))</f>
        <v/>
      </c>
      <c r="CS1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1" s="43" t="str">
        <f aca="false">IF(Tasks[[#This Row],[_Predecessors]]="","",TRIM(MID(SUBSTITUTE(SUBSTITUTE(SUBSTITUTE(UPPER(Tasks[[#This Row],[_Predecessors]]),";",",")," ",""),",",REPT(" ",99)),1,99)))</f>
        <v/>
      </c>
      <c r="CV151" s="43" t="str">
        <f aca="false">IF(Tasks[[#This Row],[_Pred1Text]]="","",IFERROR(VALUE(LEFT(Tasks[[#This Row],[_Pred1Text]],MIN(FIND("F",Tasks[[#This Row],[_Pred1Text]]&amp;"F"),FIND("S",Tasks[[#This Row],[_Pred1Text]]&amp;"S"),FIND("+",Tasks[[#This Row],[_Pred1Text]]&amp;"+"),FIND("-",Tasks[[#This Row],[_Pred1Text]]&amp;"-"))-1)),""))</f>
        <v/>
      </c>
      <c r="CW1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1" s="43" t="str">
        <f aca="false">IF(Tasks[[#This Row],[_Pred1Text]]="","",TRIM(MID(SUBSTITUTE(SUBSTITUTE(SUBSTITUTE(UPPER(Tasks[[#This Row],[_Predecessors]]),";",",")," ",""),",",REPT(" ",99)),100,99)))</f>
        <v/>
      </c>
      <c r="CZ151" s="43" t="str">
        <f aca="false">IF(Tasks[[#This Row],[_Pred2Text]]="","",IFERROR(VALUE(LEFT(Tasks[[#This Row],[_Pred2Text]],MIN(FIND("F",Tasks[[#This Row],[_Pred2Text]]&amp;"F"),FIND("S",Tasks[[#This Row],[_Pred2Text]]&amp;"S"),FIND("+",Tasks[[#This Row],[_Pred2Text]]&amp;"+"),FIND("-",Tasks[[#This Row],[_Pred2Text]]&amp;"-"))-1)),""))</f>
        <v/>
      </c>
      <c r="DA1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1" s="43" t="str">
        <f aca="false">IF(Tasks[[#This Row],[_Pred2Text]]="","",TRIM(MID(SUBSTITUTE(SUBSTITUTE(SUBSTITUTE(UPPER(Tasks[[#This Row],[_Predecessors]]),";",",")," ",""),",",REPT(" ",99)),199,99)))</f>
        <v/>
      </c>
      <c r="DD151" s="43" t="str">
        <f aca="false">IF(Tasks[[#This Row],[_Pred3Text]]="","",IFERROR(VALUE(LEFT(Tasks[[#This Row],[_Pred3Text]],MIN(FIND("F",Tasks[[#This Row],[_Pred3Text]]&amp;"F"),FIND("S",Tasks[[#This Row],[_Pred3Text]]&amp;"S"),FIND("+",Tasks[[#This Row],[_Pred3Text]]&amp;"+"),FIND("-",Tasks[[#This Row],[_Pred3Text]]&amp;"-"))-1)),""))</f>
        <v/>
      </c>
      <c r="DE1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1" s="43" t="str">
        <f aca="false">IF(Tasks[[#This Row],[_Pred3Text]]="","",TRIM(MID(SUBSTITUTE(SUBSTITUTE(SUBSTITUTE(UPPER(Tasks[[#This Row],[_Predecessors]]),";",",")," ",""),",",REPT(" ",99)),298,99)))</f>
        <v/>
      </c>
      <c r="DH151" s="43" t="str">
        <f aca="false">IF(Tasks[[#This Row],[_Pred4Text]]="","",IFERROR(VALUE(LEFT(Tasks[[#This Row],[_Pred4Text]],MIN(FIND("F",Tasks[[#This Row],[_Pred4Text]]&amp;"F"),FIND("S",Tasks[[#This Row],[_Pred4Text]]&amp;"S"),FIND("+",Tasks[[#This Row],[_Pred4Text]]&amp;"+"),FIND("-",Tasks[[#This Row],[_Pred4Text]]&amp;"-"))-1)),""))</f>
        <v/>
      </c>
      <c r="DI1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1" s="43" t="str">
        <f aca="false">IF(OR(Tasks[[#This Row],[Task Name]]="",Tasks[[#This Row],[_Resources]]=""),"",TRIM(MID(SUBSTITUTE(Tasks[[#This Row],[_Resources]],",",REPT(" ",99)),1,99)))</f>
        <v/>
      </c>
      <c r="DL151" s="43" t="str">
        <f aca="false">IF(Tasks[[#This Row],[_Res1Text]]="","",TRIM(MID(SUBSTITUTE(Tasks[[#This Row],[_Resources]],",",REPT(" ",99)),100,99)))</f>
        <v/>
      </c>
      <c r="DM151" s="43" t="str">
        <f aca="false">IF(Tasks[[#This Row],[_Res2Text]]="","",TRIM(MID(SUBSTITUTE(Tasks[[#This Row],[_Resources]],",",REPT(" ",99)),199,99)))</f>
        <v/>
      </c>
      <c r="DN151" s="43" t="str">
        <f aca="false">IF(Tasks[[#This Row],[_Res3Text]]="","",TRIM(MID(SUBSTITUTE(Tasks[[#This Row],[_Resources]],",",REPT(" ",99)),298,99)))</f>
        <v/>
      </c>
      <c r="DO151" s="43" t="n">
        <f aca="false">IF(Tasks[[#This Row],[_Res1Text]]="",0,IFERROR(MATCH(TRIM(LEFT(Tasks[[#This Row],[_Res1Text]],FIND("[",Tasks[[#This Row],[_Res1Text]]&amp;"[")-1)),res_Name,0),IFERROR(MATCH(TRIM(LEFT(Tasks[[#This Row],[_Res1Text]],FIND("[",Tasks[[#This Row],[_Res1Text]]&amp;"[")-1)),res_Initials,0),0)))</f>
        <v>0</v>
      </c>
      <c r="DP151" s="43" t="n">
        <f aca="false">IF(Tasks[[#This Row],[_Res2Text]]="",0,IFERROR(MATCH(TRIM(LEFT(Tasks[[#This Row],[_Res2Text]],FIND("[",Tasks[[#This Row],[_Res2Text]]&amp;"[")-1)),res_Name,0),IFERROR(MATCH(TRIM(LEFT(Tasks[[#This Row],[_Res2Text]],FIND("[",Tasks[[#This Row],[_Res2Text]]&amp;"[")-1)),res_Initials,0),0)))</f>
        <v>0</v>
      </c>
      <c r="DQ151" s="43" t="n">
        <f aca="false">IF(Tasks[[#This Row],[_Res3Text]]="",0,IFERROR(MATCH(TRIM(LEFT(Tasks[[#This Row],[_Res3Text]],FIND("[",Tasks[[#This Row],[_Res3Text]]&amp;"[")-1)),res_Name,0),IFERROR(MATCH(TRIM(LEFT(Tasks[[#This Row],[_Res3Text]],FIND("[",Tasks[[#This Row],[_Res3Text]]&amp;"[")-1)),res_Initials,0),0)))</f>
        <v>0</v>
      </c>
      <c r="DR151" s="43" t="n">
        <f aca="false">IF(Tasks[[#This Row],[_Res4Text]]="",0,IFERROR(MATCH(TRIM(LEFT(Tasks[[#This Row],[_Res4Text]],FIND("[",Tasks[[#This Row],[_Res4Text]]&amp;"[")-1)),res_Name,0),IFERROR(MATCH(TRIM(LEFT(Tasks[[#This Row],[_Res4Text]],FIND("[",Tasks[[#This Row],[_Res4Text]]&amp;"[")-1)),res_Initials,0),0)))</f>
        <v>0</v>
      </c>
      <c r="DS151" s="43" t="str">
        <f aca="false">IF(Tasks[[#This Row],[_Res1Text]]="","",IF(Tasks[[#This Row],[_Res1Row]]&gt;0,INDEX(res_Name,Tasks[[#This Row],[_Res1Row]]),TRIM(LEFT(Tasks[[#This Row],[_Res1Text]],FIND("[",Tasks[[#This Row],[_Res1Text]]&amp;"[")-1))))</f>
        <v/>
      </c>
      <c r="DT1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1" s="43" t="n">
        <f aca="false">IF(NOT(Tasks[[#This Row],[_IsLeaf]]=1),0,(Tasks[[#This Row],[_Resource1]]&lt;&gt;"")+(Tasks[[#This Row],[_Res2]]&lt;&gt;"")+(Tasks[[#This Row],[_Res3]]&lt;&gt;"")+(Tasks[[#This Row],[_Res4]]&lt;&gt;""))</f>
        <v>0</v>
      </c>
      <c r="DV151" s="43" t="str">
        <f aca="false">IF(Tasks[[#This Row],[_Res2Text]]="","",IF(Tasks[[#This Row],[_Res2Row]]&gt;0,INDEX(res_Name,Tasks[[#This Row],[_Res2Row]]),TRIM(LEFT(Tasks[[#This Row],[_Res2Text]],FIND("[",Tasks[[#This Row],[_Res2Text]]&amp;"[")-1))))</f>
        <v/>
      </c>
      <c r="DW1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1" s="43" t="n">
        <f aca="false">IF(OR(NOT(Tasks[[#This Row],[_IsLeaf]]=1),Tasks[[#This Row],[_Res2Row]]=0),0,N(Tasks[[#This Row],[_Days]])*HoursPerDay*IF(Tasks[[#This Row],[_Res2Units]]="",DefaultUnits,Tasks[[#This Row],[_Res2Units]]))</f>
        <v>0</v>
      </c>
      <c r="DY151" s="43" t="n">
        <f aca="false">IF(AND(AND(Tasks[[#This Row],[_IsLeaf]]=1,Tasks[[#This Row],[_LeafTotalWork]]&gt;0),Tasks[[#This Row],[_Res2Work]]&gt;0),Tasks[[#This Row],[_Res2Work]]/(Tasks[[#This Row],[_FinishWorkday]]-Tasks[[#This Row],[_StartWorkday]]+1),0)</f>
        <v>0</v>
      </c>
      <c r="DZ151" s="43" t="n">
        <f aca="false">Tasks[[#This Row],[_Res2WorkPerWD]]*MAX(0,Tasks[[#This Row],[_StartWorkday]]-1)</f>
        <v>0</v>
      </c>
      <c r="EA151" s="43" t="n">
        <f aca="false">Tasks[[#This Row],[_Res2Work]]*Tasks[[#This Row],[_LeafProgress]]</f>
        <v>0</v>
      </c>
      <c r="EB151" s="43" t="str">
        <f aca="false">IF(Tasks[[#This Row],[_Res3Text]]="","",IF(Tasks[[#This Row],[_Res3Row]]&gt;0,INDEX(res_Name,Tasks[[#This Row],[_Res3Row]]),TRIM(LEFT(Tasks[[#This Row],[_Res3Text]],FIND("[",Tasks[[#This Row],[_Res3Text]]&amp;"[")-1))))</f>
        <v/>
      </c>
      <c r="EC1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1" s="43" t="n">
        <f aca="false">IF(OR(NOT(Tasks[[#This Row],[_IsLeaf]]=1),Tasks[[#This Row],[_Res3Row]]=0),0,N(Tasks[[#This Row],[_Days]])*HoursPerDay*IF(Tasks[[#This Row],[_Res3Units]]="",DefaultUnits,Tasks[[#This Row],[_Res3Units]]))</f>
        <v>0</v>
      </c>
      <c r="EE151" s="43" t="n">
        <f aca="false">IF(AND(AND(Tasks[[#This Row],[_IsLeaf]]=1,Tasks[[#This Row],[_LeafTotalWork]]&gt;0),Tasks[[#This Row],[_Res3Work]]&gt;0),Tasks[[#This Row],[_Res3Work]]/(Tasks[[#This Row],[_FinishWorkday]]-Tasks[[#This Row],[_StartWorkday]]+1),0)</f>
        <v>0</v>
      </c>
      <c r="EF151" s="43" t="n">
        <f aca="false">Tasks[[#This Row],[_Res3WorkPerWD]]*MAX(0,Tasks[[#This Row],[_StartWorkday]]-1)</f>
        <v>0</v>
      </c>
      <c r="EG151" s="43" t="n">
        <f aca="false">Tasks[[#This Row],[_Res3Work]]*Tasks[[#This Row],[_LeafProgress]]</f>
        <v>0</v>
      </c>
      <c r="EH151" s="43" t="str">
        <f aca="false">IF(Tasks[[#This Row],[_Res4Text]]="","",IF(Tasks[[#This Row],[_Res4Row]]&gt;0,INDEX(res_Name,Tasks[[#This Row],[_Res4Row]]),TRIM(LEFT(Tasks[[#This Row],[_Res4Text]],FIND("[",Tasks[[#This Row],[_Res4Text]]&amp;"[")-1))))</f>
        <v/>
      </c>
      <c r="EI1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1" s="43" t="n">
        <f aca="false">IF(OR(NOT(Tasks[[#This Row],[_IsLeaf]]=1),Tasks[[#This Row],[_Res4Row]]=0),0,N(Tasks[[#This Row],[_Days]])*HoursPerDay*IF(Tasks[[#This Row],[_Res4Units]]="",DefaultUnits,Tasks[[#This Row],[_Res4Units]]))</f>
        <v>0</v>
      </c>
      <c r="EK151" s="43" t="n">
        <f aca="false">IF(AND(AND(Tasks[[#This Row],[_IsLeaf]]=1,Tasks[[#This Row],[_LeafTotalWork]]&gt;0),Tasks[[#This Row],[_Res4Work]]&gt;0),Tasks[[#This Row],[_Res4Work]]/(Tasks[[#This Row],[_FinishWorkday]]-Tasks[[#This Row],[_StartWorkday]]+1),0)</f>
        <v>0</v>
      </c>
      <c r="EL151" s="43" t="n">
        <f aca="false">Tasks[[#This Row],[_Res4WorkPerWD]]*MAX(0,Tasks[[#This Row],[_StartWorkday]]-1)</f>
        <v>0</v>
      </c>
      <c r="EM151" s="43" t="n">
        <f aca="false">Tasks[[#This Row],[_Res4Work]]*Tasks[[#This Row],[_LeafProgress]]</f>
        <v>0</v>
      </c>
      <c r="EN151" s="43" t="n">
        <f aca="false">IF(ISNUMBER(Tasks[[#This Row],[% Complete]]),Tasks[[#This Row],[% Complete]],IF(Tasks[[#This Row],[Stage]]="",0,IFERROR(INDEX(stg_Pct,MATCH(Tasks[[#This Row],[Stage]],stg_Name,0)),0)))</f>
        <v>0</v>
      </c>
      <c r="EO151" s="43" t="n">
        <f aca="false">IF(NOT(Tasks[[#This Row],[_IsLeaf]]=1),0,IF(N(Tasks[[#This Row],[Actual Finish]])&gt;0,1,MIN(1,Tasks[[#This Row],[_Pct]])))</f>
        <v>0</v>
      </c>
      <c r="EP151" s="43" t="n">
        <f aca="false">IF(OR(NOT(Tasks[[#This Row],[_IsLeaf]]=1),Tasks[[#This Row],[_Res1Row]]=0),0,N(Tasks[[#This Row],[_Days]])*HoursPerDay*IF(Tasks[[#This Row],[_Units1]]="",DefaultUnits,Tasks[[#This Row],[_Units1]]))</f>
        <v>0</v>
      </c>
      <c r="EQ151" s="43" t="n">
        <f aca="false">Tasks[[#This Row],[_LeafWork]]+Tasks[[#This Row],[_Res2Work]]+Tasks[[#This Row],[_Res3Work]]+Tasks[[#This Row],[_Res4Work]]</f>
        <v>0</v>
      </c>
      <c r="ER15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1" s="43" t="n">
        <f aca="false">IF(NOT(Tasks[[#This Row],[_IsLeaf]]=1),0,MAX(_xlfn.MAXIFS(Tasks[_Row],Tasks[_Pred1UID],Tasks[[#This Row],[UID]]),_xlfn.MAXIFS(Tasks[_Row],Tasks[_Pred2UID],Tasks[[#This Row],[UID]]),_xlfn.MAXIFS(Tasks[_Row],Tasks[_Pred3UID],Tasks[[#This Row],[UID]]),_xlfn.MAXIFS(Tasks[_Row],Tasks[_Pred4UID],Tasks[[#This Row],[UID]])))</f>
        <v>0</v>
      </c>
      <c r="FA1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1" s="91" t="str">
        <f aca="false">IF(NOT(Tasks[[#This Row],[_IsLeaf]]=1),"",IF(N(Tasks[[#This Row],[_Days]])&lt;=0,Tasks[[#This Row],[_LeafLateFinish]],WORKDAY.INTL(Tasks[[#This Row],[_LeafLateFinish]],-(Tasks[[#This Row],[_Days]]-1),WorkWeek,Holidays)))</f>
        <v/>
      </c>
      <c r="FD1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1" s="90" t="b">
        <f aca="false">AND(Tasks[[#This Row],[_IsLeaf]]=1,Tasks[[#This Row],[_LeafProgress]]&lt;1,N(Tasks[[#This Row],[_LeafTotalSlack]])&lt;=CriticalSlackDays)</f>
        <v>0</v>
      </c>
      <c r="FF151" s="43" t="n">
        <f aca="false">IF(AND(Tasks[[#This Row],[_IsLeaf]]=1,Tasks[[#This Row],[_ConstraintCode]]=1,Tasks[[#This Row],[Mode]]&lt;&gt;"Manual",N(Tasks[[#This Row],[Actual Start]])=0),MAX(0,N(Tasks[[#This Row],[Free Slack]])),0)</f>
        <v>0</v>
      </c>
      <c r="FG151" s="91" t="str">
        <f aca="false">IF(NOT(Tasks[[#This Row],[_IsLeaf]]=1),"",IF(Tasks[[#This Row],[_AlapShift]]=0,Tasks[[#This Row],[_LeafCalcStart]],WORKDAY.INTL(Tasks[[#This Row],[_LeafCalcStart]],Tasks[[#This Row],[_AlapShift]],WorkWeek,Holidays)))</f>
        <v/>
      </c>
      <c r="FH151" s="91" t="str">
        <f aca="false">IF(NOT(Tasks[[#This Row],[_IsLeaf]]=1),"",IF(Tasks[[#This Row],[_AlapShift]]=0,Tasks[[#This Row],[_LeafCalcFinish]],WORKDAY.INTL(Tasks[[#This Row],[_LeafCalcFinish]],Tasks[[#This Row],[_AlapShift]],WorkWeek,Holidays)))</f>
        <v/>
      </c>
      <c r="FI151" s="91" t="str">
        <f aca="false">IF(NOT(Tasks[[#This Row],[_IsLeaf]]=1),"",IF(Tasks[[#This Row],[_AlapShift]]=0,Tasks[[#This Row],[_LeafFcstStart]],WORKDAY.INTL(Tasks[[#This Row],[_LeafFcstStart]],Tasks[[#This Row],[_AlapShift]],WorkWeek,Holidays)))</f>
        <v/>
      </c>
      <c r="FJ151" s="91" t="str">
        <f aca="false">IF(NOT(Tasks[[#This Row],[_IsLeaf]]=1),"",IF(Tasks[[#This Row],[_AlapShift]]=0,Tasks[[#This Row],[_LeafFcstFinish]],WORKDAY.INTL(Tasks[[#This Row],[_LeafFcstFinish]],Tasks[[#This Row],[_AlapShift]],WorkWeek,Holidays)))</f>
        <v/>
      </c>
      <c r="FK151" s="91" t="str">
        <f aca="false">IF(Tasks[[#This Row],[Task Name]]="","",IF(Tasks[[#This Row],[_IsSummary]],MIN(INDEX(Tasks[_ShownCalcStart],Tasks[[#This Row],[_Row]]+1):INDEX(Tasks[_ShownCalcStart],Tasks[[#This Row],[_Row]]+Tasks[[#This Row],[_Descendants]])),Tasks[[#This Row],[_ShownCalcStart]]))</f>
        <v/>
      </c>
      <c r="FL151" s="91" t="str">
        <f aca="false">IF(Tasks[[#This Row],[Task Name]]="","",IF(Tasks[[#This Row],[_IsSummary]],MAX(INDEX(Tasks[_ShownCalcFinish],Tasks[[#This Row],[_Row]]+1):INDEX(Tasks[_ShownCalcFinish],Tasks[[#This Row],[_Row]]+Tasks[[#This Row],[_Descendants]])),Tasks[[#This Row],[_ShownCalcFinish]]))</f>
        <v/>
      </c>
      <c r="FM1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1" s="43" t="n">
        <f aca="false">IF(AND(Tasks[[#This Row],[_IsLeaf]]=1,Tasks[[#This Row],[_LeafTotalWork]]&gt;0),NETWORKDAYS.INTL(ProjectStart,Tasks[[#This Row],[_ShownFcstStart]],WorkWeek,Holidays),0)</f>
        <v>0</v>
      </c>
      <c r="FZ151" s="43" t="n">
        <f aca="false">IF(AND(Tasks[[#This Row],[_IsLeaf]]=1,Tasks[[#This Row],[_LeafTotalWork]]&gt;0),MAX(Tasks[[#This Row],[_StartWorkday]],NETWORKDAYS.INTL(ProjectStart,Tasks[[#This Row],[_ShownFcstFinish]],WorkWeek,Holidays)),0)</f>
        <v>0</v>
      </c>
      <c r="GA151" s="43" t="n">
        <f aca="false">IF(AND(Tasks[[#This Row],[_IsLeaf]]=1,Tasks[[#This Row],[_LeafTotalWork]]&gt;0),Tasks[[#This Row],[_LeafWork]]/(Tasks[[#This Row],[_FinishWorkday]]-Tasks[[#This Row],[_StartWorkday]]+1),0)</f>
        <v>0</v>
      </c>
      <c r="GB151" s="43" t="n">
        <f aca="false">Tasks[[#This Row],[_WorkPerWorkday]]*(Tasks[[#This Row],[_StartWorkday]]-1)</f>
        <v>-0</v>
      </c>
      <c r="GC151" s="43" t="n">
        <f aca="false">IF(Tasks[[#This Row],[_IsLeaf]]=1,MAX(N(Tasks[[#This Row],[_Days]]),0.1),0)</f>
        <v>0</v>
      </c>
      <c r="GD151" s="43" t="n">
        <f aca="false">Tasks[[#This Row],[_WeightDur]]*Tasks[[#This Row],[_LeafProgress]]</f>
        <v>0</v>
      </c>
      <c r="GE151" s="43" t="n">
        <f aca="false">Tasks[[#This Row],[_WeightDur]]*Tasks[[#This Row],[_PlannedPct]]</f>
        <v>0</v>
      </c>
      <c r="GF1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1" s="43" t="str">
        <f aca="false">IF(AND(Tasks[[#This Row],[_IsLeaf]]=1,N(Tasks[[#This Row],[_Days]])=0,Tasks[[#This Row],[_LeafProgress]]&lt;1),Tasks[[#This Row],[_ShownFcstFinish]]+Tasks[[#This Row],[_Row]]/100000,"")</f>
        <v/>
      </c>
      <c r="GH1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1" s="43" t="str">
        <f aca="false">IF(Tasks[[#This Row],[Task Name]]="","",LEFT(Tasks[[#This Row],[WBS]],FIND(".",Tasks[[#This Row],[WBS]]&amp;".")-1))</f>
        <v/>
      </c>
      <c r="GJ151" s="43" t="str">
        <f aca="false">IF(AND(Tasks[[#This Row],[Task Name]]&lt;&gt;"",Tasks[[#This Row],[_Level]]=1),Tasks[[#This Row],[_Row]],"")</f>
        <v/>
      </c>
      <c r="GK151" s="43" t="str">
        <f aca="false">IF(AND(Tasks[[#This Row],[_IsLeaf]]=1,N(Tasks[[#This Row],[_Days]])=0),Tasks[[#This Row],[Planned Finish]]+Tasks[[#This Row],[_Row]]/100000,"")</f>
        <v/>
      </c>
      <c r="GL151" s="43" t="str">
        <f aca="false">IF(AND(Tasks[[#This Row],[_IsLeaf]]=1,Tasks[[#This Row],[_LeafProgress]]&lt;1,OR(N(Tasks[[#This Row],[Finish Var]])&gt;0,Tasks[[#This Row],[Status]]="Late Start")),MAX(0,Tasks[[#This Row],[Finish Var]])+1-Tasks[[#This Row],[_Row]]/1000000,"")</f>
        <v/>
      </c>
      <c r="GM151" s="43" t="str">
        <f aca="false">IF(AND(Tasks[[#This Row],[_IsLeaf]]=1,N(Tasks[[#This Row],[Actual Start]])=0,Tasks[[#This Row],[_ShownFcstStart]]&gt;=StatusDate,Tasks[[#This Row],[_ShownFcstStart]]&lt;=LookaheadEnd),Tasks[[#This Row],[_ShownFcstStart]]+Tasks[[#This Row],[_Row]]/100000,"")</f>
        <v/>
      </c>
      <c r="GN151" s="43" t="str">
        <f aca="false">IF(AND(Tasks[[#This Row],[_IsLeaf]]=1,Tasks[[#This Row],[_LeafProgress]]&lt;1,Tasks[[#This Row],[_ShownFcstFinish]]&gt;=StatusDate,Tasks[[#This Row],[_ShownFcstFinish]]&lt;=LookaheadEnd),Tasks[[#This Row],[_ShownFcstFinish]]+Tasks[[#This Row],[_Row]]/100000,"")</f>
        <v/>
      </c>
      <c r="GO151" s="43" t="str">
        <f aca="false">IF(Tasks[[#This Row],[_LeafCritical]],Tasks[[#This Row],[_ShownFcstStart]]+Tasks[[#This Row],[_Row]]/100000,"")</f>
        <v/>
      </c>
      <c r="GP151" s="43" t="n">
        <f aca="false">Tasks[[#This Row],[_LeafWork]]*Tasks[[#This Row],[_LeafProgress]]</f>
        <v>0</v>
      </c>
      <c r="GQ151" s="91" t="str">
        <f aca="false">IF(AND(Tasks[[#This Row],[_IsLeaf]]=1,Tasks[[#This Row],[_LeafProgress]]&gt;=1),IF(N(Tasks[[#This Row],[Actual Finish]])&gt;0,Tasks[[#This Row],[Actual Finish]],Tasks[[#This Row],[_ShownFcstFinish]]),"")</f>
        <v/>
      </c>
      <c r="GR151" s="43" t="n">
        <f aca="false">IF(Tasks[[#This Row],[_IsLeaf]]=1,N(Tasks[[#This Row],[Story Points]]),0)</f>
        <v>0</v>
      </c>
      <c r="GS151" s="43" t="str">
        <f aca="false">""</f>
        <v/>
      </c>
      <c r="GT151" s="90" t="b">
        <f aca="false">IF(Tasks[[#This Row],[Task Name]]="",FALSE(),AND(Tasks[[#This Row],[_IsLeaf]]=1,N(Tasks[[#This Row],[_Days]])=0))</f>
        <v>0</v>
      </c>
      <c r="GU151" s="91" t="n">
        <f aca="false">IF(Tasks[[#This Row],[Task Name]]="",0,IF(AND(Tasks[[#This Row],[_IsLeaf]]=1,NOT(Tasks[[#This Row],[_IsMilestone]]),N(Tasks[[#This Row],[Progress]])&gt;0),Tasks[[#This Row],[Start]],0))</f>
        <v>0</v>
      </c>
      <c r="GV151" s="91" t="n">
        <f aca="false">IF(Tasks[[#This Row],[_DoneFrom]]=0,0,IF(Tasks[[#This Row],[Progress]]&gt;=1,Tasks[[#This Row],[Finish]],MAX(Tasks[[#This Row],[_DoneFrom]],Tasks[[#This Row],[Start]]+ROUND((Tasks[[#This Row],[Finish]]-Tasks[[#This Row],[Start]]+1)*Tasks[[#This Row],[Progress]],0)-1)))</f>
        <v>0</v>
      </c>
      <c r="GW151" s="91" t="n">
        <f aca="false">IF(Tasks[[#This Row],[Task Name]]="",0,IF(OR(NOT(Tasks[[#This Row],[_IsLeaf]]=1),Tasks[[#This Row],[_IsMilestone]],N(Tasks[[#This Row],[Progress]])&gt;=1),0,IF(Tasks[[#This Row],[_DoneTo]]&gt;0,Tasks[[#This Row],[_DoneTo]]+1,Tasks[[#This Row],[Start]])))</f>
        <v>0</v>
      </c>
      <c r="GX151" s="91" t="n">
        <f aca="false">IF(Tasks[[#This Row],[_RemFrom]]=0,0,Tasks[[#This Row],[Finish]])</f>
        <v>0</v>
      </c>
      <c r="GY151" s="90" t="b">
        <f aca="false">IF(Tasks[[#This Row],[Task Name]]="",FALSE(),OR(NOT(BaselineSet),N(Tasks[[#This Row],[Baseline Start]])&gt;0))</f>
        <v>0</v>
      </c>
      <c r="GZ15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1" s="92" t="str">
        <f aca="false">IF(Tasks[[#This Row],[_IsLeaf]]=1,Tasks[[#This Row],[_Row]],"")</f>
        <v/>
      </c>
      <c r="HD151" s="92" t="str">
        <f aca="false">IFERROR(INDEX(Tasks[UID],SMALL(Tasks[_PickKey],Tasks[[#This Row],[_Row]]))&amp;" "&amp;INDEX(Tasks[Task Name],SMALL(Tasks[_PickKey],Tasks[[#This Row],[_Row]])),"")</f>
        <v/>
      </c>
      <c r="HE151" s="43" t="str">
        <f aca="false">IF(Tasks[[#This Row],[Task Name]]="","",IF(Tasks[[#This Row],[_IsSummary]],NETWORKDAYS.INTL(Tasks[[#This Row],[Start]],Tasks[[#This Row],[Finish]],WorkWeek,Holidays),N(Tasks[[#This Row],[_Days]])))</f>
        <v/>
      </c>
      <c r="HF151" s="43" t="n">
        <f aca="false">IF(Tasks[[#This Row],[Expected]]="",0,((Tasks[[#This Row],[Pessimistic]]-Tasks[[#This Row],[Optimistic]])/6)^2)</f>
        <v>0</v>
      </c>
      <c r="HG151" s="43" t="n">
        <f aca="false">IF(Tasks[[#This Row],[Expected]]="",0,Tasks[[#This Row],[Expected]]-N(Tasks[[#This Row],[_Days]]))</f>
        <v>0</v>
      </c>
    </row>
    <row r="152" customFormat="false" ht="15" hidden="false" customHeight="false" outlineLevel="0" collapsed="false">
      <c r="A152" s="21" t="str">
        <f aca="false">IF(Tasks[[#This Row],[Task Name]]="","",COUNTA(Tasks[[#Headers],[Task Name]]:Tasks[[#This Row],[Task Name]])-1)</f>
        <v/>
      </c>
      <c r="B152" s="22" t="n">
        <v>160</v>
      </c>
      <c r="C152" s="22"/>
      <c r="D152" s="23"/>
      <c r="E152" s="22"/>
      <c r="F152" s="23"/>
      <c r="G152" s="22"/>
      <c r="H152" s="22"/>
      <c r="I152" s="23"/>
      <c r="J152" s="22"/>
      <c r="K152" s="22"/>
      <c r="L152" s="23"/>
      <c r="M152" s="22"/>
      <c r="N152" s="22"/>
      <c r="O152" s="23"/>
      <c r="P152" s="22"/>
      <c r="Q152" s="22"/>
      <c r="R152" s="23"/>
      <c r="S152" s="23"/>
      <c r="T152" s="84"/>
      <c r="U152" s="23"/>
      <c r="V152" s="84"/>
      <c r="W152" s="23"/>
      <c r="X152" s="84"/>
      <c r="Y152" s="23"/>
      <c r="Z152" s="84"/>
      <c r="AA152" s="23"/>
      <c r="AB152" s="23"/>
      <c r="AC152" s="7"/>
      <c r="AD152" s="7"/>
      <c r="AE152" s="63" t="str">
        <f aca="false">IF(Tasks[[#This Row],[Task Name]]="","",IF(Tasks[[#This Row],[_IsSummary]],MIN(INDEX(Tasks[_ShownFcstStart],Tasks[[#This Row],[_Row]]+1):INDEX(Tasks[_ShownFcstStart],Tasks[[#This Row],[_Row]]+Tasks[[#This Row],[_Descendants]])),Tasks[[#This Row],[_ShownFcstStart]]))</f>
        <v/>
      </c>
      <c r="AF152" s="63" t="str">
        <f aca="false">IF(Tasks[[#This Row],[Task Name]]="","",IF(Tasks[[#This Row],[_IsSummary]],MAX(INDEX(Tasks[_ShownFcstFinish],Tasks[[#This Row],[_Row]]+1):INDEX(Tasks[_ShownFcstFinish],Tasks[[#This Row],[_Row]]+Tasks[[#This Row],[_Descendants]])),Tasks[[#This Row],[_ShownFcstFinish]]))</f>
        <v/>
      </c>
      <c r="AG152" s="21" t="str">
        <f aca="false">""</f>
        <v/>
      </c>
      <c r="AH152" s="23"/>
      <c r="AI1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2" s="7"/>
      <c r="AK152" s="22"/>
      <c r="AL152" s="23"/>
      <c r="AM152" s="7"/>
      <c r="AN152" s="47" t="str">
        <f aca="false">IF(Tasks[[#This Row],[Task Name]]="","",IF(Tasks[[#This Row],[Finish]]&gt;=Tasks[[#This Row],[Planned Finish]],NETWORKDAYS.INTL(Tasks[[#This Row],[Planned Finish]],Tasks[[#This Row],[Finish]],WorkWeek,Holidays)-1,1-NETWORKDAYS.INTL(Tasks[[#This Row],[Finish]],Tasks[[#This Row],[Planned Finish]],WorkWeek,Holidays)))</f>
        <v/>
      </c>
      <c r="AO152" s="21" t="str">
        <f aca="false">IF(Tasks[[#This Row],[Task Name]]="","",IF(Tasks[[#This Row],[Progress]]&gt;=1,"Complete",IF(OR(N(Tasks[[#This Row],[Actual Start]])&gt;0,Tasks[[#This Row],[Progress]]&gt;0),IF(Tasks[[#This Row],[Finish Var]]&gt;0,"Behind","In Progress"),IF(Tasks[[#This Row],[Planned Start]]&lt;StatusDate,"Late Start","Not Started"))))</f>
        <v/>
      </c>
      <c r="AP152" s="21" t="str">
        <f aca="false">IF(Tasks[[#This Row],[Task Name]]="","",IF(IF(Tasks[[#This Row],[_IsSummary]],COUNTIF(INDEX(Tasks[_LeafCritical],Tasks[[#This Row],[_Row]]+1):INDEX(Tasks[_LeafCritical],Tasks[[#This Row],[_Row]]+Tasks[[#This Row],[_Descendants]]),TRUE())&gt;0,Tasks[[#This Row],[_LeafCritical]]),"Yes",""))</f>
        <v/>
      </c>
      <c r="AQ152" s="63" t="str">
        <f aca="false">IF(Tasks[[#This Row],[Task Name]]="","",IF(N(Tasks[[#This Row],[Baseline Start]])&gt;0,Tasks[[#This Row],[Baseline Start]],Tasks[[#This Row],[_CalcStart]]))</f>
        <v/>
      </c>
      <c r="AR152" s="63" t="str">
        <f aca="false">IF(Tasks[[#This Row],[Task Name]]="","",IF(N(Tasks[[#This Row],[Baseline Finish]])&gt;0,Tasks[[#This Row],[Baseline Finish]],Tasks[[#This Row],[_CalcFinish]]))</f>
        <v/>
      </c>
      <c r="AS152" s="47" t="str">
        <f aca="false">IF(Tasks[[#This Row],[Task Name]]="","",IF(Tasks[[#This Row],[Start]]&gt;=Tasks[[#This Row],[Planned Start]],NETWORKDAYS.INTL(Tasks[[#This Row],[Planned Start]],Tasks[[#This Row],[Start]],WorkWeek,Holidays)-1,1-NETWORKDAYS.INTL(Tasks[[#This Row],[Start]],Tasks[[#This Row],[Planned Start]],WorkWeek,Holidays)))</f>
        <v/>
      </c>
      <c r="AT152" s="63" t="str">
        <f aca="false">IF(Tasks[[#This Row],[Task Name]]="","",IF(Tasks[[#This Row],[_IsSummary]],MIN(INDEX(Tasks[_LeafLateStart],Tasks[[#This Row],[_Row]]+1):INDEX(Tasks[_LeafLateStart],Tasks[[#This Row],[_Row]]+Tasks[[#This Row],[_Descendants]])),Tasks[[#This Row],[_LeafLateStart]]))</f>
        <v/>
      </c>
      <c r="AU152" s="63" t="str">
        <f aca="false">IF(Tasks[[#This Row],[Task Name]]="","",IF(Tasks[[#This Row],[_IsSummary]],MAX(INDEX(Tasks[_LeafLateFinish],Tasks[[#This Row],[_Row]]+1):INDEX(Tasks[_LeafLateFinish],Tasks[[#This Row],[_Row]]+Tasks[[#This Row],[_Descendants]])),Tasks[[#This Row],[_LeafLateFinish]]))</f>
        <v/>
      </c>
      <c r="AV152" s="47" t="str">
        <f aca="false">IF(Tasks[[#This Row],[Task Name]]="","",IF(Tasks[[#This Row],[_IsSummary]],MIN(INDEX(Tasks[_LeafTotalSlack],Tasks[[#This Row],[_Row]]+1):INDEX(Tasks[_LeafTotalSlack],Tasks[[#This Row],[_Row]]+Tasks[[#This Row],[_Descendants]])),Tasks[[#This Row],[_LeafTotalSlack]]))</f>
        <v/>
      </c>
      <c r="AW1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5"/>
      <c r="BA15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t="str">
        <f aca="false">IF(Tasks[[#This Row],[Task Name]]="","",IF(Tasks[[#This Row],[_Level]]&lt;=OutlineShowLevel,"Yes","No"))</f>
        <v/>
      </c>
      <c r="BE152" s="86" t="str">
        <f aca="false">IF(Tasks[[#This Row],[Task Name]]="","",IF(Tasks[[#This Row],[_IsSummary]],SUM(INDEX(Tasks[_LeafTotalWork],Tasks[[#This Row],[_Row]]+1):INDEX(Tasks[_LeafTotalWork],Tasks[[#This Row],[_Row]]+Tasks[[#This Row],[_Descendants]])),Tasks[[#This Row],[_LeafTotalWork]]))</f>
        <v/>
      </c>
      <c r="BF152" s="23"/>
      <c r="BG1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t="str">
        <f aca="false">""</f>
        <v/>
      </c>
      <c r="BI152" s="87"/>
      <c r="BJ152" s="22"/>
      <c r="BK152" s="47" t="str">
        <f aca="false">IF(OR(Tasks[[#This Row],[Task Name]]="",Tasks[[#This Row],[Baseline Duration]]=""),"",Tasks[[#This Row],[_SpanDays]]-N(Tasks[[#This Row],[Baseline Duration]]))</f>
        <v/>
      </c>
      <c r="BL152" s="86" t="str">
        <f aca="false">IF(OR(Tasks[[#This Row],[Task Name]]="",Tasks[[#This Row],[Baseline Work]]=""),"",Tasks[[#This Row],[Work]]-N(Tasks[[#This Row],[Baseline Work]]))</f>
        <v/>
      </c>
      <c r="BM152" s="63" t="str">
        <f aca="false">IF(Tasks[[#This Row],[Task Name]]="","",IF(OR(TakeBaseline="Yes",N(Tasks[[#This Row],[Baseline Start]])=0),Tasks[[#This Row],[Start]],Tasks[[#This Row],[Baseline Start]]))</f>
        <v/>
      </c>
      <c r="BN152" s="63" t="str">
        <f aca="false">IF(Tasks[[#This Row],[Task Name]]="","",IF(OR(TakeBaseline="Yes",N(Tasks[[#This Row],[Baseline Finish]])=0),Tasks[[#This Row],[Finish]],Tasks[[#This Row],[Baseline Finish]]))</f>
        <v/>
      </c>
      <c r="BO152" s="21" t="str">
        <f aca="false">IF(Tasks[[#This Row],[Task Name]]="","",IF(OR(TakeBaseline="Yes",N(Tasks[[#This Row],[Baseline Duration]])=0),Tasks[[#This Row],[_SpanDays]],Tasks[[#This Row],[Baseline Duration]]))</f>
        <v/>
      </c>
      <c r="BP152" s="86" t="str">
        <f aca="false">IF(Tasks[[#This Row],[Task Name]]="","",IF(OR(TakeBaseline="Yes",N(Tasks[[#This Row],[Baseline Work]])=0),Tasks[[#This Row],[Work]],Tasks[[#This Row],[Baseline Work]]))</f>
        <v/>
      </c>
      <c r="BQ152" s="7"/>
      <c r="BR152" s="7"/>
      <c r="BS152" s="22"/>
      <c r="BT152" s="88"/>
      <c r="BU152" s="23"/>
      <c r="BV152" s="23"/>
      <c r="BW152" s="23"/>
      <c r="BX152" s="89" t="str">
        <f aca="false">IF(AND(Tasks[[#This Row],[_IsLeaf]]=1,ISNUMBER(Tasks[[#This Row],[Optimistic]]),ISNUMBER(Tasks[[#This Row],[Pessimistic]])),ROUND((Tasks[[#This Row],[Optimistic]]+4*N(Tasks[[#This Row],[_Days]])+Tasks[[#This Row],[Pessimistic]])/6,1),"")</f>
        <v/>
      </c>
      <c r="BY152" s="87"/>
      <c r="BZ152" s="87"/>
      <c r="CA152" s="22"/>
      <c r="CB152" s="43" t="str">
        <f aca="false">IF(Tasks[[#This Row],[Task Name]]="","",MAX(1,N(Tasks[[#This Row],[Level]])))</f>
        <v/>
      </c>
      <c r="CC152" s="43" t="n">
        <f aca="false">ROW()-ROW(Tasks[[#Headers],[ID]])</f>
        <v>147</v>
      </c>
      <c r="CD152" s="43" t="n">
        <f aca="false">IF(OR(Tasks[[#This Row],[Task Name]]="",Tasks[[#This Row],[_Level]]&lt;=1),0,IFERROR(LOOKUP(2,1/(Tasks[[#Headers],[_Level]]:Tasks[[#This Row],[_Level]]=Tasks[[#This Row],[_Level]]-1),ROW(Tasks[[#Headers],[_Level]]:Tasks[[#This Row],[_Level]])),0))</f>
        <v>0</v>
      </c>
      <c r="CE152" s="43" t="n">
        <f aca="false">IFERROR(N(INDEX(Tasks[_Level],Tasks[[#This Row],[_Row]]+1)),0)</f>
        <v>0</v>
      </c>
      <c r="CF152" s="90" t="b">
        <f aca="false">AND(Tasks[[#This Row],[Task Name]]&lt;&gt;"",Tasks[[#This Row],[_NextLevel]]&gt;Tasks[[#This Row],[_Level]])</f>
        <v>0</v>
      </c>
      <c r="CG152" s="43" t="n">
        <f aca="false">IF(Tasks[[#This Row],[_IsSummary]],COUNTIF(Tasks[WBS],Tasks[[#This Row],[WBS]]&amp;".*"),0)</f>
        <v>0</v>
      </c>
      <c r="CH152" s="43" t="n">
        <f aca="false">IF(AND(Tasks[[#This Row],[Task Name]]&lt;&gt;"",NOT(Tasks[[#This Row],[_IsSummary]])),1,0)</f>
        <v>0</v>
      </c>
      <c r="CI152" s="43" t="n">
        <f aca="false">IF(N(Tasks[[#This Row],[_Pred1UID]])=0,0,IFERROR(MATCH(Tasks[[#This Row],[_Pred1UID]],Tasks[UID],0),-1))</f>
        <v>0</v>
      </c>
      <c r="CJ152" s="43" t="n">
        <f aca="false">IF(N(Tasks[[#This Row],[_Pred2UID]])=0,0,IFERROR(MATCH(Tasks[[#This Row],[_Pred2UID]],Tasks[UID],0),-1))</f>
        <v>0</v>
      </c>
      <c r="CK152" s="43" t="n">
        <f aca="false">IF(N(Tasks[[#This Row],[_Pred3UID]])=0,0,IFERROR(MATCH(Tasks[[#This Row],[_Pred3UID]],Tasks[UID],0),-1))</f>
        <v>0</v>
      </c>
      <c r="CL152" s="43" t="n">
        <f aca="false">IF(N(Tasks[[#This Row],[_Pred4UID]])=0,0,IFERROR(MATCH(Tasks[[#This Row],[_Pred4UID]],Tasks[UID],0),-1))</f>
        <v>0</v>
      </c>
      <c r="CM1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2" s="91" t="n">
        <f aca="false">IF(OR(Tasks[[#This Row],[_ConstraintCode]]=2,Tasks[[#This Row],[_ConstraintCode]]=3,Tasks[[#This Row],[_ConstraintCode]]=4,Tasks[[#This Row],[_ConstraintCode]]=6),Tasks[[#This Row],[_ConstraintStart]],0)</f>
        <v>0</v>
      </c>
      <c r="CP152" s="91" t="n">
        <f aca="false">IF(OR(Tasks[[#This Row],[_ConstraintCode]]=2,Tasks[[#This Row],[_ConstraintCode]]=3,Tasks[[#This Row],[_ConstraintCode]]=5,Tasks[[#This Row],[_ConstraintCode]]=7),Tasks[[#This Row],[_ConstraintStart]],2958465)</f>
        <v>2958465</v>
      </c>
      <c r="CQ1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2" s="91" t="str">
        <f aca="false">IF(NOT(Tasks[[#This Row],[_IsLeaf]]=1),"",IF(N(Tasks[[#This Row],[_Days]])&lt;=0,Tasks[[#This Row],[_LeafCalcStart]],WORKDAY.INTL(Tasks[[#This Row],[_LeafCalcStart]],Tasks[[#This Row],[_Days]]-1,WorkWeek,Holidays)))</f>
        <v/>
      </c>
      <c r="CS1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2" s="43" t="str">
        <f aca="false">IF(Tasks[[#This Row],[_Predecessors]]="","",TRIM(MID(SUBSTITUTE(SUBSTITUTE(SUBSTITUTE(UPPER(Tasks[[#This Row],[_Predecessors]]),";",",")," ",""),",",REPT(" ",99)),1,99)))</f>
        <v/>
      </c>
      <c r="CV152" s="43" t="str">
        <f aca="false">IF(Tasks[[#This Row],[_Pred1Text]]="","",IFERROR(VALUE(LEFT(Tasks[[#This Row],[_Pred1Text]],MIN(FIND("F",Tasks[[#This Row],[_Pred1Text]]&amp;"F"),FIND("S",Tasks[[#This Row],[_Pred1Text]]&amp;"S"),FIND("+",Tasks[[#This Row],[_Pred1Text]]&amp;"+"),FIND("-",Tasks[[#This Row],[_Pred1Text]]&amp;"-"))-1)),""))</f>
        <v/>
      </c>
      <c r="CW1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2" s="43" t="str">
        <f aca="false">IF(Tasks[[#This Row],[_Pred1Text]]="","",TRIM(MID(SUBSTITUTE(SUBSTITUTE(SUBSTITUTE(UPPER(Tasks[[#This Row],[_Predecessors]]),";",",")," ",""),",",REPT(" ",99)),100,99)))</f>
        <v/>
      </c>
      <c r="CZ152" s="43" t="str">
        <f aca="false">IF(Tasks[[#This Row],[_Pred2Text]]="","",IFERROR(VALUE(LEFT(Tasks[[#This Row],[_Pred2Text]],MIN(FIND("F",Tasks[[#This Row],[_Pred2Text]]&amp;"F"),FIND("S",Tasks[[#This Row],[_Pred2Text]]&amp;"S"),FIND("+",Tasks[[#This Row],[_Pred2Text]]&amp;"+"),FIND("-",Tasks[[#This Row],[_Pred2Text]]&amp;"-"))-1)),""))</f>
        <v/>
      </c>
      <c r="DA1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2" s="43" t="str">
        <f aca="false">IF(Tasks[[#This Row],[_Pred2Text]]="","",TRIM(MID(SUBSTITUTE(SUBSTITUTE(SUBSTITUTE(UPPER(Tasks[[#This Row],[_Predecessors]]),";",",")," ",""),",",REPT(" ",99)),199,99)))</f>
        <v/>
      </c>
      <c r="DD152" s="43" t="str">
        <f aca="false">IF(Tasks[[#This Row],[_Pred3Text]]="","",IFERROR(VALUE(LEFT(Tasks[[#This Row],[_Pred3Text]],MIN(FIND("F",Tasks[[#This Row],[_Pred3Text]]&amp;"F"),FIND("S",Tasks[[#This Row],[_Pred3Text]]&amp;"S"),FIND("+",Tasks[[#This Row],[_Pred3Text]]&amp;"+"),FIND("-",Tasks[[#This Row],[_Pred3Text]]&amp;"-"))-1)),""))</f>
        <v/>
      </c>
      <c r="DE1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2" s="43" t="str">
        <f aca="false">IF(Tasks[[#This Row],[_Pred3Text]]="","",TRIM(MID(SUBSTITUTE(SUBSTITUTE(SUBSTITUTE(UPPER(Tasks[[#This Row],[_Predecessors]]),";",",")," ",""),",",REPT(" ",99)),298,99)))</f>
        <v/>
      </c>
      <c r="DH152" s="43" t="str">
        <f aca="false">IF(Tasks[[#This Row],[_Pred4Text]]="","",IFERROR(VALUE(LEFT(Tasks[[#This Row],[_Pred4Text]],MIN(FIND("F",Tasks[[#This Row],[_Pred4Text]]&amp;"F"),FIND("S",Tasks[[#This Row],[_Pred4Text]]&amp;"S"),FIND("+",Tasks[[#This Row],[_Pred4Text]]&amp;"+"),FIND("-",Tasks[[#This Row],[_Pred4Text]]&amp;"-"))-1)),""))</f>
        <v/>
      </c>
      <c r="DI1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2" s="43" t="str">
        <f aca="false">IF(OR(Tasks[[#This Row],[Task Name]]="",Tasks[[#This Row],[_Resources]]=""),"",TRIM(MID(SUBSTITUTE(Tasks[[#This Row],[_Resources]],",",REPT(" ",99)),1,99)))</f>
        <v/>
      </c>
      <c r="DL152" s="43" t="str">
        <f aca="false">IF(Tasks[[#This Row],[_Res1Text]]="","",TRIM(MID(SUBSTITUTE(Tasks[[#This Row],[_Resources]],",",REPT(" ",99)),100,99)))</f>
        <v/>
      </c>
      <c r="DM152" s="43" t="str">
        <f aca="false">IF(Tasks[[#This Row],[_Res2Text]]="","",TRIM(MID(SUBSTITUTE(Tasks[[#This Row],[_Resources]],",",REPT(" ",99)),199,99)))</f>
        <v/>
      </c>
      <c r="DN152" s="43" t="str">
        <f aca="false">IF(Tasks[[#This Row],[_Res3Text]]="","",TRIM(MID(SUBSTITUTE(Tasks[[#This Row],[_Resources]],",",REPT(" ",99)),298,99)))</f>
        <v/>
      </c>
      <c r="DO152" s="43" t="n">
        <f aca="false">IF(Tasks[[#This Row],[_Res1Text]]="",0,IFERROR(MATCH(TRIM(LEFT(Tasks[[#This Row],[_Res1Text]],FIND("[",Tasks[[#This Row],[_Res1Text]]&amp;"[")-1)),res_Name,0),IFERROR(MATCH(TRIM(LEFT(Tasks[[#This Row],[_Res1Text]],FIND("[",Tasks[[#This Row],[_Res1Text]]&amp;"[")-1)),res_Initials,0),0)))</f>
        <v>0</v>
      </c>
      <c r="DP152" s="43" t="n">
        <f aca="false">IF(Tasks[[#This Row],[_Res2Text]]="",0,IFERROR(MATCH(TRIM(LEFT(Tasks[[#This Row],[_Res2Text]],FIND("[",Tasks[[#This Row],[_Res2Text]]&amp;"[")-1)),res_Name,0),IFERROR(MATCH(TRIM(LEFT(Tasks[[#This Row],[_Res2Text]],FIND("[",Tasks[[#This Row],[_Res2Text]]&amp;"[")-1)),res_Initials,0),0)))</f>
        <v>0</v>
      </c>
      <c r="DQ152" s="43" t="n">
        <f aca="false">IF(Tasks[[#This Row],[_Res3Text]]="",0,IFERROR(MATCH(TRIM(LEFT(Tasks[[#This Row],[_Res3Text]],FIND("[",Tasks[[#This Row],[_Res3Text]]&amp;"[")-1)),res_Name,0),IFERROR(MATCH(TRIM(LEFT(Tasks[[#This Row],[_Res3Text]],FIND("[",Tasks[[#This Row],[_Res3Text]]&amp;"[")-1)),res_Initials,0),0)))</f>
        <v>0</v>
      </c>
      <c r="DR152" s="43" t="n">
        <f aca="false">IF(Tasks[[#This Row],[_Res4Text]]="",0,IFERROR(MATCH(TRIM(LEFT(Tasks[[#This Row],[_Res4Text]],FIND("[",Tasks[[#This Row],[_Res4Text]]&amp;"[")-1)),res_Name,0),IFERROR(MATCH(TRIM(LEFT(Tasks[[#This Row],[_Res4Text]],FIND("[",Tasks[[#This Row],[_Res4Text]]&amp;"[")-1)),res_Initials,0),0)))</f>
        <v>0</v>
      </c>
      <c r="DS152" s="43" t="str">
        <f aca="false">IF(Tasks[[#This Row],[_Res1Text]]="","",IF(Tasks[[#This Row],[_Res1Row]]&gt;0,INDEX(res_Name,Tasks[[#This Row],[_Res1Row]]),TRIM(LEFT(Tasks[[#This Row],[_Res1Text]],FIND("[",Tasks[[#This Row],[_Res1Text]]&amp;"[")-1))))</f>
        <v/>
      </c>
      <c r="DT1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2" s="43" t="n">
        <f aca="false">IF(NOT(Tasks[[#This Row],[_IsLeaf]]=1),0,(Tasks[[#This Row],[_Resource1]]&lt;&gt;"")+(Tasks[[#This Row],[_Res2]]&lt;&gt;"")+(Tasks[[#This Row],[_Res3]]&lt;&gt;"")+(Tasks[[#This Row],[_Res4]]&lt;&gt;""))</f>
        <v>0</v>
      </c>
      <c r="DV152" s="43" t="str">
        <f aca="false">IF(Tasks[[#This Row],[_Res2Text]]="","",IF(Tasks[[#This Row],[_Res2Row]]&gt;0,INDEX(res_Name,Tasks[[#This Row],[_Res2Row]]),TRIM(LEFT(Tasks[[#This Row],[_Res2Text]],FIND("[",Tasks[[#This Row],[_Res2Text]]&amp;"[")-1))))</f>
        <v/>
      </c>
      <c r="DW1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2" s="43" t="n">
        <f aca="false">IF(OR(NOT(Tasks[[#This Row],[_IsLeaf]]=1),Tasks[[#This Row],[_Res2Row]]=0),0,N(Tasks[[#This Row],[_Days]])*HoursPerDay*IF(Tasks[[#This Row],[_Res2Units]]="",DefaultUnits,Tasks[[#This Row],[_Res2Units]]))</f>
        <v>0</v>
      </c>
      <c r="DY152" s="43" t="n">
        <f aca="false">IF(AND(AND(Tasks[[#This Row],[_IsLeaf]]=1,Tasks[[#This Row],[_LeafTotalWork]]&gt;0),Tasks[[#This Row],[_Res2Work]]&gt;0),Tasks[[#This Row],[_Res2Work]]/(Tasks[[#This Row],[_FinishWorkday]]-Tasks[[#This Row],[_StartWorkday]]+1),0)</f>
        <v>0</v>
      </c>
      <c r="DZ152" s="43" t="n">
        <f aca="false">Tasks[[#This Row],[_Res2WorkPerWD]]*MAX(0,Tasks[[#This Row],[_StartWorkday]]-1)</f>
        <v>0</v>
      </c>
      <c r="EA152" s="43" t="n">
        <f aca="false">Tasks[[#This Row],[_Res2Work]]*Tasks[[#This Row],[_LeafProgress]]</f>
        <v>0</v>
      </c>
      <c r="EB152" s="43" t="str">
        <f aca="false">IF(Tasks[[#This Row],[_Res3Text]]="","",IF(Tasks[[#This Row],[_Res3Row]]&gt;0,INDEX(res_Name,Tasks[[#This Row],[_Res3Row]]),TRIM(LEFT(Tasks[[#This Row],[_Res3Text]],FIND("[",Tasks[[#This Row],[_Res3Text]]&amp;"[")-1))))</f>
        <v/>
      </c>
      <c r="EC1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2" s="43" t="n">
        <f aca="false">IF(OR(NOT(Tasks[[#This Row],[_IsLeaf]]=1),Tasks[[#This Row],[_Res3Row]]=0),0,N(Tasks[[#This Row],[_Days]])*HoursPerDay*IF(Tasks[[#This Row],[_Res3Units]]="",DefaultUnits,Tasks[[#This Row],[_Res3Units]]))</f>
        <v>0</v>
      </c>
      <c r="EE152" s="43" t="n">
        <f aca="false">IF(AND(AND(Tasks[[#This Row],[_IsLeaf]]=1,Tasks[[#This Row],[_LeafTotalWork]]&gt;0),Tasks[[#This Row],[_Res3Work]]&gt;0),Tasks[[#This Row],[_Res3Work]]/(Tasks[[#This Row],[_FinishWorkday]]-Tasks[[#This Row],[_StartWorkday]]+1),0)</f>
        <v>0</v>
      </c>
      <c r="EF152" s="43" t="n">
        <f aca="false">Tasks[[#This Row],[_Res3WorkPerWD]]*MAX(0,Tasks[[#This Row],[_StartWorkday]]-1)</f>
        <v>0</v>
      </c>
      <c r="EG152" s="43" t="n">
        <f aca="false">Tasks[[#This Row],[_Res3Work]]*Tasks[[#This Row],[_LeafProgress]]</f>
        <v>0</v>
      </c>
      <c r="EH152" s="43" t="str">
        <f aca="false">IF(Tasks[[#This Row],[_Res4Text]]="","",IF(Tasks[[#This Row],[_Res4Row]]&gt;0,INDEX(res_Name,Tasks[[#This Row],[_Res4Row]]),TRIM(LEFT(Tasks[[#This Row],[_Res4Text]],FIND("[",Tasks[[#This Row],[_Res4Text]]&amp;"[")-1))))</f>
        <v/>
      </c>
      <c r="EI1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2" s="43" t="n">
        <f aca="false">IF(OR(NOT(Tasks[[#This Row],[_IsLeaf]]=1),Tasks[[#This Row],[_Res4Row]]=0),0,N(Tasks[[#This Row],[_Days]])*HoursPerDay*IF(Tasks[[#This Row],[_Res4Units]]="",DefaultUnits,Tasks[[#This Row],[_Res4Units]]))</f>
        <v>0</v>
      </c>
      <c r="EK152" s="43" t="n">
        <f aca="false">IF(AND(AND(Tasks[[#This Row],[_IsLeaf]]=1,Tasks[[#This Row],[_LeafTotalWork]]&gt;0),Tasks[[#This Row],[_Res4Work]]&gt;0),Tasks[[#This Row],[_Res4Work]]/(Tasks[[#This Row],[_FinishWorkday]]-Tasks[[#This Row],[_StartWorkday]]+1),0)</f>
        <v>0</v>
      </c>
      <c r="EL152" s="43" t="n">
        <f aca="false">Tasks[[#This Row],[_Res4WorkPerWD]]*MAX(0,Tasks[[#This Row],[_StartWorkday]]-1)</f>
        <v>0</v>
      </c>
      <c r="EM152" s="43" t="n">
        <f aca="false">Tasks[[#This Row],[_Res4Work]]*Tasks[[#This Row],[_LeafProgress]]</f>
        <v>0</v>
      </c>
      <c r="EN152" s="43" t="n">
        <f aca="false">IF(ISNUMBER(Tasks[[#This Row],[% Complete]]),Tasks[[#This Row],[% Complete]],IF(Tasks[[#This Row],[Stage]]="",0,IFERROR(INDEX(stg_Pct,MATCH(Tasks[[#This Row],[Stage]],stg_Name,0)),0)))</f>
        <v>0</v>
      </c>
      <c r="EO152" s="43" t="n">
        <f aca="false">IF(NOT(Tasks[[#This Row],[_IsLeaf]]=1),0,IF(N(Tasks[[#This Row],[Actual Finish]])&gt;0,1,MIN(1,Tasks[[#This Row],[_Pct]])))</f>
        <v>0</v>
      </c>
      <c r="EP152" s="43" t="n">
        <f aca="false">IF(OR(NOT(Tasks[[#This Row],[_IsLeaf]]=1),Tasks[[#This Row],[_Res1Row]]=0),0,N(Tasks[[#This Row],[_Days]])*HoursPerDay*IF(Tasks[[#This Row],[_Units1]]="",DefaultUnits,Tasks[[#This Row],[_Units1]]))</f>
        <v>0</v>
      </c>
      <c r="EQ152" s="43" t="n">
        <f aca="false">Tasks[[#This Row],[_LeafWork]]+Tasks[[#This Row],[_Res2Work]]+Tasks[[#This Row],[_Res3Work]]+Tasks[[#This Row],[_Res4Work]]</f>
        <v>0</v>
      </c>
      <c r="ER15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2" s="43" t="n">
        <f aca="false">IF(NOT(Tasks[[#This Row],[_IsLeaf]]=1),0,MAX(_xlfn.MAXIFS(Tasks[_Row],Tasks[_Pred1UID],Tasks[[#This Row],[UID]]),_xlfn.MAXIFS(Tasks[_Row],Tasks[_Pred2UID],Tasks[[#This Row],[UID]]),_xlfn.MAXIFS(Tasks[_Row],Tasks[_Pred3UID],Tasks[[#This Row],[UID]]),_xlfn.MAXIFS(Tasks[_Row],Tasks[_Pred4UID],Tasks[[#This Row],[UID]])))</f>
        <v>0</v>
      </c>
      <c r="FA1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2" s="91" t="str">
        <f aca="false">IF(NOT(Tasks[[#This Row],[_IsLeaf]]=1),"",IF(N(Tasks[[#This Row],[_Days]])&lt;=0,Tasks[[#This Row],[_LeafLateFinish]],WORKDAY.INTL(Tasks[[#This Row],[_LeafLateFinish]],-(Tasks[[#This Row],[_Days]]-1),WorkWeek,Holidays)))</f>
        <v/>
      </c>
      <c r="FD1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2" s="90" t="b">
        <f aca="false">AND(Tasks[[#This Row],[_IsLeaf]]=1,Tasks[[#This Row],[_LeafProgress]]&lt;1,N(Tasks[[#This Row],[_LeafTotalSlack]])&lt;=CriticalSlackDays)</f>
        <v>0</v>
      </c>
      <c r="FF152" s="43" t="n">
        <f aca="false">IF(AND(Tasks[[#This Row],[_IsLeaf]]=1,Tasks[[#This Row],[_ConstraintCode]]=1,Tasks[[#This Row],[Mode]]&lt;&gt;"Manual",N(Tasks[[#This Row],[Actual Start]])=0),MAX(0,N(Tasks[[#This Row],[Free Slack]])),0)</f>
        <v>0</v>
      </c>
      <c r="FG152" s="91" t="str">
        <f aca="false">IF(NOT(Tasks[[#This Row],[_IsLeaf]]=1),"",IF(Tasks[[#This Row],[_AlapShift]]=0,Tasks[[#This Row],[_LeafCalcStart]],WORKDAY.INTL(Tasks[[#This Row],[_LeafCalcStart]],Tasks[[#This Row],[_AlapShift]],WorkWeek,Holidays)))</f>
        <v/>
      </c>
      <c r="FH152" s="91" t="str">
        <f aca="false">IF(NOT(Tasks[[#This Row],[_IsLeaf]]=1),"",IF(Tasks[[#This Row],[_AlapShift]]=0,Tasks[[#This Row],[_LeafCalcFinish]],WORKDAY.INTL(Tasks[[#This Row],[_LeafCalcFinish]],Tasks[[#This Row],[_AlapShift]],WorkWeek,Holidays)))</f>
        <v/>
      </c>
      <c r="FI152" s="91" t="str">
        <f aca="false">IF(NOT(Tasks[[#This Row],[_IsLeaf]]=1),"",IF(Tasks[[#This Row],[_AlapShift]]=0,Tasks[[#This Row],[_LeafFcstStart]],WORKDAY.INTL(Tasks[[#This Row],[_LeafFcstStart]],Tasks[[#This Row],[_AlapShift]],WorkWeek,Holidays)))</f>
        <v/>
      </c>
      <c r="FJ152" s="91" t="str">
        <f aca="false">IF(NOT(Tasks[[#This Row],[_IsLeaf]]=1),"",IF(Tasks[[#This Row],[_AlapShift]]=0,Tasks[[#This Row],[_LeafFcstFinish]],WORKDAY.INTL(Tasks[[#This Row],[_LeafFcstFinish]],Tasks[[#This Row],[_AlapShift]],WorkWeek,Holidays)))</f>
        <v/>
      </c>
      <c r="FK152" s="91" t="str">
        <f aca="false">IF(Tasks[[#This Row],[Task Name]]="","",IF(Tasks[[#This Row],[_IsSummary]],MIN(INDEX(Tasks[_ShownCalcStart],Tasks[[#This Row],[_Row]]+1):INDEX(Tasks[_ShownCalcStart],Tasks[[#This Row],[_Row]]+Tasks[[#This Row],[_Descendants]])),Tasks[[#This Row],[_ShownCalcStart]]))</f>
        <v/>
      </c>
      <c r="FL152" s="91" t="str">
        <f aca="false">IF(Tasks[[#This Row],[Task Name]]="","",IF(Tasks[[#This Row],[_IsSummary]],MAX(INDEX(Tasks[_ShownCalcFinish],Tasks[[#This Row],[_Row]]+1):INDEX(Tasks[_ShownCalcFinish],Tasks[[#This Row],[_Row]]+Tasks[[#This Row],[_Descendants]])),Tasks[[#This Row],[_ShownCalcFinish]]))</f>
        <v/>
      </c>
      <c r="FM1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2" s="43" t="n">
        <f aca="false">IF(AND(Tasks[[#This Row],[_IsLeaf]]=1,Tasks[[#This Row],[_LeafTotalWork]]&gt;0),NETWORKDAYS.INTL(ProjectStart,Tasks[[#This Row],[_ShownFcstStart]],WorkWeek,Holidays),0)</f>
        <v>0</v>
      </c>
      <c r="FZ152" s="43" t="n">
        <f aca="false">IF(AND(Tasks[[#This Row],[_IsLeaf]]=1,Tasks[[#This Row],[_LeafTotalWork]]&gt;0),MAX(Tasks[[#This Row],[_StartWorkday]],NETWORKDAYS.INTL(ProjectStart,Tasks[[#This Row],[_ShownFcstFinish]],WorkWeek,Holidays)),0)</f>
        <v>0</v>
      </c>
      <c r="GA152" s="43" t="n">
        <f aca="false">IF(AND(Tasks[[#This Row],[_IsLeaf]]=1,Tasks[[#This Row],[_LeafTotalWork]]&gt;0),Tasks[[#This Row],[_LeafWork]]/(Tasks[[#This Row],[_FinishWorkday]]-Tasks[[#This Row],[_StartWorkday]]+1),0)</f>
        <v>0</v>
      </c>
      <c r="GB152" s="43" t="n">
        <f aca="false">Tasks[[#This Row],[_WorkPerWorkday]]*(Tasks[[#This Row],[_StartWorkday]]-1)</f>
        <v>-0</v>
      </c>
      <c r="GC152" s="43" t="n">
        <f aca="false">IF(Tasks[[#This Row],[_IsLeaf]]=1,MAX(N(Tasks[[#This Row],[_Days]]),0.1),0)</f>
        <v>0</v>
      </c>
      <c r="GD152" s="43" t="n">
        <f aca="false">Tasks[[#This Row],[_WeightDur]]*Tasks[[#This Row],[_LeafProgress]]</f>
        <v>0</v>
      </c>
      <c r="GE152" s="43" t="n">
        <f aca="false">Tasks[[#This Row],[_WeightDur]]*Tasks[[#This Row],[_PlannedPct]]</f>
        <v>0</v>
      </c>
      <c r="GF1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2" s="43" t="str">
        <f aca="false">IF(AND(Tasks[[#This Row],[_IsLeaf]]=1,N(Tasks[[#This Row],[_Days]])=0,Tasks[[#This Row],[_LeafProgress]]&lt;1),Tasks[[#This Row],[_ShownFcstFinish]]+Tasks[[#This Row],[_Row]]/100000,"")</f>
        <v/>
      </c>
      <c r="GH1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2" s="43" t="str">
        <f aca="false">IF(Tasks[[#This Row],[Task Name]]="","",LEFT(Tasks[[#This Row],[WBS]],FIND(".",Tasks[[#This Row],[WBS]]&amp;".")-1))</f>
        <v/>
      </c>
      <c r="GJ152" s="43" t="str">
        <f aca="false">IF(AND(Tasks[[#This Row],[Task Name]]&lt;&gt;"",Tasks[[#This Row],[_Level]]=1),Tasks[[#This Row],[_Row]],"")</f>
        <v/>
      </c>
      <c r="GK152" s="43" t="str">
        <f aca="false">IF(AND(Tasks[[#This Row],[_IsLeaf]]=1,N(Tasks[[#This Row],[_Days]])=0),Tasks[[#This Row],[Planned Finish]]+Tasks[[#This Row],[_Row]]/100000,"")</f>
        <v/>
      </c>
      <c r="GL152" s="43" t="str">
        <f aca="false">IF(AND(Tasks[[#This Row],[_IsLeaf]]=1,Tasks[[#This Row],[_LeafProgress]]&lt;1,OR(N(Tasks[[#This Row],[Finish Var]])&gt;0,Tasks[[#This Row],[Status]]="Late Start")),MAX(0,Tasks[[#This Row],[Finish Var]])+1-Tasks[[#This Row],[_Row]]/1000000,"")</f>
        <v/>
      </c>
      <c r="GM152" s="43" t="str">
        <f aca="false">IF(AND(Tasks[[#This Row],[_IsLeaf]]=1,N(Tasks[[#This Row],[Actual Start]])=0,Tasks[[#This Row],[_ShownFcstStart]]&gt;=StatusDate,Tasks[[#This Row],[_ShownFcstStart]]&lt;=LookaheadEnd),Tasks[[#This Row],[_ShownFcstStart]]+Tasks[[#This Row],[_Row]]/100000,"")</f>
        <v/>
      </c>
      <c r="GN152" s="43" t="str">
        <f aca="false">IF(AND(Tasks[[#This Row],[_IsLeaf]]=1,Tasks[[#This Row],[_LeafProgress]]&lt;1,Tasks[[#This Row],[_ShownFcstFinish]]&gt;=StatusDate,Tasks[[#This Row],[_ShownFcstFinish]]&lt;=LookaheadEnd),Tasks[[#This Row],[_ShownFcstFinish]]+Tasks[[#This Row],[_Row]]/100000,"")</f>
        <v/>
      </c>
      <c r="GO152" s="43" t="str">
        <f aca="false">IF(Tasks[[#This Row],[_LeafCritical]],Tasks[[#This Row],[_ShownFcstStart]]+Tasks[[#This Row],[_Row]]/100000,"")</f>
        <v/>
      </c>
      <c r="GP152" s="43" t="n">
        <f aca="false">Tasks[[#This Row],[_LeafWork]]*Tasks[[#This Row],[_LeafProgress]]</f>
        <v>0</v>
      </c>
      <c r="GQ152" s="91" t="str">
        <f aca="false">IF(AND(Tasks[[#This Row],[_IsLeaf]]=1,Tasks[[#This Row],[_LeafProgress]]&gt;=1),IF(N(Tasks[[#This Row],[Actual Finish]])&gt;0,Tasks[[#This Row],[Actual Finish]],Tasks[[#This Row],[_ShownFcstFinish]]),"")</f>
        <v/>
      </c>
      <c r="GR152" s="43" t="n">
        <f aca="false">IF(Tasks[[#This Row],[_IsLeaf]]=1,N(Tasks[[#This Row],[Story Points]]),0)</f>
        <v>0</v>
      </c>
      <c r="GS152" s="43" t="str">
        <f aca="false">""</f>
        <v/>
      </c>
      <c r="GT152" s="90" t="b">
        <f aca="false">IF(Tasks[[#This Row],[Task Name]]="",FALSE(),AND(Tasks[[#This Row],[_IsLeaf]]=1,N(Tasks[[#This Row],[_Days]])=0))</f>
        <v>0</v>
      </c>
      <c r="GU152" s="91" t="n">
        <f aca="false">IF(Tasks[[#This Row],[Task Name]]="",0,IF(AND(Tasks[[#This Row],[_IsLeaf]]=1,NOT(Tasks[[#This Row],[_IsMilestone]]),N(Tasks[[#This Row],[Progress]])&gt;0),Tasks[[#This Row],[Start]],0))</f>
        <v>0</v>
      </c>
      <c r="GV152" s="91" t="n">
        <f aca="false">IF(Tasks[[#This Row],[_DoneFrom]]=0,0,IF(Tasks[[#This Row],[Progress]]&gt;=1,Tasks[[#This Row],[Finish]],MAX(Tasks[[#This Row],[_DoneFrom]],Tasks[[#This Row],[Start]]+ROUND((Tasks[[#This Row],[Finish]]-Tasks[[#This Row],[Start]]+1)*Tasks[[#This Row],[Progress]],0)-1)))</f>
        <v>0</v>
      </c>
      <c r="GW152" s="91" t="n">
        <f aca="false">IF(Tasks[[#This Row],[Task Name]]="",0,IF(OR(NOT(Tasks[[#This Row],[_IsLeaf]]=1),Tasks[[#This Row],[_IsMilestone]],N(Tasks[[#This Row],[Progress]])&gt;=1),0,IF(Tasks[[#This Row],[_DoneTo]]&gt;0,Tasks[[#This Row],[_DoneTo]]+1,Tasks[[#This Row],[Start]])))</f>
        <v>0</v>
      </c>
      <c r="GX152" s="91" t="n">
        <f aca="false">IF(Tasks[[#This Row],[_RemFrom]]=0,0,Tasks[[#This Row],[Finish]])</f>
        <v>0</v>
      </c>
      <c r="GY152" s="90" t="b">
        <f aca="false">IF(Tasks[[#This Row],[Task Name]]="",FALSE(),OR(NOT(BaselineSet),N(Tasks[[#This Row],[Baseline Start]])&gt;0))</f>
        <v>0</v>
      </c>
      <c r="GZ15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2" s="92" t="str">
        <f aca="false">IF(Tasks[[#This Row],[_IsLeaf]]=1,Tasks[[#This Row],[_Row]],"")</f>
        <v/>
      </c>
      <c r="HD152" s="92" t="str">
        <f aca="false">IFERROR(INDEX(Tasks[UID],SMALL(Tasks[_PickKey],Tasks[[#This Row],[_Row]]))&amp;" "&amp;INDEX(Tasks[Task Name],SMALL(Tasks[_PickKey],Tasks[[#This Row],[_Row]])),"")</f>
        <v/>
      </c>
      <c r="HE152" s="43" t="str">
        <f aca="false">IF(Tasks[[#This Row],[Task Name]]="","",IF(Tasks[[#This Row],[_IsSummary]],NETWORKDAYS.INTL(Tasks[[#This Row],[Start]],Tasks[[#This Row],[Finish]],WorkWeek,Holidays),N(Tasks[[#This Row],[_Days]])))</f>
        <v/>
      </c>
      <c r="HF152" s="43" t="n">
        <f aca="false">IF(Tasks[[#This Row],[Expected]]="",0,((Tasks[[#This Row],[Pessimistic]]-Tasks[[#This Row],[Optimistic]])/6)^2)</f>
        <v>0</v>
      </c>
      <c r="HG152" s="43" t="n">
        <f aca="false">IF(Tasks[[#This Row],[Expected]]="",0,Tasks[[#This Row],[Expected]]-N(Tasks[[#This Row],[_Days]]))</f>
        <v>0</v>
      </c>
    </row>
    <row r="153" customFormat="false" ht="15" hidden="false" customHeight="false" outlineLevel="0" collapsed="false">
      <c r="A153" s="21" t="str">
        <f aca="false">IF(Tasks[[#This Row],[Task Name]]="","",COUNTA(Tasks[[#Headers],[Task Name]]:Tasks[[#This Row],[Task Name]])-1)</f>
        <v/>
      </c>
      <c r="B153" s="22" t="n">
        <v>161</v>
      </c>
      <c r="C153" s="22"/>
      <c r="D153" s="23"/>
      <c r="E153" s="22"/>
      <c r="F153" s="23"/>
      <c r="G153" s="22"/>
      <c r="H153" s="22"/>
      <c r="I153" s="23"/>
      <c r="J153" s="22"/>
      <c r="K153" s="22"/>
      <c r="L153" s="23"/>
      <c r="M153" s="22"/>
      <c r="N153" s="22"/>
      <c r="O153" s="23"/>
      <c r="P153" s="22"/>
      <c r="Q153" s="22"/>
      <c r="R153" s="23"/>
      <c r="S153" s="23"/>
      <c r="T153" s="84"/>
      <c r="U153" s="23"/>
      <c r="V153" s="84"/>
      <c r="W153" s="23"/>
      <c r="X153" s="84"/>
      <c r="Y153" s="23"/>
      <c r="Z153" s="84"/>
      <c r="AA153" s="23"/>
      <c r="AB153" s="23"/>
      <c r="AC153" s="7"/>
      <c r="AD153" s="7"/>
      <c r="AE153" s="63" t="str">
        <f aca="false">IF(Tasks[[#This Row],[Task Name]]="","",IF(Tasks[[#This Row],[_IsSummary]],MIN(INDEX(Tasks[_ShownFcstStart],Tasks[[#This Row],[_Row]]+1):INDEX(Tasks[_ShownFcstStart],Tasks[[#This Row],[_Row]]+Tasks[[#This Row],[_Descendants]])),Tasks[[#This Row],[_ShownFcstStart]]))</f>
        <v/>
      </c>
      <c r="AF153" s="63" t="str">
        <f aca="false">IF(Tasks[[#This Row],[Task Name]]="","",IF(Tasks[[#This Row],[_IsSummary]],MAX(INDEX(Tasks[_ShownFcstFinish],Tasks[[#This Row],[_Row]]+1):INDEX(Tasks[_ShownFcstFinish],Tasks[[#This Row],[_Row]]+Tasks[[#This Row],[_Descendants]])),Tasks[[#This Row],[_ShownFcstFinish]]))</f>
        <v/>
      </c>
      <c r="AG153" s="21" t="str">
        <f aca="false">""</f>
        <v/>
      </c>
      <c r="AH153" s="23"/>
      <c r="AI1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3" s="7"/>
      <c r="AK153" s="22"/>
      <c r="AL153" s="23"/>
      <c r="AM153" s="7"/>
      <c r="AN153" s="47" t="str">
        <f aca="false">IF(Tasks[[#This Row],[Task Name]]="","",IF(Tasks[[#This Row],[Finish]]&gt;=Tasks[[#This Row],[Planned Finish]],NETWORKDAYS.INTL(Tasks[[#This Row],[Planned Finish]],Tasks[[#This Row],[Finish]],WorkWeek,Holidays)-1,1-NETWORKDAYS.INTL(Tasks[[#This Row],[Finish]],Tasks[[#This Row],[Planned Finish]],WorkWeek,Holidays)))</f>
        <v/>
      </c>
      <c r="AO153" s="21" t="str">
        <f aca="false">IF(Tasks[[#This Row],[Task Name]]="","",IF(Tasks[[#This Row],[Progress]]&gt;=1,"Complete",IF(OR(N(Tasks[[#This Row],[Actual Start]])&gt;0,Tasks[[#This Row],[Progress]]&gt;0),IF(Tasks[[#This Row],[Finish Var]]&gt;0,"Behind","In Progress"),IF(Tasks[[#This Row],[Planned Start]]&lt;StatusDate,"Late Start","Not Started"))))</f>
        <v/>
      </c>
      <c r="AP153" s="21" t="str">
        <f aca="false">IF(Tasks[[#This Row],[Task Name]]="","",IF(IF(Tasks[[#This Row],[_IsSummary]],COUNTIF(INDEX(Tasks[_LeafCritical],Tasks[[#This Row],[_Row]]+1):INDEX(Tasks[_LeafCritical],Tasks[[#This Row],[_Row]]+Tasks[[#This Row],[_Descendants]]),TRUE())&gt;0,Tasks[[#This Row],[_LeafCritical]]),"Yes",""))</f>
        <v/>
      </c>
      <c r="AQ153" s="63" t="str">
        <f aca="false">IF(Tasks[[#This Row],[Task Name]]="","",IF(N(Tasks[[#This Row],[Baseline Start]])&gt;0,Tasks[[#This Row],[Baseline Start]],Tasks[[#This Row],[_CalcStart]]))</f>
        <v/>
      </c>
      <c r="AR153" s="63" t="str">
        <f aca="false">IF(Tasks[[#This Row],[Task Name]]="","",IF(N(Tasks[[#This Row],[Baseline Finish]])&gt;0,Tasks[[#This Row],[Baseline Finish]],Tasks[[#This Row],[_CalcFinish]]))</f>
        <v/>
      </c>
      <c r="AS153" s="47" t="str">
        <f aca="false">IF(Tasks[[#This Row],[Task Name]]="","",IF(Tasks[[#This Row],[Start]]&gt;=Tasks[[#This Row],[Planned Start]],NETWORKDAYS.INTL(Tasks[[#This Row],[Planned Start]],Tasks[[#This Row],[Start]],WorkWeek,Holidays)-1,1-NETWORKDAYS.INTL(Tasks[[#This Row],[Start]],Tasks[[#This Row],[Planned Start]],WorkWeek,Holidays)))</f>
        <v/>
      </c>
      <c r="AT153" s="63" t="str">
        <f aca="false">IF(Tasks[[#This Row],[Task Name]]="","",IF(Tasks[[#This Row],[_IsSummary]],MIN(INDEX(Tasks[_LeafLateStart],Tasks[[#This Row],[_Row]]+1):INDEX(Tasks[_LeafLateStart],Tasks[[#This Row],[_Row]]+Tasks[[#This Row],[_Descendants]])),Tasks[[#This Row],[_LeafLateStart]]))</f>
        <v/>
      </c>
      <c r="AU153" s="63" t="str">
        <f aca="false">IF(Tasks[[#This Row],[Task Name]]="","",IF(Tasks[[#This Row],[_IsSummary]],MAX(INDEX(Tasks[_LeafLateFinish],Tasks[[#This Row],[_Row]]+1):INDEX(Tasks[_LeafLateFinish],Tasks[[#This Row],[_Row]]+Tasks[[#This Row],[_Descendants]])),Tasks[[#This Row],[_LeafLateFinish]]))</f>
        <v/>
      </c>
      <c r="AV153" s="47" t="str">
        <f aca="false">IF(Tasks[[#This Row],[Task Name]]="","",IF(Tasks[[#This Row],[_IsSummary]],MIN(INDEX(Tasks[_LeafTotalSlack],Tasks[[#This Row],[_Row]]+1):INDEX(Tasks[_LeafTotalSlack],Tasks[[#This Row],[_Row]]+Tasks[[#This Row],[_Descendants]])),Tasks[[#This Row],[_LeafTotalSlack]]))</f>
        <v/>
      </c>
      <c r="AW1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5"/>
      <c r="BA15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t="str">
        <f aca="false">IF(Tasks[[#This Row],[Task Name]]="","",IF(Tasks[[#This Row],[_Level]]&lt;=OutlineShowLevel,"Yes","No"))</f>
        <v/>
      </c>
      <c r="BE153" s="86" t="str">
        <f aca="false">IF(Tasks[[#This Row],[Task Name]]="","",IF(Tasks[[#This Row],[_IsSummary]],SUM(INDEX(Tasks[_LeafTotalWork],Tasks[[#This Row],[_Row]]+1):INDEX(Tasks[_LeafTotalWork],Tasks[[#This Row],[_Row]]+Tasks[[#This Row],[_Descendants]])),Tasks[[#This Row],[_LeafTotalWork]]))</f>
        <v/>
      </c>
      <c r="BF153" s="23"/>
      <c r="BG1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t="str">
        <f aca="false">""</f>
        <v/>
      </c>
      <c r="BI153" s="87"/>
      <c r="BJ153" s="22"/>
      <c r="BK153" s="47" t="str">
        <f aca="false">IF(OR(Tasks[[#This Row],[Task Name]]="",Tasks[[#This Row],[Baseline Duration]]=""),"",Tasks[[#This Row],[_SpanDays]]-N(Tasks[[#This Row],[Baseline Duration]]))</f>
        <v/>
      </c>
      <c r="BL153" s="86" t="str">
        <f aca="false">IF(OR(Tasks[[#This Row],[Task Name]]="",Tasks[[#This Row],[Baseline Work]]=""),"",Tasks[[#This Row],[Work]]-N(Tasks[[#This Row],[Baseline Work]]))</f>
        <v/>
      </c>
      <c r="BM153" s="63" t="str">
        <f aca="false">IF(Tasks[[#This Row],[Task Name]]="","",IF(OR(TakeBaseline="Yes",N(Tasks[[#This Row],[Baseline Start]])=0),Tasks[[#This Row],[Start]],Tasks[[#This Row],[Baseline Start]]))</f>
        <v/>
      </c>
      <c r="BN153" s="63" t="str">
        <f aca="false">IF(Tasks[[#This Row],[Task Name]]="","",IF(OR(TakeBaseline="Yes",N(Tasks[[#This Row],[Baseline Finish]])=0),Tasks[[#This Row],[Finish]],Tasks[[#This Row],[Baseline Finish]]))</f>
        <v/>
      </c>
      <c r="BO153" s="21" t="str">
        <f aca="false">IF(Tasks[[#This Row],[Task Name]]="","",IF(OR(TakeBaseline="Yes",N(Tasks[[#This Row],[Baseline Duration]])=0),Tasks[[#This Row],[_SpanDays]],Tasks[[#This Row],[Baseline Duration]]))</f>
        <v/>
      </c>
      <c r="BP153" s="86" t="str">
        <f aca="false">IF(Tasks[[#This Row],[Task Name]]="","",IF(OR(TakeBaseline="Yes",N(Tasks[[#This Row],[Baseline Work]])=0),Tasks[[#This Row],[Work]],Tasks[[#This Row],[Baseline Work]]))</f>
        <v/>
      </c>
      <c r="BQ153" s="7"/>
      <c r="BR153" s="7"/>
      <c r="BS153" s="22"/>
      <c r="BT153" s="88"/>
      <c r="BU153" s="23"/>
      <c r="BV153" s="23"/>
      <c r="BW153" s="23"/>
      <c r="BX153" s="89" t="str">
        <f aca="false">IF(AND(Tasks[[#This Row],[_IsLeaf]]=1,ISNUMBER(Tasks[[#This Row],[Optimistic]]),ISNUMBER(Tasks[[#This Row],[Pessimistic]])),ROUND((Tasks[[#This Row],[Optimistic]]+4*N(Tasks[[#This Row],[_Days]])+Tasks[[#This Row],[Pessimistic]])/6,1),"")</f>
        <v/>
      </c>
      <c r="BY153" s="87"/>
      <c r="BZ153" s="87"/>
      <c r="CA153" s="22"/>
      <c r="CB153" s="43" t="str">
        <f aca="false">IF(Tasks[[#This Row],[Task Name]]="","",MAX(1,N(Tasks[[#This Row],[Level]])))</f>
        <v/>
      </c>
      <c r="CC153" s="43" t="n">
        <f aca="false">ROW()-ROW(Tasks[[#Headers],[ID]])</f>
        <v>148</v>
      </c>
      <c r="CD153" s="43" t="n">
        <f aca="false">IF(OR(Tasks[[#This Row],[Task Name]]="",Tasks[[#This Row],[_Level]]&lt;=1),0,IFERROR(LOOKUP(2,1/(Tasks[[#Headers],[_Level]]:Tasks[[#This Row],[_Level]]=Tasks[[#This Row],[_Level]]-1),ROW(Tasks[[#Headers],[_Level]]:Tasks[[#This Row],[_Level]])),0))</f>
        <v>0</v>
      </c>
      <c r="CE153" s="43" t="n">
        <f aca="false">IFERROR(N(INDEX(Tasks[_Level],Tasks[[#This Row],[_Row]]+1)),0)</f>
        <v>0</v>
      </c>
      <c r="CF153" s="90" t="b">
        <f aca="false">AND(Tasks[[#This Row],[Task Name]]&lt;&gt;"",Tasks[[#This Row],[_NextLevel]]&gt;Tasks[[#This Row],[_Level]])</f>
        <v>0</v>
      </c>
      <c r="CG153" s="43" t="n">
        <f aca="false">IF(Tasks[[#This Row],[_IsSummary]],COUNTIF(Tasks[WBS],Tasks[[#This Row],[WBS]]&amp;".*"),0)</f>
        <v>0</v>
      </c>
      <c r="CH153" s="43" t="n">
        <f aca="false">IF(AND(Tasks[[#This Row],[Task Name]]&lt;&gt;"",NOT(Tasks[[#This Row],[_IsSummary]])),1,0)</f>
        <v>0</v>
      </c>
      <c r="CI153" s="43" t="n">
        <f aca="false">IF(N(Tasks[[#This Row],[_Pred1UID]])=0,0,IFERROR(MATCH(Tasks[[#This Row],[_Pred1UID]],Tasks[UID],0),-1))</f>
        <v>0</v>
      </c>
      <c r="CJ153" s="43" t="n">
        <f aca="false">IF(N(Tasks[[#This Row],[_Pred2UID]])=0,0,IFERROR(MATCH(Tasks[[#This Row],[_Pred2UID]],Tasks[UID],0),-1))</f>
        <v>0</v>
      </c>
      <c r="CK153" s="43" t="n">
        <f aca="false">IF(N(Tasks[[#This Row],[_Pred3UID]])=0,0,IFERROR(MATCH(Tasks[[#This Row],[_Pred3UID]],Tasks[UID],0),-1))</f>
        <v>0</v>
      </c>
      <c r="CL153" s="43" t="n">
        <f aca="false">IF(N(Tasks[[#This Row],[_Pred4UID]])=0,0,IFERROR(MATCH(Tasks[[#This Row],[_Pred4UID]],Tasks[UID],0),-1))</f>
        <v>0</v>
      </c>
      <c r="CM1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3" s="91" t="n">
        <f aca="false">IF(OR(Tasks[[#This Row],[_ConstraintCode]]=2,Tasks[[#This Row],[_ConstraintCode]]=3,Tasks[[#This Row],[_ConstraintCode]]=4,Tasks[[#This Row],[_ConstraintCode]]=6),Tasks[[#This Row],[_ConstraintStart]],0)</f>
        <v>0</v>
      </c>
      <c r="CP153" s="91" t="n">
        <f aca="false">IF(OR(Tasks[[#This Row],[_ConstraintCode]]=2,Tasks[[#This Row],[_ConstraintCode]]=3,Tasks[[#This Row],[_ConstraintCode]]=5,Tasks[[#This Row],[_ConstraintCode]]=7),Tasks[[#This Row],[_ConstraintStart]],2958465)</f>
        <v>2958465</v>
      </c>
      <c r="CQ1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3" s="91" t="str">
        <f aca="false">IF(NOT(Tasks[[#This Row],[_IsLeaf]]=1),"",IF(N(Tasks[[#This Row],[_Days]])&lt;=0,Tasks[[#This Row],[_LeafCalcStart]],WORKDAY.INTL(Tasks[[#This Row],[_LeafCalcStart]],Tasks[[#This Row],[_Days]]-1,WorkWeek,Holidays)))</f>
        <v/>
      </c>
      <c r="CS1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3" s="43" t="str">
        <f aca="false">IF(Tasks[[#This Row],[_Predecessors]]="","",TRIM(MID(SUBSTITUTE(SUBSTITUTE(SUBSTITUTE(UPPER(Tasks[[#This Row],[_Predecessors]]),";",",")," ",""),",",REPT(" ",99)),1,99)))</f>
        <v/>
      </c>
      <c r="CV153" s="43" t="str">
        <f aca="false">IF(Tasks[[#This Row],[_Pred1Text]]="","",IFERROR(VALUE(LEFT(Tasks[[#This Row],[_Pred1Text]],MIN(FIND("F",Tasks[[#This Row],[_Pred1Text]]&amp;"F"),FIND("S",Tasks[[#This Row],[_Pred1Text]]&amp;"S"),FIND("+",Tasks[[#This Row],[_Pred1Text]]&amp;"+"),FIND("-",Tasks[[#This Row],[_Pred1Text]]&amp;"-"))-1)),""))</f>
        <v/>
      </c>
      <c r="CW1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3" s="43" t="str">
        <f aca="false">IF(Tasks[[#This Row],[_Pred1Text]]="","",TRIM(MID(SUBSTITUTE(SUBSTITUTE(SUBSTITUTE(UPPER(Tasks[[#This Row],[_Predecessors]]),";",",")," ",""),",",REPT(" ",99)),100,99)))</f>
        <v/>
      </c>
      <c r="CZ153" s="43" t="str">
        <f aca="false">IF(Tasks[[#This Row],[_Pred2Text]]="","",IFERROR(VALUE(LEFT(Tasks[[#This Row],[_Pred2Text]],MIN(FIND("F",Tasks[[#This Row],[_Pred2Text]]&amp;"F"),FIND("S",Tasks[[#This Row],[_Pred2Text]]&amp;"S"),FIND("+",Tasks[[#This Row],[_Pred2Text]]&amp;"+"),FIND("-",Tasks[[#This Row],[_Pred2Text]]&amp;"-"))-1)),""))</f>
        <v/>
      </c>
      <c r="DA1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3" s="43" t="str">
        <f aca="false">IF(Tasks[[#This Row],[_Pred2Text]]="","",TRIM(MID(SUBSTITUTE(SUBSTITUTE(SUBSTITUTE(UPPER(Tasks[[#This Row],[_Predecessors]]),";",",")," ",""),",",REPT(" ",99)),199,99)))</f>
        <v/>
      </c>
      <c r="DD153" s="43" t="str">
        <f aca="false">IF(Tasks[[#This Row],[_Pred3Text]]="","",IFERROR(VALUE(LEFT(Tasks[[#This Row],[_Pred3Text]],MIN(FIND("F",Tasks[[#This Row],[_Pred3Text]]&amp;"F"),FIND("S",Tasks[[#This Row],[_Pred3Text]]&amp;"S"),FIND("+",Tasks[[#This Row],[_Pred3Text]]&amp;"+"),FIND("-",Tasks[[#This Row],[_Pred3Text]]&amp;"-"))-1)),""))</f>
        <v/>
      </c>
      <c r="DE1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3" s="43" t="str">
        <f aca="false">IF(Tasks[[#This Row],[_Pred3Text]]="","",TRIM(MID(SUBSTITUTE(SUBSTITUTE(SUBSTITUTE(UPPER(Tasks[[#This Row],[_Predecessors]]),";",",")," ",""),",",REPT(" ",99)),298,99)))</f>
        <v/>
      </c>
      <c r="DH153" s="43" t="str">
        <f aca="false">IF(Tasks[[#This Row],[_Pred4Text]]="","",IFERROR(VALUE(LEFT(Tasks[[#This Row],[_Pred4Text]],MIN(FIND("F",Tasks[[#This Row],[_Pred4Text]]&amp;"F"),FIND("S",Tasks[[#This Row],[_Pred4Text]]&amp;"S"),FIND("+",Tasks[[#This Row],[_Pred4Text]]&amp;"+"),FIND("-",Tasks[[#This Row],[_Pred4Text]]&amp;"-"))-1)),""))</f>
        <v/>
      </c>
      <c r="DI1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3" s="43" t="str">
        <f aca="false">IF(OR(Tasks[[#This Row],[Task Name]]="",Tasks[[#This Row],[_Resources]]=""),"",TRIM(MID(SUBSTITUTE(Tasks[[#This Row],[_Resources]],",",REPT(" ",99)),1,99)))</f>
        <v/>
      </c>
      <c r="DL153" s="43" t="str">
        <f aca="false">IF(Tasks[[#This Row],[_Res1Text]]="","",TRIM(MID(SUBSTITUTE(Tasks[[#This Row],[_Resources]],",",REPT(" ",99)),100,99)))</f>
        <v/>
      </c>
      <c r="DM153" s="43" t="str">
        <f aca="false">IF(Tasks[[#This Row],[_Res2Text]]="","",TRIM(MID(SUBSTITUTE(Tasks[[#This Row],[_Resources]],",",REPT(" ",99)),199,99)))</f>
        <v/>
      </c>
      <c r="DN153" s="43" t="str">
        <f aca="false">IF(Tasks[[#This Row],[_Res3Text]]="","",TRIM(MID(SUBSTITUTE(Tasks[[#This Row],[_Resources]],",",REPT(" ",99)),298,99)))</f>
        <v/>
      </c>
      <c r="DO153" s="43" t="n">
        <f aca="false">IF(Tasks[[#This Row],[_Res1Text]]="",0,IFERROR(MATCH(TRIM(LEFT(Tasks[[#This Row],[_Res1Text]],FIND("[",Tasks[[#This Row],[_Res1Text]]&amp;"[")-1)),res_Name,0),IFERROR(MATCH(TRIM(LEFT(Tasks[[#This Row],[_Res1Text]],FIND("[",Tasks[[#This Row],[_Res1Text]]&amp;"[")-1)),res_Initials,0),0)))</f>
        <v>0</v>
      </c>
      <c r="DP153" s="43" t="n">
        <f aca="false">IF(Tasks[[#This Row],[_Res2Text]]="",0,IFERROR(MATCH(TRIM(LEFT(Tasks[[#This Row],[_Res2Text]],FIND("[",Tasks[[#This Row],[_Res2Text]]&amp;"[")-1)),res_Name,0),IFERROR(MATCH(TRIM(LEFT(Tasks[[#This Row],[_Res2Text]],FIND("[",Tasks[[#This Row],[_Res2Text]]&amp;"[")-1)),res_Initials,0),0)))</f>
        <v>0</v>
      </c>
      <c r="DQ153" s="43" t="n">
        <f aca="false">IF(Tasks[[#This Row],[_Res3Text]]="",0,IFERROR(MATCH(TRIM(LEFT(Tasks[[#This Row],[_Res3Text]],FIND("[",Tasks[[#This Row],[_Res3Text]]&amp;"[")-1)),res_Name,0),IFERROR(MATCH(TRIM(LEFT(Tasks[[#This Row],[_Res3Text]],FIND("[",Tasks[[#This Row],[_Res3Text]]&amp;"[")-1)),res_Initials,0),0)))</f>
        <v>0</v>
      </c>
      <c r="DR153" s="43" t="n">
        <f aca="false">IF(Tasks[[#This Row],[_Res4Text]]="",0,IFERROR(MATCH(TRIM(LEFT(Tasks[[#This Row],[_Res4Text]],FIND("[",Tasks[[#This Row],[_Res4Text]]&amp;"[")-1)),res_Name,0),IFERROR(MATCH(TRIM(LEFT(Tasks[[#This Row],[_Res4Text]],FIND("[",Tasks[[#This Row],[_Res4Text]]&amp;"[")-1)),res_Initials,0),0)))</f>
        <v>0</v>
      </c>
      <c r="DS153" s="43" t="str">
        <f aca="false">IF(Tasks[[#This Row],[_Res1Text]]="","",IF(Tasks[[#This Row],[_Res1Row]]&gt;0,INDEX(res_Name,Tasks[[#This Row],[_Res1Row]]),TRIM(LEFT(Tasks[[#This Row],[_Res1Text]],FIND("[",Tasks[[#This Row],[_Res1Text]]&amp;"[")-1))))</f>
        <v/>
      </c>
      <c r="DT1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3" s="43" t="n">
        <f aca="false">IF(NOT(Tasks[[#This Row],[_IsLeaf]]=1),0,(Tasks[[#This Row],[_Resource1]]&lt;&gt;"")+(Tasks[[#This Row],[_Res2]]&lt;&gt;"")+(Tasks[[#This Row],[_Res3]]&lt;&gt;"")+(Tasks[[#This Row],[_Res4]]&lt;&gt;""))</f>
        <v>0</v>
      </c>
      <c r="DV153" s="43" t="str">
        <f aca="false">IF(Tasks[[#This Row],[_Res2Text]]="","",IF(Tasks[[#This Row],[_Res2Row]]&gt;0,INDEX(res_Name,Tasks[[#This Row],[_Res2Row]]),TRIM(LEFT(Tasks[[#This Row],[_Res2Text]],FIND("[",Tasks[[#This Row],[_Res2Text]]&amp;"[")-1))))</f>
        <v/>
      </c>
      <c r="DW1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3" s="43" t="n">
        <f aca="false">IF(OR(NOT(Tasks[[#This Row],[_IsLeaf]]=1),Tasks[[#This Row],[_Res2Row]]=0),0,N(Tasks[[#This Row],[_Days]])*HoursPerDay*IF(Tasks[[#This Row],[_Res2Units]]="",DefaultUnits,Tasks[[#This Row],[_Res2Units]]))</f>
        <v>0</v>
      </c>
      <c r="DY153" s="43" t="n">
        <f aca="false">IF(AND(AND(Tasks[[#This Row],[_IsLeaf]]=1,Tasks[[#This Row],[_LeafTotalWork]]&gt;0),Tasks[[#This Row],[_Res2Work]]&gt;0),Tasks[[#This Row],[_Res2Work]]/(Tasks[[#This Row],[_FinishWorkday]]-Tasks[[#This Row],[_StartWorkday]]+1),0)</f>
        <v>0</v>
      </c>
      <c r="DZ153" s="43" t="n">
        <f aca="false">Tasks[[#This Row],[_Res2WorkPerWD]]*MAX(0,Tasks[[#This Row],[_StartWorkday]]-1)</f>
        <v>0</v>
      </c>
      <c r="EA153" s="43" t="n">
        <f aca="false">Tasks[[#This Row],[_Res2Work]]*Tasks[[#This Row],[_LeafProgress]]</f>
        <v>0</v>
      </c>
      <c r="EB153" s="43" t="str">
        <f aca="false">IF(Tasks[[#This Row],[_Res3Text]]="","",IF(Tasks[[#This Row],[_Res3Row]]&gt;0,INDEX(res_Name,Tasks[[#This Row],[_Res3Row]]),TRIM(LEFT(Tasks[[#This Row],[_Res3Text]],FIND("[",Tasks[[#This Row],[_Res3Text]]&amp;"[")-1))))</f>
        <v/>
      </c>
      <c r="EC1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3" s="43" t="n">
        <f aca="false">IF(OR(NOT(Tasks[[#This Row],[_IsLeaf]]=1),Tasks[[#This Row],[_Res3Row]]=0),0,N(Tasks[[#This Row],[_Days]])*HoursPerDay*IF(Tasks[[#This Row],[_Res3Units]]="",DefaultUnits,Tasks[[#This Row],[_Res3Units]]))</f>
        <v>0</v>
      </c>
      <c r="EE153" s="43" t="n">
        <f aca="false">IF(AND(AND(Tasks[[#This Row],[_IsLeaf]]=1,Tasks[[#This Row],[_LeafTotalWork]]&gt;0),Tasks[[#This Row],[_Res3Work]]&gt;0),Tasks[[#This Row],[_Res3Work]]/(Tasks[[#This Row],[_FinishWorkday]]-Tasks[[#This Row],[_StartWorkday]]+1),0)</f>
        <v>0</v>
      </c>
      <c r="EF153" s="43" t="n">
        <f aca="false">Tasks[[#This Row],[_Res3WorkPerWD]]*MAX(0,Tasks[[#This Row],[_StartWorkday]]-1)</f>
        <v>0</v>
      </c>
      <c r="EG153" s="43" t="n">
        <f aca="false">Tasks[[#This Row],[_Res3Work]]*Tasks[[#This Row],[_LeafProgress]]</f>
        <v>0</v>
      </c>
      <c r="EH153" s="43" t="str">
        <f aca="false">IF(Tasks[[#This Row],[_Res4Text]]="","",IF(Tasks[[#This Row],[_Res4Row]]&gt;0,INDEX(res_Name,Tasks[[#This Row],[_Res4Row]]),TRIM(LEFT(Tasks[[#This Row],[_Res4Text]],FIND("[",Tasks[[#This Row],[_Res4Text]]&amp;"[")-1))))</f>
        <v/>
      </c>
      <c r="EI1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3" s="43" t="n">
        <f aca="false">IF(OR(NOT(Tasks[[#This Row],[_IsLeaf]]=1),Tasks[[#This Row],[_Res4Row]]=0),0,N(Tasks[[#This Row],[_Days]])*HoursPerDay*IF(Tasks[[#This Row],[_Res4Units]]="",DefaultUnits,Tasks[[#This Row],[_Res4Units]]))</f>
        <v>0</v>
      </c>
      <c r="EK153" s="43" t="n">
        <f aca="false">IF(AND(AND(Tasks[[#This Row],[_IsLeaf]]=1,Tasks[[#This Row],[_LeafTotalWork]]&gt;0),Tasks[[#This Row],[_Res4Work]]&gt;0),Tasks[[#This Row],[_Res4Work]]/(Tasks[[#This Row],[_FinishWorkday]]-Tasks[[#This Row],[_StartWorkday]]+1),0)</f>
        <v>0</v>
      </c>
      <c r="EL153" s="43" t="n">
        <f aca="false">Tasks[[#This Row],[_Res4WorkPerWD]]*MAX(0,Tasks[[#This Row],[_StartWorkday]]-1)</f>
        <v>0</v>
      </c>
      <c r="EM153" s="43" t="n">
        <f aca="false">Tasks[[#This Row],[_Res4Work]]*Tasks[[#This Row],[_LeafProgress]]</f>
        <v>0</v>
      </c>
      <c r="EN153" s="43" t="n">
        <f aca="false">IF(ISNUMBER(Tasks[[#This Row],[% Complete]]),Tasks[[#This Row],[% Complete]],IF(Tasks[[#This Row],[Stage]]="",0,IFERROR(INDEX(stg_Pct,MATCH(Tasks[[#This Row],[Stage]],stg_Name,0)),0)))</f>
        <v>0</v>
      </c>
      <c r="EO153" s="43" t="n">
        <f aca="false">IF(NOT(Tasks[[#This Row],[_IsLeaf]]=1),0,IF(N(Tasks[[#This Row],[Actual Finish]])&gt;0,1,MIN(1,Tasks[[#This Row],[_Pct]])))</f>
        <v>0</v>
      </c>
      <c r="EP153" s="43" t="n">
        <f aca="false">IF(OR(NOT(Tasks[[#This Row],[_IsLeaf]]=1),Tasks[[#This Row],[_Res1Row]]=0),0,N(Tasks[[#This Row],[_Days]])*HoursPerDay*IF(Tasks[[#This Row],[_Units1]]="",DefaultUnits,Tasks[[#This Row],[_Units1]]))</f>
        <v>0</v>
      </c>
      <c r="EQ153" s="43" t="n">
        <f aca="false">Tasks[[#This Row],[_LeafWork]]+Tasks[[#This Row],[_Res2Work]]+Tasks[[#This Row],[_Res3Work]]+Tasks[[#This Row],[_Res4Work]]</f>
        <v>0</v>
      </c>
      <c r="ER15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3" s="43" t="n">
        <f aca="false">IF(NOT(Tasks[[#This Row],[_IsLeaf]]=1),0,MAX(_xlfn.MAXIFS(Tasks[_Row],Tasks[_Pred1UID],Tasks[[#This Row],[UID]]),_xlfn.MAXIFS(Tasks[_Row],Tasks[_Pred2UID],Tasks[[#This Row],[UID]]),_xlfn.MAXIFS(Tasks[_Row],Tasks[_Pred3UID],Tasks[[#This Row],[UID]]),_xlfn.MAXIFS(Tasks[_Row],Tasks[_Pred4UID],Tasks[[#This Row],[UID]])))</f>
        <v>0</v>
      </c>
      <c r="FA1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3" s="91" t="str">
        <f aca="false">IF(NOT(Tasks[[#This Row],[_IsLeaf]]=1),"",IF(N(Tasks[[#This Row],[_Days]])&lt;=0,Tasks[[#This Row],[_LeafLateFinish]],WORKDAY.INTL(Tasks[[#This Row],[_LeafLateFinish]],-(Tasks[[#This Row],[_Days]]-1),WorkWeek,Holidays)))</f>
        <v/>
      </c>
      <c r="FD1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3" s="90" t="b">
        <f aca="false">AND(Tasks[[#This Row],[_IsLeaf]]=1,Tasks[[#This Row],[_LeafProgress]]&lt;1,N(Tasks[[#This Row],[_LeafTotalSlack]])&lt;=CriticalSlackDays)</f>
        <v>0</v>
      </c>
      <c r="FF153" s="43" t="n">
        <f aca="false">IF(AND(Tasks[[#This Row],[_IsLeaf]]=1,Tasks[[#This Row],[_ConstraintCode]]=1,Tasks[[#This Row],[Mode]]&lt;&gt;"Manual",N(Tasks[[#This Row],[Actual Start]])=0),MAX(0,N(Tasks[[#This Row],[Free Slack]])),0)</f>
        <v>0</v>
      </c>
      <c r="FG153" s="91" t="str">
        <f aca="false">IF(NOT(Tasks[[#This Row],[_IsLeaf]]=1),"",IF(Tasks[[#This Row],[_AlapShift]]=0,Tasks[[#This Row],[_LeafCalcStart]],WORKDAY.INTL(Tasks[[#This Row],[_LeafCalcStart]],Tasks[[#This Row],[_AlapShift]],WorkWeek,Holidays)))</f>
        <v/>
      </c>
      <c r="FH153" s="91" t="str">
        <f aca="false">IF(NOT(Tasks[[#This Row],[_IsLeaf]]=1),"",IF(Tasks[[#This Row],[_AlapShift]]=0,Tasks[[#This Row],[_LeafCalcFinish]],WORKDAY.INTL(Tasks[[#This Row],[_LeafCalcFinish]],Tasks[[#This Row],[_AlapShift]],WorkWeek,Holidays)))</f>
        <v/>
      </c>
      <c r="FI153" s="91" t="str">
        <f aca="false">IF(NOT(Tasks[[#This Row],[_IsLeaf]]=1),"",IF(Tasks[[#This Row],[_AlapShift]]=0,Tasks[[#This Row],[_LeafFcstStart]],WORKDAY.INTL(Tasks[[#This Row],[_LeafFcstStart]],Tasks[[#This Row],[_AlapShift]],WorkWeek,Holidays)))</f>
        <v/>
      </c>
      <c r="FJ153" s="91" t="str">
        <f aca="false">IF(NOT(Tasks[[#This Row],[_IsLeaf]]=1),"",IF(Tasks[[#This Row],[_AlapShift]]=0,Tasks[[#This Row],[_LeafFcstFinish]],WORKDAY.INTL(Tasks[[#This Row],[_LeafFcstFinish]],Tasks[[#This Row],[_AlapShift]],WorkWeek,Holidays)))</f>
        <v/>
      </c>
      <c r="FK153" s="91" t="str">
        <f aca="false">IF(Tasks[[#This Row],[Task Name]]="","",IF(Tasks[[#This Row],[_IsSummary]],MIN(INDEX(Tasks[_ShownCalcStart],Tasks[[#This Row],[_Row]]+1):INDEX(Tasks[_ShownCalcStart],Tasks[[#This Row],[_Row]]+Tasks[[#This Row],[_Descendants]])),Tasks[[#This Row],[_ShownCalcStart]]))</f>
        <v/>
      </c>
      <c r="FL153" s="91" t="str">
        <f aca="false">IF(Tasks[[#This Row],[Task Name]]="","",IF(Tasks[[#This Row],[_IsSummary]],MAX(INDEX(Tasks[_ShownCalcFinish],Tasks[[#This Row],[_Row]]+1):INDEX(Tasks[_ShownCalcFinish],Tasks[[#This Row],[_Row]]+Tasks[[#This Row],[_Descendants]])),Tasks[[#This Row],[_ShownCalcFinish]]))</f>
        <v/>
      </c>
      <c r="FM1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3" s="43" t="n">
        <f aca="false">IF(AND(Tasks[[#This Row],[_IsLeaf]]=1,Tasks[[#This Row],[_LeafTotalWork]]&gt;0),NETWORKDAYS.INTL(ProjectStart,Tasks[[#This Row],[_ShownFcstStart]],WorkWeek,Holidays),0)</f>
        <v>0</v>
      </c>
      <c r="FZ153" s="43" t="n">
        <f aca="false">IF(AND(Tasks[[#This Row],[_IsLeaf]]=1,Tasks[[#This Row],[_LeafTotalWork]]&gt;0),MAX(Tasks[[#This Row],[_StartWorkday]],NETWORKDAYS.INTL(ProjectStart,Tasks[[#This Row],[_ShownFcstFinish]],WorkWeek,Holidays)),0)</f>
        <v>0</v>
      </c>
      <c r="GA153" s="43" t="n">
        <f aca="false">IF(AND(Tasks[[#This Row],[_IsLeaf]]=1,Tasks[[#This Row],[_LeafTotalWork]]&gt;0),Tasks[[#This Row],[_LeafWork]]/(Tasks[[#This Row],[_FinishWorkday]]-Tasks[[#This Row],[_StartWorkday]]+1),0)</f>
        <v>0</v>
      </c>
      <c r="GB153" s="43" t="n">
        <f aca="false">Tasks[[#This Row],[_WorkPerWorkday]]*(Tasks[[#This Row],[_StartWorkday]]-1)</f>
        <v>-0</v>
      </c>
      <c r="GC153" s="43" t="n">
        <f aca="false">IF(Tasks[[#This Row],[_IsLeaf]]=1,MAX(N(Tasks[[#This Row],[_Days]]),0.1),0)</f>
        <v>0</v>
      </c>
      <c r="GD153" s="43" t="n">
        <f aca="false">Tasks[[#This Row],[_WeightDur]]*Tasks[[#This Row],[_LeafProgress]]</f>
        <v>0</v>
      </c>
      <c r="GE153" s="43" t="n">
        <f aca="false">Tasks[[#This Row],[_WeightDur]]*Tasks[[#This Row],[_PlannedPct]]</f>
        <v>0</v>
      </c>
      <c r="GF1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3" s="43" t="str">
        <f aca="false">IF(AND(Tasks[[#This Row],[_IsLeaf]]=1,N(Tasks[[#This Row],[_Days]])=0,Tasks[[#This Row],[_LeafProgress]]&lt;1),Tasks[[#This Row],[_ShownFcstFinish]]+Tasks[[#This Row],[_Row]]/100000,"")</f>
        <v/>
      </c>
      <c r="GH1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3" s="43" t="str">
        <f aca="false">IF(Tasks[[#This Row],[Task Name]]="","",LEFT(Tasks[[#This Row],[WBS]],FIND(".",Tasks[[#This Row],[WBS]]&amp;".")-1))</f>
        <v/>
      </c>
      <c r="GJ153" s="43" t="str">
        <f aca="false">IF(AND(Tasks[[#This Row],[Task Name]]&lt;&gt;"",Tasks[[#This Row],[_Level]]=1),Tasks[[#This Row],[_Row]],"")</f>
        <v/>
      </c>
      <c r="GK153" s="43" t="str">
        <f aca="false">IF(AND(Tasks[[#This Row],[_IsLeaf]]=1,N(Tasks[[#This Row],[_Days]])=0),Tasks[[#This Row],[Planned Finish]]+Tasks[[#This Row],[_Row]]/100000,"")</f>
        <v/>
      </c>
      <c r="GL153" s="43" t="str">
        <f aca="false">IF(AND(Tasks[[#This Row],[_IsLeaf]]=1,Tasks[[#This Row],[_LeafProgress]]&lt;1,OR(N(Tasks[[#This Row],[Finish Var]])&gt;0,Tasks[[#This Row],[Status]]="Late Start")),MAX(0,Tasks[[#This Row],[Finish Var]])+1-Tasks[[#This Row],[_Row]]/1000000,"")</f>
        <v/>
      </c>
      <c r="GM153" s="43" t="str">
        <f aca="false">IF(AND(Tasks[[#This Row],[_IsLeaf]]=1,N(Tasks[[#This Row],[Actual Start]])=0,Tasks[[#This Row],[_ShownFcstStart]]&gt;=StatusDate,Tasks[[#This Row],[_ShownFcstStart]]&lt;=LookaheadEnd),Tasks[[#This Row],[_ShownFcstStart]]+Tasks[[#This Row],[_Row]]/100000,"")</f>
        <v/>
      </c>
      <c r="GN153" s="43" t="str">
        <f aca="false">IF(AND(Tasks[[#This Row],[_IsLeaf]]=1,Tasks[[#This Row],[_LeafProgress]]&lt;1,Tasks[[#This Row],[_ShownFcstFinish]]&gt;=StatusDate,Tasks[[#This Row],[_ShownFcstFinish]]&lt;=LookaheadEnd),Tasks[[#This Row],[_ShownFcstFinish]]+Tasks[[#This Row],[_Row]]/100000,"")</f>
        <v/>
      </c>
      <c r="GO153" s="43" t="str">
        <f aca="false">IF(Tasks[[#This Row],[_LeafCritical]],Tasks[[#This Row],[_ShownFcstStart]]+Tasks[[#This Row],[_Row]]/100000,"")</f>
        <v/>
      </c>
      <c r="GP153" s="43" t="n">
        <f aca="false">Tasks[[#This Row],[_LeafWork]]*Tasks[[#This Row],[_LeafProgress]]</f>
        <v>0</v>
      </c>
      <c r="GQ153" s="91" t="str">
        <f aca="false">IF(AND(Tasks[[#This Row],[_IsLeaf]]=1,Tasks[[#This Row],[_LeafProgress]]&gt;=1),IF(N(Tasks[[#This Row],[Actual Finish]])&gt;0,Tasks[[#This Row],[Actual Finish]],Tasks[[#This Row],[_ShownFcstFinish]]),"")</f>
        <v/>
      </c>
      <c r="GR153" s="43" t="n">
        <f aca="false">IF(Tasks[[#This Row],[_IsLeaf]]=1,N(Tasks[[#This Row],[Story Points]]),0)</f>
        <v>0</v>
      </c>
      <c r="GS153" s="43" t="str">
        <f aca="false">""</f>
        <v/>
      </c>
      <c r="GT153" s="90" t="b">
        <f aca="false">IF(Tasks[[#This Row],[Task Name]]="",FALSE(),AND(Tasks[[#This Row],[_IsLeaf]]=1,N(Tasks[[#This Row],[_Days]])=0))</f>
        <v>0</v>
      </c>
      <c r="GU153" s="91" t="n">
        <f aca="false">IF(Tasks[[#This Row],[Task Name]]="",0,IF(AND(Tasks[[#This Row],[_IsLeaf]]=1,NOT(Tasks[[#This Row],[_IsMilestone]]),N(Tasks[[#This Row],[Progress]])&gt;0),Tasks[[#This Row],[Start]],0))</f>
        <v>0</v>
      </c>
      <c r="GV153" s="91" t="n">
        <f aca="false">IF(Tasks[[#This Row],[_DoneFrom]]=0,0,IF(Tasks[[#This Row],[Progress]]&gt;=1,Tasks[[#This Row],[Finish]],MAX(Tasks[[#This Row],[_DoneFrom]],Tasks[[#This Row],[Start]]+ROUND((Tasks[[#This Row],[Finish]]-Tasks[[#This Row],[Start]]+1)*Tasks[[#This Row],[Progress]],0)-1)))</f>
        <v>0</v>
      </c>
      <c r="GW153" s="91" t="n">
        <f aca="false">IF(Tasks[[#This Row],[Task Name]]="",0,IF(OR(NOT(Tasks[[#This Row],[_IsLeaf]]=1),Tasks[[#This Row],[_IsMilestone]],N(Tasks[[#This Row],[Progress]])&gt;=1),0,IF(Tasks[[#This Row],[_DoneTo]]&gt;0,Tasks[[#This Row],[_DoneTo]]+1,Tasks[[#This Row],[Start]])))</f>
        <v>0</v>
      </c>
      <c r="GX153" s="91" t="n">
        <f aca="false">IF(Tasks[[#This Row],[_RemFrom]]=0,0,Tasks[[#This Row],[Finish]])</f>
        <v>0</v>
      </c>
      <c r="GY153" s="90" t="b">
        <f aca="false">IF(Tasks[[#This Row],[Task Name]]="",FALSE(),OR(NOT(BaselineSet),N(Tasks[[#This Row],[Baseline Start]])&gt;0))</f>
        <v>0</v>
      </c>
      <c r="GZ15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3" s="92" t="str">
        <f aca="false">IF(Tasks[[#This Row],[_IsLeaf]]=1,Tasks[[#This Row],[_Row]],"")</f>
        <v/>
      </c>
      <c r="HD153" s="92" t="str">
        <f aca="false">IFERROR(INDEX(Tasks[UID],SMALL(Tasks[_PickKey],Tasks[[#This Row],[_Row]]))&amp;" "&amp;INDEX(Tasks[Task Name],SMALL(Tasks[_PickKey],Tasks[[#This Row],[_Row]])),"")</f>
        <v/>
      </c>
      <c r="HE153" s="43" t="str">
        <f aca="false">IF(Tasks[[#This Row],[Task Name]]="","",IF(Tasks[[#This Row],[_IsSummary]],NETWORKDAYS.INTL(Tasks[[#This Row],[Start]],Tasks[[#This Row],[Finish]],WorkWeek,Holidays),N(Tasks[[#This Row],[_Days]])))</f>
        <v/>
      </c>
      <c r="HF153" s="43" t="n">
        <f aca="false">IF(Tasks[[#This Row],[Expected]]="",0,((Tasks[[#This Row],[Pessimistic]]-Tasks[[#This Row],[Optimistic]])/6)^2)</f>
        <v>0</v>
      </c>
      <c r="HG153" s="43" t="n">
        <f aca="false">IF(Tasks[[#This Row],[Expected]]="",0,Tasks[[#This Row],[Expected]]-N(Tasks[[#This Row],[_Days]]))</f>
        <v>0</v>
      </c>
    </row>
    <row r="154" customFormat="false" ht="15" hidden="false" customHeight="false" outlineLevel="0" collapsed="false">
      <c r="A154" s="21" t="str">
        <f aca="false">IF(Tasks[[#This Row],[Task Name]]="","",COUNTA(Tasks[[#Headers],[Task Name]]:Tasks[[#This Row],[Task Name]])-1)</f>
        <v/>
      </c>
      <c r="B154" s="22" t="n">
        <v>162</v>
      </c>
      <c r="C154" s="22"/>
      <c r="D154" s="23"/>
      <c r="E154" s="22"/>
      <c r="F154" s="23"/>
      <c r="G154" s="22"/>
      <c r="H154" s="22"/>
      <c r="I154" s="23"/>
      <c r="J154" s="22"/>
      <c r="K154" s="22"/>
      <c r="L154" s="23"/>
      <c r="M154" s="22"/>
      <c r="N154" s="22"/>
      <c r="O154" s="23"/>
      <c r="P154" s="22"/>
      <c r="Q154" s="22"/>
      <c r="R154" s="23"/>
      <c r="S154" s="23"/>
      <c r="T154" s="84"/>
      <c r="U154" s="23"/>
      <c r="V154" s="84"/>
      <c r="W154" s="23"/>
      <c r="X154" s="84"/>
      <c r="Y154" s="23"/>
      <c r="Z154" s="84"/>
      <c r="AA154" s="23"/>
      <c r="AB154" s="23"/>
      <c r="AC154" s="7"/>
      <c r="AD154" s="7"/>
      <c r="AE154" s="63" t="str">
        <f aca="false">IF(Tasks[[#This Row],[Task Name]]="","",IF(Tasks[[#This Row],[_IsSummary]],MIN(INDEX(Tasks[_ShownFcstStart],Tasks[[#This Row],[_Row]]+1):INDEX(Tasks[_ShownFcstStart],Tasks[[#This Row],[_Row]]+Tasks[[#This Row],[_Descendants]])),Tasks[[#This Row],[_ShownFcstStart]]))</f>
        <v/>
      </c>
      <c r="AF154" s="63" t="str">
        <f aca="false">IF(Tasks[[#This Row],[Task Name]]="","",IF(Tasks[[#This Row],[_IsSummary]],MAX(INDEX(Tasks[_ShownFcstFinish],Tasks[[#This Row],[_Row]]+1):INDEX(Tasks[_ShownFcstFinish],Tasks[[#This Row],[_Row]]+Tasks[[#This Row],[_Descendants]])),Tasks[[#This Row],[_ShownFcstFinish]]))</f>
        <v/>
      </c>
      <c r="AG154" s="21" t="str">
        <f aca="false">""</f>
        <v/>
      </c>
      <c r="AH154" s="23"/>
      <c r="AI1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4" s="7"/>
      <c r="AK154" s="22"/>
      <c r="AL154" s="23"/>
      <c r="AM154" s="7"/>
      <c r="AN154" s="47" t="str">
        <f aca="false">IF(Tasks[[#This Row],[Task Name]]="","",IF(Tasks[[#This Row],[Finish]]&gt;=Tasks[[#This Row],[Planned Finish]],NETWORKDAYS.INTL(Tasks[[#This Row],[Planned Finish]],Tasks[[#This Row],[Finish]],WorkWeek,Holidays)-1,1-NETWORKDAYS.INTL(Tasks[[#This Row],[Finish]],Tasks[[#This Row],[Planned Finish]],WorkWeek,Holidays)))</f>
        <v/>
      </c>
      <c r="AO154" s="21" t="str">
        <f aca="false">IF(Tasks[[#This Row],[Task Name]]="","",IF(Tasks[[#This Row],[Progress]]&gt;=1,"Complete",IF(OR(N(Tasks[[#This Row],[Actual Start]])&gt;0,Tasks[[#This Row],[Progress]]&gt;0),IF(Tasks[[#This Row],[Finish Var]]&gt;0,"Behind","In Progress"),IF(Tasks[[#This Row],[Planned Start]]&lt;StatusDate,"Late Start","Not Started"))))</f>
        <v/>
      </c>
      <c r="AP154" s="21" t="str">
        <f aca="false">IF(Tasks[[#This Row],[Task Name]]="","",IF(IF(Tasks[[#This Row],[_IsSummary]],COUNTIF(INDEX(Tasks[_LeafCritical],Tasks[[#This Row],[_Row]]+1):INDEX(Tasks[_LeafCritical],Tasks[[#This Row],[_Row]]+Tasks[[#This Row],[_Descendants]]),TRUE())&gt;0,Tasks[[#This Row],[_LeafCritical]]),"Yes",""))</f>
        <v/>
      </c>
      <c r="AQ154" s="63" t="str">
        <f aca="false">IF(Tasks[[#This Row],[Task Name]]="","",IF(N(Tasks[[#This Row],[Baseline Start]])&gt;0,Tasks[[#This Row],[Baseline Start]],Tasks[[#This Row],[_CalcStart]]))</f>
        <v/>
      </c>
      <c r="AR154" s="63" t="str">
        <f aca="false">IF(Tasks[[#This Row],[Task Name]]="","",IF(N(Tasks[[#This Row],[Baseline Finish]])&gt;0,Tasks[[#This Row],[Baseline Finish]],Tasks[[#This Row],[_CalcFinish]]))</f>
        <v/>
      </c>
      <c r="AS154" s="47" t="str">
        <f aca="false">IF(Tasks[[#This Row],[Task Name]]="","",IF(Tasks[[#This Row],[Start]]&gt;=Tasks[[#This Row],[Planned Start]],NETWORKDAYS.INTL(Tasks[[#This Row],[Planned Start]],Tasks[[#This Row],[Start]],WorkWeek,Holidays)-1,1-NETWORKDAYS.INTL(Tasks[[#This Row],[Start]],Tasks[[#This Row],[Planned Start]],WorkWeek,Holidays)))</f>
        <v/>
      </c>
      <c r="AT154" s="63" t="str">
        <f aca="false">IF(Tasks[[#This Row],[Task Name]]="","",IF(Tasks[[#This Row],[_IsSummary]],MIN(INDEX(Tasks[_LeafLateStart],Tasks[[#This Row],[_Row]]+1):INDEX(Tasks[_LeafLateStart],Tasks[[#This Row],[_Row]]+Tasks[[#This Row],[_Descendants]])),Tasks[[#This Row],[_LeafLateStart]]))</f>
        <v/>
      </c>
      <c r="AU154" s="63" t="str">
        <f aca="false">IF(Tasks[[#This Row],[Task Name]]="","",IF(Tasks[[#This Row],[_IsSummary]],MAX(INDEX(Tasks[_LeafLateFinish],Tasks[[#This Row],[_Row]]+1):INDEX(Tasks[_LeafLateFinish],Tasks[[#This Row],[_Row]]+Tasks[[#This Row],[_Descendants]])),Tasks[[#This Row],[_LeafLateFinish]]))</f>
        <v/>
      </c>
      <c r="AV154" s="47" t="str">
        <f aca="false">IF(Tasks[[#This Row],[Task Name]]="","",IF(Tasks[[#This Row],[_IsSummary]],MIN(INDEX(Tasks[_LeafTotalSlack],Tasks[[#This Row],[_Row]]+1):INDEX(Tasks[_LeafTotalSlack],Tasks[[#This Row],[_Row]]+Tasks[[#This Row],[_Descendants]])),Tasks[[#This Row],[_LeafTotalSlack]]))</f>
        <v/>
      </c>
      <c r="AW1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5"/>
      <c r="BA15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t="str">
        <f aca="false">IF(Tasks[[#This Row],[Task Name]]="","",IF(Tasks[[#This Row],[_Level]]&lt;=OutlineShowLevel,"Yes","No"))</f>
        <v/>
      </c>
      <c r="BE154" s="86" t="str">
        <f aca="false">IF(Tasks[[#This Row],[Task Name]]="","",IF(Tasks[[#This Row],[_IsSummary]],SUM(INDEX(Tasks[_LeafTotalWork],Tasks[[#This Row],[_Row]]+1):INDEX(Tasks[_LeafTotalWork],Tasks[[#This Row],[_Row]]+Tasks[[#This Row],[_Descendants]])),Tasks[[#This Row],[_LeafTotalWork]]))</f>
        <v/>
      </c>
      <c r="BF154" s="23"/>
      <c r="BG1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t="str">
        <f aca="false">""</f>
        <v/>
      </c>
      <c r="BI154" s="87"/>
      <c r="BJ154" s="22"/>
      <c r="BK154" s="47" t="str">
        <f aca="false">IF(OR(Tasks[[#This Row],[Task Name]]="",Tasks[[#This Row],[Baseline Duration]]=""),"",Tasks[[#This Row],[_SpanDays]]-N(Tasks[[#This Row],[Baseline Duration]]))</f>
        <v/>
      </c>
      <c r="BL154" s="86" t="str">
        <f aca="false">IF(OR(Tasks[[#This Row],[Task Name]]="",Tasks[[#This Row],[Baseline Work]]=""),"",Tasks[[#This Row],[Work]]-N(Tasks[[#This Row],[Baseline Work]]))</f>
        <v/>
      </c>
      <c r="BM154" s="63" t="str">
        <f aca="false">IF(Tasks[[#This Row],[Task Name]]="","",IF(OR(TakeBaseline="Yes",N(Tasks[[#This Row],[Baseline Start]])=0),Tasks[[#This Row],[Start]],Tasks[[#This Row],[Baseline Start]]))</f>
        <v/>
      </c>
      <c r="BN154" s="63" t="str">
        <f aca="false">IF(Tasks[[#This Row],[Task Name]]="","",IF(OR(TakeBaseline="Yes",N(Tasks[[#This Row],[Baseline Finish]])=0),Tasks[[#This Row],[Finish]],Tasks[[#This Row],[Baseline Finish]]))</f>
        <v/>
      </c>
      <c r="BO154" s="21" t="str">
        <f aca="false">IF(Tasks[[#This Row],[Task Name]]="","",IF(OR(TakeBaseline="Yes",N(Tasks[[#This Row],[Baseline Duration]])=0),Tasks[[#This Row],[_SpanDays]],Tasks[[#This Row],[Baseline Duration]]))</f>
        <v/>
      </c>
      <c r="BP154" s="86" t="str">
        <f aca="false">IF(Tasks[[#This Row],[Task Name]]="","",IF(OR(TakeBaseline="Yes",N(Tasks[[#This Row],[Baseline Work]])=0),Tasks[[#This Row],[Work]],Tasks[[#This Row],[Baseline Work]]))</f>
        <v/>
      </c>
      <c r="BQ154" s="7"/>
      <c r="BR154" s="7"/>
      <c r="BS154" s="22"/>
      <c r="BT154" s="88"/>
      <c r="BU154" s="23"/>
      <c r="BV154" s="23"/>
      <c r="BW154" s="23"/>
      <c r="BX154" s="89" t="str">
        <f aca="false">IF(AND(Tasks[[#This Row],[_IsLeaf]]=1,ISNUMBER(Tasks[[#This Row],[Optimistic]]),ISNUMBER(Tasks[[#This Row],[Pessimistic]])),ROUND((Tasks[[#This Row],[Optimistic]]+4*N(Tasks[[#This Row],[_Days]])+Tasks[[#This Row],[Pessimistic]])/6,1),"")</f>
        <v/>
      </c>
      <c r="BY154" s="87"/>
      <c r="BZ154" s="87"/>
      <c r="CA154" s="22"/>
      <c r="CB154" s="43" t="str">
        <f aca="false">IF(Tasks[[#This Row],[Task Name]]="","",MAX(1,N(Tasks[[#This Row],[Level]])))</f>
        <v/>
      </c>
      <c r="CC154" s="43" t="n">
        <f aca="false">ROW()-ROW(Tasks[[#Headers],[ID]])</f>
        <v>149</v>
      </c>
      <c r="CD154" s="43" t="n">
        <f aca="false">IF(OR(Tasks[[#This Row],[Task Name]]="",Tasks[[#This Row],[_Level]]&lt;=1),0,IFERROR(LOOKUP(2,1/(Tasks[[#Headers],[_Level]]:Tasks[[#This Row],[_Level]]=Tasks[[#This Row],[_Level]]-1),ROW(Tasks[[#Headers],[_Level]]:Tasks[[#This Row],[_Level]])),0))</f>
        <v>0</v>
      </c>
      <c r="CE154" s="43" t="n">
        <f aca="false">IFERROR(N(INDEX(Tasks[_Level],Tasks[[#This Row],[_Row]]+1)),0)</f>
        <v>0</v>
      </c>
      <c r="CF154" s="90" t="b">
        <f aca="false">AND(Tasks[[#This Row],[Task Name]]&lt;&gt;"",Tasks[[#This Row],[_NextLevel]]&gt;Tasks[[#This Row],[_Level]])</f>
        <v>0</v>
      </c>
      <c r="CG154" s="43" t="n">
        <f aca="false">IF(Tasks[[#This Row],[_IsSummary]],COUNTIF(Tasks[WBS],Tasks[[#This Row],[WBS]]&amp;".*"),0)</f>
        <v>0</v>
      </c>
      <c r="CH154" s="43" t="n">
        <f aca="false">IF(AND(Tasks[[#This Row],[Task Name]]&lt;&gt;"",NOT(Tasks[[#This Row],[_IsSummary]])),1,0)</f>
        <v>0</v>
      </c>
      <c r="CI154" s="43" t="n">
        <f aca="false">IF(N(Tasks[[#This Row],[_Pred1UID]])=0,0,IFERROR(MATCH(Tasks[[#This Row],[_Pred1UID]],Tasks[UID],0),-1))</f>
        <v>0</v>
      </c>
      <c r="CJ154" s="43" t="n">
        <f aca="false">IF(N(Tasks[[#This Row],[_Pred2UID]])=0,0,IFERROR(MATCH(Tasks[[#This Row],[_Pred2UID]],Tasks[UID],0),-1))</f>
        <v>0</v>
      </c>
      <c r="CK154" s="43" t="n">
        <f aca="false">IF(N(Tasks[[#This Row],[_Pred3UID]])=0,0,IFERROR(MATCH(Tasks[[#This Row],[_Pred3UID]],Tasks[UID],0),-1))</f>
        <v>0</v>
      </c>
      <c r="CL154" s="43" t="n">
        <f aca="false">IF(N(Tasks[[#This Row],[_Pred4UID]])=0,0,IFERROR(MATCH(Tasks[[#This Row],[_Pred4UID]],Tasks[UID],0),-1))</f>
        <v>0</v>
      </c>
      <c r="CM1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4" s="91" t="n">
        <f aca="false">IF(OR(Tasks[[#This Row],[_ConstraintCode]]=2,Tasks[[#This Row],[_ConstraintCode]]=3,Tasks[[#This Row],[_ConstraintCode]]=4,Tasks[[#This Row],[_ConstraintCode]]=6),Tasks[[#This Row],[_ConstraintStart]],0)</f>
        <v>0</v>
      </c>
      <c r="CP154" s="91" t="n">
        <f aca="false">IF(OR(Tasks[[#This Row],[_ConstraintCode]]=2,Tasks[[#This Row],[_ConstraintCode]]=3,Tasks[[#This Row],[_ConstraintCode]]=5,Tasks[[#This Row],[_ConstraintCode]]=7),Tasks[[#This Row],[_ConstraintStart]],2958465)</f>
        <v>2958465</v>
      </c>
      <c r="CQ1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4" s="91" t="str">
        <f aca="false">IF(NOT(Tasks[[#This Row],[_IsLeaf]]=1),"",IF(N(Tasks[[#This Row],[_Days]])&lt;=0,Tasks[[#This Row],[_LeafCalcStart]],WORKDAY.INTL(Tasks[[#This Row],[_LeafCalcStart]],Tasks[[#This Row],[_Days]]-1,WorkWeek,Holidays)))</f>
        <v/>
      </c>
      <c r="CS1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4" s="43" t="str">
        <f aca="false">IF(Tasks[[#This Row],[_Predecessors]]="","",TRIM(MID(SUBSTITUTE(SUBSTITUTE(SUBSTITUTE(UPPER(Tasks[[#This Row],[_Predecessors]]),";",",")," ",""),",",REPT(" ",99)),1,99)))</f>
        <v/>
      </c>
      <c r="CV154" s="43" t="str">
        <f aca="false">IF(Tasks[[#This Row],[_Pred1Text]]="","",IFERROR(VALUE(LEFT(Tasks[[#This Row],[_Pred1Text]],MIN(FIND("F",Tasks[[#This Row],[_Pred1Text]]&amp;"F"),FIND("S",Tasks[[#This Row],[_Pred1Text]]&amp;"S"),FIND("+",Tasks[[#This Row],[_Pred1Text]]&amp;"+"),FIND("-",Tasks[[#This Row],[_Pred1Text]]&amp;"-"))-1)),""))</f>
        <v/>
      </c>
      <c r="CW1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4" s="43" t="str">
        <f aca="false">IF(Tasks[[#This Row],[_Pred1Text]]="","",TRIM(MID(SUBSTITUTE(SUBSTITUTE(SUBSTITUTE(UPPER(Tasks[[#This Row],[_Predecessors]]),";",",")," ",""),",",REPT(" ",99)),100,99)))</f>
        <v/>
      </c>
      <c r="CZ154" s="43" t="str">
        <f aca="false">IF(Tasks[[#This Row],[_Pred2Text]]="","",IFERROR(VALUE(LEFT(Tasks[[#This Row],[_Pred2Text]],MIN(FIND("F",Tasks[[#This Row],[_Pred2Text]]&amp;"F"),FIND("S",Tasks[[#This Row],[_Pred2Text]]&amp;"S"),FIND("+",Tasks[[#This Row],[_Pred2Text]]&amp;"+"),FIND("-",Tasks[[#This Row],[_Pred2Text]]&amp;"-"))-1)),""))</f>
        <v/>
      </c>
      <c r="DA1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4" s="43" t="str">
        <f aca="false">IF(Tasks[[#This Row],[_Pred2Text]]="","",TRIM(MID(SUBSTITUTE(SUBSTITUTE(SUBSTITUTE(UPPER(Tasks[[#This Row],[_Predecessors]]),";",",")," ",""),",",REPT(" ",99)),199,99)))</f>
        <v/>
      </c>
      <c r="DD154" s="43" t="str">
        <f aca="false">IF(Tasks[[#This Row],[_Pred3Text]]="","",IFERROR(VALUE(LEFT(Tasks[[#This Row],[_Pred3Text]],MIN(FIND("F",Tasks[[#This Row],[_Pred3Text]]&amp;"F"),FIND("S",Tasks[[#This Row],[_Pred3Text]]&amp;"S"),FIND("+",Tasks[[#This Row],[_Pred3Text]]&amp;"+"),FIND("-",Tasks[[#This Row],[_Pred3Text]]&amp;"-"))-1)),""))</f>
        <v/>
      </c>
      <c r="DE1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4" s="43" t="str">
        <f aca="false">IF(Tasks[[#This Row],[_Pred3Text]]="","",TRIM(MID(SUBSTITUTE(SUBSTITUTE(SUBSTITUTE(UPPER(Tasks[[#This Row],[_Predecessors]]),";",",")," ",""),",",REPT(" ",99)),298,99)))</f>
        <v/>
      </c>
      <c r="DH154" s="43" t="str">
        <f aca="false">IF(Tasks[[#This Row],[_Pred4Text]]="","",IFERROR(VALUE(LEFT(Tasks[[#This Row],[_Pred4Text]],MIN(FIND("F",Tasks[[#This Row],[_Pred4Text]]&amp;"F"),FIND("S",Tasks[[#This Row],[_Pred4Text]]&amp;"S"),FIND("+",Tasks[[#This Row],[_Pred4Text]]&amp;"+"),FIND("-",Tasks[[#This Row],[_Pred4Text]]&amp;"-"))-1)),""))</f>
        <v/>
      </c>
      <c r="DI1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4" s="43" t="str">
        <f aca="false">IF(OR(Tasks[[#This Row],[Task Name]]="",Tasks[[#This Row],[_Resources]]=""),"",TRIM(MID(SUBSTITUTE(Tasks[[#This Row],[_Resources]],",",REPT(" ",99)),1,99)))</f>
        <v/>
      </c>
      <c r="DL154" s="43" t="str">
        <f aca="false">IF(Tasks[[#This Row],[_Res1Text]]="","",TRIM(MID(SUBSTITUTE(Tasks[[#This Row],[_Resources]],",",REPT(" ",99)),100,99)))</f>
        <v/>
      </c>
      <c r="DM154" s="43" t="str">
        <f aca="false">IF(Tasks[[#This Row],[_Res2Text]]="","",TRIM(MID(SUBSTITUTE(Tasks[[#This Row],[_Resources]],",",REPT(" ",99)),199,99)))</f>
        <v/>
      </c>
      <c r="DN154" s="43" t="str">
        <f aca="false">IF(Tasks[[#This Row],[_Res3Text]]="","",TRIM(MID(SUBSTITUTE(Tasks[[#This Row],[_Resources]],",",REPT(" ",99)),298,99)))</f>
        <v/>
      </c>
      <c r="DO154" s="43" t="n">
        <f aca="false">IF(Tasks[[#This Row],[_Res1Text]]="",0,IFERROR(MATCH(TRIM(LEFT(Tasks[[#This Row],[_Res1Text]],FIND("[",Tasks[[#This Row],[_Res1Text]]&amp;"[")-1)),res_Name,0),IFERROR(MATCH(TRIM(LEFT(Tasks[[#This Row],[_Res1Text]],FIND("[",Tasks[[#This Row],[_Res1Text]]&amp;"[")-1)),res_Initials,0),0)))</f>
        <v>0</v>
      </c>
      <c r="DP154" s="43" t="n">
        <f aca="false">IF(Tasks[[#This Row],[_Res2Text]]="",0,IFERROR(MATCH(TRIM(LEFT(Tasks[[#This Row],[_Res2Text]],FIND("[",Tasks[[#This Row],[_Res2Text]]&amp;"[")-1)),res_Name,0),IFERROR(MATCH(TRIM(LEFT(Tasks[[#This Row],[_Res2Text]],FIND("[",Tasks[[#This Row],[_Res2Text]]&amp;"[")-1)),res_Initials,0),0)))</f>
        <v>0</v>
      </c>
      <c r="DQ154" s="43" t="n">
        <f aca="false">IF(Tasks[[#This Row],[_Res3Text]]="",0,IFERROR(MATCH(TRIM(LEFT(Tasks[[#This Row],[_Res3Text]],FIND("[",Tasks[[#This Row],[_Res3Text]]&amp;"[")-1)),res_Name,0),IFERROR(MATCH(TRIM(LEFT(Tasks[[#This Row],[_Res3Text]],FIND("[",Tasks[[#This Row],[_Res3Text]]&amp;"[")-1)),res_Initials,0),0)))</f>
        <v>0</v>
      </c>
      <c r="DR154" s="43" t="n">
        <f aca="false">IF(Tasks[[#This Row],[_Res4Text]]="",0,IFERROR(MATCH(TRIM(LEFT(Tasks[[#This Row],[_Res4Text]],FIND("[",Tasks[[#This Row],[_Res4Text]]&amp;"[")-1)),res_Name,0),IFERROR(MATCH(TRIM(LEFT(Tasks[[#This Row],[_Res4Text]],FIND("[",Tasks[[#This Row],[_Res4Text]]&amp;"[")-1)),res_Initials,0),0)))</f>
        <v>0</v>
      </c>
      <c r="DS154" s="43" t="str">
        <f aca="false">IF(Tasks[[#This Row],[_Res1Text]]="","",IF(Tasks[[#This Row],[_Res1Row]]&gt;0,INDEX(res_Name,Tasks[[#This Row],[_Res1Row]]),TRIM(LEFT(Tasks[[#This Row],[_Res1Text]],FIND("[",Tasks[[#This Row],[_Res1Text]]&amp;"[")-1))))</f>
        <v/>
      </c>
      <c r="DT1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4" s="43" t="n">
        <f aca="false">IF(NOT(Tasks[[#This Row],[_IsLeaf]]=1),0,(Tasks[[#This Row],[_Resource1]]&lt;&gt;"")+(Tasks[[#This Row],[_Res2]]&lt;&gt;"")+(Tasks[[#This Row],[_Res3]]&lt;&gt;"")+(Tasks[[#This Row],[_Res4]]&lt;&gt;""))</f>
        <v>0</v>
      </c>
      <c r="DV154" s="43" t="str">
        <f aca="false">IF(Tasks[[#This Row],[_Res2Text]]="","",IF(Tasks[[#This Row],[_Res2Row]]&gt;0,INDEX(res_Name,Tasks[[#This Row],[_Res2Row]]),TRIM(LEFT(Tasks[[#This Row],[_Res2Text]],FIND("[",Tasks[[#This Row],[_Res2Text]]&amp;"[")-1))))</f>
        <v/>
      </c>
      <c r="DW1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4" s="43" t="n">
        <f aca="false">IF(OR(NOT(Tasks[[#This Row],[_IsLeaf]]=1),Tasks[[#This Row],[_Res2Row]]=0),0,N(Tasks[[#This Row],[_Days]])*HoursPerDay*IF(Tasks[[#This Row],[_Res2Units]]="",DefaultUnits,Tasks[[#This Row],[_Res2Units]]))</f>
        <v>0</v>
      </c>
      <c r="DY154" s="43" t="n">
        <f aca="false">IF(AND(AND(Tasks[[#This Row],[_IsLeaf]]=1,Tasks[[#This Row],[_LeafTotalWork]]&gt;0),Tasks[[#This Row],[_Res2Work]]&gt;0),Tasks[[#This Row],[_Res2Work]]/(Tasks[[#This Row],[_FinishWorkday]]-Tasks[[#This Row],[_StartWorkday]]+1),0)</f>
        <v>0</v>
      </c>
      <c r="DZ154" s="43" t="n">
        <f aca="false">Tasks[[#This Row],[_Res2WorkPerWD]]*MAX(0,Tasks[[#This Row],[_StartWorkday]]-1)</f>
        <v>0</v>
      </c>
      <c r="EA154" s="43" t="n">
        <f aca="false">Tasks[[#This Row],[_Res2Work]]*Tasks[[#This Row],[_LeafProgress]]</f>
        <v>0</v>
      </c>
      <c r="EB154" s="43" t="str">
        <f aca="false">IF(Tasks[[#This Row],[_Res3Text]]="","",IF(Tasks[[#This Row],[_Res3Row]]&gt;0,INDEX(res_Name,Tasks[[#This Row],[_Res3Row]]),TRIM(LEFT(Tasks[[#This Row],[_Res3Text]],FIND("[",Tasks[[#This Row],[_Res3Text]]&amp;"[")-1))))</f>
        <v/>
      </c>
      <c r="EC1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4" s="43" t="n">
        <f aca="false">IF(OR(NOT(Tasks[[#This Row],[_IsLeaf]]=1),Tasks[[#This Row],[_Res3Row]]=0),0,N(Tasks[[#This Row],[_Days]])*HoursPerDay*IF(Tasks[[#This Row],[_Res3Units]]="",DefaultUnits,Tasks[[#This Row],[_Res3Units]]))</f>
        <v>0</v>
      </c>
      <c r="EE154" s="43" t="n">
        <f aca="false">IF(AND(AND(Tasks[[#This Row],[_IsLeaf]]=1,Tasks[[#This Row],[_LeafTotalWork]]&gt;0),Tasks[[#This Row],[_Res3Work]]&gt;0),Tasks[[#This Row],[_Res3Work]]/(Tasks[[#This Row],[_FinishWorkday]]-Tasks[[#This Row],[_StartWorkday]]+1),0)</f>
        <v>0</v>
      </c>
      <c r="EF154" s="43" t="n">
        <f aca="false">Tasks[[#This Row],[_Res3WorkPerWD]]*MAX(0,Tasks[[#This Row],[_StartWorkday]]-1)</f>
        <v>0</v>
      </c>
      <c r="EG154" s="43" t="n">
        <f aca="false">Tasks[[#This Row],[_Res3Work]]*Tasks[[#This Row],[_LeafProgress]]</f>
        <v>0</v>
      </c>
      <c r="EH154" s="43" t="str">
        <f aca="false">IF(Tasks[[#This Row],[_Res4Text]]="","",IF(Tasks[[#This Row],[_Res4Row]]&gt;0,INDEX(res_Name,Tasks[[#This Row],[_Res4Row]]),TRIM(LEFT(Tasks[[#This Row],[_Res4Text]],FIND("[",Tasks[[#This Row],[_Res4Text]]&amp;"[")-1))))</f>
        <v/>
      </c>
      <c r="EI1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4" s="43" t="n">
        <f aca="false">IF(OR(NOT(Tasks[[#This Row],[_IsLeaf]]=1),Tasks[[#This Row],[_Res4Row]]=0),0,N(Tasks[[#This Row],[_Days]])*HoursPerDay*IF(Tasks[[#This Row],[_Res4Units]]="",DefaultUnits,Tasks[[#This Row],[_Res4Units]]))</f>
        <v>0</v>
      </c>
      <c r="EK154" s="43" t="n">
        <f aca="false">IF(AND(AND(Tasks[[#This Row],[_IsLeaf]]=1,Tasks[[#This Row],[_LeafTotalWork]]&gt;0),Tasks[[#This Row],[_Res4Work]]&gt;0),Tasks[[#This Row],[_Res4Work]]/(Tasks[[#This Row],[_FinishWorkday]]-Tasks[[#This Row],[_StartWorkday]]+1),0)</f>
        <v>0</v>
      </c>
      <c r="EL154" s="43" t="n">
        <f aca="false">Tasks[[#This Row],[_Res4WorkPerWD]]*MAX(0,Tasks[[#This Row],[_StartWorkday]]-1)</f>
        <v>0</v>
      </c>
      <c r="EM154" s="43" t="n">
        <f aca="false">Tasks[[#This Row],[_Res4Work]]*Tasks[[#This Row],[_LeafProgress]]</f>
        <v>0</v>
      </c>
      <c r="EN154" s="43" t="n">
        <f aca="false">IF(ISNUMBER(Tasks[[#This Row],[% Complete]]),Tasks[[#This Row],[% Complete]],IF(Tasks[[#This Row],[Stage]]="",0,IFERROR(INDEX(stg_Pct,MATCH(Tasks[[#This Row],[Stage]],stg_Name,0)),0)))</f>
        <v>0</v>
      </c>
      <c r="EO154" s="43" t="n">
        <f aca="false">IF(NOT(Tasks[[#This Row],[_IsLeaf]]=1),0,IF(N(Tasks[[#This Row],[Actual Finish]])&gt;0,1,MIN(1,Tasks[[#This Row],[_Pct]])))</f>
        <v>0</v>
      </c>
      <c r="EP154" s="43" t="n">
        <f aca="false">IF(OR(NOT(Tasks[[#This Row],[_IsLeaf]]=1),Tasks[[#This Row],[_Res1Row]]=0),0,N(Tasks[[#This Row],[_Days]])*HoursPerDay*IF(Tasks[[#This Row],[_Units1]]="",DefaultUnits,Tasks[[#This Row],[_Units1]]))</f>
        <v>0</v>
      </c>
      <c r="EQ154" s="43" t="n">
        <f aca="false">Tasks[[#This Row],[_LeafWork]]+Tasks[[#This Row],[_Res2Work]]+Tasks[[#This Row],[_Res3Work]]+Tasks[[#This Row],[_Res4Work]]</f>
        <v>0</v>
      </c>
      <c r="ER15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4" s="43" t="n">
        <f aca="false">IF(NOT(Tasks[[#This Row],[_IsLeaf]]=1),0,MAX(_xlfn.MAXIFS(Tasks[_Row],Tasks[_Pred1UID],Tasks[[#This Row],[UID]]),_xlfn.MAXIFS(Tasks[_Row],Tasks[_Pred2UID],Tasks[[#This Row],[UID]]),_xlfn.MAXIFS(Tasks[_Row],Tasks[_Pred3UID],Tasks[[#This Row],[UID]]),_xlfn.MAXIFS(Tasks[_Row],Tasks[_Pred4UID],Tasks[[#This Row],[UID]])))</f>
        <v>0</v>
      </c>
      <c r="FA1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4" s="91" t="str">
        <f aca="false">IF(NOT(Tasks[[#This Row],[_IsLeaf]]=1),"",IF(N(Tasks[[#This Row],[_Days]])&lt;=0,Tasks[[#This Row],[_LeafLateFinish]],WORKDAY.INTL(Tasks[[#This Row],[_LeafLateFinish]],-(Tasks[[#This Row],[_Days]]-1),WorkWeek,Holidays)))</f>
        <v/>
      </c>
      <c r="FD1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4" s="90" t="b">
        <f aca="false">AND(Tasks[[#This Row],[_IsLeaf]]=1,Tasks[[#This Row],[_LeafProgress]]&lt;1,N(Tasks[[#This Row],[_LeafTotalSlack]])&lt;=CriticalSlackDays)</f>
        <v>0</v>
      </c>
      <c r="FF154" s="43" t="n">
        <f aca="false">IF(AND(Tasks[[#This Row],[_IsLeaf]]=1,Tasks[[#This Row],[_ConstraintCode]]=1,Tasks[[#This Row],[Mode]]&lt;&gt;"Manual",N(Tasks[[#This Row],[Actual Start]])=0),MAX(0,N(Tasks[[#This Row],[Free Slack]])),0)</f>
        <v>0</v>
      </c>
      <c r="FG154" s="91" t="str">
        <f aca="false">IF(NOT(Tasks[[#This Row],[_IsLeaf]]=1),"",IF(Tasks[[#This Row],[_AlapShift]]=0,Tasks[[#This Row],[_LeafCalcStart]],WORKDAY.INTL(Tasks[[#This Row],[_LeafCalcStart]],Tasks[[#This Row],[_AlapShift]],WorkWeek,Holidays)))</f>
        <v/>
      </c>
      <c r="FH154" s="91" t="str">
        <f aca="false">IF(NOT(Tasks[[#This Row],[_IsLeaf]]=1),"",IF(Tasks[[#This Row],[_AlapShift]]=0,Tasks[[#This Row],[_LeafCalcFinish]],WORKDAY.INTL(Tasks[[#This Row],[_LeafCalcFinish]],Tasks[[#This Row],[_AlapShift]],WorkWeek,Holidays)))</f>
        <v/>
      </c>
      <c r="FI154" s="91" t="str">
        <f aca="false">IF(NOT(Tasks[[#This Row],[_IsLeaf]]=1),"",IF(Tasks[[#This Row],[_AlapShift]]=0,Tasks[[#This Row],[_LeafFcstStart]],WORKDAY.INTL(Tasks[[#This Row],[_LeafFcstStart]],Tasks[[#This Row],[_AlapShift]],WorkWeek,Holidays)))</f>
        <v/>
      </c>
      <c r="FJ154" s="91" t="str">
        <f aca="false">IF(NOT(Tasks[[#This Row],[_IsLeaf]]=1),"",IF(Tasks[[#This Row],[_AlapShift]]=0,Tasks[[#This Row],[_LeafFcstFinish]],WORKDAY.INTL(Tasks[[#This Row],[_LeafFcstFinish]],Tasks[[#This Row],[_AlapShift]],WorkWeek,Holidays)))</f>
        <v/>
      </c>
      <c r="FK154" s="91" t="str">
        <f aca="false">IF(Tasks[[#This Row],[Task Name]]="","",IF(Tasks[[#This Row],[_IsSummary]],MIN(INDEX(Tasks[_ShownCalcStart],Tasks[[#This Row],[_Row]]+1):INDEX(Tasks[_ShownCalcStart],Tasks[[#This Row],[_Row]]+Tasks[[#This Row],[_Descendants]])),Tasks[[#This Row],[_ShownCalcStart]]))</f>
        <v/>
      </c>
      <c r="FL154" s="91" t="str">
        <f aca="false">IF(Tasks[[#This Row],[Task Name]]="","",IF(Tasks[[#This Row],[_IsSummary]],MAX(INDEX(Tasks[_ShownCalcFinish],Tasks[[#This Row],[_Row]]+1):INDEX(Tasks[_ShownCalcFinish],Tasks[[#This Row],[_Row]]+Tasks[[#This Row],[_Descendants]])),Tasks[[#This Row],[_ShownCalcFinish]]))</f>
        <v/>
      </c>
      <c r="FM1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4" s="43" t="n">
        <f aca="false">IF(AND(Tasks[[#This Row],[_IsLeaf]]=1,Tasks[[#This Row],[_LeafTotalWork]]&gt;0),NETWORKDAYS.INTL(ProjectStart,Tasks[[#This Row],[_ShownFcstStart]],WorkWeek,Holidays),0)</f>
        <v>0</v>
      </c>
      <c r="FZ154" s="43" t="n">
        <f aca="false">IF(AND(Tasks[[#This Row],[_IsLeaf]]=1,Tasks[[#This Row],[_LeafTotalWork]]&gt;0),MAX(Tasks[[#This Row],[_StartWorkday]],NETWORKDAYS.INTL(ProjectStart,Tasks[[#This Row],[_ShownFcstFinish]],WorkWeek,Holidays)),0)</f>
        <v>0</v>
      </c>
      <c r="GA154" s="43" t="n">
        <f aca="false">IF(AND(Tasks[[#This Row],[_IsLeaf]]=1,Tasks[[#This Row],[_LeafTotalWork]]&gt;0),Tasks[[#This Row],[_LeafWork]]/(Tasks[[#This Row],[_FinishWorkday]]-Tasks[[#This Row],[_StartWorkday]]+1),0)</f>
        <v>0</v>
      </c>
      <c r="GB154" s="43" t="n">
        <f aca="false">Tasks[[#This Row],[_WorkPerWorkday]]*(Tasks[[#This Row],[_StartWorkday]]-1)</f>
        <v>-0</v>
      </c>
      <c r="GC154" s="43" t="n">
        <f aca="false">IF(Tasks[[#This Row],[_IsLeaf]]=1,MAX(N(Tasks[[#This Row],[_Days]]),0.1),0)</f>
        <v>0</v>
      </c>
      <c r="GD154" s="43" t="n">
        <f aca="false">Tasks[[#This Row],[_WeightDur]]*Tasks[[#This Row],[_LeafProgress]]</f>
        <v>0</v>
      </c>
      <c r="GE154" s="43" t="n">
        <f aca="false">Tasks[[#This Row],[_WeightDur]]*Tasks[[#This Row],[_PlannedPct]]</f>
        <v>0</v>
      </c>
      <c r="GF1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4" s="43" t="str">
        <f aca="false">IF(AND(Tasks[[#This Row],[_IsLeaf]]=1,N(Tasks[[#This Row],[_Days]])=0,Tasks[[#This Row],[_LeafProgress]]&lt;1),Tasks[[#This Row],[_ShownFcstFinish]]+Tasks[[#This Row],[_Row]]/100000,"")</f>
        <v/>
      </c>
      <c r="GH1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4" s="43" t="str">
        <f aca="false">IF(Tasks[[#This Row],[Task Name]]="","",LEFT(Tasks[[#This Row],[WBS]],FIND(".",Tasks[[#This Row],[WBS]]&amp;".")-1))</f>
        <v/>
      </c>
      <c r="GJ154" s="43" t="str">
        <f aca="false">IF(AND(Tasks[[#This Row],[Task Name]]&lt;&gt;"",Tasks[[#This Row],[_Level]]=1),Tasks[[#This Row],[_Row]],"")</f>
        <v/>
      </c>
      <c r="GK154" s="43" t="str">
        <f aca="false">IF(AND(Tasks[[#This Row],[_IsLeaf]]=1,N(Tasks[[#This Row],[_Days]])=0),Tasks[[#This Row],[Planned Finish]]+Tasks[[#This Row],[_Row]]/100000,"")</f>
        <v/>
      </c>
      <c r="GL154" s="43" t="str">
        <f aca="false">IF(AND(Tasks[[#This Row],[_IsLeaf]]=1,Tasks[[#This Row],[_LeafProgress]]&lt;1,OR(N(Tasks[[#This Row],[Finish Var]])&gt;0,Tasks[[#This Row],[Status]]="Late Start")),MAX(0,Tasks[[#This Row],[Finish Var]])+1-Tasks[[#This Row],[_Row]]/1000000,"")</f>
        <v/>
      </c>
      <c r="GM154" s="43" t="str">
        <f aca="false">IF(AND(Tasks[[#This Row],[_IsLeaf]]=1,N(Tasks[[#This Row],[Actual Start]])=0,Tasks[[#This Row],[_ShownFcstStart]]&gt;=StatusDate,Tasks[[#This Row],[_ShownFcstStart]]&lt;=LookaheadEnd),Tasks[[#This Row],[_ShownFcstStart]]+Tasks[[#This Row],[_Row]]/100000,"")</f>
        <v/>
      </c>
      <c r="GN154" s="43" t="str">
        <f aca="false">IF(AND(Tasks[[#This Row],[_IsLeaf]]=1,Tasks[[#This Row],[_LeafProgress]]&lt;1,Tasks[[#This Row],[_ShownFcstFinish]]&gt;=StatusDate,Tasks[[#This Row],[_ShownFcstFinish]]&lt;=LookaheadEnd),Tasks[[#This Row],[_ShownFcstFinish]]+Tasks[[#This Row],[_Row]]/100000,"")</f>
        <v/>
      </c>
      <c r="GO154" s="43" t="str">
        <f aca="false">IF(Tasks[[#This Row],[_LeafCritical]],Tasks[[#This Row],[_ShownFcstStart]]+Tasks[[#This Row],[_Row]]/100000,"")</f>
        <v/>
      </c>
      <c r="GP154" s="43" t="n">
        <f aca="false">Tasks[[#This Row],[_LeafWork]]*Tasks[[#This Row],[_LeafProgress]]</f>
        <v>0</v>
      </c>
      <c r="GQ154" s="91" t="str">
        <f aca="false">IF(AND(Tasks[[#This Row],[_IsLeaf]]=1,Tasks[[#This Row],[_LeafProgress]]&gt;=1),IF(N(Tasks[[#This Row],[Actual Finish]])&gt;0,Tasks[[#This Row],[Actual Finish]],Tasks[[#This Row],[_ShownFcstFinish]]),"")</f>
        <v/>
      </c>
      <c r="GR154" s="43" t="n">
        <f aca="false">IF(Tasks[[#This Row],[_IsLeaf]]=1,N(Tasks[[#This Row],[Story Points]]),0)</f>
        <v>0</v>
      </c>
      <c r="GS154" s="43" t="str">
        <f aca="false">""</f>
        <v/>
      </c>
      <c r="GT154" s="90" t="b">
        <f aca="false">IF(Tasks[[#This Row],[Task Name]]="",FALSE(),AND(Tasks[[#This Row],[_IsLeaf]]=1,N(Tasks[[#This Row],[_Days]])=0))</f>
        <v>0</v>
      </c>
      <c r="GU154" s="91" t="n">
        <f aca="false">IF(Tasks[[#This Row],[Task Name]]="",0,IF(AND(Tasks[[#This Row],[_IsLeaf]]=1,NOT(Tasks[[#This Row],[_IsMilestone]]),N(Tasks[[#This Row],[Progress]])&gt;0),Tasks[[#This Row],[Start]],0))</f>
        <v>0</v>
      </c>
      <c r="GV154" s="91" t="n">
        <f aca="false">IF(Tasks[[#This Row],[_DoneFrom]]=0,0,IF(Tasks[[#This Row],[Progress]]&gt;=1,Tasks[[#This Row],[Finish]],MAX(Tasks[[#This Row],[_DoneFrom]],Tasks[[#This Row],[Start]]+ROUND((Tasks[[#This Row],[Finish]]-Tasks[[#This Row],[Start]]+1)*Tasks[[#This Row],[Progress]],0)-1)))</f>
        <v>0</v>
      </c>
      <c r="GW154" s="91" t="n">
        <f aca="false">IF(Tasks[[#This Row],[Task Name]]="",0,IF(OR(NOT(Tasks[[#This Row],[_IsLeaf]]=1),Tasks[[#This Row],[_IsMilestone]],N(Tasks[[#This Row],[Progress]])&gt;=1),0,IF(Tasks[[#This Row],[_DoneTo]]&gt;0,Tasks[[#This Row],[_DoneTo]]+1,Tasks[[#This Row],[Start]])))</f>
        <v>0</v>
      </c>
      <c r="GX154" s="91" t="n">
        <f aca="false">IF(Tasks[[#This Row],[_RemFrom]]=0,0,Tasks[[#This Row],[Finish]])</f>
        <v>0</v>
      </c>
      <c r="GY154" s="90" t="b">
        <f aca="false">IF(Tasks[[#This Row],[Task Name]]="",FALSE(),OR(NOT(BaselineSet),N(Tasks[[#This Row],[Baseline Start]])&gt;0))</f>
        <v>0</v>
      </c>
      <c r="GZ15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4" s="92" t="str">
        <f aca="false">IF(Tasks[[#This Row],[_IsLeaf]]=1,Tasks[[#This Row],[_Row]],"")</f>
        <v/>
      </c>
      <c r="HD154" s="92" t="str">
        <f aca="false">IFERROR(INDEX(Tasks[UID],SMALL(Tasks[_PickKey],Tasks[[#This Row],[_Row]]))&amp;" "&amp;INDEX(Tasks[Task Name],SMALL(Tasks[_PickKey],Tasks[[#This Row],[_Row]])),"")</f>
        <v/>
      </c>
      <c r="HE154" s="43" t="str">
        <f aca="false">IF(Tasks[[#This Row],[Task Name]]="","",IF(Tasks[[#This Row],[_IsSummary]],NETWORKDAYS.INTL(Tasks[[#This Row],[Start]],Tasks[[#This Row],[Finish]],WorkWeek,Holidays),N(Tasks[[#This Row],[_Days]])))</f>
        <v/>
      </c>
      <c r="HF154" s="43" t="n">
        <f aca="false">IF(Tasks[[#This Row],[Expected]]="",0,((Tasks[[#This Row],[Pessimistic]]-Tasks[[#This Row],[Optimistic]])/6)^2)</f>
        <v>0</v>
      </c>
      <c r="HG154" s="43" t="n">
        <f aca="false">IF(Tasks[[#This Row],[Expected]]="",0,Tasks[[#This Row],[Expected]]-N(Tasks[[#This Row],[_Days]]))</f>
        <v>0</v>
      </c>
    </row>
    <row r="155" customFormat="false" ht="15" hidden="false" customHeight="false" outlineLevel="0" collapsed="false">
      <c r="A155" s="21" t="str">
        <f aca="false">IF(Tasks[[#This Row],[Task Name]]="","",COUNTA(Tasks[[#Headers],[Task Name]]:Tasks[[#This Row],[Task Name]])-1)</f>
        <v/>
      </c>
      <c r="B155" s="22" t="n">
        <v>163</v>
      </c>
      <c r="C155" s="22"/>
      <c r="D155" s="23"/>
      <c r="E155" s="22"/>
      <c r="F155" s="23"/>
      <c r="G155" s="22"/>
      <c r="H155" s="22"/>
      <c r="I155" s="23"/>
      <c r="J155" s="22"/>
      <c r="K155" s="22"/>
      <c r="L155" s="23"/>
      <c r="M155" s="22"/>
      <c r="N155" s="22"/>
      <c r="O155" s="23"/>
      <c r="P155" s="22"/>
      <c r="Q155" s="22"/>
      <c r="R155" s="23"/>
      <c r="S155" s="23"/>
      <c r="T155" s="84"/>
      <c r="U155" s="23"/>
      <c r="V155" s="84"/>
      <c r="W155" s="23"/>
      <c r="X155" s="84"/>
      <c r="Y155" s="23"/>
      <c r="Z155" s="84"/>
      <c r="AA155" s="23"/>
      <c r="AB155" s="23"/>
      <c r="AC155" s="7"/>
      <c r="AD155" s="7"/>
      <c r="AE155" s="63" t="str">
        <f aca="false">IF(Tasks[[#This Row],[Task Name]]="","",IF(Tasks[[#This Row],[_IsSummary]],MIN(INDEX(Tasks[_ShownFcstStart],Tasks[[#This Row],[_Row]]+1):INDEX(Tasks[_ShownFcstStart],Tasks[[#This Row],[_Row]]+Tasks[[#This Row],[_Descendants]])),Tasks[[#This Row],[_ShownFcstStart]]))</f>
        <v/>
      </c>
      <c r="AF155" s="63" t="str">
        <f aca="false">IF(Tasks[[#This Row],[Task Name]]="","",IF(Tasks[[#This Row],[_IsSummary]],MAX(INDEX(Tasks[_ShownFcstFinish],Tasks[[#This Row],[_Row]]+1):INDEX(Tasks[_ShownFcstFinish],Tasks[[#This Row],[_Row]]+Tasks[[#This Row],[_Descendants]])),Tasks[[#This Row],[_ShownFcstFinish]]))</f>
        <v/>
      </c>
      <c r="AG155" s="21" t="str">
        <f aca="false">""</f>
        <v/>
      </c>
      <c r="AH155" s="23"/>
      <c r="AI1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5" s="7"/>
      <c r="AK155" s="22"/>
      <c r="AL155" s="23"/>
      <c r="AM155" s="7"/>
      <c r="AN155" s="47" t="str">
        <f aca="false">IF(Tasks[[#This Row],[Task Name]]="","",IF(Tasks[[#This Row],[Finish]]&gt;=Tasks[[#This Row],[Planned Finish]],NETWORKDAYS.INTL(Tasks[[#This Row],[Planned Finish]],Tasks[[#This Row],[Finish]],WorkWeek,Holidays)-1,1-NETWORKDAYS.INTL(Tasks[[#This Row],[Finish]],Tasks[[#This Row],[Planned Finish]],WorkWeek,Holidays)))</f>
        <v/>
      </c>
      <c r="AO155" s="21" t="str">
        <f aca="false">IF(Tasks[[#This Row],[Task Name]]="","",IF(Tasks[[#This Row],[Progress]]&gt;=1,"Complete",IF(OR(N(Tasks[[#This Row],[Actual Start]])&gt;0,Tasks[[#This Row],[Progress]]&gt;0),IF(Tasks[[#This Row],[Finish Var]]&gt;0,"Behind","In Progress"),IF(Tasks[[#This Row],[Planned Start]]&lt;StatusDate,"Late Start","Not Started"))))</f>
        <v/>
      </c>
      <c r="AP155" s="21" t="str">
        <f aca="false">IF(Tasks[[#This Row],[Task Name]]="","",IF(IF(Tasks[[#This Row],[_IsSummary]],COUNTIF(INDEX(Tasks[_LeafCritical],Tasks[[#This Row],[_Row]]+1):INDEX(Tasks[_LeafCritical],Tasks[[#This Row],[_Row]]+Tasks[[#This Row],[_Descendants]]),TRUE())&gt;0,Tasks[[#This Row],[_LeafCritical]]),"Yes",""))</f>
        <v/>
      </c>
      <c r="AQ155" s="63" t="str">
        <f aca="false">IF(Tasks[[#This Row],[Task Name]]="","",IF(N(Tasks[[#This Row],[Baseline Start]])&gt;0,Tasks[[#This Row],[Baseline Start]],Tasks[[#This Row],[_CalcStart]]))</f>
        <v/>
      </c>
      <c r="AR155" s="63" t="str">
        <f aca="false">IF(Tasks[[#This Row],[Task Name]]="","",IF(N(Tasks[[#This Row],[Baseline Finish]])&gt;0,Tasks[[#This Row],[Baseline Finish]],Tasks[[#This Row],[_CalcFinish]]))</f>
        <v/>
      </c>
      <c r="AS155" s="47" t="str">
        <f aca="false">IF(Tasks[[#This Row],[Task Name]]="","",IF(Tasks[[#This Row],[Start]]&gt;=Tasks[[#This Row],[Planned Start]],NETWORKDAYS.INTL(Tasks[[#This Row],[Planned Start]],Tasks[[#This Row],[Start]],WorkWeek,Holidays)-1,1-NETWORKDAYS.INTL(Tasks[[#This Row],[Start]],Tasks[[#This Row],[Planned Start]],WorkWeek,Holidays)))</f>
        <v/>
      </c>
      <c r="AT155" s="63" t="str">
        <f aca="false">IF(Tasks[[#This Row],[Task Name]]="","",IF(Tasks[[#This Row],[_IsSummary]],MIN(INDEX(Tasks[_LeafLateStart],Tasks[[#This Row],[_Row]]+1):INDEX(Tasks[_LeafLateStart],Tasks[[#This Row],[_Row]]+Tasks[[#This Row],[_Descendants]])),Tasks[[#This Row],[_LeafLateStart]]))</f>
        <v/>
      </c>
      <c r="AU155" s="63" t="str">
        <f aca="false">IF(Tasks[[#This Row],[Task Name]]="","",IF(Tasks[[#This Row],[_IsSummary]],MAX(INDEX(Tasks[_LeafLateFinish],Tasks[[#This Row],[_Row]]+1):INDEX(Tasks[_LeafLateFinish],Tasks[[#This Row],[_Row]]+Tasks[[#This Row],[_Descendants]])),Tasks[[#This Row],[_LeafLateFinish]]))</f>
        <v/>
      </c>
      <c r="AV155" s="47" t="str">
        <f aca="false">IF(Tasks[[#This Row],[Task Name]]="","",IF(Tasks[[#This Row],[_IsSummary]],MIN(INDEX(Tasks[_LeafTotalSlack],Tasks[[#This Row],[_Row]]+1):INDEX(Tasks[_LeafTotalSlack],Tasks[[#This Row],[_Row]]+Tasks[[#This Row],[_Descendants]])),Tasks[[#This Row],[_LeafTotalSlack]]))</f>
        <v/>
      </c>
      <c r="AW1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5"/>
      <c r="BA15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t="str">
        <f aca="false">IF(Tasks[[#This Row],[Task Name]]="","",IF(Tasks[[#This Row],[_Level]]&lt;=OutlineShowLevel,"Yes","No"))</f>
        <v/>
      </c>
      <c r="BE155" s="86" t="str">
        <f aca="false">IF(Tasks[[#This Row],[Task Name]]="","",IF(Tasks[[#This Row],[_IsSummary]],SUM(INDEX(Tasks[_LeafTotalWork],Tasks[[#This Row],[_Row]]+1):INDEX(Tasks[_LeafTotalWork],Tasks[[#This Row],[_Row]]+Tasks[[#This Row],[_Descendants]])),Tasks[[#This Row],[_LeafTotalWork]]))</f>
        <v/>
      </c>
      <c r="BF155" s="23"/>
      <c r="BG1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t="str">
        <f aca="false">""</f>
        <v/>
      </c>
      <c r="BI155" s="87"/>
      <c r="BJ155" s="22"/>
      <c r="BK155" s="47" t="str">
        <f aca="false">IF(OR(Tasks[[#This Row],[Task Name]]="",Tasks[[#This Row],[Baseline Duration]]=""),"",Tasks[[#This Row],[_SpanDays]]-N(Tasks[[#This Row],[Baseline Duration]]))</f>
        <v/>
      </c>
      <c r="BL155" s="86" t="str">
        <f aca="false">IF(OR(Tasks[[#This Row],[Task Name]]="",Tasks[[#This Row],[Baseline Work]]=""),"",Tasks[[#This Row],[Work]]-N(Tasks[[#This Row],[Baseline Work]]))</f>
        <v/>
      </c>
      <c r="BM155" s="63" t="str">
        <f aca="false">IF(Tasks[[#This Row],[Task Name]]="","",IF(OR(TakeBaseline="Yes",N(Tasks[[#This Row],[Baseline Start]])=0),Tasks[[#This Row],[Start]],Tasks[[#This Row],[Baseline Start]]))</f>
        <v/>
      </c>
      <c r="BN155" s="63" t="str">
        <f aca="false">IF(Tasks[[#This Row],[Task Name]]="","",IF(OR(TakeBaseline="Yes",N(Tasks[[#This Row],[Baseline Finish]])=0),Tasks[[#This Row],[Finish]],Tasks[[#This Row],[Baseline Finish]]))</f>
        <v/>
      </c>
      <c r="BO155" s="21" t="str">
        <f aca="false">IF(Tasks[[#This Row],[Task Name]]="","",IF(OR(TakeBaseline="Yes",N(Tasks[[#This Row],[Baseline Duration]])=0),Tasks[[#This Row],[_SpanDays]],Tasks[[#This Row],[Baseline Duration]]))</f>
        <v/>
      </c>
      <c r="BP155" s="86" t="str">
        <f aca="false">IF(Tasks[[#This Row],[Task Name]]="","",IF(OR(TakeBaseline="Yes",N(Tasks[[#This Row],[Baseline Work]])=0),Tasks[[#This Row],[Work]],Tasks[[#This Row],[Baseline Work]]))</f>
        <v/>
      </c>
      <c r="BQ155" s="7"/>
      <c r="BR155" s="7"/>
      <c r="BS155" s="22"/>
      <c r="BT155" s="88"/>
      <c r="BU155" s="23"/>
      <c r="BV155" s="23"/>
      <c r="BW155" s="23"/>
      <c r="BX155" s="89" t="str">
        <f aca="false">IF(AND(Tasks[[#This Row],[_IsLeaf]]=1,ISNUMBER(Tasks[[#This Row],[Optimistic]]),ISNUMBER(Tasks[[#This Row],[Pessimistic]])),ROUND((Tasks[[#This Row],[Optimistic]]+4*N(Tasks[[#This Row],[_Days]])+Tasks[[#This Row],[Pessimistic]])/6,1),"")</f>
        <v/>
      </c>
      <c r="BY155" s="87"/>
      <c r="BZ155" s="87"/>
      <c r="CA155" s="22"/>
      <c r="CB155" s="43" t="str">
        <f aca="false">IF(Tasks[[#This Row],[Task Name]]="","",MAX(1,N(Tasks[[#This Row],[Level]])))</f>
        <v/>
      </c>
      <c r="CC155" s="43" t="n">
        <f aca="false">ROW()-ROW(Tasks[[#Headers],[ID]])</f>
        <v>150</v>
      </c>
      <c r="CD155" s="43" t="n">
        <f aca="false">IF(OR(Tasks[[#This Row],[Task Name]]="",Tasks[[#This Row],[_Level]]&lt;=1),0,IFERROR(LOOKUP(2,1/(Tasks[[#Headers],[_Level]]:Tasks[[#This Row],[_Level]]=Tasks[[#This Row],[_Level]]-1),ROW(Tasks[[#Headers],[_Level]]:Tasks[[#This Row],[_Level]])),0))</f>
        <v>0</v>
      </c>
      <c r="CE155" s="43" t="n">
        <f aca="false">IFERROR(N(INDEX(Tasks[_Level],Tasks[[#This Row],[_Row]]+1)),0)</f>
        <v>0</v>
      </c>
      <c r="CF155" s="90" t="b">
        <f aca="false">AND(Tasks[[#This Row],[Task Name]]&lt;&gt;"",Tasks[[#This Row],[_NextLevel]]&gt;Tasks[[#This Row],[_Level]])</f>
        <v>0</v>
      </c>
      <c r="CG155" s="43" t="n">
        <f aca="false">IF(Tasks[[#This Row],[_IsSummary]],COUNTIF(Tasks[WBS],Tasks[[#This Row],[WBS]]&amp;".*"),0)</f>
        <v>0</v>
      </c>
      <c r="CH155" s="43" t="n">
        <f aca="false">IF(AND(Tasks[[#This Row],[Task Name]]&lt;&gt;"",NOT(Tasks[[#This Row],[_IsSummary]])),1,0)</f>
        <v>0</v>
      </c>
      <c r="CI155" s="43" t="n">
        <f aca="false">IF(N(Tasks[[#This Row],[_Pred1UID]])=0,0,IFERROR(MATCH(Tasks[[#This Row],[_Pred1UID]],Tasks[UID],0),-1))</f>
        <v>0</v>
      </c>
      <c r="CJ155" s="43" t="n">
        <f aca="false">IF(N(Tasks[[#This Row],[_Pred2UID]])=0,0,IFERROR(MATCH(Tasks[[#This Row],[_Pred2UID]],Tasks[UID],0),-1))</f>
        <v>0</v>
      </c>
      <c r="CK155" s="43" t="n">
        <f aca="false">IF(N(Tasks[[#This Row],[_Pred3UID]])=0,0,IFERROR(MATCH(Tasks[[#This Row],[_Pred3UID]],Tasks[UID],0),-1))</f>
        <v>0</v>
      </c>
      <c r="CL155" s="43" t="n">
        <f aca="false">IF(N(Tasks[[#This Row],[_Pred4UID]])=0,0,IFERROR(MATCH(Tasks[[#This Row],[_Pred4UID]],Tasks[UID],0),-1))</f>
        <v>0</v>
      </c>
      <c r="CM1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5" s="91" t="n">
        <f aca="false">IF(OR(Tasks[[#This Row],[_ConstraintCode]]=2,Tasks[[#This Row],[_ConstraintCode]]=3,Tasks[[#This Row],[_ConstraintCode]]=4,Tasks[[#This Row],[_ConstraintCode]]=6),Tasks[[#This Row],[_ConstraintStart]],0)</f>
        <v>0</v>
      </c>
      <c r="CP155" s="91" t="n">
        <f aca="false">IF(OR(Tasks[[#This Row],[_ConstraintCode]]=2,Tasks[[#This Row],[_ConstraintCode]]=3,Tasks[[#This Row],[_ConstraintCode]]=5,Tasks[[#This Row],[_ConstraintCode]]=7),Tasks[[#This Row],[_ConstraintStart]],2958465)</f>
        <v>2958465</v>
      </c>
      <c r="CQ1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5" s="91" t="str">
        <f aca="false">IF(NOT(Tasks[[#This Row],[_IsLeaf]]=1),"",IF(N(Tasks[[#This Row],[_Days]])&lt;=0,Tasks[[#This Row],[_LeafCalcStart]],WORKDAY.INTL(Tasks[[#This Row],[_LeafCalcStart]],Tasks[[#This Row],[_Days]]-1,WorkWeek,Holidays)))</f>
        <v/>
      </c>
      <c r="CS1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5" s="43" t="str">
        <f aca="false">IF(Tasks[[#This Row],[_Predecessors]]="","",TRIM(MID(SUBSTITUTE(SUBSTITUTE(SUBSTITUTE(UPPER(Tasks[[#This Row],[_Predecessors]]),";",",")," ",""),",",REPT(" ",99)),1,99)))</f>
        <v/>
      </c>
      <c r="CV155" s="43" t="str">
        <f aca="false">IF(Tasks[[#This Row],[_Pred1Text]]="","",IFERROR(VALUE(LEFT(Tasks[[#This Row],[_Pred1Text]],MIN(FIND("F",Tasks[[#This Row],[_Pred1Text]]&amp;"F"),FIND("S",Tasks[[#This Row],[_Pred1Text]]&amp;"S"),FIND("+",Tasks[[#This Row],[_Pred1Text]]&amp;"+"),FIND("-",Tasks[[#This Row],[_Pred1Text]]&amp;"-"))-1)),""))</f>
        <v/>
      </c>
      <c r="CW1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5" s="43" t="str">
        <f aca="false">IF(Tasks[[#This Row],[_Pred1Text]]="","",TRIM(MID(SUBSTITUTE(SUBSTITUTE(SUBSTITUTE(UPPER(Tasks[[#This Row],[_Predecessors]]),";",",")," ",""),",",REPT(" ",99)),100,99)))</f>
        <v/>
      </c>
      <c r="CZ155" s="43" t="str">
        <f aca="false">IF(Tasks[[#This Row],[_Pred2Text]]="","",IFERROR(VALUE(LEFT(Tasks[[#This Row],[_Pred2Text]],MIN(FIND("F",Tasks[[#This Row],[_Pred2Text]]&amp;"F"),FIND("S",Tasks[[#This Row],[_Pred2Text]]&amp;"S"),FIND("+",Tasks[[#This Row],[_Pred2Text]]&amp;"+"),FIND("-",Tasks[[#This Row],[_Pred2Text]]&amp;"-"))-1)),""))</f>
        <v/>
      </c>
      <c r="DA1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5" s="43" t="str">
        <f aca="false">IF(Tasks[[#This Row],[_Pred2Text]]="","",TRIM(MID(SUBSTITUTE(SUBSTITUTE(SUBSTITUTE(UPPER(Tasks[[#This Row],[_Predecessors]]),";",",")," ",""),",",REPT(" ",99)),199,99)))</f>
        <v/>
      </c>
      <c r="DD155" s="43" t="str">
        <f aca="false">IF(Tasks[[#This Row],[_Pred3Text]]="","",IFERROR(VALUE(LEFT(Tasks[[#This Row],[_Pred3Text]],MIN(FIND("F",Tasks[[#This Row],[_Pred3Text]]&amp;"F"),FIND("S",Tasks[[#This Row],[_Pred3Text]]&amp;"S"),FIND("+",Tasks[[#This Row],[_Pred3Text]]&amp;"+"),FIND("-",Tasks[[#This Row],[_Pred3Text]]&amp;"-"))-1)),""))</f>
        <v/>
      </c>
      <c r="DE1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5" s="43" t="str">
        <f aca="false">IF(Tasks[[#This Row],[_Pred3Text]]="","",TRIM(MID(SUBSTITUTE(SUBSTITUTE(SUBSTITUTE(UPPER(Tasks[[#This Row],[_Predecessors]]),";",",")," ",""),",",REPT(" ",99)),298,99)))</f>
        <v/>
      </c>
      <c r="DH155" s="43" t="str">
        <f aca="false">IF(Tasks[[#This Row],[_Pred4Text]]="","",IFERROR(VALUE(LEFT(Tasks[[#This Row],[_Pred4Text]],MIN(FIND("F",Tasks[[#This Row],[_Pred4Text]]&amp;"F"),FIND("S",Tasks[[#This Row],[_Pred4Text]]&amp;"S"),FIND("+",Tasks[[#This Row],[_Pred4Text]]&amp;"+"),FIND("-",Tasks[[#This Row],[_Pred4Text]]&amp;"-"))-1)),""))</f>
        <v/>
      </c>
      <c r="DI1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5" s="43" t="str">
        <f aca="false">IF(OR(Tasks[[#This Row],[Task Name]]="",Tasks[[#This Row],[_Resources]]=""),"",TRIM(MID(SUBSTITUTE(Tasks[[#This Row],[_Resources]],",",REPT(" ",99)),1,99)))</f>
        <v/>
      </c>
      <c r="DL155" s="43" t="str">
        <f aca="false">IF(Tasks[[#This Row],[_Res1Text]]="","",TRIM(MID(SUBSTITUTE(Tasks[[#This Row],[_Resources]],",",REPT(" ",99)),100,99)))</f>
        <v/>
      </c>
      <c r="DM155" s="43" t="str">
        <f aca="false">IF(Tasks[[#This Row],[_Res2Text]]="","",TRIM(MID(SUBSTITUTE(Tasks[[#This Row],[_Resources]],",",REPT(" ",99)),199,99)))</f>
        <v/>
      </c>
      <c r="DN155" s="43" t="str">
        <f aca="false">IF(Tasks[[#This Row],[_Res3Text]]="","",TRIM(MID(SUBSTITUTE(Tasks[[#This Row],[_Resources]],",",REPT(" ",99)),298,99)))</f>
        <v/>
      </c>
      <c r="DO155" s="43" t="n">
        <f aca="false">IF(Tasks[[#This Row],[_Res1Text]]="",0,IFERROR(MATCH(TRIM(LEFT(Tasks[[#This Row],[_Res1Text]],FIND("[",Tasks[[#This Row],[_Res1Text]]&amp;"[")-1)),res_Name,0),IFERROR(MATCH(TRIM(LEFT(Tasks[[#This Row],[_Res1Text]],FIND("[",Tasks[[#This Row],[_Res1Text]]&amp;"[")-1)),res_Initials,0),0)))</f>
        <v>0</v>
      </c>
      <c r="DP155" s="43" t="n">
        <f aca="false">IF(Tasks[[#This Row],[_Res2Text]]="",0,IFERROR(MATCH(TRIM(LEFT(Tasks[[#This Row],[_Res2Text]],FIND("[",Tasks[[#This Row],[_Res2Text]]&amp;"[")-1)),res_Name,0),IFERROR(MATCH(TRIM(LEFT(Tasks[[#This Row],[_Res2Text]],FIND("[",Tasks[[#This Row],[_Res2Text]]&amp;"[")-1)),res_Initials,0),0)))</f>
        <v>0</v>
      </c>
      <c r="DQ155" s="43" t="n">
        <f aca="false">IF(Tasks[[#This Row],[_Res3Text]]="",0,IFERROR(MATCH(TRIM(LEFT(Tasks[[#This Row],[_Res3Text]],FIND("[",Tasks[[#This Row],[_Res3Text]]&amp;"[")-1)),res_Name,0),IFERROR(MATCH(TRIM(LEFT(Tasks[[#This Row],[_Res3Text]],FIND("[",Tasks[[#This Row],[_Res3Text]]&amp;"[")-1)),res_Initials,0),0)))</f>
        <v>0</v>
      </c>
      <c r="DR155" s="43" t="n">
        <f aca="false">IF(Tasks[[#This Row],[_Res4Text]]="",0,IFERROR(MATCH(TRIM(LEFT(Tasks[[#This Row],[_Res4Text]],FIND("[",Tasks[[#This Row],[_Res4Text]]&amp;"[")-1)),res_Name,0),IFERROR(MATCH(TRIM(LEFT(Tasks[[#This Row],[_Res4Text]],FIND("[",Tasks[[#This Row],[_Res4Text]]&amp;"[")-1)),res_Initials,0),0)))</f>
        <v>0</v>
      </c>
      <c r="DS155" s="43" t="str">
        <f aca="false">IF(Tasks[[#This Row],[_Res1Text]]="","",IF(Tasks[[#This Row],[_Res1Row]]&gt;0,INDEX(res_Name,Tasks[[#This Row],[_Res1Row]]),TRIM(LEFT(Tasks[[#This Row],[_Res1Text]],FIND("[",Tasks[[#This Row],[_Res1Text]]&amp;"[")-1))))</f>
        <v/>
      </c>
      <c r="DT1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5" s="43" t="n">
        <f aca="false">IF(NOT(Tasks[[#This Row],[_IsLeaf]]=1),0,(Tasks[[#This Row],[_Resource1]]&lt;&gt;"")+(Tasks[[#This Row],[_Res2]]&lt;&gt;"")+(Tasks[[#This Row],[_Res3]]&lt;&gt;"")+(Tasks[[#This Row],[_Res4]]&lt;&gt;""))</f>
        <v>0</v>
      </c>
      <c r="DV155" s="43" t="str">
        <f aca="false">IF(Tasks[[#This Row],[_Res2Text]]="","",IF(Tasks[[#This Row],[_Res2Row]]&gt;0,INDEX(res_Name,Tasks[[#This Row],[_Res2Row]]),TRIM(LEFT(Tasks[[#This Row],[_Res2Text]],FIND("[",Tasks[[#This Row],[_Res2Text]]&amp;"[")-1))))</f>
        <v/>
      </c>
      <c r="DW1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5" s="43" t="n">
        <f aca="false">IF(OR(NOT(Tasks[[#This Row],[_IsLeaf]]=1),Tasks[[#This Row],[_Res2Row]]=0),0,N(Tasks[[#This Row],[_Days]])*HoursPerDay*IF(Tasks[[#This Row],[_Res2Units]]="",DefaultUnits,Tasks[[#This Row],[_Res2Units]]))</f>
        <v>0</v>
      </c>
      <c r="DY155" s="43" t="n">
        <f aca="false">IF(AND(AND(Tasks[[#This Row],[_IsLeaf]]=1,Tasks[[#This Row],[_LeafTotalWork]]&gt;0),Tasks[[#This Row],[_Res2Work]]&gt;0),Tasks[[#This Row],[_Res2Work]]/(Tasks[[#This Row],[_FinishWorkday]]-Tasks[[#This Row],[_StartWorkday]]+1),0)</f>
        <v>0</v>
      </c>
      <c r="DZ155" s="43" t="n">
        <f aca="false">Tasks[[#This Row],[_Res2WorkPerWD]]*MAX(0,Tasks[[#This Row],[_StartWorkday]]-1)</f>
        <v>0</v>
      </c>
      <c r="EA155" s="43" t="n">
        <f aca="false">Tasks[[#This Row],[_Res2Work]]*Tasks[[#This Row],[_LeafProgress]]</f>
        <v>0</v>
      </c>
      <c r="EB155" s="43" t="str">
        <f aca="false">IF(Tasks[[#This Row],[_Res3Text]]="","",IF(Tasks[[#This Row],[_Res3Row]]&gt;0,INDEX(res_Name,Tasks[[#This Row],[_Res3Row]]),TRIM(LEFT(Tasks[[#This Row],[_Res3Text]],FIND("[",Tasks[[#This Row],[_Res3Text]]&amp;"[")-1))))</f>
        <v/>
      </c>
      <c r="EC1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5" s="43" t="n">
        <f aca="false">IF(OR(NOT(Tasks[[#This Row],[_IsLeaf]]=1),Tasks[[#This Row],[_Res3Row]]=0),0,N(Tasks[[#This Row],[_Days]])*HoursPerDay*IF(Tasks[[#This Row],[_Res3Units]]="",DefaultUnits,Tasks[[#This Row],[_Res3Units]]))</f>
        <v>0</v>
      </c>
      <c r="EE155" s="43" t="n">
        <f aca="false">IF(AND(AND(Tasks[[#This Row],[_IsLeaf]]=1,Tasks[[#This Row],[_LeafTotalWork]]&gt;0),Tasks[[#This Row],[_Res3Work]]&gt;0),Tasks[[#This Row],[_Res3Work]]/(Tasks[[#This Row],[_FinishWorkday]]-Tasks[[#This Row],[_StartWorkday]]+1),0)</f>
        <v>0</v>
      </c>
      <c r="EF155" s="43" t="n">
        <f aca="false">Tasks[[#This Row],[_Res3WorkPerWD]]*MAX(0,Tasks[[#This Row],[_StartWorkday]]-1)</f>
        <v>0</v>
      </c>
      <c r="EG155" s="43" t="n">
        <f aca="false">Tasks[[#This Row],[_Res3Work]]*Tasks[[#This Row],[_LeafProgress]]</f>
        <v>0</v>
      </c>
      <c r="EH155" s="43" t="str">
        <f aca="false">IF(Tasks[[#This Row],[_Res4Text]]="","",IF(Tasks[[#This Row],[_Res4Row]]&gt;0,INDEX(res_Name,Tasks[[#This Row],[_Res4Row]]),TRIM(LEFT(Tasks[[#This Row],[_Res4Text]],FIND("[",Tasks[[#This Row],[_Res4Text]]&amp;"[")-1))))</f>
        <v/>
      </c>
      <c r="EI1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5" s="43" t="n">
        <f aca="false">IF(OR(NOT(Tasks[[#This Row],[_IsLeaf]]=1),Tasks[[#This Row],[_Res4Row]]=0),0,N(Tasks[[#This Row],[_Days]])*HoursPerDay*IF(Tasks[[#This Row],[_Res4Units]]="",DefaultUnits,Tasks[[#This Row],[_Res4Units]]))</f>
        <v>0</v>
      </c>
      <c r="EK155" s="43" t="n">
        <f aca="false">IF(AND(AND(Tasks[[#This Row],[_IsLeaf]]=1,Tasks[[#This Row],[_LeafTotalWork]]&gt;0),Tasks[[#This Row],[_Res4Work]]&gt;0),Tasks[[#This Row],[_Res4Work]]/(Tasks[[#This Row],[_FinishWorkday]]-Tasks[[#This Row],[_StartWorkday]]+1),0)</f>
        <v>0</v>
      </c>
      <c r="EL155" s="43" t="n">
        <f aca="false">Tasks[[#This Row],[_Res4WorkPerWD]]*MAX(0,Tasks[[#This Row],[_StartWorkday]]-1)</f>
        <v>0</v>
      </c>
      <c r="EM155" s="43" t="n">
        <f aca="false">Tasks[[#This Row],[_Res4Work]]*Tasks[[#This Row],[_LeafProgress]]</f>
        <v>0</v>
      </c>
      <c r="EN155" s="43" t="n">
        <f aca="false">IF(ISNUMBER(Tasks[[#This Row],[% Complete]]),Tasks[[#This Row],[% Complete]],IF(Tasks[[#This Row],[Stage]]="",0,IFERROR(INDEX(stg_Pct,MATCH(Tasks[[#This Row],[Stage]],stg_Name,0)),0)))</f>
        <v>0</v>
      </c>
      <c r="EO155" s="43" t="n">
        <f aca="false">IF(NOT(Tasks[[#This Row],[_IsLeaf]]=1),0,IF(N(Tasks[[#This Row],[Actual Finish]])&gt;0,1,MIN(1,Tasks[[#This Row],[_Pct]])))</f>
        <v>0</v>
      </c>
      <c r="EP155" s="43" t="n">
        <f aca="false">IF(OR(NOT(Tasks[[#This Row],[_IsLeaf]]=1),Tasks[[#This Row],[_Res1Row]]=0),0,N(Tasks[[#This Row],[_Days]])*HoursPerDay*IF(Tasks[[#This Row],[_Units1]]="",DefaultUnits,Tasks[[#This Row],[_Units1]]))</f>
        <v>0</v>
      </c>
      <c r="EQ155" s="43" t="n">
        <f aca="false">Tasks[[#This Row],[_LeafWork]]+Tasks[[#This Row],[_Res2Work]]+Tasks[[#This Row],[_Res3Work]]+Tasks[[#This Row],[_Res4Work]]</f>
        <v>0</v>
      </c>
      <c r="ER15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5" s="43" t="n">
        <f aca="false">IF(NOT(Tasks[[#This Row],[_IsLeaf]]=1),0,MAX(_xlfn.MAXIFS(Tasks[_Row],Tasks[_Pred1UID],Tasks[[#This Row],[UID]]),_xlfn.MAXIFS(Tasks[_Row],Tasks[_Pred2UID],Tasks[[#This Row],[UID]]),_xlfn.MAXIFS(Tasks[_Row],Tasks[_Pred3UID],Tasks[[#This Row],[UID]]),_xlfn.MAXIFS(Tasks[_Row],Tasks[_Pred4UID],Tasks[[#This Row],[UID]])))</f>
        <v>0</v>
      </c>
      <c r="FA1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5" s="91" t="str">
        <f aca="false">IF(NOT(Tasks[[#This Row],[_IsLeaf]]=1),"",IF(N(Tasks[[#This Row],[_Days]])&lt;=0,Tasks[[#This Row],[_LeafLateFinish]],WORKDAY.INTL(Tasks[[#This Row],[_LeafLateFinish]],-(Tasks[[#This Row],[_Days]]-1),WorkWeek,Holidays)))</f>
        <v/>
      </c>
      <c r="FD1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5" s="90" t="b">
        <f aca="false">AND(Tasks[[#This Row],[_IsLeaf]]=1,Tasks[[#This Row],[_LeafProgress]]&lt;1,N(Tasks[[#This Row],[_LeafTotalSlack]])&lt;=CriticalSlackDays)</f>
        <v>0</v>
      </c>
      <c r="FF155" s="43" t="n">
        <f aca="false">IF(AND(Tasks[[#This Row],[_IsLeaf]]=1,Tasks[[#This Row],[_ConstraintCode]]=1,Tasks[[#This Row],[Mode]]&lt;&gt;"Manual",N(Tasks[[#This Row],[Actual Start]])=0),MAX(0,N(Tasks[[#This Row],[Free Slack]])),0)</f>
        <v>0</v>
      </c>
      <c r="FG155" s="91" t="str">
        <f aca="false">IF(NOT(Tasks[[#This Row],[_IsLeaf]]=1),"",IF(Tasks[[#This Row],[_AlapShift]]=0,Tasks[[#This Row],[_LeafCalcStart]],WORKDAY.INTL(Tasks[[#This Row],[_LeafCalcStart]],Tasks[[#This Row],[_AlapShift]],WorkWeek,Holidays)))</f>
        <v/>
      </c>
      <c r="FH155" s="91" t="str">
        <f aca="false">IF(NOT(Tasks[[#This Row],[_IsLeaf]]=1),"",IF(Tasks[[#This Row],[_AlapShift]]=0,Tasks[[#This Row],[_LeafCalcFinish]],WORKDAY.INTL(Tasks[[#This Row],[_LeafCalcFinish]],Tasks[[#This Row],[_AlapShift]],WorkWeek,Holidays)))</f>
        <v/>
      </c>
      <c r="FI155" s="91" t="str">
        <f aca="false">IF(NOT(Tasks[[#This Row],[_IsLeaf]]=1),"",IF(Tasks[[#This Row],[_AlapShift]]=0,Tasks[[#This Row],[_LeafFcstStart]],WORKDAY.INTL(Tasks[[#This Row],[_LeafFcstStart]],Tasks[[#This Row],[_AlapShift]],WorkWeek,Holidays)))</f>
        <v/>
      </c>
      <c r="FJ155" s="91" t="str">
        <f aca="false">IF(NOT(Tasks[[#This Row],[_IsLeaf]]=1),"",IF(Tasks[[#This Row],[_AlapShift]]=0,Tasks[[#This Row],[_LeafFcstFinish]],WORKDAY.INTL(Tasks[[#This Row],[_LeafFcstFinish]],Tasks[[#This Row],[_AlapShift]],WorkWeek,Holidays)))</f>
        <v/>
      </c>
      <c r="FK155" s="91" t="str">
        <f aca="false">IF(Tasks[[#This Row],[Task Name]]="","",IF(Tasks[[#This Row],[_IsSummary]],MIN(INDEX(Tasks[_ShownCalcStart],Tasks[[#This Row],[_Row]]+1):INDEX(Tasks[_ShownCalcStart],Tasks[[#This Row],[_Row]]+Tasks[[#This Row],[_Descendants]])),Tasks[[#This Row],[_ShownCalcStart]]))</f>
        <v/>
      </c>
      <c r="FL155" s="91" t="str">
        <f aca="false">IF(Tasks[[#This Row],[Task Name]]="","",IF(Tasks[[#This Row],[_IsSummary]],MAX(INDEX(Tasks[_ShownCalcFinish],Tasks[[#This Row],[_Row]]+1):INDEX(Tasks[_ShownCalcFinish],Tasks[[#This Row],[_Row]]+Tasks[[#This Row],[_Descendants]])),Tasks[[#This Row],[_ShownCalcFinish]]))</f>
        <v/>
      </c>
      <c r="FM1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5" s="43" t="n">
        <f aca="false">IF(AND(Tasks[[#This Row],[_IsLeaf]]=1,Tasks[[#This Row],[_LeafTotalWork]]&gt;0),NETWORKDAYS.INTL(ProjectStart,Tasks[[#This Row],[_ShownFcstStart]],WorkWeek,Holidays),0)</f>
        <v>0</v>
      </c>
      <c r="FZ155" s="43" t="n">
        <f aca="false">IF(AND(Tasks[[#This Row],[_IsLeaf]]=1,Tasks[[#This Row],[_LeafTotalWork]]&gt;0),MAX(Tasks[[#This Row],[_StartWorkday]],NETWORKDAYS.INTL(ProjectStart,Tasks[[#This Row],[_ShownFcstFinish]],WorkWeek,Holidays)),0)</f>
        <v>0</v>
      </c>
      <c r="GA155" s="43" t="n">
        <f aca="false">IF(AND(Tasks[[#This Row],[_IsLeaf]]=1,Tasks[[#This Row],[_LeafTotalWork]]&gt;0),Tasks[[#This Row],[_LeafWork]]/(Tasks[[#This Row],[_FinishWorkday]]-Tasks[[#This Row],[_StartWorkday]]+1),0)</f>
        <v>0</v>
      </c>
      <c r="GB155" s="43" t="n">
        <f aca="false">Tasks[[#This Row],[_WorkPerWorkday]]*(Tasks[[#This Row],[_StartWorkday]]-1)</f>
        <v>-0</v>
      </c>
      <c r="GC155" s="43" t="n">
        <f aca="false">IF(Tasks[[#This Row],[_IsLeaf]]=1,MAX(N(Tasks[[#This Row],[_Days]]),0.1),0)</f>
        <v>0</v>
      </c>
      <c r="GD155" s="43" t="n">
        <f aca="false">Tasks[[#This Row],[_WeightDur]]*Tasks[[#This Row],[_LeafProgress]]</f>
        <v>0</v>
      </c>
      <c r="GE155" s="43" t="n">
        <f aca="false">Tasks[[#This Row],[_WeightDur]]*Tasks[[#This Row],[_PlannedPct]]</f>
        <v>0</v>
      </c>
      <c r="GF1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5" s="43" t="str">
        <f aca="false">IF(AND(Tasks[[#This Row],[_IsLeaf]]=1,N(Tasks[[#This Row],[_Days]])=0,Tasks[[#This Row],[_LeafProgress]]&lt;1),Tasks[[#This Row],[_ShownFcstFinish]]+Tasks[[#This Row],[_Row]]/100000,"")</f>
        <v/>
      </c>
      <c r="GH1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5" s="43" t="str">
        <f aca="false">IF(Tasks[[#This Row],[Task Name]]="","",LEFT(Tasks[[#This Row],[WBS]],FIND(".",Tasks[[#This Row],[WBS]]&amp;".")-1))</f>
        <v/>
      </c>
      <c r="GJ155" s="43" t="str">
        <f aca="false">IF(AND(Tasks[[#This Row],[Task Name]]&lt;&gt;"",Tasks[[#This Row],[_Level]]=1),Tasks[[#This Row],[_Row]],"")</f>
        <v/>
      </c>
      <c r="GK155" s="43" t="str">
        <f aca="false">IF(AND(Tasks[[#This Row],[_IsLeaf]]=1,N(Tasks[[#This Row],[_Days]])=0),Tasks[[#This Row],[Planned Finish]]+Tasks[[#This Row],[_Row]]/100000,"")</f>
        <v/>
      </c>
      <c r="GL155" s="43" t="str">
        <f aca="false">IF(AND(Tasks[[#This Row],[_IsLeaf]]=1,Tasks[[#This Row],[_LeafProgress]]&lt;1,OR(N(Tasks[[#This Row],[Finish Var]])&gt;0,Tasks[[#This Row],[Status]]="Late Start")),MAX(0,Tasks[[#This Row],[Finish Var]])+1-Tasks[[#This Row],[_Row]]/1000000,"")</f>
        <v/>
      </c>
      <c r="GM155" s="43" t="str">
        <f aca="false">IF(AND(Tasks[[#This Row],[_IsLeaf]]=1,N(Tasks[[#This Row],[Actual Start]])=0,Tasks[[#This Row],[_ShownFcstStart]]&gt;=StatusDate,Tasks[[#This Row],[_ShownFcstStart]]&lt;=LookaheadEnd),Tasks[[#This Row],[_ShownFcstStart]]+Tasks[[#This Row],[_Row]]/100000,"")</f>
        <v/>
      </c>
      <c r="GN155" s="43" t="str">
        <f aca="false">IF(AND(Tasks[[#This Row],[_IsLeaf]]=1,Tasks[[#This Row],[_LeafProgress]]&lt;1,Tasks[[#This Row],[_ShownFcstFinish]]&gt;=StatusDate,Tasks[[#This Row],[_ShownFcstFinish]]&lt;=LookaheadEnd),Tasks[[#This Row],[_ShownFcstFinish]]+Tasks[[#This Row],[_Row]]/100000,"")</f>
        <v/>
      </c>
      <c r="GO155" s="43" t="str">
        <f aca="false">IF(Tasks[[#This Row],[_LeafCritical]],Tasks[[#This Row],[_ShownFcstStart]]+Tasks[[#This Row],[_Row]]/100000,"")</f>
        <v/>
      </c>
      <c r="GP155" s="43" t="n">
        <f aca="false">Tasks[[#This Row],[_LeafWork]]*Tasks[[#This Row],[_LeafProgress]]</f>
        <v>0</v>
      </c>
      <c r="GQ155" s="91" t="str">
        <f aca="false">IF(AND(Tasks[[#This Row],[_IsLeaf]]=1,Tasks[[#This Row],[_LeafProgress]]&gt;=1),IF(N(Tasks[[#This Row],[Actual Finish]])&gt;0,Tasks[[#This Row],[Actual Finish]],Tasks[[#This Row],[_ShownFcstFinish]]),"")</f>
        <v/>
      </c>
      <c r="GR155" s="43" t="n">
        <f aca="false">IF(Tasks[[#This Row],[_IsLeaf]]=1,N(Tasks[[#This Row],[Story Points]]),0)</f>
        <v>0</v>
      </c>
      <c r="GS155" s="43" t="str">
        <f aca="false">""</f>
        <v/>
      </c>
      <c r="GT155" s="90" t="b">
        <f aca="false">IF(Tasks[[#This Row],[Task Name]]="",FALSE(),AND(Tasks[[#This Row],[_IsLeaf]]=1,N(Tasks[[#This Row],[_Days]])=0))</f>
        <v>0</v>
      </c>
      <c r="GU155" s="91" t="n">
        <f aca="false">IF(Tasks[[#This Row],[Task Name]]="",0,IF(AND(Tasks[[#This Row],[_IsLeaf]]=1,NOT(Tasks[[#This Row],[_IsMilestone]]),N(Tasks[[#This Row],[Progress]])&gt;0),Tasks[[#This Row],[Start]],0))</f>
        <v>0</v>
      </c>
      <c r="GV155" s="91" t="n">
        <f aca="false">IF(Tasks[[#This Row],[_DoneFrom]]=0,0,IF(Tasks[[#This Row],[Progress]]&gt;=1,Tasks[[#This Row],[Finish]],MAX(Tasks[[#This Row],[_DoneFrom]],Tasks[[#This Row],[Start]]+ROUND((Tasks[[#This Row],[Finish]]-Tasks[[#This Row],[Start]]+1)*Tasks[[#This Row],[Progress]],0)-1)))</f>
        <v>0</v>
      </c>
      <c r="GW155" s="91" t="n">
        <f aca="false">IF(Tasks[[#This Row],[Task Name]]="",0,IF(OR(NOT(Tasks[[#This Row],[_IsLeaf]]=1),Tasks[[#This Row],[_IsMilestone]],N(Tasks[[#This Row],[Progress]])&gt;=1),0,IF(Tasks[[#This Row],[_DoneTo]]&gt;0,Tasks[[#This Row],[_DoneTo]]+1,Tasks[[#This Row],[Start]])))</f>
        <v>0</v>
      </c>
      <c r="GX155" s="91" t="n">
        <f aca="false">IF(Tasks[[#This Row],[_RemFrom]]=0,0,Tasks[[#This Row],[Finish]])</f>
        <v>0</v>
      </c>
      <c r="GY155" s="90" t="b">
        <f aca="false">IF(Tasks[[#This Row],[Task Name]]="",FALSE(),OR(NOT(BaselineSet),N(Tasks[[#This Row],[Baseline Start]])&gt;0))</f>
        <v>0</v>
      </c>
      <c r="GZ15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5" s="92" t="str">
        <f aca="false">IF(Tasks[[#This Row],[_IsLeaf]]=1,Tasks[[#This Row],[_Row]],"")</f>
        <v/>
      </c>
      <c r="HD155" s="92" t="str">
        <f aca="false">IFERROR(INDEX(Tasks[UID],SMALL(Tasks[_PickKey],Tasks[[#This Row],[_Row]]))&amp;" "&amp;INDEX(Tasks[Task Name],SMALL(Tasks[_PickKey],Tasks[[#This Row],[_Row]])),"")</f>
        <v/>
      </c>
      <c r="HE155" s="43" t="str">
        <f aca="false">IF(Tasks[[#This Row],[Task Name]]="","",IF(Tasks[[#This Row],[_IsSummary]],NETWORKDAYS.INTL(Tasks[[#This Row],[Start]],Tasks[[#This Row],[Finish]],WorkWeek,Holidays),N(Tasks[[#This Row],[_Days]])))</f>
        <v/>
      </c>
      <c r="HF155" s="43" t="n">
        <f aca="false">IF(Tasks[[#This Row],[Expected]]="",0,((Tasks[[#This Row],[Pessimistic]]-Tasks[[#This Row],[Optimistic]])/6)^2)</f>
        <v>0</v>
      </c>
      <c r="HG155" s="43" t="n">
        <f aca="false">IF(Tasks[[#This Row],[Expected]]="",0,Tasks[[#This Row],[Expected]]-N(Tasks[[#This Row],[_Days]]))</f>
        <v>0</v>
      </c>
    </row>
    <row r="156" customFormat="false" ht="15" hidden="false" customHeight="false" outlineLevel="0" collapsed="false">
      <c r="A156" s="21" t="str">
        <f aca="false">IF(Tasks[[#This Row],[Task Name]]="","",COUNTA(Tasks[[#Headers],[Task Name]]:Tasks[[#This Row],[Task Name]])-1)</f>
        <v/>
      </c>
      <c r="B156" s="22" t="n">
        <v>164</v>
      </c>
      <c r="C156" s="22"/>
      <c r="D156" s="23"/>
      <c r="E156" s="22"/>
      <c r="F156" s="23"/>
      <c r="G156" s="22"/>
      <c r="H156" s="22"/>
      <c r="I156" s="23"/>
      <c r="J156" s="22"/>
      <c r="K156" s="22"/>
      <c r="L156" s="23"/>
      <c r="M156" s="22"/>
      <c r="N156" s="22"/>
      <c r="O156" s="23"/>
      <c r="P156" s="22"/>
      <c r="Q156" s="22"/>
      <c r="R156" s="23"/>
      <c r="S156" s="23"/>
      <c r="T156" s="84"/>
      <c r="U156" s="23"/>
      <c r="V156" s="84"/>
      <c r="W156" s="23"/>
      <c r="X156" s="84"/>
      <c r="Y156" s="23"/>
      <c r="Z156" s="84"/>
      <c r="AA156" s="23"/>
      <c r="AB156" s="23"/>
      <c r="AC156" s="7"/>
      <c r="AD156" s="7"/>
      <c r="AE156" s="63" t="str">
        <f aca="false">IF(Tasks[[#This Row],[Task Name]]="","",IF(Tasks[[#This Row],[_IsSummary]],MIN(INDEX(Tasks[_ShownFcstStart],Tasks[[#This Row],[_Row]]+1):INDEX(Tasks[_ShownFcstStart],Tasks[[#This Row],[_Row]]+Tasks[[#This Row],[_Descendants]])),Tasks[[#This Row],[_ShownFcstStart]]))</f>
        <v/>
      </c>
      <c r="AF156" s="63" t="str">
        <f aca="false">IF(Tasks[[#This Row],[Task Name]]="","",IF(Tasks[[#This Row],[_IsSummary]],MAX(INDEX(Tasks[_ShownFcstFinish],Tasks[[#This Row],[_Row]]+1):INDEX(Tasks[_ShownFcstFinish],Tasks[[#This Row],[_Row]]+Tasks[[#This Row],[_Descendants]])),Tasks[[#This Row],[_ShownFcstFinish]]))</f>
        <v/>
      </c>
      <c r="AG156" s="21" t="str">
        <f aca="false">""</f>
        <v/>
      </c>
      <c r="AH156" s="23"/>
      <c r="AI1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6" s="7"/>
      <c r="AK156" s="22"/>
      <c r="AL156" s="23"/>
      <c r="AM156" s="7"/>
      <c r="AN156" s="47" t="str">
        <f aca="false">IF(Tasks[[#This Row],[Task Name]]="","",IF(Tasks[[#This Row],[Finish]]&gt;=Tasks[[#This Row],[Planned Finish]],NETWORKDAYS.INTL(Tasks[[#This Row],[Planned Finish]],Tasks[[#This Row],[Finish]],WorkWeek,Holidays)-1,1-NETWORKDAYS.INTL(Tasks[[#This Row],[Finish]],Tasks[[#This Row],[Planned Finish]],WorkWeek,Holidays)))</f>
        <v/>
      </c>
      <c r="AO156" s="21" t="str">
        <f aca="false">IF(Tasks[[#This Row],[Task Name]]="","",IF(Tasks[[#This Row],[Progress]]&gt;=1,"Complete",IF(OR(N(Tasks[[#This Row],[Actual Start]])&gt;0,Tasks[[#This Row],[Progress]]&gt;0),IF(Tasks[[#This Row],[Finish Var]]&gt;0,"Behind","In Progress"),IF(Tasks[[#This Row],[Planned Start]]&lt;StatusDate,"Late Start","Not Started"))))</f>
        <v/>
      </c>
      <c r="AP156" s="21" t="str">
        <f aca="false">IF(Tasks[[#This Row],[Task Name]]="","",IF(IF(Tasks[[#This Row],[_IsSummary]],COUNTIF(INDEX(Tasks[_LeafCritical],Tasks[[#This Row],[_Row]]+1):INDEX(Tasks[_LeafCritical],Tasks[[#This Row],[_Row]]+Tasks[[#This Row],[_Descendants]]),TRUE())&gt;0,Tasks[[#This Row],[_LeafCritical]]),"Yes",""))</f>
        <v/>
      </c>
      <c r="AQ156" s="63" t="str">
        <f aca="false">IF(Tasks[[#This Row],[Task Name]]="","",IF(N(Tasks[[#This Row],[Baseline Start]])&gt;0,Tasks[[#This Row],[Baseline Start]],Tasks[[#This Row],[_CalcStart]]))</f>
        <v/>
      </c>
      <c r="AR156" s="63" t="str">
        <f aca="false">IF(Tasks[[#This Row],[Task Name]]="","",IF(N(Tasks[[#This Row],[Baseline Finish]])&gt;0,Tasks[[#This Row],[Baseline Finish]],Tasks[[#This Row],[_CalcFinish]]))</f>
        <v/>
      </c>
      <c r="AS156" s="47" t="str">
        <f aca="false">IF(Tasks[[#This Row],[Task Name]]="","",IF(Tasks[[#This Row],[Start]]&gt;=Tasks[[#This Row],[Planned Start]],NETWORKDAYS.INTL(Tasks[[#This Row],[Planned Start]],Tasks[[#This Row],[Start]],WorkWeek,Holidays)-1,1-NETWORKDAYS.INTL(Tasks[[#This Row],[Start]],Tasks[[#This Row],[Planned Start]],WorkWeek,Holidays)))</f>
        <v/>
      </c>
      <c r="AT156" s="63" t="str">
        <f aca="false">IF(Tasks[[#This Row],[Task Name]]="","",IF(Tasks[[#This Row],[_IsSummary]],MIN(INDEX(Tasks[_LeafLateStart],Tasks[[#This Row],[_Row]]+1):INDEX(Tasks[_LeafLateStart],Tasks[[#This Row],[_Row]]+Tasks[[#This Row],[_Descendants]])),Tasks[[#This Row],[_LeafLateStart]]))</f>
        <v/>
      </c>
      <c r="AU156" s="63" t="str">
        <f aca="false">IF(Tasks[[#This Row],[Task Name]]="","",IF(Tasks[[#This Row],[_IsSummary]],MAX(INDEX(Tasks[_LeafLateFinish],Tasks[[#This Row],[_Row]]+1):INDEX(Tasks[_LeafLateFinish],Tasks[[#This Row],[_Row]]+Tasks[[#This Row],[_Descendants]])),Tasks[[#This Row],[_LeafLateFinish]]))</f>
        <v/>
      </c>
      <c r="AV156" s="47" t="str">
        <f aca="false">IF(Tasks[[#This Row],[Task Name]]="","",IF(Tasks[[#This Row],[_IsSummary]],MIN(INDEX(Tasks[_LeafTotalSlack],Tasks[[#This Row],[_Row]]+1):INDEX(Tasks[_LeafTotalSlack],Tasks[[#This Row],[_Row]]+Tasks[[#This Row],[_Descendants]])),Tasks[[#This Row],[_LeafTotalSlack]]))</f>
        <v/>
      </c>
      <c r="AW1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5"/>
      <c r="BA15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t="str">
        <f aca="false">IF(Tasks[[#This Row],[Task Name]]="","",IF(Tasks[[#This Row],[_Level]]&lt;=OutlineShowLevel,"Yes","No"))</f>
        <v/>
      </c>
      <c r="BE156" s="86" t="str">
        <f aca="false">IF(Tasks[[#This Row],[Task Name]]="","",IF(Tasks[[#This Row],[_IsSummary]],SUM(INDEX(Tasks[_LeafTotalWork],Tasks[[#This Row],[_Row]]+1):INDEX(Tasks[_LeafTotalWork],Tasks[[#This Row],[_Row]]+Tasks[[#This Row],[_Descendants]])),Tasks[[#This Row],[_LeafTotalWork]]))</f>
        <v/>
      </c>
      <c r="BF156" s="23"/>
      <c r="BG1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t="str">
        <f aca="false">""</f>
        <v/>
      </c>
      <c r="BI156" s="87"/>
      <c r="BJ156" s="22"/>
      <c r="BK156" s="47" t="str">
        <f aca="false">IF(OR(Tasks[[#This Row],[Task Name]]="",Tasks[[#This Row],[Baseline Duration]]=""),"",Tasks[[#This Row],[_SpanDays]]-N(Tasks[[#This Row],[Baseline Duration]]))</f>
        <v/>
      </c>
      <c r="BL156" s="86" t="str">
        <f aca="false">IF(OR(Tasks[[#This Row],[Task Name]]="",Tasks[[#This Row],[Baseline Work]]=""),"",Tasks[[#This Row],[Work]]-N(Tasks[[#This Row],[Baseline Work]]))</f>
        <v/>
      </c>
      <c r="BM156" s="63" t="str">
        <f aca="false">IF(Tasks[[#This Row],[Task Name]]="","",IF(OR(TakeBaseline="Yes",N(Tasks[[#This Row],[Baseline Start]])=0),Tasks[[#This Row],[Start]],Tasks[[#This Row],[Baseline Start]]))</f>
        <v/>
      </c>
      <c r="BN156" s="63" t="str">
        <f aca="false">IF(Tasks[[#This Row],[Task Name]]="","",IF(OR(TakeBaseline="Yes",N(Tasks[[#This Row],[Baseline Finish]])=0),Tasks[[#This Row],[Finish]],Tasks[[#This Row],[Baseline Finish]]))</f>
        <v/>
      </c>
      <c r="BO156" s="21" t="str">
        <f aca="false">IF(Tasks[[#This Row],[Task Name]]="","",IF(OR(TakeBaseline="Yes",N(Tasks[[#This Row],[Baseline Duration]])=0),Tasks[[#This Row],[_SpanDays]],Tasks[[#This Row],[Baseline Duration]]))</f>
        <v/>
      </c>
      <c r="BP156" s="86" t="str">
        <f aca="false">IF(Tasks[[#This Row],[Task Name]]="","",IF(OR(TakeBaseline="Yes",N(Tasks[[#This Row],[Baseline Work]])=0),Tasks[[#This Row],[Work]],Tasks[[#This Row],[Baseline Work]]))</f>
        <v/>
      </c>
      <c r="BQ156" s="7"/>
      <c r="BR156" s="7"/>
      <c r="BS156" s="22"/>
      <c r="BT156" s="88"/>
      <c r="BU156" s="23"/>
      <c r="BV156" s="23"/>
      <c r="BW156" s="23"/>
      <c r="BX156" s="89" t="str">
        <f aca="false">IF(AND(Tasks[[#This Row],[_IsLeaf]]=1,ISNUMBER(Tasks[[#This Row],[Optimistic]]),ISNUMBER(Tasks[[#This Row],[Pessimistic]])),ROUND((Tasks[[#This Row],[Optimistic]]+4*N(Tasks[[#This Row],[_Days]])+Tasks[[#This Row],[Pessimistic]])/6,1),"")</f>
        <v/>
      </c>
      <c r="BY156" s="87"/>
      <c r="BZ156" s="87"/>
      <c r="CA156" s="22"/>
      <c r="CB156" s="43" t="str">
        <f aca="false">IF(Tasks[[#This Row],[Task Name]]="","",MAX(1,N(Tasks[[#This Row],[Level]])))</f>
        <v/>
      </c>
      <c r="CC156" s="43" t="n">
        <f aca="false">ROW()-ROW(Tasks[[#Headers],[ID]])</f>
        <v>151</v>
      </c>
      <c r="CD156" s="43" t="n">
        <f aca="false">IF(OR(Tasks[[#This Row],[Task Name]]="",Tasks[[#This Row],[_Level]]&lt;=1),0,IFERROR(LOOKUP(2,1/(Tasks[[#Headers],[_Level]]:Tasks[[#This Row],[_Level]]=Tasks[[#This Row],[_Level]]-1),ROW(Tasks[[#Headers],[_Level]]:Tasks[[#This Row],[_Level]])),0))</f>
        <v>0</v>
      </c>
      <c r="CE156" s="43" t="n">
        <f aca="false">IFERROR(N(INDEX(Tasks[_Level],Tasks[[#This Row],[_Row]]+1)),0)</f>
        <v>0</v>
      </c>
      <c r="CF156" s="90" t="b">
        <f aca="false">AND(Tasks[[#This Row],[Task Name]]&lt;&gt;"",Tasks[[#This Row],[_NextLevel]]&gt;Tasks[[#This Row],[_Level]])</f>
        <v>0</v>
      </c>
      <c r="CG156" s="43" t="n">
        <f aca="false">IF(Tasks[[#This Row],[_IsSummary]],COUNTIF(Tasks[WBS],Tasks[[#This Row],[WBS]]&amp;".*"),0)</f>
        <v>0</v>
      </c>
      <c r="CH156" s="43" t="n">
        <f aca="false">IF(AND(Tasks[[#This Row],[Task Name]]&lt;&gt;"",NOT(Tasks[[#This Row],[_IsSummary]])),1,0)</f>
        <v>0</v>
      </c>
      <c r="CI156" s="43" t="n">
        <f aca="false">IF(N(Tasks[[#This Row],[_Pred1UID]])=0,0,IFERROR(MATCH(Tasks[[#This Row],[_Pred1UID]],Tasks[UID],0),-1))</f>
        <v>0</v>
      </c>
      <c r="CJ156" s="43" t="n">
        <f aca="false">IF(N(Tasks[[#This Row],[_Pred2UID]])=0,0,IFERROR(MATCH(Tasks[[#This Row],[_Pred2UID]],Tasks[UID],0),-1))</f>
        <v>0</v>
      </c>
      <c r="CK156" s="43" t="n">
        <f aca="false">IF(N(Tasks[[#This Row],[_Pred3UID]])=0,0,IFERROR(MATCH(Tasks[[#This Row],[_Pred3UID]],Tasks[UID],0),-1))</f>
        <v>0</v>
      </c>
      <c r="CL156" s="43" t="n">
        <f aca="false">IF(N(Tasks[[#This Row],[_Pred4UID]])=0,0,IFERROR(MATCH(Tasks[[#This Row],[_Pred4UID]],Tasks[UID],0),-1))</f>
        <v>0</v>
      </c>
      <c r="CM1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6" s="91" t="n">
        <f aca="false">IF(OR(Tasks[[#This Row],[_ConstraintCode]]=2,Tasks[[#This Row],[_ConstraintCode]]=3,Tasks[[#This Row],[_ConstraintCode]]=4,Tasks[[#This Row],[_ConstraintCode]]=6),Tasks[[#This Row],[_ConstraintStart]],0)</f>
        <v>0</v>
      </c>
      <c r="CP156" s="91" t="n">
        <f aca="false">IF(OR(Tasks[[#This Row],[_ConstraintCode]]=2,Tasks[[#This Row],[_ConstraintCode]]=3,Tasks[[#This Row],[_ConstraintCode]]=5,Tasks[[#This Row],[_ConstraintCode]]=7),Tasks[[#This Row],[_ConstraintStart]],2958465)</f>
        <v>2958465</v>
      </c>
      <c r="CQ1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6" s="91" t="str">
        <f aca="false">IF(NOT(Tasks[[#This Row],[_IsLeaf]]=1),"",IF(N(Tasks[[#This Row],[_Days]])&lt;=0,Tasks[[#This Row],[_LeafCalcStart]],WORKDAY.INTL(Tasks[[#This Row],[_LeafCalcStart]],Tasks[[#This Row],[_Days]]-1,WorkWeek,Holidays)))</f>
        <v/>
      </c>
      <c r="CS1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6" s="43" t="str">
        <f aca="false">IF(Tasks[[#This Row],[_Predecessors]]="","",TRIM(MID(SUBSTITUTE(SUBSTITUTE(SUBSTITUTE(UPPER(Tasks[[#This Row],[_Predecessors]]),";",",")," ",""),",",REPT(" ",99)),1,99)))</f>
        <v/>
      </c>
      <c r="CV156" s="43" t="str">
        <f aca="false">IF(Tasks[[#This Row],[_Pred1Text]]="","",IFERROR(VALUE(LEFT(Tasks[[#This Row],[_Pred1Text]],MIN(FIND("F",Tasks[[#This Row],[_Pred1Text]]&amp;"F"),FIND("S",Tasks[[#This Row],[_Pred1Text]]&amp;"S"),FIND("+",Tasks[[#This Row],[_Pred1Text]]&amp;"+"),FIND("-",Tasks[[#This Row],[_Pred1Text]]&amp;"-"))-1)),""))</f>
        <v/>
      </c>
      <c r="CW1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6" s="43" t="str">
        <f aca="false">IF(Tasks[[#This Row],[_Pred1Text]]="","",TRIM(MID(SUBSTITUTE(SUBSTITUTE(SUBSTITUTE(UPPER(Tasks[[#This Row],[_Predecessors]]),";",",")," ",""),",",REPT(" ",99)),100,99)))</f>
        <v/>
      </c>
      <c r="CZ156" s="43" t="str">
        <f aca="false">IF(Tasks[[#This Row],[_Pred2Text]]="","",IFERROR(VALUE(LEFT(Tasks[[#This Row],[_Pred2Text]],MIN(FIND("F",Tasks[[#This Row],[_Pred2Text]]&amp;"F"),FIND("S",Tasks[[#This Row],[_Pred2Text]]&amp;"S"),FIND("+",Tasks[[#This Row],[_Pred2Text]]&amp;"+"),FIND("-",Tasks[[#This Row],[_Pred2Text]]&amp;"-"))-1)),""))</f>
        <v/>
      </c>
      <c r="DA1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6" s="43" t="str">
        <f aca="false">IF(Tasks[[#This Row],[_Pred2Text]]="","",TRIM(MID(SUBSTITUTE(SUBSTITUTE(SUBSTITUTE(UPPER(Tasks[[#This Row],[_Predecessors]]),";",",")," ",""),",",REPT(" ",99)),199,99)))</f>
        <v/>
      </c>
      <c r="DD156" s="43" t="str">
        <f aca="false">IF(Tasks[[#This Row],[_Pred3Text]]="","",IFERROR(VALUE(LEFT(Tasks[[#This Row],[_Pred3Text]],MIN(FIND("F",Tasks[[#This Row],[_Pred3Text]]&amp;"F"),FIND("S",Tasks[[#This Row],[_Pred3Text]]&amp;"S"),FIND("+",Tasks[[#This Row],[_Pred3Text]]&amp;"+"),FIND("-",Tasks[[#This Row],[_Pred3Text]]&amp;"-"))-1)),""))</f>
        <v/>
      </c>
      <c r="DE1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6" s="43" t="str">
        <f aca="false">IF(Tasks[[#This Row],[_Pred3Text]]="","",TRIM(MID(SUBSTITUTE(SUBSTITUTE(SUBSTITUTE(UPPER(Tasks[[#This Row],[_Predecessors]]),";",",")," ",""),",",REPT(" ",99)),298,99)))</f>
        <v/>
      </c>
      <c r="DH156" s="43" t="str">
        <f aca="false">IF(Tasks[[#This Row],[_Pred4Text]]="","",IFERROR(VALUE(LEFT(Tasks[[#This Row],[_Pred4Text]],MIN(FIND("F",Tasks[[#This Row],[_Pred4Text]]&amp;"F"),FIND("S",Tasks[[#This Row],[_Pred4Text]]&amp;"S"),FIND("+",Tasks[[#This Row],[_Pred4Text]]&amp;"+"),FIND("-",Tasks[[#This Row],[_Pred4Text]]&amp;"-"))-1)),""))</f>
        <v/>
      </c>
      <c r="DI1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6" s="43" t="str">
        <f aca="false">IF(OR(Tasks[[#This Row],[Task Name]]="",Tasks[[#This Row],[_Resources]]=""),"",TRIM(MID(SUBSTITUTE(Tasks[[#This Row],[_Resources]],",",REPT(" ",99)),1,99)))</f>
        <v/>
      </c>
      <c r="DL156" s="43" t="str">
        <f aca="false">IF(Tasks[[#This Row],[_Res1Text]]="","",TRIM(MID(SUBSTITUTE(Tasks[[#This Row],[_Resources]],",",REPT(" ",99)),100,99)))</f>
        <v/>
      </c>
      <c r="DM156" s="43" t="str">
        <f aca="false">IF(Tasks[[#This Row],[_Res2Text]]="","",TRIM(MID(SUBSTITUTE(Tasks[[#This Row],[_Resources]],",",REPT(" ",99)),199,99)))</f>
        <v/>
      </c>
      <c r="DN156" s="43" t="str">
        <f aca="false">IF(Tasks[[#This Row],[_Res3Text]]="","",TRIM(MID(SUBSTITUTE(Tasks[[#This Row],[_Resources]],",",REPT(" ",99)),298,99)))</f>
        <v/>
      </c>
      <c r="DO156" s="43" t="n">
        <f aca="false">IF(Tasks[[#This Row],[_Res1Text]]="",0,IFERROR(MATCH(TRIM(LEFT(Tasks[[#This Row],[_Res1Text]],FIND("[",Tasks[[#This Row],[_Res1Text]]&amp;"[")-1)),res_Name,0),IFERROR(MATCH(TRIM(LEFT(Tasks[[#This Row],[_Res1Text]],FIND("[",Tasks[[#This Row],[_Res1Text]]&amp;"[")-1)),res_Initials,0),0)))</f>
        <v>0</v>
      </c>
      <c r="DP156" s="43" t="n">
        <f aca="false">IF(Tasks[[#This Row],[_Res2Text]]="",0,IFERROR(MATCH(TRIM(LEFT(Tasks[[#This Row],[_Res2Text]],FIND("[",Tasks[[#This Row],[_Res2Text]]&amp;"[")-1)),res_Name,0),IFERROR(MATCH(TRIM(LEFT(Tasks[[#This Row],[_Res2Text]],FIND("[",Tasks[[#This Row],[_Res2Text]]&amp;"[")-1)),res_Initials,0),0)))</f>
        <v>0</v>
      </c>
      <c r="DQ156" s="43" t="n">
        <f aca="false">IF(Tasks[[#This Row],[_Res3Text]]="",0,IFERROR(MATCH(TRIM(LEFT(Tasks[[#This Row],[_Res3Text]],FIND("[",Tasks[[#This Row],[_Res3Text]]&amp;"[")-1)),res_Name,0),IFERROR(MATCH(TRIM(LEFT(Tasks[[#This Row],[_Res3Text]],FIND("[",Tasks[[#This Row],[_Res3Text]]&amp;"[")-1)),res_Initials,0),0)))</f>
        <v>0</v>
      </c>
      <c r="DR156" s="43" t="n">
        <f aca="false">IF(Tasks[[#This Row],[_Res4Text]]="",0,IFERROR(MATCH(TRIM(LEFT(Tasks[[#This Row],[_Res4Text]],FIND("[",Tasks[[#This Row],[_Res4Text]]&amp;"[")-1)),res_Name,0),IFERROR(MATCH(TRIM(LEFT(Tasks[[#This Row],[_Res4Text]],FIND("[",Tasks[[#This Row],[_Res4Text]]&amp;"[")-1)),res_Initials,0),0)))</f>
        <v>0</v>
      </c>
      <c r="DS156" s="43" t="str">
        <f aca="false">IF(Tasks[[#This Row],[_Res1Text]]="","",IF(Tasks[[#This Row],[_Res1Row]]&gt;0,INDEX(res_Name,Tasks[[#This Row],[_Res1Row]]),TRIM(LEFT(Tasks[[#This Row],[_Res1Text]],FIND("[",Tasks[[#This Row],[_Res1Text]]&amp;"[")-1))))</f>
        <v/>
      </c>
      <c r="DT1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6" s="43" t="n">
        <f aca="false">IF(NOT(Tasks[[#This Row],[_IsLeaf]]=1),0,(Tasks[[#This Row],[_Resource1]]&lt;&gt;"")+(Tasks[[#This Row],[_Res2]]&lt;&gt;"")+(Tasks[[#This Row],[_Res3]]&lt;&gt;"")+(Tasks[[#This Row],[_Res4]]&lt;&gt;""))</f>
        <v>0</v>
      </c>
      <c r="DV156" s="43" t="str">
        <f aca="false">IF(Tasks[[#This Row],[_Res2Text]]="","",IF(Tasks[[#This Row],[_Res2Row]]&gt;0,INDEX(res_Name,Tasks[[#This Row],[_Res2Row]]),TRIM(LEFT(Tasks[[#This Row],[_Res2Text]],FIND("[",Tasks[[#This Row],[_Res2Text]]&amp;"[")-1))))</f>
        <v/>
      </c>
      <c r="DW1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6" s="43" t="n">
        <f aca="false">IF(OR(NOT(Tasks[[#This Row],[_IsLeaf]]=1),Tasks[[#This Row],[_Res2Row]]=0),0,N(Tasks[[#This Row],[_Days]])*HoursPerDay*IF(Tasks[[#This Row],[_Res2Units]]="",DefaultUnits,Tasks[[#This Row],[_Res2Units]]))</f>
        <v>0</v>
      </c>
      <c r="DY156" s="43" t="n">
        <f aca="false">IF(AND(AND(Tasks[[#This Row],[_IsLeaf]]=1,Tasks[[#This Row],[_LeafTotalWork]]&gt;0),Tasks[[#This Row],[_Res2Work]]&gt;0),Tasks[[#This Row],[_Res2Work]]/(Tasks[[#This Row],[_FinishWorkday]]-Tasks[[#This Row],[_StartWorkday]]+1),0)</f>
        <v>0</v>
      </c>
      <c r="DZ156" s="43" t="n">
        <f aca="false">Tasks[[#This Row],[_Res2WorkPerWD]]*MAX(0,Tasks[[#This Row],[_StartWorkday]]-1)</f>
        <v>0</v>
      </c>
      <c r="EA156" s="43" t="n">
        <f aca="false">Tasks[[#This Row],[_Res2Work]]*Tasks[[#This Row],[_LeafProgress]]</f>
        <v>0</v>
      </c>
      <c r="EB156" s="43" t="str">
        <f aca="false">IF(Tasks[[#This Row],[_Res3Text]]="","",IF(Tasks[[#This Row],[_Res3Row]]&gt;0,INDEX(res_Name,Tasks[[#This Row],[_Res3Row]]),TRIM(LEFT(Tasks[[#This Row],[_Res3Text]],FIND("[",Tasks[[#This Row],[_Res3Text]]&amp;"[")-1))))</f>
        <v/>
      </c>
      <c r="EC1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6" s="43" t="n">
        <f aca="false">IF(OR(NOT(Tasks[[#This Row],[_IsLeaf]]=1),Tasks[[#This Row],[_Res3Row]]=0),0,N(Tasks[[#This Row],[_Days]])*HoursPerDay*IF(Tasks[[#This Row],[_Res3Units]]="",DefaultUnits,Tasks[[#This Row],[_Res3Units]]))</f>
        <v>0</v>
      </c>
      <c r="EE156" s="43" t="n">
        <f aca="false">IF(AND(AND(Tasks[[#This Row],[_IsLeaf]]=1,Tasks[[#This Row],[_LeafTotalWork]]&gt;0),Tasks[[#This Row],[_Res3Work]]&gt;0),Tasks[[#This Row],[_Res3Work]]/(Tasks[[#This Row],[_FinishWorkday]]-Tasks[[#This Row],[_StartWorkday]]+1),0)</f>
        <v>0</v>
      </c>
      <c r="EF156" s="43" t="n">
        <f aca="false">Tasks[[#This Row],[_Res3WorkPerWD]]*MAX(0,Tasks[[#This Row],[_StartWorkday]]-1)</f>
        <v>0</v>
      </c>
      <c r="EG156" s="43" t="n">
        <f aca="false">Tasks[[#This Row],[_Res3Work]]*Tasks[[#This Row],[_LeafProgress]]</f>
        <v>0</v>
      </c>
      <c r="EH156" s="43" t="str">
        <f aca="false">IF(Tasks[[#This Row],[_Res4Text]]="","",IF(Tasks[[#This Row],[_Res4Row]]&gt;0,INDEX(res_Name,Tasks[[#This Row],[_Res4Row]]),TRIM(LEFT(Tasks[[#This Row],[_Res4Text]],FIND("[",Tasks[[#This Row],[_Res4Text]]&amp;"[")-1))))</f>
        <v/>
      </c>
      <c r="EI1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6" s="43" t="n">
        <f aca="false">IF(OR(NOT(Tasks[[#This Row],[_IsLeaf]]=1),Tasks[[#This Row],[_Res4Row]]=0),0,N(Tasks[[#This Row],[_Days]])*HoursPerDay*IF(Tasks[[#This Row],[_Res4Units]]="",DefaultUnits,Tasks[[#This Row],[_Res4Units]]))</f>
        <v>0</v>
      </c>
      <c r="EK156" s="43" t="n">
        <f aca="false">IF(AND(AND(Tasks[[#This Row],[_IsLeaf]]=1,Tasks[[#This Row],[_LeafTotalWork]]&gt;0),Tasks[[#This Row],[_Res4Work]]&gt;0),Tasks[[#This Row],[_Res4Work]]/(Tasks[[#This Row],[_FinishWorkday]]-Tasks[[#This Row],[_StartWorkday]]+1),0)</f>
        <v>0</v>
      </c>
      <c r="EL156" s="43" t="n">
        <f aca="false">Tasks[[#This Row],[_Res4WorkPerWD]]*MAX(0,Tasks[[#This Row],[_StartWorkday]]-1)</f>
        <v>0</v>
      </c>
      <c r="EM156" s="43" t="n">
        <f aca="false">Tasks[[#This Row],[_Res4Work]]*Tasks[[#This Row],[_LeafProgress]]</f>
        <v>0</v>
      </c>
      <c r="EN156" s="43" t="n">
        <f aca="false">IF(ISNUMBER(Tasks[[#This Row],[% Complete]]),Tasks[[#This Row],[% Complete]],IF(Tasks[[#This Row],[Stage]]="",0,IFERROR(INDEX(stg_Pct,MATCH(Tasks[[#This Row],[Stage]],stg_Name,0)),0)))</f>
        <v>0</v>
      </c>
      <c r="EO156" s="43" t="n">
        <f aca="false">IF(NOT(Tasks[[#This Row],[_IsLeaf]]=1),0,IF(N(Tasks[[#This Row],[Actual Finish]])&gt;0,1,MIN(1,Tasks[[#This Row],[_Pct]])))</f>
        <v>0</v>
      </c>
      <c r="EP156" s="43" t="n">
        <f aca="false">IF(OR(NOT(Tasks[[#This Row],[_IsLeaf]]=1),Tasks[[#This Row],[_Res1Row]]=0),0,N(Tasks[[#This Row],[_Days]])*HoursPerDay*IF(Tasks[[#This Row],[_Units1]]="",DefaultUnits,Tasks[[#This Row],[_Units1]]))</f>
        <v>0</v>
      </c>
      <c r="EQ156" s="43" t="n">
        <f aca="false">Tasks[[#This Row],[_LeafWork]]+Tasks[[#This Row],[_Res2Work]]+Tasks[[#This Row],[_Res3Work]]+Tasks[[#This Row],[_Res4Work]]</f>
        <v>0</v>
      </c>
      <c r="ER15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6" s="43" t="n">
        <f aca="false">IF(NOT(Tasks[[#This Row],[_IsLeaf]]=1),0,MAX(_xlfn.MAXIFS(Tasks[_Row],Tasks[_Pred1UID],Tasks[[#This Row],[UID]]),_xlfn.MAXIFS(Tasks[_Row],Tasks[_Pred2UID],Tasks[[#This Row],[UID]]),_xlfn.MAXIFS(Tasks[_Row],Tasks[_Pred3UID],Tasks[[#This Row],[UID]]),_xlfn.MAXIFS(Tasks[_Row],Tasks[_Pred4UID],Tasks[[#This Row],[UID]])))</f>
        <v>0</v>
      </c>
      <c r="FA1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6" s="91" t="str">
        <f aca="false">IF(NOT(Tasks[[#This Row],[_IsLeaf]]=1),"",IF(N(Tasks[[#This Row],[_Days]])&lt;=0,Tasks[[#This Row],[_LeafLateFinish]],WORKDAY.INTL(Tasks[[#This Row],[_LeafLateFinish]],-(Tasks[[#This Row],[_Days]]-1),WorkWeek,Holidays)))</f>
        <v/>
      </c>
      <c r="FD1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6" s="90" t="b">
        <f aca="false">AND(Tasks[[#This Row],[_IsLeaf]]=1,Tasks[[#This Row],[_LeafProgress]]&lt;1,N(Tasks[[#This Row],[_LeafTotalSlack]])&lt;=CriticalSlackDays)</f>
        <v>0</v>
      </c>
      <c r="FF156" s="43" t="n">
        <f aca="false">IF(AND(Tasks[[#This Row],[_IsLeaf]]=1,Tasks[[#This Row],[_ConstraintCode]]=1,Tasks[[#This Row],[Mode]]&lt;&gt;"Manual",N(Tasks[[#This Row],[Actual Start]])=0),MAX(0,N(Tasks[[#This Row],[Free Slack]])),0)</f>
        <v>0</v>
      </c>
      <c r="FG156" s="91" t="str">
        <f aca="false">IF(NOT(Tasks[[#This Row],[_IsLeaf]]=1),"",IF(Tasks[[#This Row],[_AlapShift]]=0,Tasks[[#This Row],[_LeafCalcStart]],WORKDAY.INTL(Tasks[[#This Row],[_LeafCalcStart]],Tasks[[#This Row],[_AlapShift]],WorkWeek,Holidays)))</f>
        <v/>
      </c>
      <c r="FH156" s="91" t="str">
        <f aca="false">IF(NOT(Tasks[[#This Row],[_IsLeaf]]=1),"",IF(Tasks[[#This Row],[_AlapShift]]=0,Tasks[[#This Row],[_LeafCalcFinish]],WORKDAY.INTL(Tasks[[#This Row],[_LeafCalcFinish]],Tasks[[#This Row],[_AlapShift]],WorkWeek,Holidays)))</f>
        <v/>
      </c>
      <c r="FI156" s="91" t="str">
        <f aca="false">IF(NOT(Tasks[[#This Row],[_IsLeaf]]=1),"",IF(Tasks[[#This Row],[_AlapShift]]=0,Tasks[[#This Row],[_LeafFcstStart]],WORKDAY.INTL(Tasks[[#This Row],[_LeafFcstStart]],Tasks[[#This Row],[_AlapShift]],WorkWeek,Holidays)))</f>
        <v/>
      </c>
      <c r="FJ156" s="91" t="str">
        <f aca="false">IF(NOT(Tasks[[#This Row],[_IsLeaf]]=1),"",IF(Tasks[[#This Row],[_AlapShift]]=0,Tasks[[#This Row],[_LeafFcstFinish]],WORKDAY.INTL(Tasks[[#This Row],[_LeafFcstFinish]],Tasks[[#This Row],[_AlapShift]],WorkWeek,Holidays)))</f>
        <v/>
      </c>
      <c r="FK156" s="91" t="str">
        <f aca="false">IF(Tasks[[#This Row],[Task Name]]="","",IF(Tasks[[#This Row],[_IsSummary]],MIN(INDEX(Tasks[_ShownCalcStart],Tasks[[#This Row],[_Row]]+1):INDEX(Tasks[_ShownCalcStart],Tasks[[#This Row],[_Row]]+Tasks[[#This Row],[_Descendants]])),Tasks[[#This Row],[_ShownCalcStart]]))</f>
        <v/>
      </c>
      <c r="FL156" s="91" t="str">
        <f aca="false">IF(Tasks[[#This Row],[Task Name]]="","",IF(Tasks[[#This Row],[_IsSummary]],MAX(INDEX(Tasks[_ShownCalcFinish],Tasks[[#This Row],[_Row]]+1):INDEX(Tasks[_ShownCalcFinish],Tasks[[#This Row],[_Row]]+Tasks[[#This Row],[_Descendants]])),Tasks[[#This Row],[_ShownCalcFinish]]))</f>
        <v/>
      </c>
      <c r="FM1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6" s="43" t="n">
        <f aca="false">IF(AND(Tasks[[#This Row],[_IsLeaf]]=1,Tasks[[#This Row],[_LeafTotalWork]]&gt;0),NETWORKDAYS.INTL(ProjectStart,Tasks[[#This Row],[_ShownFcstStart]],WorkWeek,Holidays),0)</f>
        <v>0</v>
      </c>
      <c r="FZ156" s="43" t="n">
        <f aca="false">IF(AND(Tasks[[#This Row],[_IsLeaf]]=1,Tasks[[#This Row],[_LeafTotalWork]]&gt;0),MAX(Tasks[[#This Row],[_StartWorkday]],NETWORKDAYS.INTL(ProjectStart,Tasks[[#This Row],[_ShownFcstFinish]],WorkWeek,Holidays)),0)</f>
        <v>0</v>
      </c>
      <c r="GA156" s="43" t="n">
        <f aca="false">IF(AND(Tasks[[#This Row],[_IsLeaf]]=1,Tasks[[#This Row],[_LeafTotalWork]]&gt;0),Tasks[[#This Row],[_LeafWork]]/(Tasks[[#This Row],[_FinishWorkday]]-Tasks[[#This Row],[_StartWorkday]]+1),0)</f>
        <v>0</v>
      </c>
      <c r="GB156" s="43" t="n">
        <f aca="false">Tasks[[#This Row],[_WorkPerWorkday]]*(Tasks[[#This Row],[_StartWorkday]]-1)</f>
        <v>-0</v>
      </c>
      <c r="GC156" s="43" t="n">
        <f aca="false">IF(Tasks[[#This Row],[_IsLeaf]]=1,MAX(N(Tasks[[#This Row],[_Days]]),0.1),0)</f>
        <v>0</v>
      </c>
      <c r="GD156" s="43" t="n">
        <f aca="false">Tasks[[#This Row],[_WeightDur]]*Tasks[[#This Row],[_LeafProgress]]</f>
        <v>0</v>
      </c>
      <c r="GE156" s="43" t="n">
        <f aca="false">Tasks[[#This Row],[_WeightDur]]*Tasks[[#This Row],[_PlannedPct]]</f>
        <v>0</v>
      </c>
      <c r="GF1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6" s="43" t="str">
        <f aca="false">IF(AND(Tasks[[#This Row],[_IsLeaf]]=1,N(Tasks[[#This Row],[_Days]])=0,Tasks[[#This Row],[_LeafProgress]]&lt;1),Tasks[[#This Row],[_ShownFcstFinish]]+Tasks[[#This Row],[_Row]]/100000,"")</f>
        <v/>
      </c>
      <c r="GH1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6" s="43" t="str">
        <f aca="false">IF(Tasks[[#This Row],[Task Name]]="","",LEFT(Tasks[[#This Row],[WBS]],FIND(".",Tasks[[#This Row],[WBS]]&amp;".")-1))</f>
        <v/>
      </c>
      <c r="GJ156" s="43" t="str">
        <f aca="false">IF(AND(Tasks[[#This Row],[Task Name]]&lt;&gt;"",Tasks[[#This Row],[_Level]]=1),Tasks[[#This Row],[_Row]],"")</f>
        <v/>
      </c>
      <c r="GK156" s="43" t="str">
        <f aca="false">IF(AND(Tasks[[#This Row],[_IsLeaf]]=1,N(Tasks[[#This Row],[_Days]])=0),Tasks[[#This Row],[Planned Finish]]+Tasks[[#This Row],[_Row]]/100000,"")</f>
        <v/>
      </c>
      <c r="GL156" s="43" t="str">
        <f aca="false">IF(AND(Tasks[[#This Row],[_IsLeaf]]=1,Tasks[[#This Row],[_LeafProgress]]&lt;1,OR(N(Tasks[[#This Row],[Finish Var]])&gt;0,Tasks[[#This Row],[Status]]="Late Start")),MAX(0,Tasks[[#This Row],[Finish Var]])+1-Tasks[[#This Row],[_Row]]/1000000,"")</f>
        <v/>
      </c>
      <c r="GM156" s="43" t="str">
        <f aca="false">IF(AND(Tasks[[#This Row],[_IsLeaf]]=1,N(Tasks[[#This Row],[Actual Start]])=0,Tasks[[#This Row],[_ShownFcstStart]]&gt;=StatusDate,Tasks[[#This Row],[_ShownFcstStart]]&lt;=LookaheadEnd),Tasks[[#This Row],[_ShownFcstStart]]+Tasks[[#This Row],[_Row]]/100000,"")</f>
        <v/>
      </c>
      <c r="GN156" s="43" t="str">
        <f aca="false">IF(AND(Tasks[[#This Row],[_IsLeaf]]=1,Tasks[[#This Row],[_LeafProgress]]&lt;1,Tasks[[#This Row],[_ShownFcstFinish]]&gt;=StatusDate,Tasks[[#This Row],[_ShownFcstFinish]]&lt;=LookaheadEnd),Tasks[[#This Row],[_ShownFcstFinish]]+Tasks[[#This Row],[_Row]]/100000,"")</f>
        <v/>
      </c>
      <c r="GO156" s="43" t="str">
        <f aca="false">IF(Tasks[[#This Row],[_LeafCritical]],Tasks[[#This Row],[_ShownFcstStart]]+Tasks[[#This Row],[_Row]]/100000,"")</f>
        <v/>
      </c>
      <c r="GP156" s="43" t="n">
        <f aca="false">Tasks[[#This Row],[_LeafWork]]*Tasks[[#This Row],[_LeafProgress]]</f>
        <v>0</v>
      </c>
      <c r="GQ156" s="91" t="str">
        <f aca="false">IF(AND(Tasks[[#This Row],[_IsLeaf]]=1,Tasks[[#This Row],[_LeafProgress]]&gt;=1),IF(N(Tasks[[#This Row],[Actual Finish]])&gt;0,Tasks[[#This Row],[Actual Finish]],Tasks[[#This Row],[_ShownFcstFinish]]),"")</f>
        <v/>
      </c>
      <c r="GR156" s="43" t="n">
        <f aca="false">IF(Tasks[[#This Row],[_IsLeaf]]=1,N(Tasks[[#This Row],[Story Points]]),0)</f>
        <v>0</v>
      </c>
      <c r="GS156" s="43" t="str">
        <f aca="false">""</f>
        <v/>
      </c>
      <c r="GT156" s="90" t="b">
        <f aca="false">IF(Tasks[[#This Row],[Task Name]]="",FALSE(),AND(Tasks[[#This Row],[_IsLeaf]]=1,N(Tasks[[#This Row],[_Days]])=0))</f>
        <v>0</v>
      </c>
      <c r="GU156" s="91" t="n">
        <f aca="false">IF(Tasks[[#This Row],[Task Name]]="",0,IF(AND(Tasks[[#This Row],[_IsLeaf]]=1,NOT(Tasks[[#This Row],[_IsMilestone]]),N(Tasks[[#This Row],[Progress]])&gt;0),Tasks[[#This Row],[Start]],0))</f>
        <v>0</v>
      </c>
      <c r="GV156" s="91" t="n">
        <f aca="false">IF(Tasks[[#This Row],[_DoneFrom]]=0,0,IF(Tasks[[#This Row],[Progress]]&gt;=1,Tasks[[#This Row],[Finish]],MAX(Tasks[[#This Row],[_DoneFrom]],Tasks[[#This Row],[Start]]+ROUND((Tasks[[#This Row],[Finish]]-Tasks[[#This Row],[Start]]+1)*Tasks[[#This Row],[Progress]],0)-1)))</f>
        <v>0</v>
      </c>
      <c r="GW156" s="91" t="n">
        <f aca="false">IF(Tasks[[#This Row],[Task Name]]="",0,IF(OR(NOT(Tasks[[#This Row],[_IsLeaf]]=1),Tasks[[#This Row],[_IsMilestone]],N(Tasks[[#This Row],[Progress]])&gt;=1),0,IF(Tasks[[#This Row],[_DoneTo]]&gt;0,Tasks[[#This Row],[_DoneTo]]+1,Tasks[[#This Row],[Start]])))</f>
        <v>0</v>
      </c>
      <c r="GX156" s="91" t="n">
        <f aca="false">IF(Tasks[[#This Row],[_RemFrom]]=0,0,Tasks[[#This Row],[Finish]])</f>
        <v>0</v>
      </c>
      <c r="GY156" s="90" t="b">
        <f aca="false">IF(Tasks[[#This Row],[Task Name]]="",FALSE(),OR(NOT(BaselineSet),N(Tasks[[#This Row],[Baseline Start]])&gt;0))</f>
        <v>0</v>
      </c>
      <c r="GZ15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6" s="92" t="str">
        <f aca="false">IF(Tasks[[#This Row],[_IsLeaf]]=1,Tasks[[#This Row],[_Row]],"")</f>
        <v/>
      </c>
      <c r="HD156" s="92" t="str">
        <f aca="false">IFERROR(INDEX(Tasks[UID],SMALL(Tasks[_PickKey],Tasks[[#This Row],[_Row]]))&amp;" "&amp;INDEX(Tasks[Task Name],SMALL(Tasks[_PickKey],Tasks[[#This Row],[_Row]])),"")</f>
        <v/>
      </c>
      <c r="HE156" s="43" t="str">
        <f aca="false">IF(Tasks[[#This Row],[Task Name]]="","",IF(Tasks[[#This Row],[_IsSummary]],NETWORKDAYS.INTL(Tasks[[#This Row],[Start]],Tasks[[#This Row],[Finish]],WorkWeek,Holidays),N(Tasks[[#This Row],[_Days]])))</f>
        <v/>
      </c>
      <c r="HF156" s="43" t="n">
        <f aca="false">IF(Tasks[[#This Row],[Expected]]="",0,((Tasks[[#This Row],[Pessimistic]]-Tasks[[#This Row],[Optimistic]])/6)^2)</f>
        <v>0</v>
      </c>
      <c r="HG156" s="43" t="n">
        <f aca="false">IF(Tasks[[#This Row],[Expected]]="",0,Tasks[[#This Row],[Expected]]-N(Tasks[[#This Row],[_Days]]))</f>
        <v>0</v>
      </c>
    </row>
    <row r="157" customFormat="false" ht="15" hidden="false" customHeight="false" outlineLevel="0" collapsed="false">
      <c r="A157" s="21" t="str">
        <f aca="false">IF(Tasks[[#This Row],[Task Name]]="","",COUNTA(Tasks[[#Headers],[Task Name]]:Tasks[[#This Row],[Task Name]])-1)</f>
        <v/>
      </c>
      <c r="B157" s="22" t="n">
        <v>165</v>
      </c>
      <c r="C157" s="22"/>
      <c r="D157" s="23"/>
      <c r="E157" s="22"/>
      <c r="F157" s="23"/>
      <c r="G157" s="22"/>
      <c r="H157" s="22"/>
      <c r="I157" s="23"/>
      <c r="J157" s="22"/>
      <c r="K157" s="22"/>
      <c r="L157" s="23"/>
      <c r="M157" s="22"/>
      <c r="N157" s="22"/>
      <c r="O157" s="23"/>
      <c r="P157" s="22"/>
      <c r="Q157" s="22"/>
      <c r="R157" s="23"/>
      <c r="S157" s="23"/>
      <c r="T157" s="84"/>
      <c r="U157" s="23"/>
      <c r="V157" s="84"/>
      <c r="W157" s="23"/>
      <c r="X157" s="84"/>
      <c r="Y157" s="23"/>
      <c r="Z157" s="84"/>
      <c r="AA157" s="23"/>
      <c r="AB157" s="23"/>
      <c r="AC157" s="7"/>
      <c r="AD157" s="7"/>
      <c r="AE157" s="63" t="str">
        <f aca="false">IF(Tasks[[#This Row],[Task Name]]="","",IF(Tasks[[#This Row],[_IsSummary]],MIN(INDEX(Tasks[_ShownFcstStart],Tasks[[#This Row],[_Row]]+1):INDEX(Tasks[_ShownFcstStart],Tasks[[#This Row],[_Row]]+Tasks[[#This Row],[_Descendants]])),Tasks[[#This Row],[_ShownFcstStart]]))</f>
        <v/>
      </c>
      <c r="AF157" s="63" t="str">
        <f aca="false">IF(Tasks[[#This Row],[Task Name]]="","",IF(Tasks[[#This Row],[_IsSummary]],MAX(INDEX(Tasks[_ShownFcstFinish],Tasks[[#This Row],[_Row]]+1):INDEX(Tasks[_ShownFcstFinish],Tasks[[#This Row],[_Row]]+Tasks[[#This Row],[_Descendants]])),Tasks[[#This Row],[_ShownFcstFinish]]))</f>
        <v/>
      </c>
      <c r="AG157" s="21" t="str">
        <f aca="false">""</f>
        <v/>
      </c>
      <c r="AH157" s="23"/>
      <c r="AI1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7" s="7"/>
      <c r="AK157" s="22"/>
      <c r="AL157" s="23"/>
      <c r="AM157" s="7"/>
      <c r="AN157" s="47" t="str">
        <f aca="false">IF(Tasks[[#This Row],[Task Name]]="","",IF(Tasks[[#This Row],[Finish]]&gt;=Tasks[[#This Row],[Planned Finish]],NETWORKDAYS.INTL(Tasks[[#This Row],[Planned Finish]],Tasks[[#This Row],[Finish]],WorkWeek,Holidays)-1,1-NETWORKDAYS.INTL(Tasks[[#This Row],[Finish]],Tasks[[#This Row],[Planned Finish]],WorkWeek,Holidays)))</f>
        <v/>
      </c>
      <c r="AO157" s="21" t="str">
        <f aca="false">IF(Tasks[[#This Row],[Task Name]]="","",IF(Tasks[[#This Row],[Progress]]&gt;=1,"Complete",IF(OR(N(Tasks[[#This Row],[Actual Start]])&gt;0,Tasks[[#This Row],[Progress]]&gt;0),IF(Tasks[[#This Row],[Finish Var]]&gt;0,"Behind","In Progress"),IF(Tasks[[#This Row],[Planned Start]]&lt;StatusDate,"Late Start","Not Started"))))</f>
        <v/>
      </c>
      <c r="AP157" s="21" t="str">
        <f aca="false">IF(Tasks[[#This Row],[Task Name]]="","",IF(IF(Tasks[[#This Row],[_IsSummary]],COUNTIF(INDEX(Tasks[_LeafCritical],Tasks[[#This Row],[_Row]]+1):INDEX(Tasks[_LeafCritical],Tasks[[#This Row],[_Row]]+Tasks[[#This Row],[_Descendants]]),TRUE())&gt;0,Tasks[[#This Row],[_LeafCritical]]),"Yes",""))</f>
        <v/>
      </c>
      <c r="AQ157" s="63" t="str">
        <f aca="false">IF(Tasks[[#This Row],[Task Name]]="","",IF(N(Tasks[[#This Row],[Baseline Start]])&gt;0,Tasks[[#This Row],[Baseline Start]],Tasks[[#This Row],[_CalcStart]]))</f>
        <v/>
      </c>
      <c r="AR157" s="63" t="str">
        <f aca="false">IF(Tasks[[#This Row],[Task Name]]="","",IF(N(Tasks[[#This Row],[Baseline Finish]])&gt;0,Tasks[[#This Row],[Baseline Finish]],Tasks[[#This Row],[_CalcFinish]]))</f>
        <v/>
      </c>
      <c r="AS157" s="47" t="str">
        <f aca="false">IF(Tasks[[#This Row],[Task Name]]="","",IF(Tasks[[#This Row],[Start]]&gt;=Tasks[[#This Row],[Planned Start]],NETWORKDAYS.INTL(Tasks[[#This Row],[Planned Start]],Tasks[[#This Row],[Start]],WorkWeek,Holidays)-1,1-NETWORKDAYS.INTL(Tasks[[#This Row],[Start]],Tasks[[#This Row],[Planned Start]],WorkWeek,Holidays)))</f>
        <v/>
      </c>
      <c r="AT157" s="63" t="str">
        <f aca="false">IF(Tasks[[#This Row],[Task Name]]="","",IF(Tasks[[#This Row],[_IsSummary]],MIN(INDEX(Tasks[_LeafLateStart],Tasks[[#This Row],[_Row]]+1):INDEX(Tasks[_LeafLateStart],Tasks[[#This Row],[_Row]]+Tasks[[#This Row],[_Descendants]])),Tasks[[#This Row],[_LeafLateStart]]))</f>
        <v/>
      </c>
      <c r="AU157" s="63" t="str">
        <f aca="false">IF(Tasks[[#This Row],[Task Name]]="","",IF(Tasks[[#This Row],[_IsSummary]],MAX(INDEX(Tasks[_LeafLateFinish],Tasks[[#This Row],[_Row]]+1):INDEX(Tasks[_LeafLateFinish],Tasks[[#This Row],[_Row]]+Tasks[[#This Row],[_Descendants]])),Tasks[[#This Row],[_LeafLateFinish]]))</f>
        <v/>
      </c>
      <c r="AV157" s="47" t="str">
        <f aca="false">IF(Tasks[[#This Row],[Task Name]]="","",IF(Tasks[[#This Row],[_IsSummary]],MIN(INDEX(Tasks[_LeafTotalSlack],Tasks[[#This Row],[_Row]]+1):INDEX(Tasks[_LeafTotalSlack],Tasks[[#This Row],[_Row]]+Tasks[[#This Row],[_Descendants]])),Tasks[[#This Row],[_LeafTotalSlack]]))</f>
        <v/>
      </c>
      <c r="AW1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5"/>
      <c r="BA15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t="str">
        <f aca="false">IF(Tasks[[#This Row],[Task Name]]="","",IF(Tasks[[#This Row],[_Level]]&lt;=OutlineShowLevel,"Yes","No"))</f>
        <v/>
      </c>
      <c r="BE157" s="86" t="str">
        <f aca="false">IF(Tasks[[#This Row],[Task Name]]="","",IF(Tasks[[#This Row],[_IsSummary]],SUM(INDEX(Tasks[_LeafTotalWork],Tasks[[#This Row],[_Row]]+1):INDEX(Tasks[_LeafTotalWork],Tasks[[#This Row],[_Row]]+Tasks[[#This Row],[_Descendants]])),Tasks[[#This Row],[_LeafTotalWork]]))</f>
        <v/>
      </c>
      <c r="BF157" s="23"/>
      <c r="BG1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t="str">
        <f aca="false">""</f>
        <v/>
      </c>
      <c r="BI157" s="87"/>
      <c r="BJ157" s="22"/>
      <c r="BK157" s="47" t="str">
        <f aca="false">IF(OR(Tasks[[#This Row],[Task Name]]="",Tasks[[#This Row],[Baseline Duration]]=""),"",Tasks[[#This Row],[_SpanDays]]-N(Tasks[[#This Row],[Baseline Duration]]))</f>
        <v/>
      </c>
      <c r="BL157" s="86" t="str">
        <f aca="false">IF(OR(Tasks[[#This Row],[Task Name]]="",Tasks[[#This Row],[Baseline Work]]=""),"",Tasks[[#This Row],[Work]]-N(Tasks[[#This Row],[Baseline Work]]))</f>
        <v/>
      </c>
      <c r="BM157" s="63" t="str">
        <f aca="false">IF(Tasks[[#This Row],[Task Name]]="","",IF(OR(TakeBaseline="Yes",N(Tasks[[#This Row],[Baseline Start]])=0),Tasks[[#This Row],[Start]],Tasks[[#This Row],[Baseline Start]]))</f>
        <v/>
      </c>
      <c r="BN157" s="63" t="str">
        <f aca="false">IF(Tasks[[#This Row],[Task Name]]="","",IF(OR(TakeBaseline="Yes",N(Tasks[[#This Row],[Baseline Finish]])=0),Tasks[[#This Row],[Finish]],Tasks[[#This Row],[Baseline Finish]]))</f>
        <v/>
      </c>
      <c r="BO157" s="21" t="str">
        <f aca="false">IF(Tasks[[#This Row],[Task Name]]="","",IF(OR(TakeBaseline="Yes",N(Tasks[[#This Row],[Baseline Duration]])=0),Tasks[[#This Row],[_SpanDays]],Tasks[[#This Row],[Baseline Duration]]))</f>
        <v/>
      </c>
      <c r="BP157" s="86" t="str">
        <f aca="false">IF(Tasks[[#This Row],[Task Name]]="","",IF(OR(TakeBaseline="Yes",N(Tasks[[#This Row],[Baseline Work]])=0),Tasks[[#This Row],[Work]],Tasks[[#This Row],[Baseline Work]]))</f>
        <v/>
      </c>
      <c r="BQ157" s="7"/>
      <c r="BR157" s="7"/>
      <c r="BS157" s="22"/>
      <c r="BT157" s="88"/>
      <c r="BU157" s="23"/>
      <c r="BV157" s="23"/>
      <c r="BW157" s="23"/>
      <c r="BX157" s="89" t="str">
        <f aca="false">IF(AND(Tasks[[#This Row],[_IsLeaf]]=1,ISNUMBER(Tasks[[#This Row],[Optimistic]]),ISNUMBER(Tasks[[#This Row],[Pessimistic]])),ROUND((Tasks[[#This Row],[Optimistic]]+4*N(Tasks[[#This Row],[_Days]])+Tasks[[#This Row],[Pessimistic]])/6,1),"")</f>
        <v/>
      </c>
      <c r="BY157" s="87"/>
      <c r="BZ157" s="87"/>
      <c r="CA157" s="22"/>
      <c r="CB157" s="43" t="str">
        <f aca="false">IF(Tasks[[#This Row],[Task Name]]="","",MAX(1,N(Tasks[[#This Row],[Level]])))</f>
        <v/>
      </c>
      <c r="CC157" s="43" t="n">
        <f aca="false">ROW()-ROW(Tasks[[#Headers],[ID]])</f>
        <v>152</v>
      </c>
      <c r="CD157" s="43" t="n">
        <f aca="false">IF(OR(Tasks[[#This Row],[Task Name]]="",Tasks[[#This Row],[_Level]]&lt;=1),0,IFERROR(LOOKUP(2,1/(Tasks[[#Headers],[_Level]]:Tasks[[#This Row],[_Level]]=Tasks[[#This Row],[_Level]]-1),ROW(Tasks[[#Headers],[_Level]]:Tasks[[#This Row],[_Level]])),0))</f>
        <v>0</v>
      </c>
      <c r="CE157" s="43" t="n">
        <f aca="false">IFERROR(N(INDEX(Tasks[_Level],Tasks[[#This Row],[_Row]]+1)),0)</f>
        <v>0</v>
      </c>
      <c r="CF157" s="90" t="b">
        <f aca="false">AND(Tasks[[#This Row],[Task Name]]&lt;&gt;"",Tasks[[#This Row],[_NextLevel]]&gt;Tasks[[#This Row],[_Level]])</f>
        <v>0</v>
      </c>
      <c r="CG157" s="43" t="n">
        <f aca="false">IF(Tasks[[#This Row],[_IsSummary]],COUNTIF(Tasks[WBS],Tasks[[#This Row],[WBS]]&amp;".*"),0)</f>
        <v>0</v>
      </c>
      <c r="CH157" s="43" t="n">
        <f aca="false">IF(AND(Tasks[[#This Row],[Task Name]]&lt;&gt;"",NOT(Tasks[[#This Row],[_IsSummary]])),1,0)</f>
        <v>0</v>
      </c>
      <c r="CI157" s="43" t="n">
        <f aca="false">IF(N(Tasks[[#This Row],[_Pred1UID]])=0,0,IFERROR(MATCH(Tasks[[#This Row],[_Pred1UID]],Tasks[UID],0),-1))</f>
        <v>0</v>
      </c>
      <c r="CJ157" s="43" t="n">
        <f aca="false">IF(N(Tasks[[#This Row],[_Pred2UID]])=0,0,IFERROR(MATCH(Tasks[[#This Row],[_Pred2UID]],Tasks[UID],0),-1))</f>
        <v>0</v>
      </c>
      <c r="CK157" s="43" t="n">
        <f aca="false">IF(N(Tasks[[#This Row],[_Pred3UID]])=0,0,IFERROR(MATCH(Tasks[[#This Row],[_Pred3UID]],Tasks[UID],0),-1))</f>
        <v>0</v>
      </c>
      <c r="CL157" s="43" t="n">
        <f aca="false">IF(N(Tasks[[#This Row],[_Pred4UID]])=0,0,IFERROR(MATCH(Tasks[[#This Row],[_Pred4UID]],Tasks[UID],0),-1))</f>
        <v>0</v>
      </c>
      <c r="CM1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7" s="91" t="n">
        <f aca="false">IF(OR(Tasks[[#This Row],[_ConstraintCode]]=2,Tasks[[#This Row],[_ConstraintCode]]=3,Tasks[[#This Row],[_ConstraintCode]]=4,Tasks[[#This Row],[_ConstraintCode]]=6),Tasks[[#This Row],[_ConstraintStart]],0)</f>
        <v>0</v>
      </c>
      <c r="CP157" s="91" t="n">
        <f aca="false">IF(OR(Tasks[[#This Row],[_ConstraintCode]]=2,Tasks[[#This Row],[_ConstraintCode]]=3,Tasks[[#This Row],[_ConstraintCode]]=5,Tasks[[#This Row],[_ConstraintCode]]=7),Tasks[[#This Row],[_ConstraintStart]],2958465)</f>
        <v>2958465</v>
      </c>
      <c r="CQ1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7" s="91" t="str">
        <f aca="false">IF(NOT(Tasks[[#This Row],[_IsLeaf]]=1),"",IF(N(Tasks[[#This Row],[_Days]])&lt;=0,Tasks[[#This Row],[_LeafCalcStart]],WORKDAY.INTL(Tasks[[#This Row],[_LeafCalcStart]],Tasks[[#This Row],[_Days]]-1,WorkWeek,Holidays)))</f>
        <v/>
      </c>
      <c r="CS1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7" s="43" t="str">
        <f aca="false">IF(Tasks[[#This Row],[_Predecessors]]="","",TRIM(MID(SUBSTITUTE(SUBSTITUTE(SUBSTITUTE(UPPER(Tasks[[#This Row],[_Predecessors]]),";",",")," ",""),",",REPT(" ",99)),1,99)))</f>
        <v/>
      </c>
      <c r="CV157" s="43" t="str">
        <f aca="false">IF(Tasks[[#This Row],[_Pred1Text]]="","",IFERROR(VALUE(LEFT(Tasks[[#This Row],[_Pred1Text]],MIN(FIND("F",Tasks[[#This Row],[_Pred1Text]]&amp;"F"),FIND("S",Tasks[[#This Row],[_Pred1Text]]&amp;"S"),FIND("+",Tasks[[#This Row],[_Pred1Text]]&amp;"+"),FIND("-",Tasks[[#This Row],[_Pred1Text]]&amp;"-"))-1)),""))</f>
        <v/>
      </c>
      <c r="CW1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7" s="43" t="str">
        <f aca="false">IF(Tasks[[#This Row],[_Pred1Text]]="","",TRIM(MID(SUBSTITUTE(SUBSTITUTE(SUBSTITUTE(UPPER(Tasks[[#This Row],[_Predecessors]]),";",",")," ",""),",",REPT(" ",99)),100,99)))</f>
        <v/>
      </c>
      <c r="CZ157" s="43" t="str">
        <f aca="false">IF(Tasks[[#This Row],[_Pred2Text]]="","",IFERROR(VALUE(LEFT(Tasks[[#This Row],[_Pred2Text]],MIN(FIND("F",Tasks[[#This Row],[_Pred2Text]]&amp;"F"),FIND("S",Tasks[[#This Row],[_Pred2Text]]&amp;"S"),FIND("+",Tasks[[#This Row],[_Pred2Text]]&amp;"+"),FIND("-",Tasks[[#This Row],[_Pred2Text]]&amp;"-"))-1)),""))</f>
        <v/>
      </c>
      <c r="DA1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7" s="43" t="str">
        <f aca="false">IF(Tasks[[#This Row],[_Pred2Text]]="","",TRIM(MID(SUBSTITUTE(SUBSTITUTE(SUBSTITUTE(UPPER(Tasks[[#This Row],[_Predecessors]]),";",",")," ",""),",",REPT(" ",99)),199,99)))</f>
        <v/>
      </c>
      <c r="DD157" s="43" t="str">
        <f aca="false">IF(Tasks[[#This Row],[_Pred3Text]]="","",IFERROR(VALUE(LEFT(Tasks[[#This Row],[_Pred3Text]],MIN(FIND("F",Tasks[[#This Row],[_Pred3Text]]&amp;"F"),FIND("S",Tasks[[#This Row],[_Pred3Text]]&amp;"S"),FIND("+",Tasks[[#This Row],[_Pred3Text]]&amp;"+"),FIND("-",Tasks[[#This Row],[_Pred3Text]]&amp;"-"))-1)),""))</f>
        <v/>
      </c>
      <c r="DE1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7" s="43" t="str">
        <f aca="false">IF(Tasks[[#This Row],[_Pred3Text]]="","",TRIM(MID(SUBSTITUTE(SUBSTITUTE(SUBSTITUTE(UPPER(Tasks[[#This Row],[_Predecessors]]),";",",")," ",""),",",REPT(" ",99)),298,99)))</f>
        <v/>
      </c>
      <c r="DH157" s="43" t="str">
        <f aca="false">IF(Tasks[[#This Row],[_Pred4Text]]="","",IFERROR(VALUE(LEFT(Tasks[[#This Row],[_Pred4Text]],MIN(FIND("F",Tasks[[#This Row],[_Pred4Text]]&amp;"F"),FIND("S",Tasks[[#This Row],[_Pred4Text]]&amp;"S"),FIND("+",Tasks[[#This Row],[_Pred4Text]]&amp;"+"),FIND("-",Tasks[[#This Row],[_Pred4Text]]&amp;"-"))-1)),""))</f>
        <v/>
      </c>
      <c r="DI1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7" s="43" t="str">
        <f aca="false">IF(OR(Tasks[[#This Row],[Task Name]]="",Tasks[[#This Row],[_Resources]]=""),"",TRIM(MID(SUBSTITUTE(Tasks[[#This Row],[_Resources]],",",REPT(" ",99)),1,99)))</f>
        <v/>
      </c>
      <c r="DL157" s="43" t="str">
        <f aca="false">IF(Tasks[[#This Row],[_Res1Text]]="","",TRIM(MID(SUBSTITUTE(Tasks[[#This Row],[_Resources]],",",REPT(" ",99)),100,99)))</f>
        <v/>
      </c>
      <c r="DM157" s="43" t="str">
        <f aca="false">IF(Tasks[[#This Row],[_Res2Text]]="","",TRIM(MID(SUBSTITUTE(Tasks[[#This Row],[_Resources]],",",REPT(" ",99)),199,99)))</f>
        <v/>
      </c>
      <c r="DN157" s="43" t="str">
        <f aca="false">IF(Tasks[[#This Row],[_Res3Text]]="","",TRIM(MID(SUBSTITUTE(Tasks[[#This Row],[_Resources]],",",REPT(" ",99)),298,99)))</f>
        <v/>
      </c>
      <c r="DO157" s="43" t="n">
        <f aca="false">IF(Tasks[[#This Row],[_Res1Text]]="",0,IFERROR(MATCH(TRIM(LEFT(Tasks[[#This Row],[_Res1Text]],FIND("[",Tasks[[#This Row],[_Res1Text]]&amp;"[")-1)),res_Name,0),IFERROR(MATCH(TRIM(LEFT(Tasks[[#This Row],[_Res1Text]],FIND("[",Tasks[[#This Row],[_Res1Text]]&amp;"[")-1)),res_Initials,0),0)))</f>
        <v>0</v>
      </c>
      <c r="DP157" s="43" t="n">
        <f aca="false">IF(Tasks[[#This Row],[_Res2Text]]="",0,IFERROR(MATCH(TRIM(LEFT(Tasks[[#This Row],[_Res2Text]],FIND("[",Tasks[[#This Row],[_Res2Text]]&amp;"[")-1)),res_Name,0),IFERROR(MATCH(TRIM(LEFT(Tasks[[#This Row],[_Res2Text]],FIND("[",Tasks[[#This Row],[_Res2Text]]&amp;"[")-1)),res_Initials,0),0)))</f>
        <v>0</v>
      </c>
      <c r="DQ157" s="43" t="n">
        <f aca="false">IF(Tasks[[#This Row],[_Res3Text]]="",0,IFERROR(MATCH(TRIM(LEFT(Tasks[[#This Row],[_Res3Text]],FIND("[",Tasks[[#This Row],[_Res3Text]]&amp;"[")-1)),res_Name,0),IFERROR(MATCH(TRIM(LEFT(Tasks[[#This Row],[_Res3Text]],FIND("[",Tasks[[#This Row],[_Res3Text]]&amp;"[")-1)),res_Initials,0),0)))</f>
        <v>0</v>
      </c>
      <c r="DR157" s="43" t="n">
        <f aca="false">IF(Tasks[[#This Row],[_Res4Text]]="",0,IFERROR(MATCH(TRIM(LEFT(Tasks[[#This Row],[_Res4Text]],FIND("[",Tasks[[#This Row],[_Res4Text]]&amp;"[")-1)),res_Name,0),IFERROR(MATCH(TRIM(LEFT(Tasks[[#This Row],[_Res4Text]],FIND("[",Tasks[[#This Row],[_Res4Text]]&amp;"[")-1)),res_Initials,0),0)))</f>
        <v>0</v>
      </c>
      <c r="DS157" s="43" t="str">
        <f aca="false">IF(Tasks[[#This Row],[_Res1Text]]="","",IF(Tasks[[#This Row],[_Res1Row]]&gt;0,INDEX(res_Name,Tasks[[#This Row],[_Res1Row]]),TRIM(LEFT(Tasks[[#This Row],[_Res1Text]],FIND("[",Tasks[[#This Row],[_Res1Text]]&amp;"[")-1))))</f>
        <v/>
      </c>
      <c r="DT1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7" s="43" t="n">
        <f aca="false">IF(NOT(Tasks[[#This Row],[_IsLeaf]]=1),0,(Tasks[[#This Row],[_Resource1]]&lt;&gt;"")+(Tasks[[#This Row],[_Res2]]&lt;&gt;"")+(Tasks[[#This Row],[_Res3]]&lt;&gt;"")+(Tasks[[#This Row],[_Res4]]&lt;&gt;""))</f>
        <v>0</v>
      </c>
      <c r="DV157" s="43" t="str">
        <f aca="false">IF(Tasks[[#This Row],[_Res2Text]]="","",IF(Tasks[[#This Row],[_Res2Row]]&gt;0,INDEX(res_Name,Tasks[[#This Row],[_Res2Row]]),TRIM(LEFT(Tasks[[#This Row],[_Res2Text]],FIND("[",Tasks[[#This Row],[_Res2Text]]&amp;"[")-1))))</f>
        <v/>
      </c>
      <c r="DW1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7" s="43" t="n">
        <f aca="false">IF(OR(NOT(Tasks[[#This Row],[_IsLeaf]]=1),Tasks[[#This Row],[_Res2Row]]=0),0,N(Tasks[[#This Row],[_Days]])*HoursPerDay*IF(Tasks[[#This Row],[_Res2Units]]="",DefaultUnits,Tasks[[#This Row],[_Res2Units]]))</f>
        <v>0</v>
      </c>
      <c r="DY157" s="43" t="n">
        <f aca="false">IF(AND(AND(Tasks[[#This Row],[_IsLeaf]]=1,Tasks[[#This Row],[_LeafTotalWork]]&gt;0),Tasks[[#This Row],[_Res2Work]]&gt;0),Tasks[[#This Row],[_Res2Work]]/(Tasks[[#This Row],[_FinishWorkday]]-Tasks[[#This Row],[_StartWorkday]]+1),0)</f>
        <v>0</v>
      </c>
      <c r="DZ157" s="43" t="n">
        <f aca="false">Tasks[[#This Row],[_Res2WorkPerWD]]*MAX(0,Tasks[[#This Row],[_StartWorkday]]-1)</f>
        <v>0</v>
      </c>
      <c r="EA157" s="43" t="n">
        <f aca="false">Tasks[[#This Row],[_Res2Work]]*Tasks[[#This Row],[_LeafProgress]]</f>
        <v>0</v>
      </c>
      <c r="EB157" s="43" t="str">
        <f aca="false">IF(Tasks[[#This Row],[_Res3Text]]="","",IF(Tasks[[#This Row],[_Res3Row]]&gt;0,INDEX(res_Name,Tasks[[#This Row],[_Res3Row]]),TRIM(LEFT(Tasks[[#This Row],[_Res3Text]],FIND("[",Tasks[[#This Row],[_Res3Text]]&amp;"[")-1))))</f>
        <v/>
      </c>
      <c r="EC1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7" s="43" t="n">
        <f aca="false">IF(OR(NOT(Tasks[[#This Row],[_IsLeaf]]=1),Tasks[[#This Row],[_Res3Row]]=0),0,N(Tasks[[#This Row],[_Days]])*HoursPerDay*IF(Tasks[[#This Row],[_Res3Units]]="",DefaultUnits,Tasks[[#This Row],[_Res3Units]]))</f>
        <v>0</v>
      </c>
      <c r="EE157" s="43" t="n">
        <f aca="false">IF(AND(AND(Tasks[[#This Row],[_IsLeaf]]=1,Tasks[[#This Row],[_LeafTotalWork]]&gt;0),Tasks[[#This Row],[_Res3Work]]&gt;0),Tasks[[#This Row],[_Res3Work]]/(Tasks[[#This Row],[_FinishWorkday]]-Tasks[[#This Row],[_StartWorkday]]+1),0)</f>
        <v>0</v>
      </c>
      <c r="EF157" s="43" t="n">
        <f aca="false">Tasks[[#This Row],[_Res3WorkPerWD]]*MAX(0,Tasks[[#This Row],[_StartWorkday]]-1)</f>
        <v>0</v>
      </c>
      <c r="EG157" s="43" t="n">
        <f aca="false">Tasks[[#This Row],[_Res3Work]]*Tasks[[#This Row],[_LeafProgress]]</f>
        <v>0</v>
      </c>
      <c r="EH157" s="43" t="str">
        <f aca="false">IF(Tasks[[#This Row],[_Res4Text]]="","",IF(Tasks[[#This Row],[_Res4Row]]&gt;0,INDEX(res_Name,Tasks[[#This Row],[_Res4Row]]),TRIM(LEFT(Tasks[[#This Row],[_Res4Text]],FIND("[",Tasks[[#This Row],[_Res4Text]]&amp;"[")-1))))</f>
        <v/>
      </c>
      <c r="EI1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7" s="43" t="n">
        <f aca="false">IF(OR(NOT(Tasks[[#This Row],[_IsLeaf]]=1),Tasks[[#This Row],[_Res4Row]]=0),0,N(Tasks[[#This Row],[_Days]])*HoursPerDay*IF(Tasks[[#This Row],[_Res4Units]]="",DefaultUnits,Tasks[[#This Row],[_Res4Units]]))</f>
        <v>0</v>
      </c>
      <c r="EK157" s="43" t="n">
        <f aca="false">IF(AND(AND(Tasks[[#This Row],[_IsLeaf]]=1,Tasks[[#This Row],[_LeafTotalWork]]&gt;0),Tasks[[#This Row],[_Res4Work]]&gt;0),Tasks[[#This Row],[_Res4Work]]/(Tasks[[#This Row],[_FinishWorkday]]-Tasks[[#This Row],[_StartWorkday]]+1),0)</f>
        <v>0</v>
      </c>
      <c r="EL157" s="43" t="n">
        <f aca="false">Tasks[[#This Row],[_Res4WorkPerWD]]*MAX(0,Tasks[[#This Row],[_StartWorkday]]-1)</f>
        <v>0</v>
      </c>
      <c r="EM157" s="43" t="n">
        <f aca="false">Tasks[[#This Row],[_Res4Work]]*Tasks[[#This Row],[_LeafProgress]]</f>
        <v>0</v>
      </c>
      <c r="EN157" s="43" t="n">
        <f aca="false">IF(ISNUMBER(Tasks[[#This Row],[% Complete]]),Tasks[[#This Row],[% Complete]],IF(Tasks[[#This Row],[Stage]]="",0,IFERROR(INDEX(stg_Pct,MATCH(Tasks[[#This Row],[Stage]],stg_Name,0)),0)))</f>
        <v>0</v>
      </c>
      <c r="EO157" s="43" t="n">
        <f aca="false">IF(NOT(Tasks[[#This Row],[_IsLeaf]]=1),0,IF(N(Tasks[[#This Row],[Actual Finish]])&gt;0,1,MIN(1,Tasks[[#This Row],[_Pct]])))</f>
        <v>0</v>
      </c>
      <c r="EP157" s="43" t="n">
        <f aca="false">IF(OR(NOT(Tasks[[#This Row],[_IsLeaf]]=1),Tasks[[#This Row],[_Res1Row]]=0),0,N(Tasks[[#This Row],[_Days]])*HoursPerDay*IF(Tasks[[#This Row],[_Units1]]="",DefaultUnits,Tasks[[#This Row],[_Units1]]))</f>
        <v>0</v>
      </c>
      <c r="EQ157" s="43" t="n">
        <f aca="false">Tasks[[#This Row],[_LeafWork]]+Tasks[[#This Row],[_Res2Work]]+Tasks[[#This Row],[_Res3Work]]+Tasks[[#This Row],[_Res4Work]]</f>
        <v>0</v>
      </c>
      <c r="ER15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7" s="43" t="n">
        <f aca="false">IF(NOT(Tasks[[#This Row],[_IsLeaf]]=1),0,MAX(_xlfn.MAXIFS(Tasks[_Row],Tasks[_Pred1UID],Tasks[[#This Row],[UID]]),_xlfn.MAXIFS(Tasks[_Row],Tasks[_Pred2UID],Tasks[[#This Row],[UID]]),_xlfn.MAXIFS(Tasks[_Row],Tasks[_Pred3UID],Tasks[[#This Row],[UID]]),_xlfn.MAXIFS(Tasks[_Row],Tasks[_Pred4UID],Tasks[[#This Row],[UID]])))</f>
        <v>0</v>
      </c>
      <c r="FA1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7" s="91" t="str">
        <f aca="false">IF(NOT(Tasks[[#This Row],[_IsLeaf]]=1),"",IF(N(Tasks[[#This Row],[_Days]])&lt;=0,Tasks[[#This Row],[_LeafLateFinish]],WORKDAY.INTL(Tasks[[#This Row],[_LeafLateFinish]],-(Tasks[[#This Row],[_Days]]-1),WorkWeek,Holidays)))</f>
        <v/>
      </c>
      <c r="FD1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7" s="90" t="b">
        <f aca="false">AND(Tasks[[#This Row],[_IsLeaf]]=1,Tasks[[#This Row],[_LeafProgress]]&lt;1,N(Tasks[[#This Row],[_LeafTotalSlack]])&lt;=CriticalSlackDays)</f>
        <v>0</v>
      </c>
      <c r="FF157" s="43" t="n">
        <f aca="false">IF(AND(Tasks[[#This Row],[_IsLeaf]]=1,Tasks[[#This Row],[_ConstraintCode]]=1,Tasks[[#This Row],[Mode]]&lt;&gt;"Manual",N(Tasks[[#This Row],[Actual Start]])=0),MAX(0,N(Tasks[[#This Row],[Free Slack]])),0)</f>
        <v>0</v>
      </c>
      <c r="FG157" s="91" t="str">
        <f aca="false">IF(NOT(Tasks[[#This Row],[_IsLeaf]]=1),"",IF(Tasks[[#This Row],[_AlapShift]]=0,Tasks[[#This Row],[_LeafCalcStart]],WORKDAY.INTL(Tasks[[#This Row],[_LeafCalcStart]],Tasks[[#This Row],[_AlapShift]],WorkWeek,Holidays)))</f>
        <v/>
      </c>
      <c r="FH157" s="91" t="str">
        <f aca="false">IF(NOT(Tasks[[#This Row],[_IsLeaf]]=1),"",IF(Tasks[[#This Row],[_AlapShift]]=0,Tasks[[#This Row],[_LeafCalcFinish]],WORKDAY.INTL(Tasks[[#This Row],[_LeafCalcFinish]],Tasks[[#This Row],[_AlapShift]],WorkWeek,Holidays)))</f>
        <v/>
      </c>
      <c r="FI157" s="91" t="str">
        <f aca="false">IF(NOT(Tasks[[#This Row],[_IsLeaf]]=1),"",IF(Tasks[[#This Row],[_AlapShift]]=0,Tasks[[#This Row],[_LeafFcstStart]],WORKDAY.INTL(Tasks[[#This Row],[_LeafFcstStart]],Tasks[[#This Row],[_AlapShift]],WorkWeek,Holidays)))</f>
        <v/>
      </c>
      <c r="FJ157" s="91" t="str">
        <f aca="false">IF(NOT(Tasks[[#This Row],[_IsLeaf]]=1),"",IF(Tasks[[#This Row],[_AlapShift]]=0,Tasks[[#This Row],[_LeafFcstFinish]],WORKDAY.INTL(Tasks[[#This Row],[_LeafFcstFinish]],Tasks[[#This Row],[_AlapShift]],WorkWeek,Holidays)))</f>
        <v/>
      </c>
      <c r="FK157" s="91" t="str">
        <f aca="false">IF(Tasks[[#This Row],[Task Name]]="","",IF(Tasks[[#This Row],[_IsSummary]],MIN(INDEX(Tasks[_ShownCalcStart],Tasks[[#This Row],[_Row]]+1):INDEX(Tasks[_ShownCalcStart],Tasks[[#This Row],[_Row]]+Tasks[[#This Row],[_Descendants]])),Tasks[[#This Row],[_ShownCalcStart]]))</f>
        <v/>
      </c>
      <c r="FL157" s="91" t="str">
        <f aca="false">IF(Tasks[[#This Row],[Task Name]]="","",IF(Tasks[[#This Row],[_IsSummary]],MAX(INDEX(Tasks[_ShownCalcFinish],Tasks[[#This Row],[_Row]]+1):INDEX(Tasks[_ShownCalcFinish],Tasks[[#This Row],[_Row]]+Tasks[[#This Row],[_Descendants]])),Tasks[[#This Row],[_ShownCalcFinish]]))</f>
        <v/>
      </c>
      <c r="FM1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7" s="43" t="n">
        <f aca="false">IF(AND(Tasks[[#This Row],[_IsLeaf]]=1,Tasks[[#This Row],[_LeafTotalWork]]&gt;0),NETWORKDAYS.INTL(ProjectStart,Tasks[[#This Row],[_ShownFcstStart]],WorkWeek,Holidays),0)</f>
        <v>0</v>
      </c>
      <c r="FZ157" s="43" t="n">
        <f aca="false">IF(AND(Tasks[[#This Row],[_IsLeaf]]=1,Tasks[[#This Row],[_LeafTotalWork]]&gt;0),MAX(Tasks[[#This Row],[_StartWorkday]],NETWORKDAYS.INTL(ProjectStart,Tasks[[#This Row],[_ShownFcstFinish]],WorkWeek,Holidays)),0)</f>
        <v>0</v>
      </c>
      <c r="GA157" s="43" t="n">
        <f aca="false">IF(AND(Tasks[[#This Row],[_IsLeaf]]=1,Tasks[[#This Row],[_LeafTotalWork]]&gt;0),Tasks[[#This Row],[_LeafWork]]/(Tasks[[#This Row],[_FinishWorkday]]-Tasks[[#This Row],[_StartWorkday]]+1),0)</f>
        <v>0</v>
      </c>
      <c r="GB157" s="43" t="n">
        <f aca="false">Tasks[[#This Row],[_WorkPerWorkday]]*(Tasks[[#This Row],[_StartWorkday]]-1)</f>
        <v>-0</v>
      </c>
      <c r="GC157" s="43" t="n">
        <f aca="false">IF(Tasks[[#This Row],[_IsLeaf]]=1,MAX(N(Tasks[[#This Row],[_Days]]),0.1),0)</f>
        <v>0</v>
      </c>
      <c r="GD157" s="43" t="n">
        <f aca="false">Tasks[[#This Row],[_WeightDur]]*Tasks[[#This Row],[_LeafProgress]]</f>
        <v>0</v>
      </c>
      <c r="GE157" s="43" t="n">
        <f aca="false">Tasks[[#This Row],[_WeightDur]]*Tasks[[#This Row],[_PlannedPct]]</f>
        <v>0</v>
      </c>
      <c r="GF1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7" s="43" t="str">
        <f aca="false">IF(AND(Tasks[[#This Row],[_IsLeaf]]=1,N(Tasks[[#This Row],[_Days]])=0,Tasks[[#This Row],[_LeafProgress]]&lt;1),Tasks[[#This Row],[_ShownFcstFinish]]+Tasks[[#This Row],[_Row]]/100000,"")</f>
        <v/>
      </c>
      <c r="GH1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7" s="43" t="str">
        <f aca="false">IF(Tasks[[#This Row],[Task Name]]="","",LEFT(Tasks[[#This Row],[WBS]],FIND(".",Tasks[[#This Row],[WBS]]&amp;".")-1))</f>
        <v/>
      </c>
      <c r="GJ157" s="43" t="str">
        <f aca="false">IF(AND(Tasks[[#This Row],[Task Name]]&lt;&gt;"",Tasks[[#This Row],[_Level]]=1),Tasks[[#This Row],[_Row]],"")</f>
        <v/>
      </c>
      <c r="GK157" s="43" t="str">
        <f aca="false">IF(AND(Tasks[[#This Row],[_IsLeaf]]=1,N(Tasks[[#This Row],[_Days]])=0),Tasks[[#This Row],[Planned Finish]]+Tasks[[#This Row],[_Row]]/100000,"")</f>
        <v/>
      </c>
      <c r="GL157" s="43" t="str">
        <f aca="false">IF(AND(Tasks[[#This Row],[_IsLeaf]]=1,Tasks[[#This Row],[_LeafProgress]]&lt;1,OR(N(Tasks[[#This Row],[Finish Var]])&gt;0,Tasks[[#This Row],[Status]]="Late Start")),MAX(0,Tasks[[#This Row],[Finish Var]])+1-Tasks[[#This Row],[_Row]]/1000000,"")</f>
        <v/>
      </c>
      <c r="GM157" s="43" t="str">
        <f aca="false">IF(AND(Tasks[[#This Row],[_IsLeaf]]=1,N(Tasks[[#This Row],[Actual Start]])=0,Tasks[[#This Row],[_ShownFcstStart]]&gt;=StatusDate,Tasks[[#This Row],[_ShownFcstStart]]&lt;=LookaheadEnd),Tasks[[#This Row],[_ShownFcstStart]]+Tasks[[#This Row],[_Row]]/100000,"")</f>
        <v/>
      </c>
      <c r="GN157" s="43" t="str">
        <f aca="false">IF(AND(Tasks[[#This Row],[_IsLeaf]]=1,Tasks[[#This Row],[_LeafProgress]]&lt;1,Tasks[[#This Row],[_ShownFcstFinish]]&gt;=StatusDate,Tasks[[#This Row],[_ShownFcstFinish]]&lt;=LookaheadEnd),Tasks[[#This Row],[_ShownFcstFinish]]+Tasks[[#This Row],[_Row]]/100000,"")</f>
        <v/>
      </c>
      <c r="GO157" s="43" t="str">
        <f aca="false">IF(Tasks[[#This Row],[_LeafCritical]],Tasks[[#This Row],[_ShownFcstStart]]+Tasks[[#This Row],[_Row]]/100000,"")</f>
        <v/>
      </c>
      <c r="GP157" s="43" t="n">
        <f aca="false">Tasks[[#This Row],[_LeafWork]]*Tasks[[#This Row],[_LeafProgress]]</f>
        <v>0</v>
      </c>
      <c r="GQ157" s="91" t="str">
        <f aca="false">IF(AND(Tasks[[#This Row],[_IsLeaf]]=1,Tasks[[#This Row],[_LeafProgress]]&gt;=1),IF(N(Tasks[[#This Row],[Actual Finish]])&gt;0,Tasks[[#This Row],[Actual Finish]],Tasks[[#This Row],[_ShownFcstFinish]]),"")</f>
        <v/>
      </c>
      <c r="GR157" s="43" t="n">
        <f aca="false">IF(Tasks[[#This Row],[_IsLeaf]]=1,N(Tasks[[#This Row],[Story Points]]),0)</f>
        <v>0</v>
      </c>
      <c r="GS157" s="43" t="str">
        <f aca="false">""</f>
        <v/>
      </c>
      <c r="GT157" s="90" t="b">
        <f aca="false">IF(Tasks[[#This Row],[Task Name]]="",FALSE(),AND(Tasks[[#This Row],[_IsLeaf]]=1,N(Tasks[[#This Row],[_Days]])=0))</f>
        <v>0</v>
      </c>
      <c r="GU157" s="91" t="n">
        <f aca="false">IF(Tasks[[#This Row],[Task Name]]="",0,IF(AND(Tasks[[#This Row],[_IsLeaf]]=1,NOT(Tasks[[#This Row],[_IsMilestone]]),N(Tasks[[#This Row],[Progress]])&gt;0),Tasks[[#This Row],[Start]],0))</f>
        <v>0</v>
      </c>
      <c r="GV157" s="91" t="n">
        <f aca="false">IF(Tasks[[#This Row],[_DoneFrom]]=0,0,IF(Tasks[[#This Row],[Progress]]&gt;=1,Tasks[[#This Row],[Finish]],MAX(Tasks[[#This Row],[_DoneFrom]],Tasks[[#This Row],[Start]]+ROUND((Tasks[[#This Row],[Finish]]-Tasks[[#This Row],[Start]]+1)*Tasks[[#This Row],[Progress]],0)-1)))</f>
        <v>0</v>
      </c>
      <c r="GW157" s="91" t="n">
        <f aca="false">IF(Tasks[[#This Row],[Task Name]]="",0,IF(OR(NOT(Tasks[[#This Row],[_IsLeaf]]=1),Tasks[[#This Row],[_IsMilestone]],N(Tasks[[#This Row],[Progress]])&gt;=1),0,IF(Tasks[[#This Row],[_DoneTo]]&gt;0,Tasks[[#This Row],[_DoneTo]]+1,Tasks[[#This Row],[Start]])))</f>
        <v>0</v>
      </c>
      <c r="GX157" s="91" t="n">
        <f aca="false">IF(Tasks[[#This Row],[_RemFrom]]=0,0,Tasks[[#This Row],[Finish]])</f>
        <v>0</v>
      </c>
      <c r="GY157" s="90" t="b">
        <f aca="false">IF(Tasks[[#This Row],[Task Name]]="",FALSE(),OR(NOT(BaselineSet),N(Tasks[[#This Row],[Baseline Start]])&gt;0))</f>
        <v>0</v>
      </c>
      <c r="GZ15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7" s="92" t="str">
        <f aca="false">IF(Tasks[[#This Row],[_IsLeaf]]=1,Tasks[[#This Row],[_Row]],"")</f>
        <v/>
      </c>
      <c r="HD157" s="92" t="str">
        <f aca="false">IFERROR(INDEX(Tasks[UID],SMALL(Tasks[_PickKey],Tasks[[#This Row],[_Row]]))&amp;" "&amp;INDEX(Tasks[Task Name],SMALL(Tasks[_PickKey],Tasks[[#This Row],[_Row]])),"")</f>
        <v/>
      </c>
      <c r="HE157" s="43" t="str">
        <f aca="false">IF(Tasks[[#This Row],[Task Name]]="","",IF(Tasks[[#This Row],[_IsSummary]],NETWORKDAYS.INTL(Tasks[[#This Row],[Start]],Tasks[[#This Row],[Finish]],WorkWeek,Holidays),N(Tasks[[#This Row],[_Days]])))</f>
        <v/>
      </c>
      <c r="HF157" s="43" t="n">
        <f aca="false">IF(Tasks[[#This Row],[Expected]]="",0,((Tasks[[#This Row],[Pessimistic]]-Tasks[[#This Row],[Optimistic]])/6)^2)</f>
        <v>0</v>
      </c>
      <c r="HG157" s="43" t="n">
        <f aca="false">IF(Tasks[[#This Row],[Expected]]="",0,Tasks[[#This Row],[Expected]]-N(Tasks[[#This Row],[_Days]]))</f>
        <v>0</v>
      </c>
    </row>
    <row r="158" customFormat="false" ht="15" hidden="false" customHeight="false" outlineLevel="0" collapsed="false">
      <c r="A158" s="21" t="str">
        <f aca="false">IF(Tasks[[#This Row],[Task Name]]="","",COUNTA(Tasks[[#Headers],[Task Name]]:Tasks[[#This Row],[Task Name]])-1)</f>
        <v/>
      </c>
      <c r="B158" s="22" t="n">
        <v>166</v>
      </c>
      <c r="C158" s="22"/>
      <c r="D158" s="23"/>
      <c r="E158" s="22"/>
      <c r="F158" s="23"/>
      <c r="G158" s="22"/>
      <c r="H158" s="22"/>
      <c r="I158" s="23"/>
      <c r="J158" s="22"/>
      <c r="K158" s="22"/>
      <c r="L158" s="23"/>
      <c r="M158" s="22"/>
      <c r="N158" s="22"/>
      <c r="O158" s="23"/>
      <c r="P158" s="22"/>
      <c r="Q158" s="22"/>
      <c r="R158" s="23"/>
      <c r="S158" s="23"/>
      <c r="T158" s="84"/>
      <c r="U158" s="23"/>
      <c r="V158" s="84"/>
      <c r="W158" s="23"/>
      <c r="X158" s="84"/>
      <c r="Y158" s="23"/>
      <c r="Z158" s="84"/>
      <c r="AA158" s="23"/>
      <c r="AB158" s="23"/>
      <c r="AC158" s="7"/>
      <c r="AD158" s="7"/>
      <c r="AE158" s="63" t="str">
        <f aca="false">IF(Tasks[[#This Row],[Task Name]]="","",IF(Tasks[[#This Row],[_IsSummary]],MIN(INDEX(Tasks[_ShownFcstStart],Tasks[[#This Row],[_Row]]+1):INDEX(Tasks[_ShownFcstStart],Tasks[[#This Row],[_Row]]+Tasks[[#This Row],[_Descendants]])),Tasks[[#This Row],[_ShownFcstStart]]))</f>
        <v/>
      </c>
      <c r="AF158" s="63" t="str">
        <f aca="false">IF(Tasks[[#This Row],[Task Name]]="","",IF(Tasks[[#This Row],[_IsSummary]],MAX(INDEX(Tasks[_ShownFcstFinish],Tasks[[#This Row],[_Row]]+1):INDEX(Tasks[_ShownFcstFinish],Tasks[[#This Row],[_Row]]+Tasks[[#This Row],[_Descendants]])),Tasks[[#This Row],[_ShownFcstFinish]]))</f>
        <v/>
      </c>
      <c r="AG158" s="21" t="str">
        <f aca="false">""</f>
        <v/>
      </c>
      <c r="AH158" s="23"/>
      <c r="AI1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8" s="7"/>
      <c r="AK158" s="22"/>
      <c r="AL158" s="23"/>
      <c r="AM158" s="7"/>
      <c r="AN158" s="47" t="str">
        <f aca="false">IF(Tasks[[#This Row],[Task Name]]="","",IF(Tasks[[#This Row],[Finish]]&gt;=Tasks[[#This Row],[Planned Finish]],NETWORKDAYS.INTL(Tasks[[#This Row],[Planned Finish]],Tasks[[#This Row],[Finish]],WorkWeek,Holidays)-1,1-NETWORKDAYS.INTL(Tasks[[#This Row],[Finish]],Tasks[[#This Row],[Planned Finish]],WorkWeek,Holidays)))</f>
        <v/>
      </c>
      <c r="AO158" s="21" t="str">
        <f aca="false">IF(Tasks[[#This Row],[Task Name]]="","",IF(Tasks[[#This Row],[Progress]]&gt;=1,"Complete",IF(OR(N(Tasks[[#This Row],[Actual Start]])&gt;0,Tasks[[#This Row],[Progress]]&gt;0),IF(Tasks[[#This Row],[Finish Var]]&gt;0,"Behind","In Progress"),IF(Tasks[[#This Row],[Planned Start]]&lt;StatusDate,"Late Start","Not Started"))))</f>
        <v/>
      </c>
      <c r="AP158" s="21" t="str">
        <f aca="false">IF(Tasks[[#This Row],[Task Name]]="","",IF(IF(Tasks[[#This Row],[_IsSummary]],COUNTIF(INDEX(Tasks[_LeafCritical],Tasks[[#This Row],[_Row]]+1):INDEX(Tasks[_LeafCritical],Tasks[[#This Row],[_Row]]+Tasks[[#This Row],[_Descendants]]),TRUE())&gt;0,Tasks[[#This Row],[_LeafCritical]]),"Yes",""))</f>
        <v/>
      </c>
      <c r="AQ158" s="63" t="str">
        <f aca="false">IF(Tasks[[#This Row],[Task Name]]="","",IF(N(Tasks[[#This Row],[Baseline Start]])&gt;0,Tasks[[#This Row],[Baseline Start]],Tasks[[#This Row],[_CalcStart]]))</f>
        <v/>
      </c>
      <c r="AR158" s="63" t="str">
        <f aca="false">IF(Tasks[[#This Row],[Task Name]]="","",IF(N(Tasks[[#This Row],[Baseline Finish]])&gt;0,Tasks[[#This Row],[Baseline Finish]],Tasks[[#This Row],[_CalcFinish]]))</f>
        <v/>
      </c>
      <c r="AS158" s="47" t="str">
        <f aca="false">IF(Tasks[[#This Row],[Task Name]]="","",IF(Tasks[[#This Row],[Start]]&gt;=Tasks[[#This Row],[Planned Start]],NETWORKDAYS.INTL(Tasks[[#This Row],[Planned Start]],Tasks[[#This Row],[Start]],WorkWeek,Holidays)-1,1-NETWORKDAYS.INTL(Tasks[[#This Row],[Start]],Tasks[[#This Row],[Planned Start]],WorkWeek,Holidays)))</f>
        <v/>
      </c>
      <c r="AT158" s="63" t="str">
        <f aca="false">IF(Tasks[[#This Row],[Task Name]]="","",IF(Tasks[[#This Row],[_IsSummary]],MIN(INDEX(Tasks[_LeafLateStart],Tasks[[#This Row],[_Row]]+1):INDEX(Tasks[_LeafLateStart],Tasks[[#This Row],[_Row]]+Tasks[[#This Row],[_Descendants]])),Tasks[[#This Row],[_LeafLateStart]]))</f>
        <v/>
      </c>
      <c r="AU158" s="63" t="str">
        <f aca="false">IF(Tasks[[#This Row],[Task Name]]="","",IF(Tasks[[#This Row],[_IsSummary]],MAX(INDEX(Tasks[_LeafLateFinish],Tasks[[#This Row],[_Row]]+1):INDEX(Tasks[_LeafLateFinish],Tasks[[#This Row],[_Row]]+Tasks[[#This Row],[_Descendants]])),Tasks[[#This Row],[_LeafLateFinish]]))</f>
        <v/>
      </c>
      <c r="AV158" s="47" t="str">
        <f aca="false">IF(Tasks[[#This Row],[Task Name]]="","",IF(Tasks[[#This Row],[_IsSummary]],MIN(INDEX(Tasks[_LeafTotalSlack],Tasks[[#This Row],[_Row]]+1):INDEX(Tasks[_LeafTotalSlack],Tasks[[#This Row],[_Row]]+Tasks[[#This Row],[_Descendants]])),Tasks[[#This Row],[_LeafTotalSlack]]))</f>
        <v/>
      </c>
      <c r="AW1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5"/>
      <c r="BA15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t="str">
        <f aca="false">IF(Tasks[[#This Row],[Task Name]]="","",IF(Tasks[[#This Row],[_Level]]&lt;=OutlineShowLevel,"Yes","No"))</f>
        <v/>
      </c>
      <c r="BE158" s="86" t="str">
        <f aca="false">IF(Tasks[[#This Row],[Task Name]]="","",IF(Tasks[[#This Row],[_IsSummary]],SUM(INDEX(Tasks[_LeafTotalWork],Tasks[[#This Row],[_Row]]+1):INDEX(Tasks[_LeafTotalWork],Tasks[[#This Row],[_Row]]+Tasks[[#This Row],[_Descendants]])),Tasks[[#This Row],[_LeafTotalWork]]))</f>
        <v/>
      </c>
      <c r="BF158" s="23"/>
      <c r="BG1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t="str">
        <f aca="false">""</f>
        <v/>
      </c>
      <c r="BI158" s="87"/>
      <c r="BJ158" s="22"/>
      <c r="BK158" s="47" t="str">
        <f aca="false">IF(OR(Tasks[[#This Row],[Task Name]]="",Tasks[[#This Row],[Baseline Duration]]=""),"",Tasks[[#This Row],[_SpanDays]]-N(Tasks[[#This Row],[Baseline Duration]]))</f>
        <v/>
      </c>
      <c r="BL158" s="86" t="str">
        <f aca="false">IF(OR(Tasks[[#This Row],[Task Name]]="",Tasks[[#This Row],[Baseline Work]]=""),"",Tasks[[#This Row],[Work]]-N(Tasks[[#This Row],[Baseline Work]]))</f>
        <v/>
      </c>
      <c r="BM158" s="63" t="str">
        <f aca="false">IF(Tasks[[#This Row],[Task Name]]="","",IF(OR(TakeBaseline="Yes",N(Tasks[[#This Row],[Baseline Start]])=0),Tasks[[#This Row],[Start]],Tasks[[#This Row],[Baseline Start]]))</f>
        <v/>
      </c>
      <c r="BN158" s="63" t="str">
        <f aca="false">IF(Tasks[[#This Row],[Task Name]]="","",IF(OR(TakeBaseline="Yes",N(Tasks[[#This Row],[Baseline Finish]])=0),Tasks[[#This Row],[Finish]],Tasks[[#This Row],[Baseline Finish]]))</f>
        <v/>
      </c>
      <c r="BO158" s="21" t="str">
        <f aca="false">IF(Tasks[[#This Row],[Task Name]]="","",IF(OR(TakeBaseline="Yes",N(Tasks[[#This Row],[Baseline Duration]])=0),Tasks[[#This Row],[_SpanDays]],Tasks[[#This Row],[Baseline Duration]]))</f>
        <v/>
      </c>
      <c r="BP158" s="86" t="str">
        <f aca="false">IF(Tasks[[#This Row],[Task Name]]="","",IF(OR(TakeBaseline="Yes",N(Tasks[[#This Row],[Baseline Work]])=0),Tasks[[#This Row],[Work]],Tasks[[#This Row],[Baseline Work]]))</f>
        <v/>
      </c>
      <c r="BQ158" s="7"/>
      <c r="BR158" s="7"/>
      <c r="BS158" s="22"/>
      <c r="BT158" s="88"/>
      <c r="BU158" s="23"/>
      <c r="BV158" s="23"/>
      <c r="BW158" s="23"/>
      <c r="BX158" s="89" t="str">
        <f aca="false">IF(AND(Tasks[[#This Row],[_IsLeaf]]=1,ISNUMBER(Tasks[[#This Row],[Optimistic]]),ISNUMBER(Tasks[[#This Row],[Pessimistic]])),ROUND((Tasks[[#This Row],[Optimistic]]+4*N(Tasks[[#This Row],[_Days]])+Tasks[[#This Row],[Pessimistic]])/6,1),"")</f>
        <v/>
      </c>
      <c r="BY158" s="87"/>
      <c r="BZ158" s="87"/>
      <c r="CA158" s="22"/>
      <c r="CB158" s="43" t="str">
        <f aca="false">IF(Tasks[[#This Row],[Task Name]]="","",MAX(1,N(Tasks[[#This Row],[Level]])))</f>
        <v/>
      </c>
      <c r="CC158" s="43" t="n">
        <f aca="false">ROW()-ROW(Tasks[[#Headers],[ID]])</f>
        <v>153</v>
      </c>
      <c r="CD158" s="43" t="n">
        <f aca="false">IF(OR(Tasks[[#This Row],[Task Name]]="",Tasks[[#This Row],[_Level]]&lt;=1),0,IFERROR(LOOKUP(2,1/(Tasks[[#Headers],[_Level]]:Tasks[[#This Row],[_Level]]=Tasks[[#This Row],[_Level]]-1),ROW(Tasks[[#Headers],[_Level]]:Tasks[[#This Row],[_Level]])),0))</f>
        <v>0</v>
      </c>
      <c r="CE158" s="43" t="n">
        <f aca="false">IFERROR(N(INDEX(Tasks[_Level],Tasks[[#This Row],[_Row]]+1)),0)</f>
        <v>0</v>
      </c>
      <c r="CF158" s="90" t="b">
        <f aca="false">AND(Tasks[[#This Row],[Task Name]]&lt;&gt;"",Tasks[[#This Row],[_NextLevel]]&gt;Tasks[[#This Row],[_Level]])</f>
        <v>0</v>
      </c>
      <c r="CG158" s="43" t="n">
        <f aca="false">IF(Tasks[[#This Row],[_IsSummary]],COUNTIF(Tasks[WBS],Tasks[[#This Row],[WBS]]&amp;".*"),0)</f>
        <v>0</v>
      </c>
      <c r="CH158" s="43" t="n">
        <f aca="false">IF(AND(Tasks[[#This Row],[Task Name]]&lt;&gt;"",NOT(Tasks[[#This Row],[_IsSummary]])),1,0)</f>
        <v>0</v>
      </c>
      <c r="CI158" s="43" t="n">
        <f aca="false">IF(N(Tasks[[#This Row],[_Pred1UID]])=0,0,IFERROR(MATCH(Tasks[[#This Row],[_Pred1UID]],Tasks[UID],0),-1))</f>
        <v>0</v>
      </c>
      <c r="CJ158" s="43" t="n">
        <f aca="false">IF(N(Tasks[[#This Row],[_Pred2UID]])=0,0,IFERROR(MATCH(Tasks[[#This Row],[_Pred2UID]],Tasks[UID],0),-1))</f>
        <v>0</v>
      </c>
      <c r="CK158" s="43" t="n">
        <f aca="false">IF(N(Tasks[[#This Row],[_Pred3UID]])=0,0,IFERROR(MATCH(Tasks[[#This Row],[_Pred3UID]],Tasks[UID],0),-1))</f>
        <v>0</v>
      </c>
      <c r="CL158" s="43" t="n">
        <f aca="false">IF(N(Tasks[[#This Row],[_Pred4UID]])=0,0,IFERROR(MATCH(Tasks[[#This Row],[_Pred4UID]],Tasks[UID],0),-1))</f>
        <v>0</v>
      </c>
      <c r="CM1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8" s="91" t="n">
        <f aca="false">IF(OR(Tasks[[#This Row],[_ConstraintCode]]=2,Tasks[[#This Row],[_ConstraintCode]]=3,Tasks[[#This Row],[_ConstraintCode]]=4,Tasks[[#This Row],[_ConstraintCode]]=6),Tasks[[#This Row],[_ConstraintStart]],0)</f>
        <v>0</v>
      </c>
      <c r="CP158" s="91" t="n">
        <f aca="false">IF(OR(Tasks[[#This Row],[_ConstraintCode]]=2,Tasks[[#This Row],[_ConstraintCode]]=3,Tasks[[#This Row],[_ConstraintCode]]=5,Tasks[[#This Row],[_ConstraintCode]]=7),Tasks[[#This Row],[_ConstraintStart]],2958465)</f>
        <v>2958465</v>
      </c>
      <c r="CQ1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8" s="91" t="str">
        <f aca="false">IF(NOT(Tasks[[#This Row],[_IsLeaf]]=1),"",IF(N(Tasks[[#This Row],[_Days]])&lt;=0,Tasks[[#This Row],[_LeafCalcStart]],WORKDAY.INTL(Tasks[[#This Row],[_LeafCalcStart]],Tasks[[#This Row],[_Days]]-1,WorkWeek,Holidays)))</f>
        <v/>
      </c>
      <c r="CS1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8" s="43" t="str">
        <f aca="false">IF(Tasks[[#This Row],[_Predecessors]]="","",TRIM(MID(SUBSTITUTE(SUBSTITUTE(SUBSTITUTE(UPPER(Tasks[[#This Row],[_Predecessors]]),";",",")," ",""),",",REPT(" ",99)),1,99)))</f>
        <v/>
      </c>
      <c r="CV158" s="43" t="str">
        <f aca="false">IF(Tasks[[#This Row],[_Pred1Text]]="","",IFERROR(VALUE(LEFT(Tasks[[#This Row],[_Pred1Text]],MIN(FIND("F",Tasks[[#This Row],[_Pred1Text]]&amp;"F"),FIND("S",Tasks[[#This Row],[_Pred1Text]]&amp;"S"),FIND("+",Tasks[[#This Row],[_Pred1Text]]&amp;"+"),FIND("-",Tasks[[#This Row],[_Pred1Text]]&amp;"-"))-1)),""))</f>
        <v/>
      </c>
      <c r="CW1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8" s="43" t="str">
        <f aca="false">IF(Tasks[[#This Row],[_Pred1Text]]="","",TRIM(MID(SUBSTITUTE(SUBSTITUTE(SUBSTITUTE(UPPER(Tasks[[#This Row],[_Predecessors]]),";",",")," ",""),",",REPT(" ",99)),100,99)))</f>
        <v/>
      </c>
      <c r="CZ158" s="43" t="str">
        <f aca="false">IF(Tasks[[#This Row],[_Pred2Text]]="","",IFERROR(VALUE(LEFT(Tasks[[#This Row],[_Pred2Text]],MIN(FIND("F",Tasks[[#This Row],[_Pred2Text]]&amp;"F"),FIND("S",Tasks[[#This Row],[_Pred2Text]]&amp;"S"),FIND("+",Tasks[[#This Row],[_Pred2Text]]&amp;"+"),FIND("-",Tasks[[#This Row],[_Pred2Text]]&amp;"-"))-1)),""))</f>
        <v/>
      </c>
      <c r="DA1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8" s="43" t="str">
        <f aca="false">IF(Tasks[[#This Row],[_Pred2Text]]="","",TRIM(MID(SUBSTITUTE(SUBSTITUTE(SUBSTITUTE(UPPER(Tasks[[#This Row],[_Predecessors]]),";",",")," ",""),",",REPT(" ",99)),199,99)))</f>
        <v/>
      </c>
      <c r="DD158" s="43" t="str">
        <f aca="false">IF(Tasks[[#This Row],[_Pred3Text]]="","",IFERROR(VALUE(LEFT(Tasks[[#This Row],[_Pred3Text]],MIN(FIND("F",Tasks[[#This Row],[_Pred3Text]]&amp;"F"),FIND("S",Tasks[[#This Row],[_Pred3Text]]&amp;"S"),FIND("+",Tasks[[#This Row],[_Pred3Text]]&amp;"+"),FIND("-",Tasks[[#This Row],[_Pred3Text]]&amp;"-"))-1)),""))</f>
        <v/>
      </c>
      <c r="DE1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8" s="43" t="str">
        <f aca="false">IF(Tasks[[#This Row],[_Pred3Text]]="","",TRIM(MID(SUBSTITUTE(SUBSTITUTE(SUBSTITUTE(UPPER(Tasks[[#This Row],[_Predecessors]]),";",",")," ",""),",",REPT(" ",99)),298,99)))</f>
        <v/>
      </c>
      <c r="DH158" s="43" t="str">
        <f aca="false">IF(Tasks[[#This Row],[_Pred4Text]]="","",IFERROR(VALUE(LEFT(Tasks[[#This Row],[_Pred4Text]],MIN(FIND("F",Tasks[[#This Row],[_Pred4Text]]&amp;"F"),FIND("S",Tasks[[#This Row],[_Pred4Text]]&amp;"S"),FIND("+",Tasks[[#This Row],[_Pred4Text]]&amp;"+"),FIND("-",Tasks[[#This Row],[_Pred4Text]]&amp;"-"))-1)),""))</f>
        <v/>
      </c>
      <c r="DI1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8" s="43" t="str">
        <f aca="false">IF(OR(Tasks[[#This Row],[Task Name]]="",Tasks[[#This Row],[_Resources]]=""),"",TRIM(MID(SUBSTITUTE(Tasks[[#This Row],[_Resources]],",",REPT(" ",99)),1,99)))</f>
        <v/>
      </c>
      <c r="DL158" s="43" t="str">
        <f aca="false">IF(Tasks[[#This Row],[_Res1Text]]="","",TRIM(MID(SUBSTITUTE(Tasks[[#This Row],[_Resources]],",",REPT(" ",99)),100,99)))</f>
        <v/>
      </c>
      <c r="DM158" s="43" t="str">
        <f aca="false">IF(Tasks[[#This Row],[_Res2Text]]="","",TRIM(MID(SUBSTITUTE(Tasks[[#This Row],[_Resources]],",",REPT(" ",99)),199,99)))</f>
        <v/>
      </c>
      <c r="DN158" s="43" t="str">
        <f aca="false">IF(Tasks[[#This Row],[_Res3Text]]="","",TRIM(MID(SUBSTITUTE(Tasks[[#This Row],[_Resources]],",",REPT(" ",99)),298,99)))</f>
        <v/>
      </c>
      <c r="DO158" s="43" t="n">
        <f aca="false">IF(Tasks[[#This Row],[_Res1Text]]="",0,IFERROR(MATCH(TRIM(LEFT(Tasks[[#This Row],[_Res1Text]],FIND("[",Tasks[[#This Row],[_Res1Text]]&amp;"[")-1)),res_Name,0),IFERROR(MATCH(TRIM(LEFT(Tasks[[#This Row],[_Res1Text]],FIND("[",Tasks[[#This Row],[_Res1Text]]&amp;"[")-1)),res_Initials,0),0)))</f>
        <v>0</v>
      </c>
      <c r="DP158" s="43" t="n">
        <f aca="false">IF(Tasks[[#This Row],[_Res2Text]]="",0,IFERROR(MATCH(TRIM(LEFT(Tasks[[#This Row],[_Res2Text]],FIND("[",Tasks[[#This Row],[_Res2Text]]&amp;"[")-1)),res_Name,0),IFERROR(MATCH(TRIM(LEFT(Tasks[[#This Row],[_Res2Text]],FIND("[",Tasks[[#This Row],[_Res2Text]]&amp;"[")-1)),res_Initials,0),0)))</f>
        <v>0</v>
      </c>
      <c r="DQ158" s="43" t="n">
        <f aca="false">IF(Tasks[[#This Row],[_Res3Text]]="",0,IFERROR(MATCH(TRIM(LEFT(Tasks[[#This Row],[_Res3Text]],FIND("[",Tasks[[#This Row],[_Res3Text]]&amp;"[")-1)),res_Name,0),IFERROR(MATCH(TRIM(LEFT(Tasks[[#This Row],[_Res3Text]],FIND("[",Tasks[[#This Row],[_Res3Text]]&amp;"[")-1)),res_Initials,0),0)))</f>
        <v>0</v>
      </c>
      <c r="DR158" s="43" t="n">
        <f aca="false">IF(Tasks[[#This Row],[_Res4Text]]="",0,IFERROR(MATCH(TRIM(LEFT(Tasks[[#This Row],[_Res4Text]],FIND("[",Tasks[[#This Row],[_Res4Text]]&amp;"[")-1)),res_Name,0),IFERROR(MATCH(TRIM(LEFT(Tasks[[#This Row],[_Res4Text]],FIND("[",Tasks[[#This Row],[_Res4Text]]&amp;"[")-1)),res_Initials,0),0)))</f>
        <v>0</v>
      </c>
      <c r="DS158" s="43" t="str">
        <f aca="false">IF(Tasks[[#This Row],[_Res1Text]]="","",IF(Tasks[[#This Row],[_Res1Row]]&gt;0,INDEX(res_Name,Tasks[[#This Row],[_Res1Row]]),TRIM(LEFT(Tasks[[#This Row],[_Res1Text]],FIND("[",Tasks[[#This Row],[_Res1Text]]&amp;"[")-1))))</f>
        <v/>
      </c>
      <c r="DT1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8" s="43" t="n">
        <f aca="false">IF(NOT(Tasks[[#This Row],[_IsLeaf]]=1),0,(Tasks[[#This Row],[_Resource1]]&lt;&gt;"")+(Tasks[[#This Row],[_Res2]]&lt;&gt;"")+(Tasks[[#This Row],[_Res3]]&lt;&gt;"")+(Tasks[[#This Row],[_Res4]]&lt;&gt;""))</f>
        <v>0</v>
      </c>
      <c r="DV158" s="43" t="str">
        <f aca="false">IF(Tasks[[#This Row],[_Res2Text]]="","",IF(Tasks[[#This Row],[_Res2Row]]&gt;0,INDEX(res_Name,Tasks[[#This Row],[_Res2Row]]),TRIM(LEFT(Tasks[[#This Row],[_Res2Text]],FIND("[",Tasks[[#This Row],[_Res2Text]]&amp;"[")-1))))</f>
        <v/>
      </c>
      <c r="DW1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8" s="43" t="n">
        <f aca="false">IF(OR(NOT(Tasks[[#This Row],[_IsLeaf]]=1),Tasks[[#This Row],[_Res2Row]]=0),0,N(Tasks[[#This Row],[_Days]])*HoursPerDay*IF(Tasks[[#This Row],[_Res2Units]]="",DefaultUnits,Tasks[[#This Row],[_Res2Units]]))</f>
        <v>0</v>
      </c>
      <c r="DY158" s="43" t="n">
        <f aca="false">IF(AND(AND(Tasks[[#This Row],[_IsLeaf]]=1,Tasks[[#This Row],[_LeafTotalWork]]&gt;0),Tasks[[#This Row],[_Res2Work]]&gt;0),Tasks[[#This Row],[_Res2Work]]/(Tasks[[#This Row],[_FinishWorkday]]-Tasks[[#This Row],[_StartWorkday]]+1),0)</f>
        <v>0</v>
      </c>
      <c r="DZ158" s="43" t="n">
        <f aca="false">Tasks[[#This Row],[_Res2WorkPerWD]]*MAX(0,Tasks[[#This Row],[_StartWorkday]]-1)</f>
        <v>0</v>
      </c>
      <c r="EA158" s="43" t="n">
        <f aca="false">Tasks[[#This Row],[_Res2Work]]*Tasks[[#This Row],[_LeafProgress]]</f>
        <v>0</v>
      </c>
      <c r="EB158" s="43" t="str">
        <f aca="false">IF(Tasks[[#This Row],[_Res3Text]]="","",IF(Tasks[[#This Row],[_Res3Row]]&gt;0,INDEX(res_Name,Tasks[[#This Row],[_Res3Row]]),TRIM(LEFT(Tasks[[#This Row],[_Res3Text]],FIND("[",Tasks[[#This Row],[_Res3Text]]&amp;"[")-1))))</f>
        <v/>
      </c>
      <c r="EC1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8" s="43" t="n">
        <f aca="false">IF(OR(NOT(Tasks[[#This Row],[_IsLeaf]]=1),Tasks[[#This Row],[_Res3Row]]=0),0,N(Tasks[[#This Row],[_Days]])*HoursPerDay*IF(Tasks[[#This Row],[_Res3Units]]="",DefaultUnits,Tasks[[#This Row],[_Res3Units]]))</f>
        <v>0</v>
      </c>
      <c r="EE158" s="43" t="n">
        <f aca="false">IF(AND(AND(Tasks[[#This Row],[_IsLeaf]]=1,Tasks[[#This Row],[_LeafTotalWork]]&gt;0),Tasks[[#This Row],[_Res3Work]]&gt;0),Tasks[[#This Row],[_Res3Work]]/(Tasks[[#This Row],[_FinishWorkday]]-Tasks[[#This Row],[_StartWorkday]]+1),0)</f>
        <v>0</v>
      </c>
      <c r="EF158" s="43" t="n">
        <f aca="false">Tasks[[#This Row],[_Res3WorkPerWD]]*MAX(0,Tasks[[#This Row],[_StartWorkday]]-1)</f>
        <v>0</v>
      </c>
      <c r="EG158" s="43" t="n">
        <f aca="false">Tasks[[#This Row],[_Res3Work]]*Tasks[[#This Row],[_LeafProgress]]</f>
        <v>0</v>
      </c>
      <c r="EH158" s="43" t="str">
        <f aca="false">IF(Tasks[[#This Row],[_Res4Text]]="","",IF(Tasks[[#This Row],[_Res4Row]]&gt;0,INDEX(res_Name,Tasks[[#This Row],[_Res4Row]]),TRIM(LEFT(Tasks[[#This Row],[_Res4Text]],FIND("[",Tasks[[#This Row],[_Res4Text]]&amp;"[")-1))))</f>
        <v/>
      </c>
      <c r="EI1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8" s="43" t="n">
        <f aca="false">IF(OR(NOT(Tasks[[#This Row],[_IsLeaf]]=1),Tasks[[#This Row],[_Res4Row]]=0),0,N(Tasks[[#This Row],[_Days]])*HoursPerDay*IF(Tasks[[#This Row],[_Res4Units]]="",DefaultUnits,Tasks[[#This Row],[_Res4Units]]))</f>
        <v>0</v>
      </c>
      <c r="EK158" s="43" t="n">
        <f aca="false">IF(AND(AND(Tasks[[#This Row],[_IsLeaf]]=1,Tasks[[#This Row],[_LeafTotalWork]]&gt;0),Tasks[[#This Row],[_Res4Work]]&gt;0),Tasks[[#This Row],[_Res4Work]]/(Tasks[[#This Row],[_FinishWorkday]]-Tasks[[#This Row],[_StartWorkday]]+1),0)</f>
        <v>0</v>
      </c>
      <c r="EL158" s="43" t="n">
        <f aca="false">Tasks[[#This Row],[_Res4WorkPerWD]]*MAX(0,Tasks[[#This Row],[_StartWorkday]]-1)</f>
        <v>0</v>
      </c>
      <c r="EM158" s="43" t="n">
        <f aca="false">Tasks[[#This Row],[_Res4Work]]*Tasks[[#This Row],[_LeafProgress]]</f>
        <v>0</v>
      </c>
      <c r="EN158" s="43" t="n">
        <f aca="false">IF(ISNUMBER(Tasks[[#This Row],[% Complete]]),Tasks[[#This Row],[% Complete]],IF(Tasks[[#This Row],[Stage]]="",0,IFERROR(INDEX(stg_Pct,MATCH(Tasks[[#This Row],[Stage]],stg_Name,0)),0)))</f>
        <v>0</v>
      </c>
      <c r="EO158" s="43" t="n">
        <f aca="false">IF(NOT(Tasks[[#This Row],[_IsLeaf]]=1),0,IF(N(Tasks[[#This Row],[Actual Finish]])&gt;0,1,MIN(1,Tasks[[#This Row],[_Pct]])))</f>
        <v>0</v>
      </c>
      <c r="EP158" s="43" t="n">
        <f aca="false">IF(OR(NOT(Tasks[[#This Row],[_IsLeaf]]=1),Tasks[[#This Row],[_Res1Row]]=0),0,N(Tasks[[#This Row],[_Days]])*HoursPerDay*IF(Tasks[[#This Row],[_Units1]]="",DefaultUnits,Tasks[[#This Row],[_Units1]]))</f>
        <v>0</v>
      </c>
      <c r="EQ158" s="43" t="n">
        <f aca="false">Tasks[[#This Row],[_LeafWork]]+Tasks[[#This Row],[_Res2Work]]+Tasks[[#This Row],[_Res3Work]]+Tasks[[#This Row],[_Res4Work]]</f>
        <v>0</v>
      </c>
      <c r="ER15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8" s="43" t="n">
        <f aca="false">IF(NOT(Tasks[[#This Row],[_IsLeaf]]=1),0,MAX(_xlfn.MAXIFS(Tasks[_Row],Tasks[_Pred1UID],Tasks[[#This Row],[UID]]),_xlfn.MAXIFS(Tasks[_Row],Tasks[_Pred2UID],Tasks[[#This Row],[UID]]),_xlfn.MAXIFS(Tasks[_Row],Tasks[_Pred3UID],Tasks[[#This Row],[UID]]),_xlfn.MAXIFS(Tasks[_Row],Tasks[_Pred4UID],Tasks[[#This Row],[UID]])))</f>
        <v>0</v>
      </c>
      <c r="FA1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8" s="91" t="str">
        <f aca="false">IF(NOT(Tasks[[#This Row],[_IsLeaf]]=1),"",IF(N(Tasks[[#This Row],[_Days]])&lt;=0,Tasks[[#This Row],[_LeafLateFinish]],WORKDAY.INTL(Tasks[[#This Row],[_LeafLateFinish]],-(Tasks[[#This Row],[_Days]]-1),WorkWeek,Holidays)))</f>
        <v/>
      </c>
      <c r="FD1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8" s="90" t="b">
        <f aca="false">AND(Tasks[[#This Row],[_IsLeaf]]=1,Tasks[[#This Row],[_LeafProgress]]&lt;1,N(Tasks[[#This Row],[_LeafTotalSlack]])&lt;=CriticalSlackDays)</f>
        <v>0</v>
      </c>
      <c r="FF158" s="43" t="n">
        <f aca="false">IF(AND(Tasks[[#This Row],[_IsLeaf]]=1,Tasks[[#This Row],[_ConstraintCode]]=1,Tasks[[#This Row],[Mode]]&lt;&gt;"Manual",N(Tasks[[#This Row],[Actual Start]])=0),MAX(0,N(Tasks[[#This Row],[Free Slack]])),0)</f>
        <v>0</v>
      </c>
      <c r="FG158" s="91" t="str">
        <f aca="false">IF(NOT(Tasks[[#This Row],[_IsLeaf]]=1),"",IF(Tasks[[#This Row],[_AlapShift]]=0,Tasks[[#This Row],[_LeafCalcStart]],WORKDAY.INTL(Tasks[[#This Row],[_LeafCalcStart]],Tasks[[#This Row],[_AlapShift]],WorkWeek,Holidays)))</f>
        <v/>
      </c>
      <c r="FH158" s="91" t="str">
        <f aca="false">IF(NOT(Tasks[[#This Row],[_IsLeaf]]=1),"",IF(Tasks[[#This Row],[_AlapShift]]=0,Tasks[[#This Row],[_LeafCalcFinish]],WORKDAY.INTL(Tasks[[#This Row],[_LeafCalcFinish]],Tasks[[#This Row],[_AlapShift]],WorkWeek,Holidays)))</f>
        <v/>
      </c>
      <c r="FI158" s="91" t="str">
        <f aca="false">IF(NOT(Tasks[[#This Row],[_IsLeaf]]=1),"",IF(Tasks[[#This Row],[_AlapShift]]=0,Tasks[[#This Row],[_LeafFcstStart]],WORKDAY.INTL(Tasks[[#This Row],[_LeafFcstStart]],Tasks[[#This Row],[_AlapShift]],WorkWeek,Holidays)))</f>
        <v/>
      </c>
      <c r="FJ158" s="91" t="str">
        <f aca="false">IF(NOT(Tasks[[#This Row],[_IsLeaf]]=1),"",IF(Tasks[[#This Row],[_AlapShift]]=0,Tasks[[#This Row],[_LeafFcstFinish]],WORKDAY.INTL(Tasks[[#This Row],[_LeafFcstFinish]],Tasks[[#This Row],[_AlapShift]],WorkWeek,Holidays)))</f>
        <v/>
      </c>
      <c r="FK158" s="91" t="str">
        <f aca="false">IF(Tasks[[#This Row],[Task Name]]="","",IF(Tasks[[#This Row],[_IsSummary]],MIN(INDEX(Tasks[_ShownCalcStart],Tasks[[#This Row],[_Row]]+1):INDEX(Tasks[_ShownCalcStart],Tasks[[#This Row],[_Row]]+Tasks[[#This Row],[_Descendants]])),Tasks[[#This Row],[_ShownCalcStart]]))</f>
        <v/>
      </c>
      <c r="FL158" s="91" t="str">
        <f aca="false">IF(Tasks[[#This Row],[Task Name]]="","",IF(Tasks[[#This Row],[_IsSummary]],MAX(INDEX(Tasks[_ShownCalcFinish],Tasks[[#This Row],[_Row]]+1):INDEX(Tasks[_ShownCalcFinish],Tasks[[#This Row],[_Row]]+Tasks[[#This Row],[_Descendants]])),Tasks[[#This Row],[_ShownCalcFinish]]))</f>
        <v/>
      </c>
      <c r="FM1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8" s="43" t="n">
        <f aca="false">IF(AND(Tasks[[#This Row],[_IsLeaf]]=1,Tasks[[#This Row],[_LeafTotalWork]]&gt;0),NETWORKDAYS.INTL(ProjectStart,Tasks[[#This Row],[_ShownFcstStart]],WorkWeek,Holidays),0)</f>
        <v>0</v>
      </c>
      <c r="FZ158" s="43" t="n">
        <f aca="false">IF(AND(Tasks[[#This Row],[_IsLeaf]]=1,Tasks[[#This Row],[_LeafTotalWork]]&gt;0),MAX(Tasks[[#This Row],[_StartWorkday]],NETWORKDAYS.INTL(ProjectStart,Tasks[[#This Row],[_ShownFcstFinish]],WorkWeek,Holidays)),0)</f>
        <v>0</v>
      </c>
      <c r="GA158" s="43" t="n">
        <f aca="false">IF(AND(Tasks[[#This Row],[_IsLeaf]]=1,Tasks[[#This Row],[_LeafTotalWork]]&gt;0),Tasks[[#This Row],[_LeafWork]]/(Tasks[[#This Row],[_FinishWorkday]]-Tasks[[#This Row],[_StartWorkday]]+1),0)</f>
        <v>0</v>
      </c>
      <c r="GB158" s="43" t="n">
        <f aca="false">Tasks[[#This Row],[_WorkPerWorkday]]*(Tasks[[#This Row],[_StartWorkday]]-1)</f>
        <v>-0</v>
      </c>
      <c r="GC158" s="43" t="n">
        <f aca="false">IF(Tasks[[#This Row],[_IsLeaf]]=1,MAX(N(Tasks[[#This Row],[_Days]]),0.1),0)</f>
        <v>0</v>
      </c>
      <c r="GD158" s="43" t="n">
        <f aca="false">Tasks[[#This Row],[_WeightDur]]*Tasks[[#This Row],[_LeafProgress]]</f>
        <v>0</v>
      </c>
      <c r="GE158" s="43" t="n">
        <f aca="false">Tasks[[#This Row],[_WeightDur]]*Tasks[[#This Row],[_PlannedPct]]</f>
        <v>0</v>
      </c>
      <c r="GF1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8" s="43" t="str">
        <f aca="false">IF(AND(Tasks[[#This Row],[_IsLeaf]]=1,N(Tasks[[#This Row],[_Days]])=0,Tasks[[#This Row],[_LeafProgress]]&lt;1),Tasks[[#This Row],[_ShownFcstFinish]]+Tasks[[#This Row],[_Row]]/100000,"")</f>
        <v/>
      </c>
      <c r="GH1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8" s="43" t="str">
        <f aca="false">IF(Tasks[[#This Row],[Task Name]]="","",LEFT(Tasks[[#This Row],[WBS]],FIND(".",Tasks[[#This Row],[WBS]]&amp;".")-1))</f>
        <v/>
      </c>
      <c r="GJ158" s="43" t="str">
        <f aca="false">IF(AND(Tasks[[#This Row],[Task Name]]&lt;&gt;"",Tasks[[#This Row],[_Level]]=1),Tasks[[#This Row],[_Row]],"")</f>
        <v/>
      </c>
      <c r="GK158" s="43" t="str">
        <f aca="false">IF(AND(Tasks[[#This Row],[_IsLeaf]]=1,N(Tasks[[#This Row],[_Days]])=0),Tasks[[#This Row],[Planned Finish]]+Tasks[[#This Row],[_Row]]/100000,"")</f>
        <v/>
      </c>
      <c r="GL158" s="43" t="str">
        <f aca="false">IF(AND(Tasks[[#This Row],[_IsLeaf]]=1,Tasks[[#This Row],[_LeafProgress]]&lt;1,OR(N(Tasks[[#This Row],[Finish Var]])&gt;0,Tasks[[#This Row],[Status]]="Late Start")),MAX(0,Tasks[[#This Row],[Finish Var]])+1-Tasks[[#This Row],[_Row]]/1000000,"")</f>
        <v/>
      </c>
      <c r="GM158" s="43" t="str">
        <f aca="false">IF(AND(Tasks[[#This Row],[_IsLeaf]]=1,N(Tasks[[#This Row],[Actual Start]])=0,Tasks[[#This Row],[_ShownFcstStart]]&gt;=StatusDate,Tasks[[#This Row],[_ShownFcstStart]]&lt;=LookaheadEnd),Tasks[[#This Row],[_ShownFcstStart]]+Tasks[[#This Row],[_Row]]/100000,"")</f>
        <v/>
      </c>
      <c r="GN158" s="43" t="str">
        <f aca="false">IF(AND(Tasks[[#This Row],[_IsLeaf]]=1,Tasks[[#This Row],[_LeafProgress]]&lt;1,Tasks[[#This Row],[_ShownFcstFinish]]&gt;=StatusDate,Tasks[[#This Row],[_ShownFcstFinish]]&lt;=LookaheadEnd),Tasks[[#This Row],[_ShownFcstFinish]]+Tasks[[#This Row],[_Row]]/100000,"")</f>
        <v/>
      </c>
      <c r="GO158" s="43" t="str">
        <f aca="false">IF(Tasks[[#This Row],[_LeafCritical]],Tasks[[#This Row],[_ShownFcstStart]]+Tasks[[#This Row],[_Row]]/100000,"")</f>
        <v/>
      </c>
      <c r="GP158" s="43" t="n">
        <f aca="false">Tasks[[#This Row],[_LeafWork]]*Tasks[[#This Row],[_LeafProgress]]</f>
        <v>0</v>
      </c>
      <c r="GQ158" s="91" t="str">
        <f aca="false">IF(AND(Tasks[[#This Row],[_IsLeaf]]=1,Tasks[[#This Row],[_LeafProgress]]&gt;=1),IF(N(Tasks[[#This Row],[Actual Finish]])&gt;0,Tasks[[#This Row],[Actual Finish]],Tasks[[#This Row],[_ShownFcstFinish]]),"")</f>
        <v/>
      </c>
      <c r="GR158" s="43" t="n">
        <f aca="false">IF(Tasks[[#This Row],[_IsLeaf]]=1,N(Tasks[[#This Row],[Story Points]]),0)</f>
        <v>0</v>
      </c>
      <c r="GS158" s="43" t="str">
        <f aca="false">""</f>
        <v/>
      </c>
      <c r="GT158" s="90" t="b">
        <f aca="false">IF(Tasks[[#This Row],[Task Name]]="",FALSE(),AND(Tasks[[#This Row],[_IsLeaf]]=1,N(Tasks[[#This Row],[_Days]])=0))</f>
        <v>0</v>
      </c>
      <c r="GU158" s="91" t="n">
        <f aca="false">IF(Tasks[[#This Row],[Task Name]]="",0,IF(AND(Tasks[[#This Row],[_IsLeaf]]=1,NOT(Tasks[[#This Row],[_IsMilestone]]),N(Tasks[[#This Row],[Progress]])&gt;0),Tasks[[#This Row],[Start]],0))</f>
        <v>0</v>
      </c>
      <c r="GV158" s="91" t="n">
        <f aca="false">IF(Tasks[[#This Row],[_DoneFrom]]=0,0,IF(Tasks[[#This Row],[Progress]]&gt;=1,Tasks[[#This Row],[Finish]],MAX(Tasks[[#This Row],[_DoneFrom]],Tasks[[#This Row],[Start]]+ROUND((Tasks[[#This Row],[Finish]]-Tasks[[#This Row],[Start]]+1)*Tasks[[#This Row],[Progress]],0)-1)))</f>
        <v>0</v>
      </c>
      <c r="GW158" s="91" t="n">
        <f aca="false">IF(Tasks[[#This Row],[Task Name]]="",0,IF(OR(NOT(Tasks[[#This Row],[_IsLeaf]]=1),Tasks[[#This Row],[_IsMilestone]],N(Tasks[[#This Row],[Progress]])&gt;=1),0,IF(Tasks[[#This Row],[_DoneTo]]&gt;0,Tasks[[#This Row],[_DoneTo]]+1,Tasks[[#This Row],[Start]])))</f>
        <v>0</v>
      </c>
      <c r="GX158" s="91" t="n">
        <f aca="false">IF(Tasks[[#This Row],[_RemFrom]]=0,0,Tasks[[#This Row],[Finish]])</f>
        <v>0</v>
      </c>
      <c r="GY158" s="90" t="b">
        <f aca="false">IF(Tasks[[#This Row],[Task Name]]="",FALSE(),OR(NOT(BaselineSet),N(Tasks[[#This Row],[Baseline Start]])&gt;0))</f>
        <v>0</v>
      </c>
      <c r="GZ15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8" s="92" t="str">
        <f aca="false">IF(Tasks[[#This Row],[_IsLeaf]]=1,Tasks[[#This Row],[_Row]],"")</f>
        <v/>
      </c>
      <c r="HD158" s="92" t="str">
        <f aca="false">IFERROR(INDEX(Tasks[UID],SMALL(Tasks[_PickKey],Tasks[[#This Row],[_Row]]))&amp;" "&amp;INDEX(Tasks[Task Name],SMALL(Tasks[_PickKey],Tasks[[#This Row],[_Row]])),"")</f>
        <v/>
      </c>
      <c r="HE158" s="43" t="str">
        <f aca="false">IF(Tasks[[#This Row],[Task Name]]="","",IF(Tasks[[#This Row],[_IsSummary]],NETWORKDAYS.INTL(Tasks[[#This Row],[Start]],Tasks[[#This Row],[Finish]],WorkWeek,Holidays),N(Tasks[[#This Row],[_Days]])))</f>
        <v/>
      </c>
      <c r="HF158" s="43" t="n">
        <f aca="false">IF(Tasks[[#This Row],[Expected]]="",0,((Tasks[[#This Row],[Pessimistic]]-Tasks[[#This Row],[Optimistic]])/6)^2)</f>
        <v>0</v>
      </c>
      <c r="HG158" s="43" t="n">
        <f aca="false">IF(Tasks[[#This Row],[Expected]]="",0,Tasks[[#This Row],[Expected]]-N(Tasks[[#This Row],[_Days]]))</f>
        <v>0</v>
      </c>
    </row>
    <row r="159" customFormat="false" ht="15" hidden="false" customHeight="false" outlineLevel="0" collapsed="false">
      <c r="A159" s="21" t="str">
        <f aca="false">IF(Tasks[[#This Row],[Task Name]]="","",COUNTA(Tasks[[#Headers],[Task Name]]:Tasks[[#This Row],[Task Name]])-1)</f>
        <v/>
      </c>
      <c r="B159" s="22" t="n">
        <v>167</v>
      </c>
      <c r="C159" s="22"/>
      <c r="D159" s="23"/>
      <c r="E159" s="22"/>
      <c r="F159" s="23"/>
      <c r="G159" s="22"/>
      <c r="H159" s="22"/>
      <c r="I159" s="23"/>
      <c r="J159" s="22"/>
      <c r="K159" s="22"/>
      <c r="L159" s="23"/>
      <c r="M159" s="22"/>
      <c r="N159" s="22"/>
      <c r="O159" s="23"/>
      <c r="P159" s="22"/>
      <c r="Q159" s="22"/>
      <c r="R159" s="23"/>
      <c r="S159" s="23"/>
      <c r="T159" s="84"/>
      <c r="U159" s="23"/>
      <c r="V159" s="84"/>
      <c r="W159" s="23"/>
      <c r="X159" s="84"/>
      <c r="Y159" s="23"/>
      <c r="Z159" s="84"/>
      <c r="AA159" s="23"/>
      <c r="AB159" s="23"/>
      <c r="AC159" s="7"/>
      <c r="AD159" s="7"/>
      <c r="AE159" s="63" t="str">
        <f aca="false">IF(Tasks[[#This Row],[Task Name]]="","",IF(Tasks[[#This Row],[_IsSummary]],MIN(INDEX(Tasks[_ShownFcstStart],Tasks[[#This Row],[_Row]]+1):INDEX(Tasks[_ShownFcstStart],Tasks[[#This Row],[_Row]]+Tasks[[#This Row],[_Descendants]])),Tasks[[#This Row],[_ShownFcstStart]]))</f>
        <v/>
      </c>
      <c r="AF159" s="63" t="str">
        <f aca="false">IF(Tasks[[#This Row],[Task Name]]="","",IF(Tasks[[#This Row],[_IsSummary]],MAX(INDEX(Tasks[_ShownFcstFinish],Tasks[[#This Row],[_Row]]+1):INDEX(Tasks[_ShownFcstFinish],Tasks[[#This Row],[_Row]]+Tasks[[#This Row],[_Descendants]])),Tasks[[#This Row],[_ShownFcstFinish]]))</f>
        <v/>
      </c>
      <c r="AG159" s="21" t="str">
        <f aca="false">""</f>
        <v/>
      </c>
      <c r="AH159" s="23"/>
      <c r="AI1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9" s="7"/>
      <c r="AK159" s="22"/>
      <c r="AL159" s="23"/>
      <c r="AM159" s="7"/>
      <c r="AN159" s="47" t="str">
        <f aca="false">IF(Tasks[[#This Row],[Task Name]]="","",IF(Tasks[[#This Row],[Finish]]&gt;=Tasks[[#This Row],[Planned Finish]],NETWORKDAYS.INTL(Tasks[[#This Row],[Planned Finish]],Tasks[[#This Row],[Finish]],WorkWeek,Holidays)-1,1-NETWORKDAYS.INTL(Tasks[[#This Row],[Finish]],Tasks[[#This Row],[Planned Finish]],WorkWeek,Holidays)))</f>
        <v/>
      </c>
      <c r="AO159" s="21" t="str">
        <f aca="false">IF(Tasks[[#This Row],[Task Name]]="","",IF(Tasks[[#This Row],[Progress]]&gt;=1,"Complete",IF(OR(N(Tasks[[#This Row],[Actual Start]])&gt;0,Tasks[[#This Row],[Progress]]&gt;0),IF(Tasks[[#This Row],[Finish Var]]&gt;0,"Behind","In Progress"),IF(Tasks[[#This Row],[Planned Start]]&lt;StatusDate,"Late Start","Not Started"))))</f>
        <v/>
      </c>
      <c r="AP159" s="21" t="str">
        <f aca="false">IF(Tasks[[#This Row],[Task Name]]="","",IF(IF(Tasks[[#This Row],[_IsSummary]],COUNTIF(INDEX(Tasks[_LeafCritical],Tasks[[#This Row],[_Row]]+1):INDEX(Tasks[_LeafCritical],Tasks[[#This Row],[_Row]]+Tasks[[#This Row],[_Descendants]]),TRUE())&gt;0,Tasks[[#This Row],[_LeafCritical]]),"Yes",""))</f>
        <v/>
      </c>
      <c r="AQ159" s="63" t="str">
        <f aca="false">IF(Tasks[[#This Row],[Task Name]]="","",IF(N(Tasks[[#This Row],[Baseline Start]])&gt;0,Tasks[[#This Row],[Baseline Start]],Tasks[[#This Row],[_CalcStart]]))</f>
        <v/>
      </c>
      <c r="AR159" s="63" t="str">
        <f aca="false">IF(Tasks[[#This Row],[Task Name]]="","",IF(N(Tasks[[#This Row],[Baseline Finish]])&gt;0,Tasks[[#This Row],[Baseline Finish]],Tasks[[#This Row],[_CalcFinish]]))</f>
        <v/>
      </c>
      <c r="AS159" s="47" t="str">
        <f aca="false">IF(Tasks[[#This Row],[Task Name]]="","",IF(Tasks[[#This Row],[Start]]&gt;=Tasks[[#This Row],[Planned Start]],NETWORKDAYS.INTL(Tasks[[#This Row],[Planned Start]],Tasks[[#This Row],[Start]],WorkWeek,Holidays)-1,1-NETWORKDAYS.INTL(Tasks[[#This Row],[Start]],Tasks[[#This Row],[Planned Start]],WorkWeek,Holidays)))</f>
        <v/>
      </c>
      <c r="AT159" s="63" t="str">
        <f aca="false">IF(Tasks[[#This Row],[Task Name]]="","",IF(Tasks[[#This Row],[_IsSummary]],MIN(INDEX(Tasks[_LeafLateStart],Tasks[[#This Row],[_Row]]+1):INDEX(Tasks[_LeafLateStart],Tasks[[#This Row],[_Row]]+Tasks[[#This Row],[_Descendants]])),Tasks[[#This Row],[_LeafLateStart]]))</f>
        <v/>
      </c>
      <c r="AU159" s="63" t="str">
        <f aca="false">IF(Tasks[[#This Row],[Task Name]]="","",IF(Tasks[[#This Row],[_IsSummary]],MAX(INDEX(Tasks[_LeafLateFinish],Tasks[[#This Row],[_Row]]+1):INDEX(Tasks[_LeafLateFinish],Tasks[[#This Row],[_Row]]+Tasks[[#This Row],[_Descendants]])),Tasks[[#This Row],[_LeafLateFinish]]))</f>
        <v/>
      </c>
      <c r="AV159" s="47" t="str">
        <f aca="false">IF(Tasks[[#This Row],[Task Name]]="","",IF(Tasks[[#This Row],[_IsSummary]],MIN(INDEX(Tasks[_LeafTotalSlack],Tasks[[#This Row],[_Row]]+1):INDEX(Tasks[_LeafTotalSlack],Tasks[[#This Row],[_Row]]+Tasks[[#This Row],[_Descendants]])),Tasks[[#This Row],[_LeafTotalSlack]]))</f>
        <v/>
      </c>
      <c r="AW1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5"/>
      <c r="BA15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t="str">
        <f aca="false">IF(Tasks[[#This Row],[Task Name]]="","",IF(Tasks[[#This Row],[_Level]]&lt;=OutlineShowLevel,"Yes","No"))</f>
        <v/>
      </c>
      <c r="BE159" s="86" t="str">
        <f aca="false">IF(Tasks[[#This Row],[Task Name]]="","",IF(Tasks[[#This Row],[_IsSummary]],SUM(INDEX(Tasks[_LeafTotalWork],Tasks[[#This Row],[_Row]]+1):INDEX(Tasks[_LeafTotalWork],Tasks[[#This Row],[_Row]]+Tasks[[#This Row],[_Descendants]])),Tasks[[#This Row],[_LeafTotalWork]]))</f>
        <v/>
      </c>
      <c r="BF159" s="23"/>
      <c r="BG1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t="str">
        <f aca="false">""</f>
        <v/>
      </c>
      <c r="BI159" s="87"/>
      <c r="BJ159" s="22"/>
      <c r="BK159" s="47" t="str">
        <f aca="false">IF(OR(Tasks[[#This Row],[Task Name]]="",Tasks[[#This Row],[Baseline Duration]]=""),"",Tasks[[#This Row],[_SpanDays]]-N(Tasks[[#This Row],[Baseline Duration]]))</f>
        <v/>
      </c>
      <c r="BL159" s="86" t="str">
        <f aca="false">IF(OR(Tasks[[#This Row],[Task Name]]="",Tasks[[#This Row],[Baseline Work]]=""),"",Tasks[[#This Row],[Work]]-N(Tasks[[#This Row],[Baseline Work]]))</f>
        <v/>
      </c>
      <c r="BM159" s="63" t="str">
        <f aca="false">IF(Tasks[[#This Row],[Task Name]]="","",IF(OR(TakeBaseline="Yes",N(Tasks[[#This Row],[Baseline Start]])=0),Tasks[[#This Row],[Start]],Tasks[[#This Row],[Baseline Start]]))</f>
        <v/>
      </c>
      <c r="BN159" s="63" t="str">
        <f aca="false">IF(Tasks[[#This Row],[Task Name]]="","",IF(OR(TakeBaseline="Yes",N(Tasks[[#This Row],[Baseline Finish]])=0),Tasks[[#This Row],[Finish]],Tasks[[#This Row],[Baseline Finish]]))</f>
        <v/>
      </c>
      <c r="BO159" s="21" t="str">
        <f aca="false">IF(Tasks[[#This Row],[Task Name]]="","",IF(OR(TakeBaseline="Yes",N(Tasks[[#This Row],[Baseline Duration]])=0),Tasks[[#This Row],[_SpanDays]],Tasks[[#This Row],[Baseline Duration]]))</f>
        <v/>
      </c>
      <c r="BP159" s="86" t="str">
        <f aca="false">IF(Tasks[[#This Row],[Task Name]]="","",IF(OR(TakeBaseline="Yes",N(Tasks[[#This Row],[Baseline Work]])=0),Tasks[[#This Row],[Work]],Tasks[[#This Row],[Baseline Work]]))</f>
        <v/>
      </c>
      <c r="BQ159" s="7"/>
      <c r="BR159" s="7"/>
      <c r="BS159" s="22"/>
      <c r="BT159" s="88"/>
      <c r="BU159" s="23"/>
      <c r="BV159" s="23"/>
      <c r="BW159" s="23"/>
      <c r="BX159" s="89" t="str">
        <f aca="false">IF(AND(Tasks[[#This Row],[_IsLeaf]]=1,ISNUMBER(Tasks[[#This Row],[Optimistic]]),ISNUMBER(Tasks[[#This Row],[Pessimistic]])),ROUND((Tasks[[#This Row],[Optimistic]]+4*N(Tasks[[#This Row],[_Days]])+Tasks[[#This Row],[Pessimistic]])/6,1),"")</f>
        <v/>
      </c>
      <c r="BY159" s="87"/>
      <c r="BZ159" s="87"/>
      <c r="CA159" s="22"/>
      <c r="CB159" s="43" t="str">
        <f aca="false">IF(Tasks[[#This Row],[Task Name]]="","",MAX(1,N(Tasks[[#This Row],[Level]])))</f>
        <v/>
      </c>
      <c r="CC159" s="43" t="n">
        <f aca="false">ROW()-ROW(Tasks[[#Headers],[ID]])</f>
        <v>154</v>
      </c>
      <c r="CD159" s="43" t="n">
        <f aca="false">IF(OR(Tasks[[#This Row],[Task Name]]="",Tasks[[#This Row],[_Level]]&lt;=1),0,IFERROR(LOOKUP(2,1/(Tasks[[#Headers],[_Level]]:Tasks[[#This Row],[_Level]]=Tasks[[#This Row],[_Level]]-1),ROW(Tasks[[#Headers],[_Level]]:Tasks[[#This Row],[_Level]])),0))</f>
        <v>0</v>
      </c>
      <c r="CE159" s="43" t="n">
        <f aca="false">IFERROR(N(INDEX(Tasks[_Level],Tasks[[#This Row],[_Row]]+1)),0)</f>
        <v>0</v>
      </c>
      <c r="CF159" s="90" t="b">
        <f aca="false">AND(Tasks[[#This Row],[Task Name]]&lt;&gt;"",Tasks[[#This Row],[_NextLevel]]&gt;Tasks[[#This Row],[_Level]])</f>
        <v>0</v>
      </c>
      <c r="CG159" s="43" t="n">
        <f aca="false">IF(Tasks[[#This Row],[_IsSummary]],COUNTIF(Tasks[WBS],Tasks[[#This Row],[WBS]]&amp;".*"),0)</f>
        <v>0</v>
      </c>
      <c r="CH159" s="43" t="n">
        <f aca="false">IF(AND(Tasks[[#This Row],[Task Name]]&lt;&gt;"",NOT(Tasks[[#This Row],[_IsSummary]])),1,0)</f>
        <v>0</v>
      </c>
      <c r="CI159" s="43" t="n">
        <f aca="false">IF(N(Tasks[[#This Row],[_Pred1UID]])=0,0,IFERROR(MATCH(Tasks[[#This Row],[_Pred1UID]],Tasks[UID],0),-1))</f>
        <v>0</v>
      </c>
      <c r="CJ159" s="43" t="n">
        <f aca="false">IF(N(Tasks[[#This Row],[_Pred2UID]])=0,0,IFERROR(MATCH(Tasks[[#This Row],[_Pred2UID]],Tasks[UID],0),-1))</f>
        <v>0</v>
      </c>
      <c r="CK159" s="43" t="n">
        <f aca="false">IF(N(Tasks[[#This Row],[_Pred3UID]])=0,0,IFERROR(MATCH(Tasks[[#This Row],[_Pred3UID]],Tasks[UID],0),-1))</f>
        <v>0</v>
      </c>
      <c r="CL159" s="43" t="n">
        <f aca="false">IF(N(Tasks[[#This Row],[_Pred4UID]])=0,0,IFERROR(MATCH(Tasks[[#This Row],[_Pred4UID]],Tasks[UID],0),-1))</f>
        <v>0</v>
      </c>
      <c r="CM1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9" s="91" t="n">
        <f aca="false">IF(OR(Tasks[[#This Row],[_ConstraintCode]]=2,Tasks[[#This Row],[_ConstraintCode]]=3,Tasks[[#This Row],[_ConstraintCode]]=4,Tasks[[#This Row],[_ConstraintCode]]=6),Tasks[[#This Row],[_ConstraintStart]],0)</f>
        <v>0</v>
      </c>
      <c r="CP159" s="91" t="n">
        <f aca="false">IF(OR(Tasks[[#This Row],[_ConstraintCode]]=2,Tasks[[#This Row],[_ConstraintCode]]=3,Tasks[[#This Row],[_ConstraintCode]]=5,Tasks[[#This Row],[_ConstraintCode]]=7),Tasks[[#This Row],[_ConstraintStart]],2958465)</f>
        <v>2958465</v>
      </c>
      <c r="CQ1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9" s="91" t="str">
        <f aca="false">IF(NOT(Tasks[[#This Row],[_IsLeaf]]=1),"",IF(N(Tasks[[#This Row],[_Days]])&lt;=0,Tasks[[#This Row],[_LeafCalcStart]],WORKDAY.INTL(Tasks[[#This Row],[_LeafCalcStart]],Tasks[[#This Row],[_Days]]-1,WorkWeek,Holidays)))</f>
        <v/>
      </c>
      <c r="CS1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9" s="43" t="str">
        <f aca="false">IF(Tasks[[#This Row],[_Predecessors]]="","",TRIM(MID(SUBSTITUTE(SUBSTITUTE(SUBSTITUTE(UPPER(Tasks[[#This Row],[_Predecessors]]),";",",")," ",""),",",REPT(" ",99)),1,99)))</f>
        <v/>
      </c>
      <c r="CV159" s="43" t="str">
        <f aca="false">IF(Tasks[[#This Row],[_Pred1Text]]="","",IFERROR(VALUE(LEFT(Tasks[[#This Row],[_Pred1Text]],MIN(FIND("F",Tasks[[#This Row],[_Pred1Text]]&amp;"F"),FIND("S",Tasks[[#This Row],[_Pred1Text]]&amp;"S"),FIND("+",Tasks[[#This Row],[_Pred1Text]]&amp;"+"),FIND("-",Tasks[[#This Row],[_Pred1Text]]&amp;"-"))-1)),""))</f>
        <v/>
      </c>
      <c r="CW1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9" s="43" t="str">
        <f aca="false">IF(Tasks[[#This Row],[_Pred1Text]]="","",TRIM(MID(SUBSTITUTE(SUBSTITUTE(SUBSTITUTE(UPPER(Tasks[[#This Row],[_Predecessors]]),";",",")," ",""),",",REPT(" ",99)),100,99)))</f>
        <v/>
      </c>
      <c r="CZ159" s="43" t="str">
        <f aca="false">IF(Tasks[[#This Row],[_Pred2Text]]="","",IFERROR(VALUE(LEFT(Tasks[[#This Row],[_Pred2Text]],MIN(FIND("F",Tasks[[#This Row],[_Pred2Text]]&amp;"F"),FIND("S",Tasks[[#This Row],[_Pred2Text]]&amp;"S"),FIND("+",Tasks[[#This Row],[_Pred2Text]]&amp;"+"),FIND("-",Tasks[[#This Row],[_Pred2Text]]&amp;"-"))-1)),""))</f>
        <v/>
      </c>
      <c r="DA1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9" s="43" t="str">
        <f aca="false">IF(Tasks[[#This Row],[_Pred2Text]]="","",TRIM(MID(SUBSTITUTE(SUBSTITUTE(SUBSTITUTE(UPPER(Tasks[[#This Row],[_Predecessors]]),";",",")," ",""),",",REPT(" ",99)),199,99)))</f>
        <v/>
      </c>
      <c r="DD159" s="43" t="str">
        <f aca="false">IF(Tasks[[#This Row],[_Pred3Text]]="","",IFERROR(VALUE(LEFT(Tasks[[#This Row],[_Pred3Text]],MIN(FIND("F",Tasks[[#This Row],[_Pred3Text]]&amp;"F"),FIND("S",Tasks[[#This Row],[_Pred3Text]]&amp;"S"),FIND("+",Tasks[[#This Row],[_Pred3Text]]&amp;"+"),FIND("-",Tasks[[#This Row],[_Pred3Text]]&amp;"-"))-1)),""))</f>
        <v/>
      </c>
      <c r="DE1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9" s="43" t="str">
        <f aca="false">IF(Tasks[[#This Row],[_Pred3Text]]="","",TRIM(MID(SUBSTITUTE(SUBSTITUTE(SUBSTITUTE(UPPER(Tasks[[#This Row],[_Predecessors]]),";",",")," ",""),",",REPT(" ",99)),298,99)))</f>
        <v/>
      </c>
      <c r="DH159" s="43" t="str">
        <f aca="false">IF(Tasks[[#This Row],[_Pred4Text]]="","",IFERROR(VALUE(LEFT(Tasks[[#This Row],[_Pred4Text]],MIN(FIND("F",Tasks[[#This Row],[_Pred4Text]]&amp;"F"),FIND("S",Tasks[[#This Row],[_Pred4Text]]&amp;"S"),FIND("+",Tasks[[#This Row],[_Pred4Text]]&amp;"+"),FIND("-",Tasks[[#This Row],[_Pred4Text]]&amp;"-"))-1)),""))</f>
        <v/>
      </c>
      <c r="DI1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9" s="43" t="str">
        <f aca="false">IF(OR(Tasks[[#This Row],[Task Name]]="",Tasks[[#This Row],[_Resources]]=""),"",TRIM(MID(SUBSTITUTE(Tasks[[#This Row],[_Resources]],",",REPT(" ",99)),1,99)))</f>
        <v/>
      </c>
      <c r="DL159" s="43" t="str">
        <f aca="false">IF(Tasks[[#This Row],[_Res1Text]]="","",TRIM(MID(SUBSTITUTE(Tasks[[#This Row],[_Resources]],",",REPT(" ",99)),100,99)))</f>
        <v/>
      </c>
      <c r="DM159" s="43" t="str">
        <f aca="false">IF(Tasks[[#This Row],[_Res2Text]]="","",TRIM(MID(SUBSTITUTE(Tasks[[#This Row],[_Resources]],",",REPT(" ",99)),199,99)))</f>
        <v/>
      </c>
      <c r="DN159" s="43" t="str">
        <f aca="false">IF(Tasks[[#This Row],[_Res3Text]]="","",TRIM(MID(SUBSTITUTE(Tasks[[#This Row],[_Resources]],",",REPT(" ",99)),298,99)))</f>
        <v/>
      </c>
      <c r="DO159" s="43" t="n">
        <f aca="false">IF(Tasks[[#This Row],[_Res1Text]]="",0,IFERROR(MATCH(TRIM(LEFT(Tasks[[#This Row],[_Res1Text]],FIND("[",Tasks[[#This Row],[_Res1Text]]&amp;"[")-1)),res_Name,0),IFERROR(MATCH(TRIM(LEFT(Tasks[[#This Row],[_Res1Text]],FIND("[",Tasks[[#This Row],[_Res1Text]]&amp;"[")-1)),res_Initials,0),0)))</f>
        <v>0</v>
      </c>
      <c r="DP159" s="43" t="n">
        <f aca="false">IF(Tasks[[#This Row],[_Res2Text]]="",0,IFERROR(MATCH(TRIM(LEFT(Tasks[[#This Row],[_Res2Text]],FIND("[",Tasks[[#This Row],[_Res2Text]]&amp;"[")-1)),res_Name,0),IFERROR(MATCH(TRIM(LEFT(Tasks[[#This Row],[_Res2Text]],FIND("[",Tasks[[#This Row],[_Res2Text]]&amp;"[")-1)),res_Initials,0),0)))</f>
        <v>0</v>
      </c>
      <c r="DQ159" s="43" t="n">
        <f aca="false">IF(Tasks[[#This Row],[_Res3Text]]="",0,IFERROR(MATCH(TRIM(LEFT(Tasks[[#This Row],[_Res3Text]],FIND("[",Tasks[[#This Row],[_Res3Text]]&amp;"[")-1)),res_Name,0),IFERROR(MATCH(TRIM(LEFT(Tasks[[#This Row],[_Res3Text]],FIND("[",Tasks[[#This Row],[_Res3Text]]&amp;"[")-1)),res_Initials,0),0)))</f>
        <v>0</v>
      </c>
      <c r="DR159" s="43" t="n">
        <f aca="false">IF(Tasks[[#This Row],[_Res4Text]]="",0,IFERROR(MATCH(TRIM(LEFT(Tasks[[#This Row],[_Res4Text]],FIND("[",Tasks[[#This Row],[_Res4Text]]&amp;"[")-1)),res_Name,0),IFERROR(MATCH(TRIM(LEFT(Tasks[[#This Row],[_Res4Text]],FIND("[",Tasks[[#This Row],[_Res4Text]]&amp;"[")-1)),res_Initials,0),0)))</f>
        <v>0</v>
      </c>
      <c r="DS159" s="43" t="str">
        <f aca="false">IF(Tasks[[#This Row],[_Res1Text]]="","",IF(Tasks[[#This Row],[_Res1Row]]&gt;0,INDEX(res_Name,Tasks[[#This Row],[_Res1Row]]),TRIM(LEFT(Tasks[[#This Row],[_Res1Text]],FIND("[",Tasks[[#This Row],[_Res1Text]]&amp;"[")-1))))</f>
        <v/>
      </c>
      <c r="DT1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9" s="43" t="n">
        <f aca="false">IF(NOT(Tasks[[#This Row],[_IsLeaf]]=1),0,(Tasks[[#This Row],[_Resource1]]&lt;&gt;"")+(Tasks[[#This Row],[_Res2]]&lt;&gt;"")+(Tasks[[#This Row],[_Res3]]&lt;&gt;"")+(Tasks[[#This Row],[_Res4]]&lt;&gt;""))</f>
        <v>0</v>
      </c>
      <c r="DV159" s="43" t="str">
        <f aca="false">IF(Tasks[[#This Row],[_Res2Text]]="","",IF(Tasks[[#This Row],[_Res2Row]]&gt;0,INDEX(res_Name,Tasks[[#This Row],[_Res2Row]]),TRIM(LEFT(Tasks[[#This Row],[_Res2Text]],FIND("[",Tasks[[#This Row],[_Res2Text]]&amp;"[")-1))))</f>
        <v/>
      </c>
      <c r="DW1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9" s="43" t="n">
        <f aca="false">IF(OR(NOT(Tasks[[#This Row],[_IsLeaf]]=1),Tasks[[#This Row],[_Res2Row]]=0),0,N(Tasks[[#This Row],[_Days]])*HoursPerDay*IF(Tasks[[#This Row],[_Res2Units]]="",DefaultUnits,Tasks[[#This Row],[_Res2Units]]))</f>
        <v>0</v>
      </c>
      <c r="DY159" s="43" t="n">
        <f aca="false">IF(AND(AND(Tasks[[#This Row],[_IsLeaf]]=1,Tasks[[#This Row],[_LeafTotalWork]]&gt;0),Tasks[[#This Row],[_Res2Work]]&gt;0),Tasks[[#This Row],[_Res2Work]]/(Tasks[[#This Row],[_FinishWorkday]]-Tasks[[#This Row],[_StartWorkday]]+1),0)</f>
        <v>0</v>
      </c>
      <c r="DZ159" s="43" t="n">
        <f aca="false">Tasks[[#This Row],[_Res2WorkPerWD]]*MAX(0,Tasks[[#This Row],[_StartWorkday]]-1)</f>
        <v>0</v>
      </c>
      <c r="EA159" s="43" t="n">
        <f aca="false">Tasks[[#This Row],[_Res2Work]]*Tasks[[#This Row],[_LeafProgress]]</f>
        <v>0</v>
      </c>
      <c r="EB159" s="43" t="str">
        <f aca="false">IF(Tasks[[#This Row],[_Res3Text]]="","",IF(Tasks[[#This Row],[_Res3Row]]&gt;0,INDEX(res_Name,Tasks[[#This Row],[_Res3Row]]),TRIM(LEFT(Tasks[[#This Row],[_Res3Text]],FIND("[",Tasks[[#This Row],[_Res3Text]]&amp;"[")-1))))</f>
        <v/>
      </c>
      <c r="EC1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9" s="43" t="n">
        <f aca="false">IF(OR(NOT(Tasks[[#This Row],[_IsLeaf]]=1),Tasks[[#This Row],[_Res3Row]]=0),0,N(Tasks[[#This Row],[_Days]])*HoursPerDay*IF(Tasks[[#This Row],[_Res3Units]]="",DefaultUnits,Tasks[[#This Row],[_Res3Units]]))</f>
        <v>0</v>
      </c>
      <c r="EE159" s="43" t="n">
        <f aca="false">IF(AND(AND(Tasks[[#This Row],[_IsLeaf]]=1,Tasks[[#This Row],[_LeafTotalWork]]&gt;0),Tasks[[#This Row],[_Res3Work]]&gt;0),Tasks[[#This Row],[_Res3Work]]/(Tasks[[#This Row],[_FinishWorkday]]-Tasks[[#This Row],[_StartWorkday]]+1),0)</f>
        <v>0</v>
      </c>
      <c r="EF159" s="43" t="n">
        <f aca="false">Tasks[[#This Row],[_Res3WorkPerWD]]*MAX(0,Tasks[[#This Row],[_StartWorkday]]-1)</f>
        <v>0</v>
      </c>
      <c r="EG159" s="43" t="n">
        <f aca="false">Tasks[[#This Row],[_Res3Work]]*Tasks[[#This Row],[_LeafProgress]]</f>
        <v>0</v>
      </c>
      <c r="EH159" s="43" t="str">
        <f aca="false">IF(Tasks[[#This Row],[_Res4Text]]="","",IF(Tasks[[#This Row],[_Res4Row]]&gt;0,INDEX(res_Name,Tasks[[#This Row],[_Res4Row]]),TRIM(LEFT(Tasks[[#This Row],[_Res4Text]],FIND("[",Tasks[[#This Row],[_Res4Text]]&amp;"[")-1))))</f>
        <v/>
      </c>
      <c r="EI1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9" s="43" t="n">
        <f aca="false">IF(OR(NOT(Tasks[[#This Row],[_IsLeaf]]=1),Tasks[[#This Row],[_Res4Row]]=0),0,N(Tasks[[#This Row],[_Days]])*HoursPerDay*IF(Tasks[[#This Row],[_Res4Units]]="",DefaultUnits,Tasks[[#This Row],[_Res4Units]]))</f>
        <v>0</v>
      </c>
      <c r="EK159" s="43" t="n">
        <f aca="false">IF(AND(AND(Tasks[[#This Row],[_IsLeaf]]=1,Tasks[[#This Row],[_LeafTotalWork]]&gt;0),Tasks[[#This Row],[_Res4Work]]&gt;0),Tasks[[#This Row],[_Res4Work]]/(Tasks[[#This Row],[_FinishWorkday]]-Tasks[[#This Row],[_StartWorkday]]+1),0)</f>
        <v>0</v>
      </c>
      <c r="EL159" s="43" t="n">
        <f aca="false">Tasks[[#This Row],[_Res4WorkPerWD]]*MAX(0,Tasks[[#This Row],[_StartWorkday]]-1)</f>
        <v>0</v>
      </c>
      <c r="EM159" s="43" t="n">
        <f aca="false">Tasks[[#This Row],[_Res4Work]]*Tasks[[#This Row],[_LeafProgress]]</f>
        <v>0</v>
      </c>
      <c r="EN159" s="43" t="n">
        <f aca="false">IF(ISNUMBER(Tasks[[#This Row],[% Complete]]),Tasks[[#This Row],[% Complete]],IF(Tasks[[#This Row],[Stage]]="",0,IFERROR(INDEX(stg_Pct,MATCH(Tasks[[#This Row],[Stage]],stg_Name,0)),0)))</f>
        <v>0</v>
      </c>
      <c r="EO159" s="43" t="n">
        <f aca="false">IF(NOT(Tasks[[#This Row],[_IsLeaf]]=1),0,IF(N(Tasks[[#This Row],[Actual Finish]])&gt;0,1,MIN(1,Tasks[[#This Row],[_Pct]])))</f>
        <v>0</v>
      </c>
      <c r="EP159" s="43" t="n">
        <f aca="false">IF(OR(NOT(Tasks[[#This Row],[_IsLeaf]]=1),Tasks[[#This Row],[_Res1Row]]=0),0,N(Tasks[[#This Row],[_Days]])*HoursPerDay*IF(Tasks[[#This Row],[_Units1]]="",DefaultUnits,Tasks[[#This Row],[_Units1]]))</f>
        <v>0</v>
      </c>
      <c r="EQ159" s="43" t="n">
        <f aca="false">Tasks[[#This Row],[_LeafWork]]+Tasks[[#This Row],[_Res2Work]]+Tasks[[#This Row],[_Res3Work]]+Tasks[[#This Row],[_Res4Work]]</f>
        <v>0</v>
      </c>
      <c r="ER15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9" s="43" t="n">
        <f aca="false">IF(NOT(Tasks[[#This Row],[_IsLeaf]]=1),0,MAX(_xlfn.MAXIFS(Tasks[_Row],Tasks[_Pred1UID],Tasks[[#This Row],[UID]]),_xlfn.MAXIFS(Tasks[_Row],Tasks[_Pred2UID],Tasks[[#This Row],[UID]]),_xlfn.MAXIFS(Tasks[_Row],Tasks[_Pred3UID],Tasks[[#This Row],[UID]]),_xlfn.MAXIFS(Tasks[_Row],Tasks[_Pred4UID],Tasks[[#This Row],[UID]])))</f>
        <v>0</v>
      </c>
      <c r="FA1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9" s="91" t="str">
        <f aca="false">IF(NOT(Tasks[[#This Row],[_IsLeaf]]=1),"",IF(N(Tasks[[#This Row],[_Days]])&lt;=0,Tasks[[#This Row],[_LeafLateFinish]],WORKDAY.INTL(Tasks[[#This Row],[_LeafLateFinish]],-(Tasks[[#This Row],[_Days]]-1),WorkWeek,Holidays)))</f>
        <v/>
      </c>
      <c r="FD1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9" s="90" t="b">
        <f aca="false">AND(Tasks[[#This Row],[_IsLeaf]]=1,Tasks[[#This Row],[_LeafProgress]]&lt;1,N(Tasks[[#This Row],[_LeafTotalSlack]])&lt;=CriticalSlackDays)</f>
        <v>0</v>
      </c>
      <c r="FF159" s="43" t="n">
        <f aca="false">IF(AND(Tasks[[#This Row],[_IsLeaf]]=1,Tasks[[#This Row],[_ConstraintCode]]=1,Tasks[[#This Row],[Mode]]&lt;&gt;"Manual",N(Tasks[[#This Row],[Actual Start]])=0),MAX(0,N(Tasks[[#This Row],[Free Slack]])),0)</f>
        <v>0</v>
      </c>
      <c r="FG159" s="91" t="str">
        <f aca="false">IF(NOT(Tasks[[#This Row],[_IsLeaf]]=1),"",IF(Tasks[[#This Row],[_AlapShift]]=0,Tasks[[#This Row],[_LeafCalcStart]],WORKDAY.INTL(Tasks[[#This Row],[_LeafCalcStart]],Tasks[[#This Row],[_AlapShift]],WorkWeek,Holidays)))</f>
        <v/>
      </c>
      <c r="FH159" s="91" t="str">
        <f aca="false">IF(NOT(Tasks[[#This Row],[_IsLeaf]]=1),"",IF(Tasks[[#This Row],[_AlapShift]]=0,Tasks[[#This Row],[_LeafCalcFinish]],WORKDAY.INTL(Tasks[[#This Row],[_LeafCalcFinish]],Tasks[[#This Row],[_AlapShift]],WorkWeek,Holidays)))</f>
        <v/>
      </c>
      <c r="FI159" s="91" t="str">
        <f aca="false">IF(NOT(Tasks[[#This Row],[_IsLeaf]]=1),"",IF(Tasks[[#This Row],[_AlapShift]]=0,Tasks[[#This Row],[_LeafFcstStart]],WORKDAY.INTL(Tasks[[#This Row],[_LeafFcstStart]],Tasks[[#This Row],[_AlapShift]],WorkWeek,Holidays)))</f>
        <v/>
      </c>
      <c r="FJ159" s="91" t="str">
        <f aca="false">IF(NOT(Tasks[[#This Row],[_IsLeaf]]=1),"",IF(Tasks[[#This Row],[_AlapShift]]=0,Tasks[[#This Row],[_LeafFcstFinish]],WORKDAY.INTL(Tasks[[#This Row],[_LeafFcstFinish]],Tasks[[#This Row],[_AlapShift]],WorkWeek,Holidays)))</f>
        <v/>
      </c>
      <c r="FK159" s="91" t="str">
        <f aca="false">IF(Tasks[[#This Row],[Task Name]]="","",IF(Tasks[[#This Row],[_IsSummary]],MIN(INDEX(Tasks[_ShownCalcStart],Tasks[[#This Row],[_Row]]+1):INDEX(Tasks[_ShownCalcStart],Tasks[[#This Row],[_Row]]+Tasks[[#This Row],[_Descendants]])),Tasks[[#This Row],[_ShownCalcStart]]))</f>
        <v/>
      </c>
      <c r="FL159" s="91" t="str">
        <f aca="false">IF(Tasks[[#This Row],[Task Name]]="","",IF(Tasks[[#This Row],[_IsSummary]],MAX(INDEX(Tasks[_ShownCalcFinish],Tasks[[#This Row],[_Row]]+1):INDEX(Tasks[_ShownCalcFinish],Tasks[[#This Row],[_Row]]+Tasks[[#This Row],[_Descendants]])),Tasks[[#This Row],[_ShownCalcFinish]]))</f>
        <v/>
      </c>
      <c r="FM1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9" s="43" t="n">
        <f aca="false">IF(AND(Tasks[[#This Row],[_IsLeaf]]=1,Tasks[[#This Row],[_LeafTotalWork]]&gt;0),NETWORKDAYS.INTL(ProjectStart,Tasks[[#This Row],[_ShownFcstStart]],WorkWeek,Holidays),0)</f>
        <v>0</v>
      </c>
      <c r="FZ159" s="43" t="n">
        <f aca="false">IF(AND(Tasks[[#This Row],[_IsLeaf]]=1,Tasks[[#This Row],[_LeafTotalWork]]&gt;0),MAX(Tasks[[#This Row],[_StartWorkday]],NETWORKDAYS.INTL(ProjectStart,Tasks[[#This Row],[_ShownFcstFinish]],WorkWeek,Holidays)),0)</f>
        <v>0</v>
      </c>
      <c r="GA159" s="43" t="n">
        <f aca="false">IF(AND(Tasks[[#This Row],[_IsLeaf]]=1,Tasks[[#This Row],[_LeafTotalWork]]&gt;0),Tasks[[#This Row],[_LeafWork]]/(Tasks[[#This Row],[_FinishWorkday]]-Tasks[[#This Row],[_StartWorkday]]+1),0)</f>
        <v>0</v>
      </c>
      <c r="GB159" s="43" t="n">
        <f aca="false">Tasks[[#This Row],[_WorkPerWorkday]]*(Tasks[[#This Row],[_StartWorkday]]-1)</f>
        <v>-0</v>
      </c>
      <c r="GC159" s="43" t="n">
        <f aca="false">IF(Tasks[[#This Row],[_IsLeaf]]=1,MAX(N(Tasks[[#This Row],[_Days]]),0.1),0)</f>
        <v>0</v>
      </c>
      <c r="GD159" s="43" t="n">
        <f aca="false">Tasks[[#This Row],[_WeightDur]]*Tasks[[#This Row],[_LeafProgress]]</f>
        <v>0</v>
      </c>
      <c r="GE159" s="43" t="n">
        <f aca="false">Tasks[[#This Row],[_WeightDur]]*Tasks[[#This Row],[_PlannedPct]]</f>
        <v>0</v>
      </c>
      <c r="GF1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9" s="43" t="str">
        <f aca="false">IF(AND(Tasks[[#This Row],[_IsLeaf]]=1,N(Tasks[[#This Row],[_Days]])=0,Tasks[[#This Row],[_LeafProgress]]&lt;1),Tasks[[#This Row],[_ShownFcstFinish]]+Tasks[[#This Row],[_Row]]/100000,"")</f>
        <v/>
      </c>
      <c r="GH1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9" s="43" t="str">
        <f aca="false">IF(Tasks[[#This Row],[Task Name]]="","",LEFT(Tasks[[#This Row],[WBS]],FIND(".",Tasks[[#This Row],[WBS]]&amp;".")-1))</f>
        <v/>
      </c>
      <c r="GJ159" s="43" t="str">
        <f aca="false">IF(AND(Tasks[[#This Row],[Task Name]]&lt;&gt;"",Tasks[[#This Row],[_Level]]=1),Tasks[[#This Row],[_Row]],"")</f>
        <v/>
      </c>
      <c r="GK159" s="43" t="str">
        <f aca="false">IF(AND(Tasks[[#This Row],[_IsLeaf]]=1,N(Tasks[[#This Row],[_Days]])=0),Tasks[[#This Row],[Planned Finish]]+Tasks[[#This Row],[_Row]]/100000,"")</f>
        <v/>
      </c>
      <c r="GL159" s="43" t="str">
        <f aca="false">IF(AND(Tasks[[#This Row],[_IsLeaf]]=1,Tasks[[#This Row],[_LeafProgress]]&lt;1,OR(N(Tasks[[#This Row],[Finish Var]])&gt;0,Tasks[[#This Row],[Status]]="Late Start")),MAX(0,Tasks[[#This Row],[Finish Var]])+1-Tasks[[#This Row],[_Row]]/1000000,"")</f>
        <v/>
      </c>
      <c r="GM159" s="43" t="str">
        <f aca="false">IF(AND(Tasks[[#This Row],[_IsLeaf]]=1,N(Tasks[[#This Row],[Actual Start]])=0,Tasks[[#This Row],[_ShownFcstStart]]&gt;=StatusDate,Tasks[[#This Row],[_ShownFcstStart]]&lt;=LookaheadEnd),Tasks[[#This Row],[_ShownFcstStart]]+Tasks[[#This Row],[_Row]]/100000,"")</f>
        <v/>
      </c>
      <c r="GN159" s="43" t="str">
        <f aca="false">IF(AND(Tasks[[#This Row],[_IsLeaf]]=1,Tasks[[#This Row],[_LeafProgress]]&lt;1,Tasks[[#This Row],[_ShownFcstFinish]]&gt;=StatusDate,Tasks[[#This Row],[_ShownFcstFinish]]&lt;=LookaheadEnd),Tasks[[#This Row],[_ShownFcstFinish]]+Tasks[[#This Row],[_Row]]/100000,"")</f>
        <v/>
      </c>
      <c r="GO159" s="43" t="str">
        <f aca="false">IF(Tasks[[#This Row],[_LeafCritical]],Tasks[[#This Row],[_ShownFcstStart]]+Tasks[[#This Row],[_Row]]/100000,"")</f>
        <v/>
      </c>
      <c r="GP159" s="43" t="n">
        <f aca="false">Tasks[[#This Row],[_LeafWork]]*Tasks[[#This Row],[_LeafProgress]]</f>
        <v>0</v>
      </c>
      <c r="GQ159" s="91" t="str">
        <f aca="false">IF(AND(Tasks[[#This Row],[_IsLeaf]]=1,Tasks[[#This Row],[_LeafProgress]]&gt;=1),IF(N(Tasks[[#This Row],[Actual Finish]])&gt;0,Tasks[[#This Row],[Actual Finish]],Tasks[[#This Row],[_ShownFcstFinish]]),"")</f>
        <v/>
      </c>
      <c r="GR159" s="43" t="n">
        <f aca="false">IF(Tasks[[#This Row],[_IsLeaf]]=1,N(Tasks[[#This Row],[Story Points]]),0)</f>
        <v>0</v>
      </c>
      <c r="GS159" s="43" t="str">
        <f aca="false">""</f>
        <v/>
      </c>
      <c r="GT159" s="90" t="b">
        <f aca="false">IF(Tasks[[#This Row],[Task Name]]="",FALSE(),AND(Tasks[[#This Row],[_IsLeaf]]=1,N(Tasks[[#This Row],[_Days]])=0))</f>
        <v>0</v>
      </c>
      <c r="GU159" s="91" t="n">
        <f aca="false">IF(Tasks[[#This Row],[Task Name]]="",0,IF(AND(Tasks[[#This Row],[_IsLeaf]]=1,NOT(Tasks[[#This Row],[_IsMilestone]]),N(Tasks[[#This Row],[Progress]])&gt;0),Tasks[[#This Row],[Start]],0))</f>
        <v>0</v>
      </c>
      <c r="GV159" s="91" t="n">
        <f aca="false">IF(Tasks[[#This Row],[_DoneFrom]]=0,0,IF(Tasks[[#This Row],[Progress]]&gt;=1,Tasks[[#This Row],[Finish]],MAX(Tasks[[#This Row],[_DoneFrom]],Tasks[[#This Row],[Start]]+ROUND((Tasks[[#This Row],[Finish]]-Tasks[[#This Row],[Start]]+1)*Tasks[[#This Row],[Progress]],0)-1)))</f>
        <v>0</v>
      </c>
      <c r="GW159" s="91" t="n">
        <f aca="false">IF(Tasks[[#This Row],[Task Name]]="",0,IF(OR(NOT(Tasks[[#This Row],[_IsLeaf]]=1),Tasks[[#This Row],[_IsMilestone]],N(Tasks[[#This Row],[Progress]])&gt;=1),0,IF(Tasks[[#This Row],[_DoneTo]]&gt;0,Tasks[[#This Row],[_DoneTo]]+1,Tasks[[#This Row],[Start]])))</f>
        <v>0</v>
      </c>
      <c r="GX159" s="91" t="n">
        <f aca="false">IF(Tasks[[#This Row],[_RemFrom]]=0,0,Tasks[[#This Row],[Finish]])</f>
        <v>0</v>
      </c>
      <c r="GY159" s="90" t="b">
        <f aca="false">IF(Tasks[[#This Row],[Task Name]]="",FALSE(),OR(NOT(BaselineSet),N(Tasks[[#This Row],[Baseline Start]])&gt;0))</f>
        <v>0</v>
      </c>
      <c r="GZ15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9" s="92" t="str">
        <f aca="false">IF(Tasks[[#This Row],[_IsLeaf]]=1,Tasks[[#This Row],[_Row]],"")</f>
        <v/>
      </c>
      <c r="HD159" s="92" t="str">
        <f aca="false">IFERROR(INDEX(Tasks[UID],SMALL(Tasks[_PickKey],Tasks[[#This Row],[_Row]]))&amp;" "&amp;INDEX(Tasks[Task Name],SMALL(Tasks[_PickKey],Tasks[[#This Row],[_Row]])),"")</f>
        <v/>
      </c>
      <c r="HE159" s="43" t="str">
        <f aca="false">IF(Tasks[[#This Row],[Task Name]]="","",IF(Tasks[[#This Row],[_IsSummary]],NETWORKDAYS.INTL(Tasks[[#This Row],[Start]],Tasks[[#This Row],[Finish]],WorkWeek,Holidays),N(Tasks[[#This Row],[_Days]])))</f>
        <v/>
      </c>
      <c r="HF159" s="43" t="n">
        <f aca="false">IF(Tasks[[#This Row],[Expected]]="",0,((Tasks[[#This Row],[Pessimistic]]-Tasks[[#This Row],[Optimistic]])/6)^2)</f>
        <v>0</v>
      </c>
      <c r="HG159" s="43" t="n">
        <f aca="false">IF(Tasks[[#This Row],[Expected]]="",0,Tasks[[#This Row],[Expected]]-N(Tasks[[#This Row],[_Days]]))</f>
        <v>0</v>
      </c>
    </row>
    <row r="160" customFormat="false" ht="15" hidden="false" customHeight="false" outlineLevel="0" collapsed="false">
      <c r="A160" s="21" t="str">
        <f aca="false">IF(Tasks[[#This Row],[Task Name]]="","",COUNTA(Tasks[[#Headers],[Task Name]]:Tasks[[#This Row],[Task Name]])-1)</f>
        <v/>
      </c>
      <c r="B160" s="22" t="n">
        <v>168</v>
      </c>
      <c r="C160" s="22"/>
      <c r="D160" s="23"/>
      <c r="E160" s="22"/>
      <c r="F160" s="23"/>
      <c r="G160" s="22"/>
      <c r="H160" s="22"/>
      <c r="I160" s="23"/>
      <c r="J160" s="22"/>
      <c r="K160" s="22"/>
      <c r="L160" s="23"/>
      <c r="M160" s="22"/>
      <c r="N160" s="22"/>
      <c r="O160" s="23"/>
      <c r="P160" s="22"/>
      <c r="Q160" s="22"/>
      <c r="R160" s="23"/>
      <c r="S160" s="23"/>
      <c r="T160" s="84"/>
      <c r="U160" s="23"/>
      <c r="V160" s="84"/>
      <c r="W160" s="23"/>
      <c r="X160" s="84"/>
      <c r="Y160" s="23"/>
      <c r="Z160" s="84"/>
      <c r="AA160" s="23"/>
      <c r="AB160" s="23"/>
      <c r="AC160" s="7"/>
      <c r="AD160" s="7"/>
      <c r="AE160" s="63" t="str">
        <f aca="false">IF(Tasks[[#This Row],[Task Name]]="","",IF(Tasks[[#This Row],[_IsSummary]],MIN(INDEX(Tasks[_ShownFcstStart],Tasks[[#This Row],[_Row]]+1):INDEX(Tasks[_ShownFcstStart],Tasks[[#This Row],[_Row]]+Tasks[[#This Row],[_Descendants]])),Tasks[[#This Row],[_ShownFcstStart]]))</f>
        <v/>
      </c>
      <c r="AF160" s="63" t="str">
        <f aca="false">IF(Tasks[[#This Row],[Task Name]]="","",IF(Tasks[[#This Row],[_IsSummary]],MAX(INDEX(Tasks[_ShownFcstFinish],Tasks[[#This Row],[_Row]]+1):INDEX(Tasks[_ShownFcstFinish],Tasks[[#This Row],[_Row]]+Tasks[[#This Row],[_Descendants]])),Tasks[[#This Row],[_ShownFcstFinish]]))</f>
        <v/>
      </c>
      <c r="AG160" s="21" t="str">
        <f aca="false">""</f>
        <v/>
      </c>
      <c r="AH160" s="23"/>
      <c r="AI1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0" s="7"/>
      <c r="AK160" s="22"/>
      <c r="AL160" s="23"/>
      <c r="AM160" s="7"/>
      <c r="AN160" s="47" t="str">
        <f aca="false">IF(Tasks[[#This Row],[Task Name]]="","",IF(Tasks[[#This Row],[Finish]]&gt;=Tasks[[#This Row],[Planned Finish]],NETWORKDAYS.INTL(Tasks[[#This Row],[Planned Finish]],Tasks[[#This Row],[Finish]],WorkWeek,Holidays)-1,1-NETWORKDAYS.INTL(Tasks[[#This Row],[Finish]],Tasks[[#This Row],[Planned Finish]],WorkWeek,Holidays)))</f>
        <v/>
      </c>
      <c r="AO160" s="21" t="str">
        <f aca="false">IF(Tasks[[#This Row],[Task Name]]="","",IF(Tasks[[#This Row],[Progress]]&gt;=1,"Complete",IF(OR(N(Tasks[[#This Row],[Actual Start]])&gt;0,Tasks[[#This Row],[Progress]]&gt;0),IF(Tasks[[#This Row],[Finish Var]]&gt;0,"Behind","In Progress"),IF(Tasks[[#This Row],[Planned Start]]&lt;StatusDate,"Late Start","Not Started"))))</f>
        <v/>
      </c>
      <c r="AP160" s="21" t="str">
        <f aca="false">IF(Tasks[[#This Row],[Task Name]]="","",IF(IF(Tasks[[#This Row],[_IsSummary]],COUNTIF(INDEX(Tasks[_LeafCritical],Tasks[[#This Row],[_Row]]+1):INDEX(Tasks[_LeafCritical],Tasks[[#This Row],[_Row]]+Tasks[[#This Row],[_Descendants]]),TRUE())&gt;0,Tasks[[#This Row],[_LeafCritical]]),"Yes",""))</f>
        <v/>
      </c>
      <c r="AQ160" s="63" t="str">
        <f aca="false">IF(Tasks[[#This Row],[Task Name]]="","",IF(N(Tasks[[#This Row],[Baseline Start]])&gt;0,Tasks[[#This Row],[Baseline Start]],Tasks[[#This Row],[_CalcStart]]))</f>
        <v/>
      </c>
      <c r="AR160" s="63" t="str">
        <f aca="false">IF(Tasks[[#This Row],[Task Name]]="","",IF(N(Tasks[[#This Row],[Baseline Finish]])&gt;0,Tasks[[#This Row],[Baseline Finish]],Tasks[[#This Row],[_CalcFinish]]))</f>
        <v/>
      </c>
      <c r="AS160" s="47" t="str">
        <f aca="false">IF(Tasks[[#This Row],[Task Name]]="","",IF(Tasks[[#This Row],[Start]]&gt;=Tasks[[#This Row],[Planned Start]],NETWORKDAYS.INTL(Tasks[[#This Row],[Planned Start]],Tasks[[#This Row],[Start]],WorkWeek,Holidays)-1,1-NETWORKDAYS.INTL(Tasks[[#This Row],[Start]],Tasks[[#This Row],[Planned Start]],WorkWeek,Holidays)))</f>
        <v/>
      </c>
      <c r="AT160" s="63" t="str">
        <f aca="false">IF(Tasks[[#This Row],[Task Name]]="","",IF(Tasks[[#This Row],[_IsSummary]],MIN(INDEX(Tasks[_LeafLateStart],Tasks[[#This Row],[_Row]]+1):INDEX(Tasks[_LeafLateStart],Tasks[[#This Row],[_Row]]+Tasks[[#This Row],[_Descendants]])),Tasks[[#This Row],[_LeafLateStart]]))</f>
        <v/>
      </c>
      <c r="AU160" s="63" t="str">
        <f aca="false">IF(Tasks[[#This Row],[Task Name]]="","",IF(Tasks[[#This Row],[_IsSummary]],MAX(INDEX(Tasks[_LeafLateFinish],Tasks[[#This Row],[_Row]]+1):INDEX(Tasks[_LeafLateFinish],Tasks[[#This Row],[_Row]]+Tasks[[#This Row],[_Descendants]])),Tasks[[#This Row],[_LeafLateFinish]]))</f>
        <v/>
      </c>
      <c r="AV160" s="47" t="str">
        <f aca="false">IF(Tasks[[#This Row],[Task Name]]="","",IF(Tasks[[#This Row],[_IsSummary]],MIN(INDEX(Tasks[_LeafTotalSlack],Tasks[[#This Row],[_Row]]+1):INDEX(Tasks[_LeafTotalSlack],Tasks[[#This Row],[_Row]]+Tasks[[#This Row],[_Descendants]])),Tasks[[#This Row],[_LeafTotalSlack]]))</f>
        <v/>
      </c>
      <c r="AW1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5"/>
      <c r="BA16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t="str">
        <f aca="false">IF(Tasks[[#This Row],[Task Name]]="","",IF(Tasks[[#This Row],[_Level]]&lt;=OutlineShowLevel,"Yes","No"))</f>
        <v/>
      </c>
      <c r="BE160" s="86" t="str">
        <f aca="false">IF(Tasks[[#This Row],[Task Name]]="","",IF(Tasks[[#This Row],[_IsSummary]],SUM(INDEX(Tasks[_LeafTotalWork],Tasks[[#This Row],[_Row]]+1):INDEX(Tasks[_LeafTotalWork],Tasks[[#This Row],[_Row]]+Tasks[[#This Row],[_Descendants]])),Tasks[[#This Row],[_LeafTotalWork]]))</f>
        <v/>
      </c>
      <c r="BF160" s="23"/>
      <c r="BG1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t="str">
        <f aca="false">""</f>
        <v/>
      </c>
      <c r="BI160" s="87"/>
      <c r="BJ160" s="22"/>
      <c r="BK160" s="47" t="str">
        <f aca="false">IF(OR(Tasks[[#This Row],[Task Name]]="",Tasks[[#This Row],[Baseline Duration]]=""),"",Tasks[[#This Row],[_SpanDays]]-N(Tasks[[#This Row],[Baseline Duration]]))</f>
        <v/>
      </c>
      <c r="BL160" s="86" t="str">
        <f aca="false">IF(OR(Tasks[[#This Row],[Task Name]]="",Tasks[[#This Row],[Baseline Work]]=""),"",Tasks[[#This Row],[Work]]-N(Tasks[[#This Row],[Baseline Work]]))</f>
        <v/>
      </c>
      <c r="BM160" s="63" t="str">
        <f aca="false">IF(Tasks[[#This Row],[Task Name]]="","",IF(OR(TakeBaseline="Yes",N(Tasks[[#This Row],[Baseline Start]])=0),Tasks[[#This Row],[Start]],Tasks[[#This Row],[Baseline Start]]))</f>
        <v/>
      </c>
      <c r="BN160" s="63" t="str">
        <f aca="false">IF(Tasks[[#This Row],[Task Name]]="","",IF(OR(TakeBaseline="Yes",N(Tasks[[#This Row],[Baseline Finish]])=0),Tasks[[#This Row],[Finish]],Tasks[[#This Row],[Baseline Finish]]))</f>
        <v/>
      </c>
      <c r="BO160" s="21" t="str">
        <f aca="false">IF(Tasks[[#This Row],[Task Name]]="","",IF(OR(TakeBaseline="Yes",N(Tasks[[#This Row],[Baseline Duration]])=0),Tasks[[#This Row],[_SpanDays]],Tasks[[#This Row],[Baseline Duration]]))</f>
        <v/>
      </c>
      <c r="BP160" s="86" t="str">
        <f aca="false">IF(Tasks[[#This Row],[Task Name]]="","",IF(OR(TakeBaseline="Yes",N(Tasks[[#This Row],[Baseline Work]])=0),Tasks[[#This Row],[Work]],Tasks[[#This Row],[Baseline Work]]))</f>
        <v/>
      </c>
      <c r="BQ160" s="7"/>
      <c r="BR160" s="7"/>
      <c r="BS160" s="22"/>
      <c r="BT160" s="88"/>
      <c r="BU160" s="23"/>
      <c r="BV160" s="23"/>
      <c r="BW160" s="23"/>
      <c r="BX160" s="89" t="str">
        <f aca="false">IF(AND(Tasks[[#This Row],[_IsLeaf]]=1,ISNUMBER(Tasks[[#This Row],[Optimistic]]),ISNUMBER(Tasks[[#This Row],[Pessimistic]])),ROUND((Tasks[[#This Row],[Optimistic]]+4*N(Tasks[[#This Row],[_Days]])+Tasks[[#This Row],[Pessimistic]])/6,1),"")</f>
        <v/>
      </c>
      <c r="BY160" s="87"/>
      <c r="BZ160" s="87"/>
      <c r="CA160" s="22"/>
      <c r="CB160" s="43" t="str">
        <f aca="false">IF(Tasks[[#This Row],[Task Name]]="","",MAX(1,N(Tasks[[#This Row],[Level]])))</f>
        <v/>
      </c>
      <c r="CC160" s="43" t="n">
        <f aca="false">ROW()-ROW(Tasks[[#Headers],[ID]])</f>
        <v>155</v>
      </c>
      <c r="CD160" s="43" t="n">
        <f aca="false">IF(OR(Tasks[[#This Row],[Task Name]]="",Tasks[[#This Row],[_Level]]&lt;=1),0,IFERROR(LOOKUP(2,1/(Tasks[[#Headers],[_Level]]:Tasks[[#This Row],[_Level]]=Tasks[[#This Row],[_Level]]-1),ROW(Tasks[[#Headers],[_Level]]:Tasks[[#This Row],[_Level]])),0))</f>
        <v>0</v>
      </c>
      <c r="CE160" s="43" t="n">
        <f aca="false">IFERROR(N(INDEX(Tasks[_Level],Tasks[[#This Row],[_Row]]+1)),0)</f>
        <v>0</v>
      </c>
      <c r="CF160" s="90" t="b">
        <f aca="false">AND(Tasks[[#This Row],[Task Name]]&lt;&gt;"",Tasks[[#This Row],[_NextLevel]]&gt;Tasks[[#This Row],[_Level]])</f>
        <v>0</v>
      </c>
      <c r="CG160" s="43" t="n">
        <f aca="false">IF(Tasks[[#This Row],[_IsSummary]],COUNTIF(Tasks[WBS],Tasks[[#This Row],[WBS]]&amp;".*"),0)</f>
        <v>0</v>
      </c>
      <c r="CH160" s="43" t="n">
        <f aca="false">IF(AND(Tasks[[#This Row],[Task Name]]&lt;&gt;"",NOT(Tasks[[#This Row],[_IsSummary]])),1,0)</f>
        <v>0</v>
      </c>
      <c r="CI160" s="43" t="n">
        <f aca="false">IF(N(Tasks[[#This Row],[_Pred1UID]])=0,0,IFERROR(MATCH(Tasks[[#This Row],[_Pred1UID]],Tasks[UID],0),-1))</f>
        <v>0</v>
      </c>
      <c r="CJ160" s="43" t="n">
        <f aca="false">IF(N(Tasks[[#This Row],[_Pred2UID]])=0,0,IFERROR(MATCH(Tasks[[#This Row],[_Pred2UID]],Tasks[UID],0),-1))</f>
        <v>0</v>
      </c>
      <c r="CK160" s="43" t="n">
        <f aca="false">IF(N(Tasks[[#This Row],[_Pred3UID]])=0,0,IFERROR(MATCH(Tasks[[#This Row],[_Pred3UID]],Tasks[UID],0),-1))</f>
        <v>0</v>
      </c>
      <c r="CL160" s="43" t="n">
        <f aca="false">IF(N(Tasks[[#This Row],[_Pred4UID]])=0,0,IFERROR(MATCH(Tasks[[#This Row],[_Pred4UID]],Tasks[UID],0),-1))</f>
        <v>0</v>
      </c>
      <c r="CM1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0" s="91" t="n">
        <f aca="false">IF(OR(Tasks[[#This Row],[_ConstraintCode]]=2,Tasks[[#This Row],[_ConstraintCode]]=3,Tasks[[#This Row],[_ConstraintCode]]=4,Tasks[[#This Row],[_ConstraintCode]]=6),Tasks[[#This Row],[_ConstraintStart]],0)</f>
        <v>0</v>
      </c>
      <c r="CP160" s="91" t="n">
        <f aca="false">IF(OR(Tasks[[#This Row],[_ConstraintCode]]=2,Tasks[[#This Row],[_ConstraintCode]]=3,Tasks[[#This Row],[_ConstraintCode]]=5,Tasks[[#This Row],[_ConstraintCode]]=7),Tasks[[#This Row],[_ConstraintStart]],2958465)</f>
        <v>2958465</v>
      </c>
      <c r="CQ1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0" s="91" t="str">
        <f aca="false">IF(NOT(Tasks[[#This Row],[_IsLeaf]]=1),"",IF(N(Tasks[[#This Row],[_Days]])&lt;=0,Tasks[[#This Row],[_LeafCalcStart]],WORKDAY.INTL(Tasks[[#This Row],[_LeafCalcStart]],Tasks[[#This Row],[_Days]]-1,WorkWeek,Holidays)))</f>
        <v/>
      </c>
      <c r="CS1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0" s="43" t="str">
        <f aca="false">IF(Tasks[[#This Row],[_Predecessors]]="","",TRIM(MID(SUBSTITUTE(SUBSTITUTE(SUBSTITUTE(UPPER(Tasks[[#This Row],[_Predecessors]]),";",",")," ",""),",",REPT(" ",99)),1,99)))</f>
        <v/>
      </c>
      <c r="CV160" s="43" t="str">
        <f aca="false">IF(Tasks[[#This Row],[_Pred1Text]]="","",IFERROR(VALUE(LEFT(Tasks[[#This Row],[_Pred1Text]],MIN(FIND("F",Tasks[[#This Row],[_Pred1Text]]&amp;"F"),FIND("S",Tasks[[#This Row],[_Pred1Text]]&amp;"S"),FIND("+",Tasks[[#This Row],[_Pred1Text]]&amp;"+"),FIND("-",Tasks[[#This Row],[_Pred1Text]]&amp;"-"))-1)),""))</f>
        <v/>
      </c>
      <c r="CW1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0" s="43" t="str">
        <f aca="false">IF(Tasks[[#This Row],[_Pred1Text]]="","",TRIM(MID(SUBSTITUTE(SUBSTITUTE(SUBSTITUTE(UPPER(Tasks[[#This Row],[_Predecessors]]),";",",")," ",""),",",REPT(" ",99)),100,99)))</f>
        <v/>
      </c>
      <c r="CZ160" s="43" t="str">
        <f aca="false">IF(Tasks[[#This Row],[_Pred2Text]]="","",IFERROR(VALUE(LEFT(Tasks[[#This Row],[_Pred2Text]],MIN(FIND("F",Tasks[[#This Row],[_Pred2Text]]&amp;"F"),FIND("S",Tasks[[#This Row],[_Pred2Text]]&amp;"S"),FIND("+",Tasks[[#This Row],[_Pred2Text]]&amp;"+"),FIND("-",Tasks[[#This Row],[_Pred2Text]]&amp;"-"))-1)),""))</f>
        <v/>
      </c>
      <c r="DA1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0" s="43" t="str">
        <f aca="false">IF(Tasks[[#This Row],[_Pred2Text]]="","",TRIM(MID(SUBSTITUTE(SUBSTITUTE(SUBSTITUTE(UPPER(Tasks[[#This Row],[_Predecessors]]),";",",")," ",""),",",REPT(" ",99)),199,99)))</f>
        <v/>
      </c>
      <c r="DD160" s="43" t="str">
        <f aca="false">IF(Tasks[[#This Row],[_Pred3Text]]="","",IFERROR(VALUE(LEFT(Tasks[[#This Row],[_Pred3Text]],MIN(FIND("F",Tasks[[#This Row],[_Pred3Text]]&amp;"F"),FIND("S",Tasks[[#This Row],[_Pred3Text]]&amp;"S"),FIND("+",Tasks[[#This Row],[_Pred3Text]]&amp;"+"),FIND("-",Tasks[[#This Row],[_Pred3Text]]&amp;"-"))-1)),""))</f>
        <v/>
      </c>
      <c r="DE1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0" s="43" t="str">
        <f aca="false">IF(Tasks[[#This Row],[_Pred3Text]]="","",TRIM(MID(SUBSTITUTE(SUBSTITUTE(SUBSTITUTE(UPPER(Tasks[[#This Row],[_Predecessors]]),";",",")," ",""),",",REPT(" ",99)),298,99)))</f>
        <v/>
      </c>
      <c r="DH160" s="43" t="str">
        <f aca="false">IF(Tasks[[#This Row],[_Pred4Text]]="","",IFERROR(VALUE(LEFT(Tasks[[#This Row],[_Pred4Text]],MIN(FIND("F",Tasks[[#This Row],[_Pred4Text]]&amp;"F"),FIND("S",Tasks[[#This Row],[_Pred4Text]]&amp;"S"),FIND("+",Tasks[[#This Row],[_Pred4Text]]&amp;"+"),FIND("-",Tasks[[#This Row],[_Pred4Text]]&amp;"-"))-1)),""))</f>
        <v/>
      </c>
      <c r="DI1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0" s="43" t="str">
        <f aca="false">IF(OR(Tasks[[#This Row],[Task Name]]="",Tasks[[#This Row],[_Resources]]=""),"",TRIM(MID(SUBSTITUTE(Tasks[[#This Row],[_Resources]],",",REPT(" ",99)),1,99)))</f>
        <v/>
      </c>
      <c r="DL160" s="43" t="str">
        <f aca="false">IF(Tasks[[#This Row],[_Res1Text]]="","",TRIM(MID(SUBSTITUTE(Tasks[[#This Row],[_Resources]],",",REPT(" ",99)),100,99)))</f>
        <v/>
      </c>
      <c r="DM160" s="43" t="str">
        <f aca="false">IF(Tasks[[#This Row],[_Res2Text]]="","",TRIM(MID(SUBSTITUTE(Tasks[[#This Row],[_Resources]],",",REPT(" ",99)),199,99)))</f>
        <v/>
      </c>
      <c r="DN160" s="43" t="str">
        <f aca="false">IF(Tasks[[#This Row],[_Res3Text]]="","",TRIM(MID(SUBSTITUTE(Tasks[[#This Row],[_Resources]],",",REPT(" ",99)),298,99)))</f>
        <v/>
      </c>
      <c r="DO160" s="43" t="n">
        <f aca="false">IF(Tasks[[#This Row],[_Res1Text]]="",0,IFERROR(MATCH(TRIM(LEFT(Tasks[[#This Row],[_Res1Text]],FIND("[",Tasks[[#This Row],[_Res1Text]]&amp;"[")-1)),res_Name,0),IFERROR(MATCH(TRIM(LEFT(Tasks[[#This Row],[_Res1Text]],FIND("[",Tasks[[#This Row],[_Res1Text]]&amp;"[")-1)),res_Initials,0),0)))</f>
        <v>0</v>
      </c>
      <c r="DP160" s="43" t="n">
        <f aca="false">IF(Tasks[[#This Row],[_Res2Text]]="",0,IFERROR(MATCH(TRIM(LEFT(Tasks[[#This Row],[_Res2Text]],FIND("[",Tasks[[#This Row],[_Res2Text]]&amp;"[")-1)),res_Name,0),IFERROR(MATCH(TRIM(LEFT(Tasks[[#This Row],[_Res2Text]],FIND("[",Tasks[[#This Row],[_Res2Text]]&amp;"[")-1)),res_Initials,0),0)))</f>
        <v>0</v>
      </c>
      <c r="DQ160" s="43" t="n">
        <f aca="false">IF(Tasks[[#This Row],[_Res3Text]]="",0,IFERROR(MATCH(TRIM(LEFT(Tasks[[#This Row],[_Res3Text]],FIND("[",Tasks[[#This Row],[_Res3Text]]&amp;"[")-1)),res_Name,0),IFERROR(MATCH(TRIM(LEFT(Tasks[[#This Row],[_Res3Text]],FIND("[",Tasks[[#This Row],[_Res3Text]]&amp;"[")-1)),res_Initials,0),0)))</f>
        <v>0</v>
      </c>
      <c r="DR160" s="43" t="n">
        <f aca="false">IF(Tasks[[#This Row],[_Res4Text]]="",0,IFERROR(MATCH(TRIM(LEFT(Tasks[[#This Row],[_Res4Text]],FIND("[",Tasks[[#This Row],[_Res4Text]]&amp;"[")-1)),res_Name,0),IFERROR(MATCH(TRIM(LEFT(Tasks[[#This Row],[_Res4Text]],FIND("[",Tasks[[#This Row],[_Res4Text]]&amp;"[")-1)),res_Initials,0),0)))</f>
        <v>0</v>
      </c>
      <c r="DS160" s="43" t="str">
        <f aca="false">IF(Tasks[[#This Row],[_Res1Text]]="","",IF(Tasks[[#This Row],[_Res1Row]]&gt;0,INDEX(res_Name,Tasks[[#This Row],[_Res1Row]]),TRIM(LEFT(Tasks[[#This Row],[_Res1Text]],FIND("[",Tasks[[#This Row],[_Res1Text]]&amp;"[")-1))))</f>
        <v/>
      </c>
      <c r="DT1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0" s="43" t="n">
        <f aca="false">IF(NOT(Tasks[[#This Row],[_IsLeaf]]=1),0,(Tasks[[#This Row],[_Resource1]]&lt;&gt;"")+(Tasks[[#This Row],[_Res2]]&lt;&gt;"")+(Tasks[[#This Row],[_Res3]]&lt;&gt;"")+(Tasks[[#This Row],[_Res4]]&lt;&gt;""))</f>
        <v>0</v>
      </c>
      <c r="DV160" s="43" t="str">
        <f aca="false">IF(Tasks[[#This Row],[_Res2Text]]="","",IF(Tasks[[#This Row],[_Res2Row]]&gt;0,INDEX(res_Name,Tasks[[#This Row],[_Res2Row]]),TRIM(LEFT(Tasks[[#This Row],[_Res2Text]],FIND("[",Tasks[[#This Row],[_Res2Text]]&amp;"[")-1))))</f>
        <v/>
      </c>
      <c r="DW1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0" s="43" t="n">
        <f aca="false">IF(OR(NOT(Tasks[[#This Row],[_IsLeaf]]=1),Tasks[[#This Row],[_Res2Row]]=0),0,N(Tasks[[#This Row],[_Days]])*HoursPerDay*IF(Tasks[[#This Row],[_Res2Units]]="",DefaultUnits,Tasks[[#This Row],[_Res2Units]]))</f>
        <v>0</v>
      </c>
      <c r="DY160" s="43" t="n">
        <f aca="false">IF(AND(AND(Tasks[[#This Row],[_IsLeaf]]=1,Tasks[[#This Row],[_LeafTotalWork]]&gt;0),Tasks[[#This Row],[_Res2Work]]&gt;0),Tasks[[#This Row],[_Res2Work]]/(Tasks[[#This Row],[_FinishWorkday]]-Tasks[[#This Row],[_StartWorkday]]+1),0)</f>
        <v>0</v>
      </c>
      <c r="DZ160" s="43" t="n">
        <f aca="false">Tasks[[#This Row],[_Res2WorkPerWD]]*MAX(0,Tasks[[#This Row],[_StartWorkday]]-1)</f>
        <v>0</v>
      </c>
      <c r="EA160" s="43" t="n">
        <f aca="false">Tasks[[#This Row],[_Res2Work]]*Tasks[[#This Row],[_LeafProgress]]</f>
        <v>0</v>
      </c>
      <c r="EB160" s="43" t="str">
        <f aca="false">IF(Tasks[[#This Row],[_Res3Text]]="","",IF(Tasks[[#This Row],[_Res3Row]]&gt;0,INDEX(res_Name,Tasks[[#This Row],[_Res3Row]]),TRIM(LEFT(Tasks[[#This Row],[_Res3Text]],FIND("[",Tasks[[#This Row],[_Res3Text]]&amp;"[")-1))))</f>
        <v/>
      </c>
      <c r="EC1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0" s="43" t="n">
        <f aca="false">IF(OR(NOT(Tasks[[#This Row],[_IsLeaf]]=1),Tasks[[#This Row],[_Res3Row]]=0),0,N(Tasks[[#This Row],[_Days]])*HoursPerDay*IF(Tasks[[#This Row],[_Res3Units]]="",DefaultUnits,Tasks[[#This Row],[_Res3Units]]))</f>
        <v>0</v>
      </c>
      <c r="EE160" s="43" t="n">
        <f aca="false">IF(AND(AND(Tasks[[#This Row],[_IsLeaf]]=1,Tasks[[#This Row],[_LeafTotalWork]]&gt;0),Tasks[[#This Row],[_Res3Work]]&gt;0),Tasks[[#This Row],[_Res3Work]]/(Tasks[[#This Row],[_FinishWorkday]]-Tasks[[#This Row],[_StartWorkday]]+1),0)</f>
        <v>0</v>
      </c>
      <c r="EF160" s="43" t="n">
        <f aca="false">Tasks[[#This Row],[_Res3WorkPerWD]]*MAX(0,Tasks[[#This Row],[_StartWorkday]]-1)</f>
        <v>0</v>
      </c>
      <c r="EG160" s="43" t="n">
        <f aca="false">Tasks[[#This Row],[_Res3Work]]*Tasks[[#This Row],[_LeafProgress]]</f>
        <v>0</v>
      </c>
      <c r="EH160" s="43" t="str">
        <f aca="false">IF(Tasks[[#This Row],[_Res4Text]]="","",IF(Tasks[[#This Row],[_Res4Row]]&gt;0,INDEX(res_Name,Tasks[[#This Row],[_Res4Row]]),TRIM(LEFT(Tasks[[#This Row],[_Res4Text]],FIND("[",Tasks[[#This Row],[_Res4Text]]&amp;"[")-1))))</f>
        <v/>
      </c>
      <c r="EI1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0" s="43" t="n">
        <f aca="false">IF(OR(NOT(Tasks[[#This Row],[_IsLeaf]]=1),Tasks[[#This Row],[_Res4Row]]=0),0,N(Tasks[[#This Row],[_Days]])*HoursPerDay*IF(Tasks[[#This Row],[_Res4Units]]="",DefaultUnits,Tasks[[#This Row],[_Res4Units]]))</f>
        <v>0</v>
      </c>
      <c r="EK160" s="43" t="n">
        <f aca="false">IF(AND(AND(Tasks[[#This Row],[_IsLeaf]]=1,Tasks[[#This Row],[_LeafTotalWork]]&gt;0),Tasks[[#This Row],[_Res4Work]]&gt;0),Tasks[[#This Row],[_Res4Work]]/(Tasks[[#This Row],[_FinishWorkday]]-Tasks[[#This Row],[_StartWorkday]]+1),0)</f>
        <v>0</v>
      </c>
      <c r="EL160" s="43" t="n">
        <f aca="false">Tasks[[#This Row],[_Res4WorkPerWD]]*MAX(0,Tasks[[#This Row],[_StartWorkday]]-1)</f>
        <v>0</v>
      </c>
      <c r="EM160" s="43" t="n">
        <f aca="false">Tasks[[#This Row],[_Res4Work]]*Tasks[[#This Row],[_LeafProgress]]</f>
        <v>0</v>
      </c>
      <c r="EN160" s="43" t="n">
        <f aca="false">IF(ISNUMBER(Tasks[[#This Row],[% Complete]]),Tasks[[#This Row],[% Complete]],IF(Tasks[[#This Row],[Stage]]="",0,IFERROR(INDEX(stg_Pct,MATCH(Tasks[[#This Row],[Stage]],stg_Name,0)),0)))</f>
        <v>0</v>
      </c>
      <c r="EO160" s="43" t="n">
        <f aca="false">IF(NOT(Tasks[[#This Row],[_IsLeaf]]=1),0,IF(N(Tasks[[#This Row],[Actual Finish]])&gt;0,1,MIN(1,Tasks[[#This Row],[_Pct]])))</f>
        <v>0</v>
      </c>
      <c r="EP160" s="43" t="n">
        <f aca="false">IF(OR(NOT(Tasks[[#This Row],[_IsLeaf]]=1),Tasks[[#This Row],[_Res1Row]]=0),0,N(Tasks[[#This Row],[_Days]])*HoursPerDay*IF(Tasks[[#This Row],[_Units1]]="",DefaultUnits,Tasks[[#This Row],[_Units1]]))</f>
        <v>0</v>
      </c>
      <c r="EQ160" s="43" t="n">
        <f aca="false">Tasks[[#This Row],[_LeafWork]]+Tasks[[#This Row],[_Res2Work]]+Tasks[[#This Row],[_Res3Work]]+Tasks[[#This Row],[_Res4Work]]</f>
        <v>0</v>
      </c>
      <c r="ER16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0" s="43" t="n">
        <f aca="false">IF(NOT(Tasks[[#This Row],[_IsLeaf]]=1),0,MAX(_xlfn.MAXIFS(Tasks[_Row],Tasks[_Pred1UID],Tasks[[#This Row],[UID]]),_xlfn.MAXIFS(Tasks[_Row],Tasks[_Pred2UID],Tasks[[#This Row],[UID]]),_xlfn.MAXIFS(Tasks[_Row],Tasks[_Pred3UID],Tasks[[#This Row],[UID]]),_xlfn.MAXIFS(Tasks[_Row],Tasks[_Pred4UID],Tasks[[#This Row],[UID]])))</f>
        <v>0</v>
      </c>
      <c r="FA1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0" s="91" t="str">
        <f aca="false">IF(NOT(Tasks[[#This Row],[_IsLeaf]]=1),"",IF(N(Tasks[[#This Row],[_Days]])&lt;=0,Tasks[[#This Row],[_LeafLateFinish]],WORKDAY.INTL(Tasks[[#This Row],[_LeafLateFinish]],-(Tasks[[#This Row],[_Days]]-1),WorkWeek,Holidays)))</f>
        <v/>
      </c>
      <c r="FD1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0" s="90" t="b">
        <f aca="false">AND(Tasks[[#This Row],[_IsLeaf]]=1,Tasks[[#This Row],[_LeafProgress]]&lt;1,N(Tasks[[#This Row],[_LeafTotalSlack]])&lt;=CriticalSlackDays)</f>
        <v>0</v>
      </c>
      <c r="FF160" s="43" t="n">
        <f aca="false">IF(AND(Tasks[[#This Row],[_IsLeaf]]=1,Tasks[[#This Row],[_ConstraintCode]]=1,Tasks[[#This Row],[Mode]]&lt;&gt;"Manual",N(Tasks[[#This Row],[Actual Start]])=0),MAX(0,N(Tasks[[#This Row],[Free Slack]])),0)</f>
        <v>0</v>
      </c>
      <c r="FG160" s="91" t="str">
        <f aca="false">IF(NOT(Tasks[[#This Row],[_IsLeaf]]=1),"",IF(Tasks[[#This Row],[_AlapShift]]=0,Tasks[[#This Row],[_LeafCalcStart]],WORKDAY.INTL(Tasks[[#This Row],[_LeafCalcStart]],Tasks[[#This Row],[_AlapShift]],WorkWeek,Holidays)))</f>
        <v/>
      </c>
      <c r="FH160" s="91" t="str">
        <f aca="false">IF(NOT(Tasks[[#This Row],[_IsLeaf]]=1),"",IF(Tasks[[#This Row],[_AlapShift]]=0,Tasks[[#This Row],[_LeafCalcFinish]],WORKDAY.INTL(Tasks[[#This Row],[_LeafCalcFinish]],Tasks[[#This Row],[_AlapShift]],WorkWeek,Holidays)))</f>
        <v/>
      </c>
      <c r="FI160" s="91" t="str">
        <f aca="false">IF(NOT(Tasks[[#This Row],[_IsLeaf]]=1),"",IF(Tasks[[#This Row],[_AlapShift]]=0,Tasks[[#This Row],[_LeafFcstStart]],WORKDAY.INTL(Tasks[[#This Row],[_LeafFcstStart]],Tasks[[#This Row],[_AlapShift]],WorkWeek,Holidays)))</f>
        <v/>
      </c>
      <c r="FJ160" s="91" t="str">
        <f aca="false">IF(NOT(Tasks[[#This Row],[_IsLeaf]]=1),"",IF(Tasks[[#This Row],[_AlapShift]]=0,Tasks[[#This Row],[_LeafFcstFinish]],WORKDAY.INTL(Tasks[[#This Row],[_LeafFcstFinish]],Tasks[[#This Row],[_AlapShift]],WorkWeek,Holidays)))</f>
        <v/>
      </c>
      <c r="FK160" s="91" t="str">
        <f aca="false">IF(Tasks[[#This Row],[Task Name]]="","",IF(Tasks[[#This Row],[_IsSummary]],MIN(INDEX(Tasks[_ShownCalcStart],Tasks[[#This Row],[_Row]]+1):INDEX(Tasks[_ShownCalcStart],Tasks[[#This Row],[_Row]]+Tasks[[#This Row],[_Descendants]])),Tasks[[#This Row],[_ShownCalcStart]]))</f>
        <v/>
      </c>
      <c r="FL160" s="91" t="str">
        <f aca="false">IF(Tasks[[#This Row],[Task Name]]="","",IF(Tasks[[#This Row],[_IsSummary]],MAX(INDEX(Tasks[_ShownCalcFinish],Tasks[[#This Row],[_Row]]+1):INDEX(Tasks[_ShownCalcFinish],Tasks[[#This Row],[_Row]]+Tasks[[#This Row],[_Descendants]])),Tasks[[#This Row],[_ShownCalcFinish]]))</f>
        <v/>
      </c>
      <c r="FM1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0" s="43" t="n">
        <f aca="false">IF(AND(Tasks[[#This Row],[_IsLeaf]]=1,Tasks[[#This Row],[_LeafTotalWork]]&gt;0),NETWORKDAYS.INTL(ProjectStart,Tasks[[#This Row],[_ShownFcstStart]],WorkWeek,Holidays),0)</f>
        <v>0</v>
      </c>
      <c r="FZ160" s="43" t="n">
        <f aca="false">IF(AND(Tasks[[#This Row],[_IsLeaf]]=1,Tasks[[#This Row],[_LeafTotalWork]]&gt;0),MAX(Tasks[[#This Row],[_StartWorkday]],NETWORKDAYS.INTL(ProjectStart,Tasks[[#This Row],[_ShownFcstFinish]],WorkWeek,Holidays)),0)</f>
        <v>0</v>
      </c>
      <c r="GA160" s="43" t="n">
        <f aca="false">IF(AND(Tasks[[#This Row],[_IsLeaf]]=1,Tasks[[#This Row],[_LeafTotalWork]]&gt;0),Tasks[[#This Row],[_LeafWork]]/(Tasks[[#This Row],[_FinishWorkday]]-Tasks[[#This Row],[_StartWorkday]]+1),0)</f>
        <v>0</v>
      </c>
      <c r="GB160" s="43" t="n">
        <f aca="false">Tasks[[#This Row],[_WorkPerWorkday]]*(Tasks[[#This Row],[_StartWorkday]]-1)</f>
        <v>-0</v>
      </c>
      <c r="GC160" s="43" t="n">
        <f aca="false">IF(Tasks[[#This Row],[_IsLeaf]]=1,MAX(N(Tasks[[#This Row],[_Days]]),0.1),0)</f>
        <v>0</v>
      </c>
      <c r="GD160" s="43" t="n">
        <f aca="false">Tasks[[#This Row],[_WeightDur]]*Tasks[[#This Row],[_LeafProgress]]</f>
        <v>0</v>
      </c>
      <c r="GE160" s="43" t="n">
        <f aca="false">Tasks[[#This Row],[_WeightDur]]*Tasks[[#This Row],[_PlannedPct]]</f>
        <v>0</v>
      </c>
      <c r="GF1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0" s="43" t="str">
        <f aca="false">IF(AND(Tasks[[#This Row],[_IsLeaf]]=1,N(Tasks[[#This Row],[_Days]])=0,Tasks[[#This Row],[_LeafProgress]]&lt;1),Tasks[[#This Row],[_ShownFcstFinish]]+Tasks[[#This Row],[_Row]]/100000,"")</f>
        <v/>
      </c>
      <c r="GH1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0" s="43" t="str">
        <f aca="false">IF(Tasks[[#This Row],[Task Name]]="","",LEFT(Tasks[[#This Row],[WBS]],FIND(".",Tasks[[#This Row],[WBS]]&amp;".")-1))</f>
        <v/>
      </c>
      <c r="GJ160" s="43" t="str">
        <f aca="false">IF(AND(Tasks[[#This Row],[Task Name]]&lt;&gt;"",Tasks[[#This Row],[_Level]]=1),Tasks[[#This Row],[_Row]],"")</f>
        <v/>
      </c>
      <c r="GK160" s="43" t="str">
        <f aca="false">IF(AND(Tasks[[#This Row],[_IsLeaf]]=1,N(Tasks[[#This Row],[_Days]])=0),Tasks[[#This Row],[Planned Finish]]+Tasks[[#This Row],[_Row]]/100000,"")</f>
        <v/>
      </c>
      <c r="GL160" s="43" t="str">
        <f aca="false">IF(AND(Tasks[[#This Row],[_IsLeaf]]=1,Tasks[[#This Row],[_LeafProgress]]&lt;1,OR(N(Tasks[[#This Row],[Finish Var]])&gt;0,Tasks[[#This Row],[Status]]="Late Start")),MAX(0,Tasks[[#This Row],[Finish Var]])+1-Tasks[[#This Row],[_Row]]/1000000,"")</f>
        <v/>
      </c>
      <c r="GM160" s="43" t="str">
        <f aca="false">IF(AND(Tasks[[#This Row],[_IsLeaf]]=1,N(Tasks[[#This Row],[Actual Start]])=0,Tasks[[#This Row],[_ShownFcstStart]]&gt;=StatusDate,Tasks[[#This Row],[_ShownFcstStart]]&lt;=LookaheadEnd),Tasks[[#This Row],[_ShownFcstStart]]+Tasks[[#This Row],[_Row]]/100000,"")</f>
        <v/>
      </c>
      <c r="GN160" s="43" t="str">
        <f aca="false">IF(AND(Tasks[[#This Row],[_IsLeaf]]=1,Tasks[[#This Row],[_LeafProgress]]&lt;1,Tasks[[#This Row],[_ShownFcstFinish]]&gt;=StatusDate,Tasks[[#This Row],[_ShownFcstFinish]]&lt;=LookaheadEnd),Tasks[[#This Row],[_ShownFcstFinish]]+Tasks[[#This Row],[_Row]]/100000,"")</f>
        <v/>
      </c>
      <c r="GO160" s="43" t="str">
        <f aca="false">IF(Tasks[[#This Row],[_LeafCritical]],Tasks[[#This Row],[_ShownFcstStart]]+Tasks[[#This Row],[_Row]]/100000,"")</f>
        <v/>
      </c>
      <c r="GP160" s="43" t="n">
        <f aca="false">Tasks[[#This Row],[_LeafWork]]*Tasks[[#This Row],[_LeafProgress]]</f>
        <v>0</v>
      </c>
      <c r="GQ160" s="91" t="str">
        <f aca="false">IF(AND(Tasks[[#This Row],[_IsLeaf]]=1,Tasks[[#This Row],[_LeafProgress]]&gt;=1),IF(N(Tasks[[#This Row],[Actual Finish]])&gt;0,Tasks[[#This Row],[Actual Finish]],Tasks[[#This Row],[_ShownFcstFinish]]),"")</f>
        <v/>
      </c>
      <c r="GR160" s="43" t="n">
        <f aca="false">IF(Tasks[[#This Row],[_IsLeaf]]=1,N(Tasks[[#This Row],[Story Points]]),0)</f>
        <v>0</v>
      </c>
      <c r="GS160" s="43" t="str">
        <f aca="false">""</f>
        <v/>
      </c>
      <c r="GT160" s="90" t="b">
        <f aca="false">IF(Tasks[[#This Row],[Task Name]]="",FALSE(),AND(Tasks[[#This Row],[_IsLeaf]]=1,N(Tasks[[#This Row],[_Days]])=0))</f>
        <v>0</v>
      </c>
      <c r="GU160" s="91" t="n">
        <f aca="false">IF(Tasks[[#This Row],[Task Name]]="",0,IF(AND(Tasks[[#This Row],[_IsLeaf]]=1,NOT(Tasks[[#This Row],[_IsMilestone]]),N(Tasks[[#This Row],[Progress]])&gt;0),Tasks[[#This Row],[Start]],0))</f>
        <v>0</v>
      </c>
      <c r="GV160" s="91" t="n">
        <f aca="false">IF(Tasks[[#This Row],[_DoneFrom]]=0,0,IF(Tasks[[#This Row],[Progress]]&gt;=1,Tasks[[#This Row],[Finish]],MAX(Tasks[[#This Row],[_DoneFrom]],Tasks[[#This Row],[Start]]+ROUND((Tasks[[#This Row],[Finish]]-Tasks[[#This Row],[Start]]+1)*Tasks[[#This Row],[Progress]],0)-1)))</f>
        <v>0</v>
      </c>
      <c r="GW160" s="91" t="n">
        <f aca="false">IF(Tasks[[#This Row],[Task Name]]="",0,IF(OR(NOT(Tasks[[#This Row],[_IsLeaf]]=1),Tasks[[#This Row],[_IsMilestone]],N(Tasks[[#This Row],[Progress]])&gt;=1),0,IF(Tasks[[#This Row],[_DoneTo]]&gt;0,Tasks[[#This Row],[_DoneTo]]+1,Tasks[[#This Row],[Start]])))</f>
        <v>0</v>
      </c>
      <c r="GX160" s="91" t="n">
        <f aca="false">IF(Tasks[[#This Row],[_RemFrom]]=0,0,Tasks[[#This Row],[Finish]])</f>
        <v>0</v>
      </c>
      <c r="GY160" s="90" t="b">
        <f aca="false">IF(Tasks[[#This Row],[Task Name]]="",FALSE(),OR(NOT(BaselineSet),N(Tasks[[#This Row],[Baseline Start]])&gt;0))</f>
        <v>0</v>
      </c>
      <c r="GZ16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0" s="92" t="str">
        <f aca="false">IF(Tasks[[#This Row],[_IsLeaf]]=1,Tasks[[#This Row],[_Row]],"")</f>
        <v/>
      </c>
      <c r="HD160" s="92" t="str">
        <f aca="false">IFERROR(INDEX(Tasks[UID],SMALL(Tasks[_PickKey],Tasks[[#This Row],[_Row]]))&amp;" "&amp;INDEX(Tasks[Task Name],SMALL(Tasks[_PickKey],Tasks[[#This Row],[_Row]])),"")</f>
        <v/>
      </c>
      <c r="HE160" s="43" t="str">
        <f aca="false">IF(Tasks[[#This Row],[Task Name]]="","",IF(Tasks[[#This Row],[_IsSummary]],NETWORKDAYS.INTL(Tasks[[#This Row],[Start]],Tasks[[#This Row],[Finish]],WorkWeek,Holidays),N(Tasks[[#This Row],[_Days]])))</f>
        <v/>
      </c>
      <c r="HF160" s="43" t="n">
        <f aca="false">IF(Tasks[[#This Row],[Expected]]="",0,((Tasks[[#This Row],[Pessimistic]]-Tasks[[#This Row],[Optimistic]])/6)^2)</f>
        <v>0</v>
      </c>
      <c r="HG160" s="43" t="n">
        <f aca="false">IF(Tasks[[#This Row],[Expected]]="",0,Tasks[[#This Row],[Expected]]-N(Tasks[[#This Row],[_Days]]))</f>
        <v>0</v>
      </c>
    </row>
    <row r="161" customFormat="false" ht="15" hidden="false" customHeight="false" outlineLevel="0" collapsed="false">
      <c r="A161" s="21" t="str">
        <f aca="false">IF(Tasks[[#This Row],[Task Name]]="","",COUNTA(Tasks[[#Headers],[Task Name]]:Tasks[[#This Row],[Task Name]])-1)</f>
        <v/>
      </c>
      <c r="B161" s="22" t="n">
        <v>169</v>
      </c>
      <c r="C161" s="22"/>
      <c r="D161" s="23"/>
      <c r="E161" s="22"/>
      <c r="F161" s="23"/>
      <c r="G161" s="22"/>
      <c r="H161" s="22"/>
      <c r="I161" s="23"/>
      <c r="J161" s="22"/>
      <c r="K161" s="22"/>
      <c r="L161" s="23"/>
      <c r="M161" s="22"/>
      <c r="N161" s="22"/>
      <c r="O161" s="23"/>
      <c r="P161" s="22"/>
      <c r="Q161" s="22"/>
      <c r="R161" s="23"/>
      <c r="S161" s="23"/>
      <c r="T161" s="84"/>
      <c r="U161" s="23"/>
      <c r="V161" s="84"/>
      <c r="W161" s="23"/>
      <c r="X161" s="84"/>
      <c r="Y161" s="23"/>
      <c r="Z161" s="84"/>
      <c r="AA161" s="23"/>
      <c r="AB161" s="23"/>
      <c r="AC161" s="7"/>
      <c r="AD161" s="7"/>
      <c r="AE161" s="63" t="str">
        <f aca="false">IF(Tasks[[#This Row],[Task Name]]="","",IF(Tasks[[#This Row],[_IsSummary]],MIN(INDEX(Tasks[_ShownFcstStart],Tasks[[#This Row],[_Row]]+1):INDEX(Tasks[_ShownFcstStart],Tasks[[#This Row],[_Row]]+Tasks[[#This Row],[_Descendants]])),Tasks[[#This Row],[_ShownFcstStart]]))</f>
        <v/>
      </c>
      <c r="AF161" s="63" t="str">
        <f aca="false">IF(Tasks[[#This Row],[Task Name]]="","",IF(Tasks[[#This Row],[_IsSummary]],MAX(INDEX(Tasks[_ShownFcstFinish],Tasks[[#This Row],[_Row]]+1):INDEX(Tasks[_ShownFcstFinish],Tasks[[#This Row],[_Row]]+Tasks[[#This Row],[_Descendants]])),Tasks[[#This Row],[_ShownFcstFinish]]))</f>
        <v/>
      </c>
      <c r="AG161" s="21" t="str">
        <f aca="false">""</f>
        <v/>
      </c>
      <c r="AH161" s="23"/>
      <c r="AI1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1" s="7"/>
      <c r="AK161" s="22"/>
      <c r="AL161" s="23"/>
      <c r="AM161" s="7"/>
      <c r="AN161" s="47" t="str">
        <f aca="false">IF(Tasks[[#This Row],[Task Name]]="","",IF(Tasks[[#This Row],[Finish]]&gt;=Tasks[[#This Row],[Planned Finish]],NETWORKDAYS.INTL(Tasks[[#This Row],[Planned Finish]],Tasks[[#This Row],[Finish]],WorkWeek,Holidays)-1,1-NETWORKDAYS.INTL(Tasks[[#This Row],[Finish]],Tasks[[#This Row],[Planned Finish]],WorkWeek,Holidays)))</f>
        <v/>
      </c>
      <c r="AO161" s="21" t="str">
        <f aca="false">IF(Tasks[[#This Row],[Task Name]]="","",IF(Tasks[[#This Row],[Progress]]&gt;=1,"Complete",IF(OR(N(Tasks[[#This Row],[Actual Start]])&gt;0,Tasks[[#This Row],[Progress]]&gt;0),IF(Tasks[[#This Row],[Finish Var]]&gt;0,"Behind","In Progress"),IF(Tasks[[#This Row],[Planned Start]]&lt;StatusDate,"Late Start","Not Started"))))</f>
        <v/>
      </c>
      <c r="AP161" s="21" t="str">
        <f aca="false">IF(Tasks[[#This Row],[Task Name]]="","",IF(IF(Tasks[[#This Row],[_IsSummary]],COUNTIF(INDEX(Tasks[_LeafCritical],Tasks[[#This Row],[_Row]]+1):INDEX(Tasks[_LeafCritical],Tasks[[#This Row],[_Row]]+Tasks[[#This Row],[_Descendants]]),TRUE())&gt;0,Tasks[[#This Row],[_LeafCritical]]),"Yes",""))</f>
        <v/>
      </c>
      <c r="AQ161" s="63" t="str">
        <f aca="false">IF(Tasks[[#This Row],[Task Name]]="","",IF(N(Tasks[[#This Row],[Baseline Start]])&gt;0,Tasks[[#This Row],[Baseline Start]],Tasks[[#This Row],[_CalcStart]]))</f>
        <v/>
      </c>
      <c r="AR161" s="63" t="str">
        <f aca="false">IF(Tasks[[#This Row],[Task Name]]="","",IF(N(Tasks[[#This Row],[Baseline Finish]])&gt;0,Tasks[[#This Row],[Baseline Finish]],Tasks[[#This Row],[_CalcFinish]]))</f>
        <v/>
      </c>
      <c r="AS161" s="47" t="str">
        <f aca="false">IF(Tasks[[#This Row],[Task Name]]="","",IF(Tasks[[#This Row],[Start]]&gt;=Tasks[[#This Row],[Planned Start]],NETWORKDAYS.INTL(Tasks[[#This Row],[Planned Start]],Tasks[[#This Row],[Start]],WorkWeek,Holidays)-1,1-NETWORKDAYS.INTL(Tasks[[#This Row],[Start]],Tasks[[#This Row],[Planned Start]],WorkWeek,Holidays)))</f>
        <v/>
      </c>
      <c r="AT161" s="63" t="str">
        <f aca="false">IF(Tasks[[#This Row],[Task Name]]="","",IF(Tasks[[#This Row],[_IsSummary]],MIN(INDEX(Tasks[_LeafLateStart],Tasks[[#This Row],[_Row]]+1):INDEX(Tasks[_LeafLateStart],Tasks[[#This Row],[_Row]]+Tasks[[#This Row],[_Descendants]])),Tasks[[#This Row],[_LeafLateStart]]))</f>
        <v/>
      </c>
      <c r="AU161" s="63" t="str">
        <f aca="false">IF(Tasks[[#This Row],[Task Name]]="","",IF(Tasks[[#This Row],[_IsSummary]],MAX(INDEX(Tasks[_LeafLateFinish],Tasks[[#This Row],[_Row]]+1):INDEX(Tasks[_LeafLateFinish],Tasks[[#This Row],[_Row]]+Tasks[[#This Row],[_Descendants]])),Tasks[[#This Row],[_LeafLateFinish]]))</f>
        <v/>
      </c>
      <c r="AV161" s="47" t="str">
        <f aca="false">IF(Tasks[[#This Row],[Task Name]]="","",IF(Tasks[[#This Row],[_IsSummary]],MIN(INDEX(Tasks[_LeafTotalSlack],Tasks[[#This Row],[_Row]]+1):INDEX(Tasks[_LeafTotalSlack],Tasks[[#This Row],[_Row]]+Tasks[[#This Row],[_Descendants]])),Tasks[[#This Row],[_LeafTotalSlack]]))</f>
        <v/>
      </c>
      <c r="AW1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5"/>
      <c r="BA16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t="str">
        <f aca="false">IF(Tasks[[#This Row],[Task Name]]="","",IF(Tasks[[#This Row],[_Level]]&lt;=OutlineShowLevel,"Yes","No"))</f>
        <v/>
      </c>
      <c r="BE161" s="86" t="str">
        <f aca="false">IF(Tasks[[#This Row],[Task Name]]="","",IF(Tasks[[#This Row],[_IsSummary]],SUM(INDEX(Tasks[_LeafTotalWork],Tasks[[#This Row],[_Row]]+1):INDEX(Tasks[_LeafTotalWork],Tasks[[#This Row],[_Row]]+Tasks[[#This Row],[_Descendants]])),Tasks[[#This Row],[_LeafTotalWork]]))</f>
        <v/>
      </c>
      <c r="BF161" s="23"/>
      <c r="BG1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t="str">
        <f aca="false">""</f>
        <v/>
      </c>
      <c r="BI161" s="87"/>
      <c r="BJ161" s="22"/>
      <c r="BK161" s="47" t="str">
        <f aca="false">IF(OR(Tasks[[#This Row],[Task Name]]="",Tasks[[#This Row],[Baseline Duration]]=""),"",Tasks[[#This Row],[_SpanDays]]-N(Tasks[[#This Row],[Baseline Duration]]))</f>
        <v/>
      </c>
      <c r="BL161" s="86" t="str">
        <f aca="false">IF(OR(Tasks[[#This Row],[Task Name]]="",Tasks[[#This Row],[Baseline Work]]=""),"",Tasks[[#This Row],[Work]]-N(Tasks[[#This Row],[Baseline Work]]))</f>
        <v/>
      </c>
      <c r="BM161" s="63" t="str">
        <f aca="false">IF(Tasks[[#This Row],[Task Name]]="","",IF(OR(TakeBaseline="Yes",N(Tasks[[#This Row],[Baseline Start]])=0),Tasks[[#This Row],[Start]],Tasks[[#This Row],[Baseline Start]]))</f>
        <v/>
      </c>
      <c r="BN161" s="63" t="str">
        <f aca="false">IF(Tasks[[#This Row],[Task Name]]="","",IF(OR(TakeBaseline="Yes",N(Tasks[[#This Row],[Baseline Finish]])=0),Tasks[[#This Row],[Finish]],Tasks[[#This Row],[Baseline Finish]]))</f>
        <v/>
      </c>
      <c r="BO161" s="21" t="str">
        <f aca="false">IF(Tasks[[#This Row],[Task Name]]="","",IF(OR(TakeBaseline="Yes",N(Tasks[[#This Row],[Baseline Duration]])=0),Tasks[[#This Row],[_SpanDays]],Tasks[[#This Row],[Baseline Duration]]))</f>
        <v/>
      </c>
      <c r="BP161" s="86" t="str">
        <f aca="false">IF(Tasks[[#This Row],[Task Name]]="","",IF(OR(TakeBaseline="Yes",N(Tasks[[#This Row],[Baseline Work]])=0),Tasks[[#This Row],[Work]],Tasks[[#This Row],[Baseline Work]]))</f>
        <v/>
      </c>
      <c r="BQ161" s="7"/>
      <c r="BR161" s="7"/>
      <c r="BS161" s="22"/>
      <c r="BT161" s="88"/>
      <c r="BU161" s="23"/>
      <c r="BV161" s="23"/>
      <c r="BW161" s="23"/>
      <c r="BX161" s="89" t="str">
        <f aca="false">IF(AND(Tasks[[#This Row],[_IsLeaf]]=1,ISNUMBER(Tasks[[#This Row],[Optimistic]]),ISNUMBER(Tasks[[#This Row],[Pessimistic]])),ROUND((Tasks[[#This Row],[Optimistic]]+4*N(Tasks[[#This Row],[_Days]])+Tasks[[#This Row],[Pessimistic]])/6,1),"")</f>
        <v/>
      </c>
      <c r="BY161" s="87"/>
      <c r="BZ161" s="87"/>
      <c r="CA161" s="22"/>
      <c r="CB161" s="43" t="str">
        <f aca="false">IF(Tasks[[#This Row],[Task Name]]="","",MAX(1,N(Tasks[[#This Row],[Level]])))</f>
        <v/>
      </c>
      <c r="CC161" s="43" t="n">
        <f aca="false">ROW()-ROW(Tasks[[#Headers],[ID]])</f>
        <v>156</v>
      </c>
      <c r="CD161" s="43" t="n">
        <f aca="false">IF(OR(Tasks[[#This Row],[Task Name]]="",Tasks[[#This Row],[_Level]]&lt;=1),0,IFERROR(LOOKUP(2,1/(Tasks[[#Headers],[_Level]]:Tasks[[#This Row],[_Level]]=Tasks[[#This Row],[_Level]]-1),ROW(Tasks[[#Headers],[_Level]]:Tasks[[#This Row],[_Level]])),0))</f>
        <v>0</v>
      </c>
      <c r="CE161" s="43" t="n">
        <f aca="false">IFERROR(N(INDEX(Tasks[_Level],Tasks[[#This Row],[_Row]]+1)),0)</f>
        <v>0</v>
      </c>
      <c r="CF161" s="90" t="b">
        <f aca="false">AND(Tasks[[#This Row],[Task Name]]&lt;&gt;"",Tasks[[#This Row],[_NextLevel]]&gt;Tasks[[#This Row],[_Level]])</f>
        <v>0</v>
      </c>
      <c r="CG161" s="43" t="n">
        <f aca="false">IF(Tasks[[#This Row],[_IsSummary]],COUNTIF(Tasks[WBS],Tasks[[#This Row],[WBS]]&amp;".*"),0)</f>
        <v>0</v>
      </c>
      <c r="CH161" s="43" t="n">
        <f aca="false">IF(AND(Tasks[[#This Row],[Task Name]]&lt;&gt;"",NOT(Tasks[[#This Row],[_IsSummary]])),1,0)</f>
        <v>0</v>
      </c>
      <c r="CI161" s="43" t="n">
        <f aca="false">IF(N(Tasks[[#This Row],[_Pred1UID]])=0,0,IFERROR(MATCH(Tasks[[#This Row],[_Pred1UID]],Tasks[UID],0),-1))</f>
        <v>0</v>
      </c>
      <c r="CJ161" s="43" t="n">
        <f aca="false">IF(N(Tasks[[#This Row],[_Pred2UID]])=0,0,IFERROR(MATCH(Tasks[[#This Row],[_Pred2UID]],Tasks[UID],0),-1))</f>
        <v>0</v>
      </c>
      <c r="CK161" s="43" t="n">
        <f aca="false">IF(N(Tasks[[#This Row],[_Pred3UID]])=0,0,IFERROR(MATCH(Tasks[[#This Row],[_Pred3UID]],Tasks[UID],0),-1))</f>
        <v>0</v>
      </c>
      <c r="CL161" s="43" t="n">
        <f aca="false">IF(N(Tasks[[#This Row],[_Pred4UID]])=0,0,IFERROR(MATCH(Tasks[[#This Row],[_Pred4UID]],Tasks[UID],0),-1))</f>
        <v>0</v>
      </c>
      <c r="CM1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1" s="91" t="n">
        <f aca="false">IF(OR(Tasks[[#This Row],[_ConstraintCode]]=2,Tasks[[#This Row],[_ConstraintCode]]=3,Tasks[[#This Row],[_ConstraintCode]]=4,Tasks[[#This Row],[_ConstraintCode]]=6),Tasks[[#This Row],[_ConstraintStart]],0)</f>
        <v>0</v>
      </c>
      <c r="CP161" s="91" t="n">
        <f aca="false">IF(OR(Tasks[[#This Row],[_ConstraintCode]]=2,Tasks[[#This Row],[_ConstraintCode]]=3,Tasks[[#This Row],[_ConstraintCode]]=5,Tasks[[#This Row],[_ConstraintCode]]=7),Tasks[[#This Row],[_ConstraintStart]],2958465)</f>
        <v>2958465</v>
      </c>
      <c r="CQ1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1" s="91" t="str">
        <f aca="false">IF(NOT(Tasks[[#This Row],[_IsLeaf]]=1),"",IF(N(Tasks[[#This Row],[_Days]])&lt;=0,Tasks[[#This Row],[_LeafCalcStart]],WORKDAY.INTL(Tasks[[#This Row],[_LeafCalcStart]],Tasks[[#This Row],[_Days]]-1,WorkWeek,Holidays)))</f>
        <v/>
      </c>
      <c r="CS1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1" s="43" t="str">
        <f aca="false">IF(Tasks[[#This Row],[_Predecessors]]="","",TRIM(MID(SUBSTITUTE(SUBSTITUTE(SUBSTITUTE(UPPER(Tasks[[#This Row],[_Predecessors]]),";",",")," ",""),",",REPT(" ",99)),1,99)))</f>
        <v/>
      </c>
      <c r="CV161" s="43" t="str">
        <f aca="false">IF(Tasks[[#This Row],[_Pred1Text]]="","",IFERROR(VALUE(LEFT(Tasks[[#This Row],[_Pred1Text]],MIN(FIND("F",Tasks[[#This Row],[_Pred1Text]]&amp;"F"),FIND("S",Tasks[[#This Row],[_Pred1Text]]&amp;"S"),FIND("+",Tasks[[#This Row],[_Pred1Text]]&amp;"+"),FIND("-",Tasks[[#This Row],[_Pred1Text]]&amp;"-"))-1)),""))</f>
        <v/>
      </c>
      <c r="CW1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1" s="43" t="str">
        <f aca="false">IF(Tasks[[#This Row],[_Pred1Text]]="","",TRIM(MID(SUBSTITUTE(SUBSTITUTE(SUBSTITUTE(UPPER(Tasks[[#This Row],[_Predecessors]]),";",",")," ",""),",",REPT(" ",99)),100,99)))</f>
        <v/>
      </c>
      <c r="CZ161" s="43" t="str">
        <f aca="false">IF(Tasks[[#This Row],[_Pred2Text]]="","",IFERROR(VALUE(LEFT(Tasks[[#This Row],[_Pred2Text]],MIN(FIND("F",Tasks[[#This Row],[_Pred2Text]]&amp;"F"),FIND("S",Tasks[[#This Row],[_Pred2Text]]&amp;"S"),FIND("+",Tasks[[#This Row],[_Pred2Text]]&amp;"+"),FIND("-",Tasks[[#This Row],[_Pred2Text]]&amp;"-"))-1)),""))</f>
        <v/>
      </c>
      <c r="DA1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1" s="43" t="str">
        <f aca="false">IF(Tasks[[#This Row],[_Pred2Text]]="","",TRIM(MID(SUBSTITUTE(SUBSTITUTE(SUBSTITUTE(UPPER(Tasks[[#This Row],[_Predecessors]]),";",",")," ",""),",",REPT(" ",99)),199,99)))</f>
        <v/>
      </c>
      <c r="DD161" s="43" t="str">
        <f aca="false">IF(Tasks[[#This Row],[_Pred3Text]]="","",IFERROR(VALUE(LEFT(Tasks[[#This Row],[_Pred3Text]],MIN(FIND("F",Tasks[[#This Row],[_Pred3Text]]&amp;"F"),FIND("S",Tasks[[#This Row],[_Pred3Text]]&amp;"S"),FIND("+",Tasks[[#This Row],[_Pred3Text]]&amp;"+"),FIND("-",Tasks[[#This Row],[_Pred3Text]]&amp;"-"))-1)),""))</f>
        <v/>
      </c>
      <c r="DE1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1" s="43" t="str">
        <f aca="false">IF(Tasks[[#This Row],[_Pred3Text]]="","",TRIM(MID(SUBSTITUTE(SUBSTITUTE(SUBSTITUTE(UPPER(Tasks[[#This Row],[_Predecessors]]),";",",")," ",""),",",REPT(" ",99)),298,99)))</f>
        <v/>
      </c>
      <c r="DH161" s="43" t="str">
        <f aca="false">IF(Tasks[[#This Row],[_Pred4Text]]="","",IFERROR(VALUE(LEFT(Tasks[[#This Row],[_Pred4Text]],MIN(FIND("F",Tasks[[#This Row],[_Pred4Text]]&amp;"F"),FIND("S",Tasks[[#This Row],[_Pred4Text]]&amp;"S"),FIND("+",Tasks[[#This Row],[_Pred4Text]]&amp;"+"),FIND("-",Tasks[[#This Row],[_Pred4Text]]&amp;"-"))-1)),""))</f>
        <v/>
      </c>
      <c r="DI1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1" s="43" t="str">
        <f aca="false">IF(OR(Tasks[[#This Row],[Task Name]]="",Tasks[[#This Row],[_Resources]]=""),"",TRIM(MID(SUBSTITUTE(Tasks[[#This Row],[_Resources]],",",REPT(" ",99)),1,99)))</f>
        <v/>
      </c>
      <c r="DL161" s="43" t="str">
        <f aca="false">IF(Tasks[[#This Row],[_Res1Text]]="","",TRIM(MID(SUBSTITUTE(Tasks[[#This Row],[_Resources]],",",REPT(" ",99)),100,99)))</f>
        <v/>
      </c>
      <c r="DM161" s="43" t="str">
        <f aca="false">IF(Tasks[[#This Row],[_Res2Text]]="","",TRIM(MID(SUBSTITUTE(Tasks[[#This Row],[_Resources]],",",REPT(" ",99)),199,99)))</f>
        <v/>
      </c>
      <c r="DN161" s="43" t="str">
        <f aca="false">IF(Tasks[[#This Row],[_Res3Text]]="","",TRIM(MID(SUBSTITUTE(Tasks[[#This Row],[_Resources]],",",REPT(" ",99)),298,99)))</f>
        <v/>
      </c>
      <c r="DO161" s="43" t="n">
        <f aca="false">IF(Tasks[[#This Row],[_Res1Text]]="",0,IFERROR(MATCH(TRIM(LEFT(Tasks[[#This Row],[_Res1Text]],FIND("[",Tasks[[#This Row],[_Res1Text]]&amp;"[")-1)),res_Name,0),IFERROR(MATCH(TRIM(LEFT(Tasks[[#This Row],[_Res1Text]],FIND("[",Tasks[[#This Row],[_Res1Text]]&amp;"[")-1)),res_Initials,0),0)))</f>
        <v>0</v>
      </c>
      <c r="DP161" s="43" t="n">
        <f aca="false">IF(Tasks[[#This Row],[_Res2Text]]="",0,IFERROR(MATCH(TRIM(LEFT(Tasks[[#This Row],[_Res2Text]],FIND("[",Tasks[[#This Row],[_Res2Text]]&amp;"[")-1)),res_Name,0),IFERROR(MATCH(TRIM(LEFT(Tasks[[#This Row],[_Res2Text]],FIND("[",Tasks[[#This Row],[_Res2Text]]&amp;"[")-1)),res_Initials,0),0)))</f>
        <v>0</v>
      </c>
      <c r="DQ161" s="43" t="n">
        <f aca="false">IF(Tasks[[#This Row],[_Res3Text]]="",0,IFERROR(MATCH(TRIM(LEFT(Tasks[[#This Row],[_Res3Text]],FIND("[",Tasks[[#This Row],[_Res3Text]]&amp;"[")-1)),res_Name,0),IFERROR(MATCH(TRIM(LEFT(Tasks[[#This Row],[_Res3Text]],FIND("[",Tasks[[#This Row],[_Res3Text]]&amp;"[")-1)),res_Initials,0),0)))</f>
        <v>0</v>
      </c>
      <c r="DR161" s="43" t="n">
        <f aca="false">IF(Tasks[[#This Row],[_Res4Text]]="",0,IFERROR(MATCH(TRIM(LEFT(Tasks[[#This Row],[_Res4Text]],FIND("[",Tasks[[#This Row],[_Res4Text]]&amp;"[")-1)),res_Name,0),IFERROR(MATCH(TRIM(LEFT(Tasks[[#This Row],[_Res4Text]],FIND("[",Tasks[[#This Row],[_Res4Text]]&amp;"[")-1)),res_Initials,0),0)))</f>
        <v>0</v>
      </c>
      <c r="DS161" s="43" t="str">
        <f aca="false">IF(Tasks[[#This Row],[_Res1Text]]="","",IF(Tasks[[#This Row],[_Res1Row]]&gt;0,INDEX(res_Name,Tasks[[#This Row],[_Res1Row]]),TRIM(LEFT(Tasks[[#This Row],[_Res1Text]],FIND("[",Tasks[[#This Row],[_Res1Text]]&amp;"[")-1))))</f>
        <v/>
      </c>
      <c r="DT1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1" s="43" t="n">
        <f aca="false">IF(NOT(Tasks[[#This Row],[_IsLeaf]]=1),0,(Tasks[[#This Row],[_Resource1]]&lt;&gt;"")+(Tasks[[#This Row],[_Res2]]&lt;&gt;"")+(Tasks[[#This Row],[_Res3]]&lt;&gt;"")+(Tasks[[#This Row],[_Res4]]&lt;&gt;""))</f>
        <v>0</v>
      </c>
      <c r="DV161" s="43" t="str">
        <f aca="false">IF(Tasks[[#This Row],[_Res2Text]]="","",IF(Tasks[[#This Row],[_Res2Row]]&gt;0,INDEX(res_Name,Tasks[[#This Row],[_Res2Row]]),TRIM(LEFT(Tasks[[#This Row],[_Res2Text]],FIND("[",Tasks[[#This Row],[_Res2Text]]&amp;"[")-1))))</f>
        <v/>
      </c>
      <c r="DW1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1" s="43" t="n">
        <f aca="false">IF(OR(NOT(Tasks[[#This Row],[_IsLeaf]]=1),Tasks[[#This Row],[_Res2Row]]=0),0,N(Tasks[[#This Row],[_Days]])*HoursPerDay*IF(Tasks[[#This Row],[_Res2Units]]="",DefaultUnits,Tasks[[#This Row],[_Res2Units]]))</f>
        <v>0</v>
      </c>
      <c r="DY161" s="43" t="n">
        <f aca="false">IF(AND(AND(Tasks[[#This Row],[_IsLeaf]]=1,Tasks[[#This Row],[_LeafTotalWork]]&gt;0),Tasks[[#This Row],[_Res2Work]]&gt;0),Tasks[[#This Row],[_Res2Work]]/(Tasks[[#This Row],[_FinishWorkday]]-Tasks[[#This Row],[_StartWorkday]]+1),0)</f>
        <v>0</v>
      </c>
      <c r="DZ161" s="43" t="n">
        <f aca="false">Tasks[[#This Row],[_Res2WorkPerWD]]*MAX(0,Tasks[[#This Row],[_StartWorkday]]-1)</f>
        <v>0</v>
      </c>
      <c r="EA161" s="43" t="n">
        <f aca="false">Tasks[[#This Row],[_Res2Work]]*Tasks[[#This Row],[_LeafProgress]]</f>
        <v>0</v>
      </c>
      <c r="EB161" s="43" t="str">
        <f aca="false">IF(Tasks[[#This Row],[_Res3Text]]="","",IF(Tasks[[#This Row],[_Res3Row]]&gt;0,INDEX(res_Name,Tasks[[#This Row],[_Res3Row]]),TRIM(LEFT(Tasks[[#This Row],[_Res3Text]],FIND("[",Tasks[[#This Row],[_Res3Text]]&amp;"[")-1))))</f>
        <v/>
      </c>
      <c r="EC1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1" s="43" t="n">
        <f aca="false">IF(OR(NOT(Tasks[[#This Row],[_IsLeaf]]=1),Tasks[[#This Row],[_Res3Row]]=0),0,N(Tasks[[#This Row],[_Days]])*HoursPerDay*IF(Tasks[[#This Row],[_Res3Units]]="",DefaultUnits,Tasks[[#This Row],[_Res3Units]]))</f>
        <v>0</v>
      </c>
      <c r="EE161" s="43" t="n">
        <f aca="false">IF(AND(AND(Tasks[[#This Row],[_IsLeaf]]=1,Tasks[[#This Row],[_LeafTotalWork]]&gt;0),Tasks[[#This Row],[_Res3Work]]&gt;0),Tasks[[#This Row],[_Res3Work]]/(Tasks[[#This Row],[_FinishWorkday]]-Tasks[[#This Row],[_StartWorkday]]+1),0)</f>
        <v>0</v>
      </c>
      <c r="EF161" s="43" t="n">
        <f aca="false">Tasks[[#This Row],[_Res3WorkPerWD]]*MAX(0,Tasks[[#This Row],[_StartWorkday]]-1)</f>
        <v>0</v>
      </c>
      <c r="EG161" s="43" t="n">
        <f aca="false">Tasks[[#This Row],[_Res3Work]]*Tasks[[#This Row],[_LeafProgress]]</f>
        <v>0</v>
      </c>
      <c r="EH161" s="43" t="str">
        <f aca="false">IF(Tasks[[#This Row],[_Res4Text]]="","",IF(Tasks[[#This Row],[_Res4Row]]&gt;0,INDEX(res_Name,Tasks[[#This Row],[_Res4Row]]),TRIM(LEFT(Tasks[[#This Row],[_Res4Text]],FIND("[",Tasks[[#This Row],[_Res4Text]]&amp;"[")-1))))</f>
        <v/>
      </c>
      <c r="EI1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1" s="43" t="n">
        <f aca="false">IF(OR(NOT(Tasks[[#This Row],[_IsLeaf]]=1),Tasks[[#This Row],[_Res4Row]]=0),0,N(Tasks[[#This Row],[_Days]])*HoursPerDay*IF(Tasks[[#This Row],[_Res4Units]]="",DefaultUnits,Tasks[[#This Row],[_Res4Units]]))</f>
        <v>0</v>
      </c>
      <c r="EK161" s="43" t="n">
        <f aca="false">IF(AND(AND(Tasks[[#This Row],[_IsLeaf]]=1,Tasks[[#This Row],[_LeafTotalWork]]&gt;0),Tasks[[#This Row],[_Res4Work]]&gt;0),Tasks[[#This Row],[_Res4Work]]/(Tasks[[#This Row],[_FinishWorkday]]-Tasks[[#This Row],[_StartWorkday]]+1),0)</f>
        <v>0</v>
      </c>
      <c r="EL161" s="43" t="n">
        <f aca="false">Tasks[[#This Row],[_Res4WorkPerWD]]*MAX(0,Tasks[[#This Row],[_StartWorkday]]-1)</f>
        <v>0</v>
      </c>
      <c r="EM161" s="43" t="n">
        <f aca="false">Tasks[[#This Row],[_Res4Work]]*Tasks[[#This Row],[_LeafProgress]]</f>
        <v>0</v>
      </c>
      <c r="EN161" s="43" t="n">
        <f aca="false">IF(ISNUMBER(Tasks[[#This Row],[% Complete]]),Tasks[[#This Row],[% Complete]],IF(Tasks[[#This Row],[Stage]]="",0,IFERROR(INDEX(stg_Pct,MATCH(Tasks[[#This Row],[Stage]],stg_Name,0)),0)))</f>
        <v>0</v>
      </c>
      <c r="EO161" s="43" t="n">
        <f aca="false">IF(NOT(Tasks[[#This Row],[_IsLeaf]]=1),0,IF(N(Tasks[[#This Row],[Actual Finish]])&gt;0,1,MIN(1,Tasks[[#This Row],[_Pct]])))</f>
        <v>0</v>
      </c>
      <c r="EP161" s="43" t="n">
        <f aca="false">IF(OR(NOT(Tasks[[#This Row],[_IsLeaf]]=1),Tasks[[#This Row],[_Res1Row]]=0),0,N(Tasks[[#This Row],[_Days]])*HoursPerDay*IF(Tasks[[#This Row],[_Units1]]="",DefaultUnits,Tasks[[#This Row],[_Units1]]))</f>
        <v>0</v>
      </c>
      <c r="EQ161" s="43" t="n">
        <f aca="false">Tasks[[#This Row],[_LeafWork]]+Tasks[[#This Row],[_Res2Work]]+Tasks[[#This Row],[_Res3Work]]+Tasks[[#This Row],[_Res4Work]]</f>
        <v>0</v>
      </c>
      <c r="ER16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1" s="43" t="n">
        <f aca="false">IF(NOT(Tasks[[#This Row],[_IsLeaf]]=1),0,MAX(_xlfn.MAXIFS(Tasks[_Row],Tasks[_Pred1UID],Tasks[[#This Row],[UID]]),_xlfn.MAXIFS(Tasks[_Row],Tasks[_Pred2UID],Tasks[[#This Row],[UID]]),_xlfn.MAXIFS(Tasks[_Row],Tasks[_Pred3UID],Tasks[[#This Row],[UID]]),_xlfn.MAXIFS(Tasks[_Row],Tasks[_Pred4UID],Tasks[[#This Row],[UID]])))</f>
        <v>0</v>
      </c>
      <c r="FA1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1" s="91" t="str">
        <f aca="false">IF(NOT(Tasks[[#This Row],[_IsLeaf]]=1),"",IF(N(Tasks[[#This Row],[_Days]])&lt;=0,Tasks[[#This Row],[_LeafLateFinish]],WORKDAY.INTL(Tasks[[#This Row],[_LeafLateFinish]],-(Tasks[[#This Row],[_Days]]-1),WorkWeek,Holidays)))</f>
        <v/>
      </c>
      <c r="FD1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1" s="90" t="b">
        <f aca="false">AND(Tasks[[#This Row],[_IsLeaf]]=1,Tasks[[#This Row],[_LeafProgress]]&lt;1,N(Tasks[[#This Row],[_LeafTotalSlack]])&lt;=CriticalSlackDays)</f>
        <v>0</v>
      </c>
      <c r="FF161" s="43" t="n">
        <f aca="false">IF(AND(Tasks[[#This Row],[_IsLeaf]]=1,Tasks[[#This Row],[_ConstraintCode]]=1,Tasks[[#This Row],[Mode]]&lt;&gt;"Manual",N(Tasks[[#This Row],[Actual Start]])=0),MAX(0,N(Tasks[[#This Row],[Free Slack]])),0)</f>
        <v>0</v>
      </c>
      <c r="FG161" s="91" t="str">
        <f aca="false">IF(NOT(Tasks[[#This Row],[_IsLeaf]]=1),"",IF(Tasks[[#This Row],[_AlapShift]]=0,Tasks[[#This Row],[_LeafCalcStart]],WORKDAY.INTL(Tasks[[#This Row],[_LeafCalcStart]],Tasks[[#This Row],[_AlapShift]],WorkWeek,Holidays)))</f>
        <v/>
      </c>
      <c r="FH161" s="91" t="str">
        <f aca="false">IF(NOT(Tasks[[#This Row],[_IsLeaf]]=1),"",IF(Tasks[[#This Row],[_AlapShift]]=0,Tasks[[#This Row],[_LeafCalcFinish]],WORKDAY.INTL(Tasks[[#This Row],[_LeafCalcFinish]],Tasks[[#This Row],[_AlapShift]],WorkWeek,Holidays)))</f>
        <v/>
      </c>
      <c r="FI161" s="91" t="str">
        <f aca="false">IF(NOT(Tasks[[#This Row],[_IsLeaf]]=1),"",IF(Tasks[[#This Row],[_AlapShift]]=0,Tasks[[#This Row],[_LeafFcstStart]],WORKDAY.INTL(Tasks[[#This Row],[_LeafFcstStart]],Tasks[[#This Row],[_AlapShift]],WorkWeek,Holidays)))</f>
        <v/>
      </c>
      <c r="FJ161" s="91" t="str">
        <f aca="false">IF(NOT(Tasks[[#This Row],[_IsLeaf]]=1),"",IF(Tasks[[#This Row],[_AlapShift]]=0,Tasks[[#This Row],[_LeafFcstFinish]],WORKDAY.INTL(Tasks[[#This Row],[_LeafFcstFinish]],Tasks[[#This Row],[_AlapShift]],WorkWeek,Holidays)))</f>
        <v/>
      </c>
      <c r="FK161" s="91" t="str">
        <f aca="false">IF(Tasks[[#This Row],[Task Name]]="","",IF(Tasks[[#This Row],[_IsSummary]],MIN(INDEX(Tasks[_ShownCalcStart],Tasks[[#This Row],[_Row]]+1):INDEX(Tasks[_ShownCalcStart],Tasks[[#This Row],[_Row]]+Tasks[[#This Row],[_Descendants]])),Tasks[[#This Row],[_ShownCalcStart]]))</f>
        <v/>
      </c>
      <c r="FL161" s="91" t="str">
        <f aca="false">IF(Tasks[[#This Row],[Task Name]]="","",IF(Tasks[[#This Row],[_IsSummary]],MAX(INDEX(Tasks[_ShownCalcFinish],Tasks[[#This Row],[_Row]]+1):INDEX(Tasks[_ShownCalcFinish],Tasks[[#This Row],[_Row]]+Tasks[[#This Row],[_Descendants]])),Tasks[[#This Row],[_ShownCalcFinish]]))</f>
        <v/>
      </c>
      <c r="FM1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1" s="43" t="n">
        <f aca="false">IF(AND(Tasks[[#This Row],[_IsLeaf]]=1,Tasks[[#This Row],[_LeafTotalWork]]&gt;0),NETWORKDAYS.INTL(ProjectStart,Tasks[[#This Row],[_ShownFcstStart]],WorkWeek,Holidays),0)</f>
        <v>0</v>
      </c>
      <c r="FZ161" s="43" t="n">
        <f aca="false">IF(AND(Tasks[[#This Row],[_IsLeaf]]=1,Tasks[[#This Row],[_LeafTotalWork]]&gt;0),MAX(Tasks[[#This Row],[_StartWorkday]],NETWORKDAYS.INTL(ProjectStart,Tasks[[#This Row],[_ShownFcstFinish]],WorkWeek,Holidays)),0)</f>
        <v>0</v>
      </c>
      <c r="GA161" s="43" t="n">
        <f aca="false">IF(AND(Tasks[[#This Row],[_IsLeaf]]=1,Tasks[[#This Row],[_LeafTotalWork]]&gt;0),Tasks[[#This Row],[_LeafWork]]/(Tasks[[#This Row],[_FinishWorkday]]-Tasks[[#This Row],[_StartWorkday]]+1),0)</f>
        <v>0</v>
      </c>
      <c r="GB161" s="43" t="n">
        <f aca="false">Tasks[[#This Row],[_WorkPerWorkday]]*(Tasks[[#This Row],[_StartWorkday]]-1)</f>
        <v>-0</v>
      </c>
      <c r="GC161" s="43" t="n">
        <f aca="false">IF(Tasks[[#This Row],[_IsLeaf]]=1,MAX(N(Tasks[[#This Row],[_Days]]),0.1),0)</f>
        <v>0</v>
      </c>
      <c r="GD161" s="43" t="n">
        <f aca="false">Tasks[[#This Row],[_WeightDur]]*Tasks[[#This Row],[_LeafProgress]]</f>
        <v>0</v>
      </c>
      <c r="GE161" s="43" t="n">
        <f aca="false">Tasks[[#This Row],[_WeightDur]]*Tasks[[#This Row],[_PlannedPct]]</f>
        <v>0</v>
      </c>
      <c r="GF1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1" s="43" t="str">
        <f aca="false">IF(AND(Tasks[[#This Row],[_IsLeaf]]=1,N(Tasks[[#This Row],[_Days]])=0,Tasks[[#This Row],[_LeafProgress]]&lt;1),Tasks[[#This Row],[_ShownFcstFinish]]+Tasks[[#This Row],[_Row]]/100000,"")</f>
        <v/>
      </c>
      <c r="GH1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1" s="43" t="str">
        <f aca="false">IF(Tasks[[#This Row],[Task Name]]="","",LEFT(Tasks[[#This Row],[WBS]],FIND(".",Tasks[[#This Row],[WBS]]&amp;".")-1))</f>
        <v/>
      </c>
      <c r="GJ161" s="43" t="str">
        <f aca="false">IF(AND(Tasks[[#This Row],[Task Name]]&lt;&gt;"",Tasks[[#This Row],[_Level]]=1),Tasks[[#This Row],[_Row]],"")</f>
        <v/>
      </c>
      <c r="GK161" s="43" t="str">
        <f aca="false">IF(AND(Tasks[[#This Row],[_IsLeaf]]=1,N(Tasks[[#This Row],[_Days]])=0),Tasks[[#This Row],[Planned Finish]]+Tasks[[#This Row],[_Row]]/100000,"")</f>
        <v/>
      </c>
      <c r="GL161" s="43" t="str">
        <f aca="false">IF(AND(Tasks[[#This Row],[_IsLeaf]]=1,Tasks[[#This Row],[_LeafProgress]]&lt;1,OR(N(Tasks[[#This Row],[Finish Var]])&gt;0,Tasks[[#This Row],[Status]]="Late Start")),MAX(0,Tasks[[#This Row],[Finish Var]])+1-Tasks[[#This Row],[_Row]]/1000000,"")</f>
        <v/>
      </c>
      <c r="GM161" s="43" t="str">
        <f aca="false">IF(AND(Tasks[[#This Row],[_IsLeaf]]=1,N(Tasks[[#This Row],[Actual Start]])=0,Tasks[[#This Row],[_ShownFcstStart]]&gt;=StatusDate,Tasks[[#This Row],[_ShownFcstStart]]&lt;=LookaheadEnd),Tasks[[#This Row],[_ShownFcstStart]]+Tasks[[#This Row],[_Row]]/100000,"")</f>
        <v/>
      </c>
      <c r="GN161" s="43" t="str">
        <f aca="false">IF(AND(Tasks[[#This Row],[_IsLeaf]]=1,Tasks[[#This Row],[_LeafProgress]]&lt;1,Tasks[[#This Row],[_ShownFcstFinish]]&gt;=StatusDate,Tasks[[#This Row],[_ShownFcstFinish]]&lt;=LookaheadEnd),Tasks[[#This Row],[_ShownFcstFinish]]+Tasks[[#This Row],[_Row]]/100000,"")</f>
        <v/>
      </c>
      <c r="GO161" s="43" t="str">
        <f aca="false">IF(Tasks[[#This Row],[_LeafCritical]],Tasks[[#This Row],[_ShownFcstStart]]+Tasks[[#This Row],[_Row]]/100000,"")</f>
        <v/>
      </c>
      <c r="GP161" s="43" t="n">
        <f aca="false">Tasks[[#This Row],[_LeafWork]]*Tasks[[#This Row],[_LeafProgress]]</f>
        <v>0</v>
      </c>
      <c r="GQ161" s="91" t="str">
        <f aca="false">IF(AND(Tasks[[#This Row],[_IsLeaf]]=1,Tasks[[#This Row],[_LeafProgress]]&gt;=1),IF(N(Tasks[[#This Row],[Actual Finish]])&gt;0,Tasks[[#This Row],[Actual Finish]],Tasks[[#This Row],[_ShownFcstFinish]]),"")</f>
        <v/>
      </c>
      <c r="GR161" s="43" t="n">
        <f aca="false">IF(Tasks[[#This Row],[_IsLeaf]]=1,N(Tasks[[#This Row],[Story Points]]),0)</f>
        <v>0</v>
      </c>
      <c r="GS161" s="43" t="str">
        <f aca="false">""</f>
        <v/>
      </c>
      <c r="GT161" s="90" t="b">
        <f aca="false">IF(Tasks[[#This Row],[Task Name]]="",FALSE(),AND(Tasks[[#This Row],[_IsLeaf]]=1,N(Tasks[[#This Row],[_Days]])=0))</f>
        <v>0</v>
      </c>
      <c r="GU161" s="91" t="n">
        <f aca="false">IF(Tasks[[#This Row],[Task Name]]="",0,IF(AND(Tasks[[#This Row],[_IsLeaf]]=1,NOT(Tasks[[#This Row],[_IsMilestone]]),N(Tasks[[#This Row],[Progress]])&gt;0),Tasks[[#This Row],[Start]],0))</f>
        <v>0</v>
      </c>
      <c r="GV161" s="91" t="n">
        <f aca="false">IF(Tasks[[#This Row],[_DoneFrom]]=0,0,IF(Tasks[[#This Row],[Progress]]&gt;=1,Tasks[[#This Row],[Finish]],MAX(Tasks[[#This Row],[_DoneFrom]],Tasks[[#This Row],[Start]]+ROUND((Tasks[[#This Row],[Finish]]-Tasks[[#This Row],[Start]]+1)*Tasks[[#This Row],[Progress]],0)-1)))</f>
        <v>0</v>
      </c>
      <c r="GW161" s="91" t="n">
        <f aca="false">IF(Tasks[[#This Row],[Task Name]]="",0,IF(OR(NOT(Tasks[[#This Row],[_IsLeaf]]=1),Tasks[[#This Row],[_IsMilestone]],N(Tasks[[#This Row],[Progress]])&gt;=1),0,IF(Tasks[[#This Row],[_DoneTo]]&gt;0,Tasks[[#This Row],[_DoneTo]]+1,Tasks[[#This Row],[Start]])))</f>
        <v>0</v>
      </c>
      <c r="GX161" s="91" t="n">
        <f aca="false">IF(Tasks[[#This Row],[_RemFrom]]=0,0,Tasks[[#This Row],[Finish]])</f>
        <v>0</v>
      </c>
      <c r="GY161" s="90" t="b">
        <f aca="false">IF(Tasks[[#This Row],[Task Name]]="",FALSE(),OR(NOT(BaselineSet),N(Tasks[[#This Row],[Baseline Start]])&gt;0))</f>
        <v>0</v>
      </c>
      <c r="GZ16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1" s="92" t="str">
        <f aca="false">IF(Tasks[[#This Row],[_IsLeaf]]=1,Tasks[[#This Row],[_Row]],"")</f>
        <v/>
      </c>
      <c r="HD161" s="92" t="str">
        <f aca="false">IFERROR(INDEX(Tasks[UID],SMALL(Tasks[_PickKey],Tasks[[#This Row],[_Row]]))&amp;" "&amp;INDEX(Tasks[Task Name],SMALL(Tasks[_PickKey],Tasks[[#This Row],[_Row]])),"")</f>
        <v/>
      </c>
      <c r="HE161" s="43" t="str">
        <f aca="false">IF(Tasks[[#This Row],[Task Name]]="","",IF(Tasks[[#This Row],[_IsSummary]],NETWORKDAYS.INTL(Tasks[[#This Row],[Start]],Tasks[[#This Row],[Finish]],WorkWeek,Holidays),N(Tasks[[#This Row],[_Days]])))</f>
        <v/>
      </c>
      <c r="HF161" s="43" t="n">
        <f aca="false">IF(Tasks[[#This Row],[Expected]]="",0,((Tasks[[#This Row],[Pessimistic]]-Tasks[[#This Row],[Optimistic]])/6)^2)</f>
        <v>0</v>
      </c>
      <c r="HG161" s="43" t="n">
        <f aca="false">IF(Tasks[[#This Row],[Expected]]="",0,Tasks[[#This Row],[Expected]]-N(Tasks[[#This Row],[_Days]]))</f>
        <v>0</v>
      </c>
    </row>
    <row r="162" customFormat="false" ht="15" hidden="false" customHeight="false" outlineLevel="0" collapsed="false">
      <c r="A162" s="21" t="str">
        <f aca="false">IF(Tasks[[#This Row],[Task Name]]="","",COUNTA(Tasks[[#Headers],[Task Name]]:Tasks[[#This Row],[Task Name]])-1)</f>
        <v/>
      </c>
      <c r="B162" s="22" t="n">
        <v>170</v>
      </c>
      <c r="C162" s="22"/>
      <c r="D162" s="23"/>
      <c r="E162" s="22"/>
      <c r="F162" s="23"/>
      <c r="G162" s="22"/>
      <c r="H162" s="22"/>
      <c r="I162" s="23"/>
      <c r="J162" s="22"/>
      <c r="K162" s="22"/>
      <c r="L162" s="23"/>
      <c r="M162" s="22"/>
      <c r="N162" s="22"/>
      <c r="O162" s="23"/>
      <c r="P162" s="22"/>
      <c r="Q162" s="22"/>
      <c r="R162" s="23"/>
      <c r="S162" s="23"/>
      <c r="T162" s="84"/>
      <c r="U162" s="23"/>
      <c r="V162" s="84"/>
      <c r="W162" s="23"/>
      <c r="X162" s="84"/>
      <c r="Y162" s="23"/>
      <c r="Z162" s="84"/>
      <c r="AA162" s="23"/>
      <c r="AB162" s="23"/>
      <c r="AC162" s="7"/>
      <c r="AD162" s="7"/>
      <c r="AE162" s="63" t="str">
        <f aca="false">IF(Tasks[[#This Row],[Task Name]]="","",IF(Tasks[[#This Row],[_IsSummary]],MIN(INDEX(Tasks[_ShownFcstStart],Tasks[[#This Row],[_Row]]+1):INDEX(Tasks[_ShownFcstStart],Tasks[[#This Row],[_Row]]+Tasks[[#This Row],[_Descendants]])),Tasks[[#This Row],[_ShownFcstStart]]))</f>
        <v/>
      </c>
      <c r="AF162" s="63" t="str">
        <f aca="false">IF(Tasks[[#This Row],[Task Name]]="","",IF(Tasks[[#This Row],[_IsSummary]],MAX(INDEX(Tasks[_ShownFcstFinish],Tasks[[#This Row],[_Row]]+1):INDEX(Tasks[_ShownFcstFinish],Tasks[[#This Row],[_Row]]+Tasks[[#This Row],[_Descendants]])),Tasks[[#This Row],[_ShownFcstFinish]]))</f>
        <v/>
      </c>
      <c r="AG162" s="21" t="str">
        <f aca="false">""</f>
        <v/>
      </c>
      <c r="AH162" s="23"/>
      <c r="AI1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2" s="7"/>
      <c r="AK162" s="22"/>
      <c r="AL162" s="23"/>
      <c r="AM162" s="7"/>
      <c r="AN162" s="47" t="str">
        <f aca="false">IF(Tasks[[#This Row],[Task Name]]="","",IF(Tasks[[#This Row],[Finish]]&gt;=Tasks[[#This Row],[Planned Finish]],NETWORKDAYS.INTL(Tasks[[#This Row],[Planned Finish]],Tasks[[#This Row],[Finish]],WorkWeek,Holidays)-1,1-NETWORKDAYS.INTL(Tasks[[#This Row],[Finish]],Tasks[[#This Row],[Planned Finish]],WorkWeek,Holidays)))</f>
        <v/>
      </c>
      <c r="AO162" s="21" t="str">
        <f aca="false">IF(Tasks[[#This Row],[Task Name]]="","",IF(Tasks[[#This Row],[Progress]]&gt;=1,"Complete",IF(OR(N(Tasks[[#This Row],[Actual Start]])&gt;0,Tasks[[#This Row],[Progress]]&gt;0),IF(Tasks[[#This Row],[Finish Var]]&gt;0,"Behind","In Progress"),IF(Tasks[[#This Row],[Planned Start]]&lt;StatusDate,"Late Start","Not Started"))))</f>
        <v/>
      </c>
      <c r="AP162" s="21" t="str">
        <f aca="false">IF(Tasks[[#This Row],[Task Name]]="","",IF(IF(Tasks[[#This Row],[_IsSummary]],COUNTIF(INDEX(Tasks[_LeafCritical],Tasks[[#This Row],[_Row]]+1):INDEX(Tasks[_LeafCritical],Tasks[[#This Row],[_Row]]+Tasks[[#This Row],[_Descendants]]),TRUE())&gt;0,Tasks[[#This Row],[_LeafCritical]]),"Yes",""))</f>
        <v/>
      </c>
      <c r="AQ162" s="63" t="str">
        <f aca="false">IF(Tasks[[#This Row],[Task Name]]="","",IF(N(Tasks[[#This Row],[Baseline Start]])&gt;0,Tasks[[#This Row],[Baseline Start]],Tasks[[#This Row],[_CalcStart]]))</f>
        <v/>
      </c>
      <c r="AR162" s="63" t="str">
        <f aca="false">IF(Tasks[[#This Row],[Task Name]]="","",IF(N(Tasks[[#This Row],[Baseline Finish]])&gt;0,Tasks[[#This Row],[Baseline Finish]],Tasks[[#This Row],[_CalcFinish]]))</f>
        <v/>
      </c>
      <c r="AS162" s="47" t="str">
        <f aca="false">IF(Tasks[[#This Row],[Task Name]]="","",IF(Tasks[[#This Row],[Start]]&gt;=Tasks[[#This Row],[Planned Start]],NETWORKDAYS.INTL(Tasks[[#This Row],[Planned Start]],Tasks[[#This Row],[Start]],WorkWeek,Holidays)-1,1-NETWORKDAYS.INTL(Tasks[[#This Row],[Start]],Tasks[[#This Row],[Planned Start]],WorkWeek,Holidays)))</f>
        <v/>
      </c>
      <c r="AT162" s="63" t="str">
        <f aca="false">IF(Tasks[[#This Row],[Task Name]]="","",IF(Tasks[[#This Row],[_IsSummary]],MIN(INDEX(Tasks[_LeafLateStart],Tasks[[#This Row],[_Row]]+1):INDEX(Tasks[_LeafLateStart],Tasks[[#This Row],[_Row]]+Tasks[[#This Row],[_Descendants]])),Tasks[[#This Row],[_LeafLateStart]]))</f>
        <v/>
      </c>
      <c r="AU162" s="63" t="str">
        <f aca="false">IF(Tasks[[#This Row],[Task Name]]="","",IF(Tasks[[#This Row],[_IsSummary]],MAX(INDEX(Tasks[_LeafLateFinish],Tasks[[#This Row],[_Row]]+1):INDEX(Tasks[_LeafLateFinish],Tasks[[#This Row],[_Row]]+Tasks[[#This Row],[_Descendants]])),Tasks[[#This Row],[_LeafLateFinish]]))</f>
        <v/>
      </c>
      <c r="AV162" s="47" t="str">
        <f aca="false">IF(Tasks[[#This Row],[Task Name]]="","",IF(Tasks[[#This Row],[_IsSummary]],MIN(INDEX(Tasks[_LeafTotalSlack],Tasks[[#This Row],[_Row]]+1):INDEX(Tasks[_LeafTotalSlack],Tasks[[#This Row],[_Row]]+Tasks[[#This Row],[_Descendants]])),Tasks[[#This Row],[_LeafTotalSlack]]))</f>
        <v/>
      </c>
      <c r="AW1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5"/>
      <c r="BA16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t="str">
        <f aca="false">IF(Tasks[[#This Row],[Task Name]]="","",IF(Tasks[[#This Row],[_Level]]&lt;=OutlineShowLevel,"Yes","No"))</f>
        <v/>
      </c>
      <c r="BE162" s="86" t="str">
        <f aca="false">IF(Tasks[[#This Row],[Task Name]]="","",IF(Tasks[[#This Row],[_IsSummary]],SUM(INDEX(Tasks[_LeafTotalWork],Tasks[[#This Row],[_Row]]+1):INDEX(Tasks[_LeafTotalWork],Tasks[[#This Row],[_Row]]+Tasks[[#This Row],[_Descendants]])),Tasks[[#This Row],[_LeafTotalWork]]))</f>
        <v/>
      </c>
      <c r="BF162" s="23"/>
      <c r="BG1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t="str">
        <f aca="false">""</f>
        <v/>
      </c>
      <c r="BI162" s="87"/>
      <c r="BJ162" s="22"/>
      <c r="BK162" s="47" t="str">
        <f aca="false">IF(OR(Tasks[[#This Row],[Task Name]]="",Tasks[[#This Row],[Baseline Duration]]=""),"",Tasks[[#This Row],[_SpanDays]]-N(Tasks[[#This Row],[Baseline Duration]]))</f>
        <v/>
      </c>
      <c r="BL162" s="86" t="str">
        <f aca="false">IF(OR(Tasks[[#This Row],[Task Name]]="",Tasks[[#This Row],[Baseline Work]]=""),"",Tasks[[#This Row],[Work]]-N(Tasks[[#This Row],[Baseline Work]]))</f>
        <v/>
      </c>
      <c r="BM162" s="63" t="str">
        <f aca="false">IF(Tasks[[#This Row],[Task Name]]="","",IF(OR(TakeBaseline="Yes",N(Tasks[[#This Row],[Baseline Start]])=0),Tasks[[#This Row],[Start]],Tasks[[#This Row],[Baseline Start]]))</f>
        <v/>
      </c>
      <c r="BN162" s="63" t="str">
        <f aca="false">IF(Tasks[[#This Row],[Task Name]]="","",IF(OR(TakeBaseline="Yes",N(Tasks[[#This Row],[Baseline Finish]])=0),Tasks[[#This Row],[Finish]],Tasks[[#This Row],[Baseline Finish]]))</f>
        <v/>
      </c>
      <c r="BO162" s="21" t="str">
        <f aca="false">IF(Tasks[[#This Row],[Task Name]]="","",IF(OR(TakeBaseline="Yes",N(Tasks[[#This Row],[Baseline Duration]])=0),Tasks[[#This Row],[_SpanDays]],Tasks[[#This Row],[Baseline Duration]]))</f>
        <v/>
      </c>
      <c r="BP162" s="86" t="str">
        <f aca="false">IF(Tasks[[#This Row],[Task Name]]="","",IF(OR(TakeBaseline="Yes",N(Tasks[[#This Row],[Baseline Work]])=0),Tasks[[#This Row],[Work]],Tasks[[#This Row],[Baseline Work]]))</f>
        <v/>
      </c>
      <c r="BQ162" s="7"/>
      <c r="BR162" s="7"/>
      <c r="BS162" s="22"/>
      <c r="BT162" s="88"/>
      <c r="BU162" s="23"/>
      <c r="BV162" s="23"/>
      <c r="BW162" s="23"/>
      <c r="BX162" s="89" t="str">
        <f aca="false">IF(AND(Tasks[[#This Row],[_IsLeaf]]=1,ISNUMBER(Tasks[[#This Row],[Optimistic]]),ISNUMBER(Tasks[[#This Row],[Pessimistic]])),ROUND((Tasks[[#This Row],[Optimistic]]+4*N(Tasks[[#This Row],[_Days]])+Tasks[[#This Row],[Pessimistic]])/6,1),"")</f>
        <v/>
      </c>
      <c r="BY162" s="87"/>
      <c r="BZ162" s="87"/>
      <c r="CA162" s="22"/>
      <c r="CB162" s="43" t="str">
        <f aca="false">IF(Tasks[[#This Row],[Task Name]]="","",MAX(1,N(Tasks[[#This Row],[Level]])))</f>
        <v/>
      </c>
      <c r="CC162" s="43" t="n">
        <f aca="false">ROW()-ROW(Tasks[[#Headers],[ID]])</f>
        <v>157</v>
      </c>
      <c r="CD162" s="43" t="n">
        <f aca="false">IF(OR(Tasks[[#This Row],[Task Name]]="",Tasks[[#This Row],[_Level]]&lt;=1),0,IFERROR(LOOKUP(2,1/(Tasks[[#Headers],[_Level]]:Tasks[[#This Row],[_Level]]=Tasks[[#This Row],[_Level]]-1),ROW(Tasks[[#Headers],[_Level]]:Tasks[[#This Row],[_Level]])),0))</f>
        <v>0</v>
      </c>
      <c r="CE162" s="43" t="n">
        <f aca="false">IFERROR(N(INDEX(Tasks[_Level],Tasks[[#This Row],[_Row]]+1)),0)</f>
        <v>0</v>
      </c>
      <c r="CF162" s="90" t="b">
        <f aca="false">AND(Tasks[[#This Row],[Task Name]]&lt;&gt;"",Tasks[[#This Row],[_NextLevel]]&gt;Tasks[[#This Row],[_Level]])</f>
        <v>0</v>
      </c>
      <c r="CG162" s="43" t="n">
        <f aca="false">IF(Tasks[[#This Row],[_IsSummary]],COUNTIF(Tasks[WBS],Tasks[[#This Row],[WBS]]&amp;".*"),0)</f>
        <v>0</v>
      </c>
      <c r="CH162" s="43" t="n">
        <f aca="false">IF(AND(Tasks[[#This Row],[Task Name]]&lt;&gt;"",NOT(Tasks[[#This Row],[_IsSummary]])),1,0)</f>
        <v>0</v>
      </c>
      <c r="CI162" s="43" t="n">
        <f aca="false">IF(N(Tasks[[#This Row],[_Pred1UID]])=0,0,IFERROR(MATCH(Tasks[[#This Row],[_Pred1UID]],Tasks[UID],0),-1))</f>
        <v>0</v>
      </c>
      <c r="CJ162" s="43" t="n">
        <f aca="false">IF(N(Tasks[[#This Row],[_Pred2UID]])=0,0,IFERROR(MATCH(Tasks[[#This Row],[_Pred2UID]],Tasks[UID],0),-1))</f>
        <v>0</v>
      </c>
      <c r="CK162" s="43" t="n">
        <f aca="false">IF(N(Tasks[[#This Row],[_Pred3UID]])=0,0,IFERROR(MATCH(Tasks[[#This Row],[_Pred3UID]],Tasks[UID],0),-1))</f>
        <v>0</v>
      </c>
      <c r="CL162" s="43" t="n">
        <f aca="false">IF(N(Tasks[[#This Row],[_Pred4UID]])=0,0,IFERROR(MATCH(Tasks[[#This Row],[_Pred4UID]],Tasks[UID],0),-1))</f>
        <v>0</v>
      </c>
      <c r="CM1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2" s="91" t="n">
        <f aca="false">IF(OR(Tasks[[#This Row],[_ConstraintCode]]=2,Tasks[[#This Row],[_ConstraintCode]]=3,Tasks[[#This Row],[_ConstraintCode]]=4,Tasks[[#This Row],[_ConstraintCode]]=6),Tasks[[#This Row],[_ConstraintStart]],0)</f>
        <v>0</v>
      </c>
      <c r="CP162" s="91" t="n">
        <f aca="false">IF(OR(Tasks[[#This Row],[_ConstraintCode]]=2,Tasks[[#This Row],[_ConstraintCode]]=3,Tasks[[#This Row],[_ConstraintCode]]=5,Tasks[[#This Row],[_ConstraintCode]]=7),Tasks[[#This Row],[_ConstraintStart]],2958465)</f>
        <v>2958465</v>
      </c>
      <c r="CQ1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2" s="91" t="str">
        <f aca="false">IF(NOT(Tasks[[#This Row],[_IsLeaf]]=1),"",IF(N(Tasks[[#This Row],[_Days]])&lt;=0,Tasks[[#This Row],[_LeafCalcStart]],WORKDAY.INTL(Tasks[[#This Row],[_LeafCalcStart]],Tasks[[#This Row],[_Days]]-1,WorkWeek,Holidays)))</f>
        <v/>
      </c>
      <c r="CS1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2" s="43" t="str">
        <f aca="false">IF(Tasks[[#This Row],[_Predecessors]]="","",TRIM(MID(SUBSTITUTE(SUBSTITUTE(SUBSTITUTE(UPPER(Tasks[[#This Row],[_Predecessors]]),";",",")," ",""),",",REPT(" ",99)),1,99)))</f>
        <v/>
      </c>
      <c r="CV162" s="43" t="str">
        <f aca="false">IF(Tasks[[#This Row],[_Pred1Text]]="","",IFERROR(VALUE(LEFT(Tasks[[#This Row],[_Pred1Text]],MIN(FIND("F",Tasks[[#This Row],[_Pred1Text]]&amp;"F"),FIND("S",Tasks[[#This Row],[_Pred1Text]]&amp;"S"),FIND("+",Tasks[[#This Row],[_Pred1Text]]&amp;"+"),FIND("-",Tasks[[#This Row],[_Pred1Text]]&amp;"-"))-1)),""))</f>
        <v/>
      </c>
      <c r="CW1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2" s="43" t="str">
        <f aca="false">IF(Tasks[[#This Row],[_Pred1Text]]="","",TRIM(MID(SUBSTITUTE(SUBSTITUTE(SUBSTITUTE(UPPER(Tasks[[#This Row],[_Predecessors]]),";",",")," ",""),",",REPT(" ",99)),100,99)))</f>
        <v/>
      </c>
      <c r="CZ162" s="43" t="str">
        <f aca="false">IF(Tasks[[#This Row],[_Pred2Text]]="","",IFERROR(VALUE(LEFT(Tasks[[#This Row],[_Pred2Text]],MIN(FIND("F",Tasks[[#This Row],[_Pred2Text]]&amp;"F"),FIND("S",Tasks[[#This Row],[_Pred2Text]]&amp;"S"),FIND("+",Tasks[[#This Row],[_Pred2Text]]&amp;"+"),FIND("-",Tasks[[#This Row],[_Pred2Text]]&amp;"-"))-1)),""))</f>
        <v/>
      </c>
      <c r="DA1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2" s="43" t="str">
        <f aca="false">IF(Tasks[[#This Row],[_Pred2Text]]="","",TRIM(MID(SUBSTITUTE(SUBSTITUTE(SUBSTITUTE(UPPER(Tasks[[#This Row],[_Predecessors]]),";",",")," ",""),",",REPT(" ",99)),199,99)))</f>
        <v/>
      </c>
      <c r="DD162" s="43" t="str">
        <f aca="false">IF(Tasks[[#This Row],[_Pred3Text]]="","",IFERROR(VALUE(LEFT(Tasks[[#This Row],[_Pred3Text]],MIN(FIND("F",Tasks[[#This Row],[_Pred3Text]]&amp;"F"),FIND("S",Tasks[[#This Row],[_Pred3Text]]&amp;"S"),FIND("+",Tasks[[#This Row],[_Pred3Text]]&amp;"+"),FIND("-",Tasks[[#This Row],[_Pred3Text]]&amp;"-"))-1)),""))</f>
        <v/>
      </c>
      <c r="DE1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2" s="43" t="str">
        <f aca="false">IF(Tasks[[#This Row],[_Pred3Text]]="","",TRIM(MID(SUBSTITUTE(SUBSTITUTE(SUBSTITUTE(UPPER(Tasks[[#This Row],[_Predecessors]]),";",",")," ",""),",",REPT(" ",99)),298,99)))</f>
        <v/>
      </c>
      <c r="DH162" s="43" t="str">
        <f aca="false">IF(Tasks[[#This Row],[_Pred4Text]]="","",IFERROR(VALUE(LEFT(Tasks[[#This Row],[_Pred4Text]],MIN(FIND("F",Tasks[[#This Row],[_Pred4Text]]&amp;"F"),FIND("S",Tasks[[#This Row],[_Pred4Text]]&amp;"S"),FIND("+",Tasks[[#This Row],[_Pred4Text]]&amp;"+"),FIND("-",Tasks[[#This Row],[_Pred4Text]]&amp;"-"))-1)),""))</f>
        <v/>
      </c>
      <c r="DI1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2" s="43" t="str">
        <f aca="false">IF(OR(Tasks[[#This Row],[Task Name]]="",Tasks[[#This Row],[_Resources]]=""),"",TRIM(MID(SUBSTITUTE(Tasks[[#This Row],[_Resources]],",",REPT(" ",99)),1,99)))</f>
        <v/>
      </c>
      <c r="DL162" s="43" t="str">
        <f aca="false">IF(Tasks[[#This Row],[_Res1Text]]="","",TRIM(MID(SUBSTITUTE(Tasks[[#This Row],[_Resources]],",",REPT(" ",99)),100,99)))</f>
        <v/>
      </c>
      <c r="DM162" s="43" t="str">
        <f aca="false">IF(Tasks[[#This Row],[_Res2Text]]="","",TRIM(MID(SUBSTITUTE(Tasks[[#This Row],[_Resources]],",",REPT(" ",99)),199,99)))</f>
        <v/>
      </c>
      <c r="DN162" s="43" t="str">
        <f aca="false">IF(Tasks[[#This Row],[_Res3Text]]="","",TRIM(MID(SUBSTITUTE(Tasks[[#This Row],[_Resources]],",",REPT(" ",99)),298,99)))</f>
        <v/>
      </c>
      <c r="DO162" s="43" t="n">
        <f aca="false">IF(Tasks[[#This Row],[_Res1Text]]="",0,IFERROR(MATCH(TRIM(LEFT(Tasks[[#This Row],[_Res1Text]],FIND("[",Tasks[[#This Row],[_Res1Text]]&amp;"[")-1)),res_Name,0),IFERROR(MATCH(TRIM(LEFT(Tasks[[#This Row],[_Res1Text]],FIND("[",Tasks[[#This Row],[_Res1Text]]&amp;"[")-1)),res_Initials,0),0)))</f>
        <v>0</v>
      </c>
      <c r="DP162" s="43" t="n">
        <f aca="false">IF(Tasks[[#This Row],[_Res2Text]]="",0,IFERROR(MATCH(TRIM(LEFT(Tasks[[#This Row],[_Res2Text]],FIND("[",Tasks[[#This Row],[_Res2Text]]&amp;"[")-1)),res_Name,0),IFERROR(MATCH(TRIM(LEFT(Tasks[[#This Row],[_Res2Text]],FIND("[",Tasks[[#This Row],[_Res2Text]]&amp;"[")-1)),res_Initials,0),0)))</f>
        <v>0</v>
      </c>
      <c r="DQ162" s="43" t="n">
        <f aca="false">IF(Tasks[[#This Row],[_Res3Text]]="",0,IFERROR(MATCH(TRIM(LEFT(Tasks[[#This Row],[_Res3Text]],FIND("[",Tasks[[#This Row],[_Res3Text]]&amp;"[")-1)),res_Name,0),IFERROR(MATCH(TRIM(LEFT(Tasks[[#This Row],[_Res3Text]],FIND("[",Tasks[[#This Row],[_Res3Text]]&amp;"[")-1)),res_Initials,0),0)))</f>
        <v>0</v>
      </c>
      <c r="DR162" s="43" t="n">
        <f aca="false">IF(Tasks[[#This Row],[_Res4Text]]="",0,IFERROR(MATCH(TRIM(LEFT(Tasks[[#This Row],[_Res4Text]],FIND("[",Tasks[[#This Row],[_Res4Text]]&amp;"[")-1)),res_Name,0),IFERROR(MATCH(TRIM(LEFT(Tasks[[#This Row],[_Res4Text]],FIND("[",Tasks[[#This Row],[_Res4Text]]&amp;"[")-1)),res_Initials,0),0)))</f>
        <v>0</v>
      </c>
      <c r="DS162" s="43" t="str">
        <f aca="false">IF(Tasks[[#This Row],[_Res1Text]]="","",IF(Tasks[[#This Row],[_Res1Row]]&gt;0,INDEX(res_Name,Tasks[[#This Row],[_Res1Row]]),TRIM(LEFT(Tasks[[#This Row],[_Res1Text]],FIND("[",Tasks[[#This Row],[_Res1Text]]&amp;"[")-1))))</f>
        <v/>
      </c>
      <c r="DT1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2" s="43" t="n">
        <f aca="false">IF(NOT(Tasks[[#This Row],[_IsLeaf]]=1),0,(Tasks[[#This Row],[_Resource1]]&lt;&gt;"")+(Tasks[[#This Row],[_Res2]]&lt;&gt;"")+(Tasks[[#This Row],[_Res3]]&lt;&gt;"")+(Tasks[[#This Row],[_Res4]]&lt;&gt;""))</f>
        <v>0</v>
      </c>
      <c r="DV162" s="43" t="str">
        <f aca="false">IF(Tasks[[#This Row],[_Res2Text]]="","",IF(Tasks[[#This Row],[_Res2Row]]&gt;0,INDEX(res_Name,Tasks[[#This Row],[_Res2Row]]),TRIM(LEFT(Tasks[[#This Row],[_Res2Text]],FIND("[",Tasks[[#This Row],[_Res2Text]]&amp;"[")-1))))</f>
        <v/>
      </c>
      <c r="DW1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2" s="43" t="n">
        <f aca="false">IF(OR(NOT(Tasks[[#This Row],[_IsLeaf]]=1),Tasks[[#This Row],[_Res2Row]]=0),0,N(Tasks[[#This Row],[_Days]])*HoursPerDay*IF(Tasks[[#This Row],[_Res2Units]]="",DefaultUnits,Tasks[[#This Row],[_Res2Units]]))</f>
        <v>0</v>
      </c>
      <c r="DY162" s="43" t="n">
        <f aca="false">IF(AND(AND(Tasks[[#This Row],[_IsLeaf]]=1,Tasks[[#This Row],[_LeafTotalWork]]&gt;0),Tasks[[#This Row],[_Res2Work]]&gt;0),Tasks[[#This Row],[_Res2Work]]/(Tasks[[#This Row],[_FinishWorkday]]-Tasks[[#This Row],[_StartWorkday]]+1),0)</f>
        <v>0</v>
      </c>
      <c r="DZ162" s="43" t="n">
        <f aca="false">Tasks[[#This Row],[_Res2WorkPerWD]]*MAX(0,Tasks[[#This Row],[_StartWorkday]]-1)</f>
        <v>0</v>
      </c>
      <c r="EA162" s="43" t="n">
        <f aca="false">Tasks[[#This Row],[_Res2Work]]*Tasks[[#This Row],[_LeafProgress]]</f>
        <v>0</v>
      </c>
      <c r="EB162" s="43" t="str">
        <f aca="false">IF(Tasks[[#This Row],[_Res3Text]]="","",IF(Tasks[[#This Row],[_Res3Row]]&gt;0,INDEX(res_Name,Tasks[[#This Row],[_Res3Row]]),TRIM(LEFT(Tasks[[#This Row],[_Res3Text]],FIND("[",Tasks[[#This Row],[_Res3Text]]&amp;"[")-1))))</f>
        <v/>
      </c>
      <c r="EC1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2" s="43" t="n">
        <f aca="false">IF(OR(NOT(Tasks[[#This Row],[_IsLeaf]]=1),Tasks[[#This Row],[_Res3Row]]=0),0,N(Tasks[[#This Row],[_Days]])*HoursPerDay*IF(Tasks[[#This Row],[_Res3Units]]="",DefaultUnits,Tasks[[#This Row],[_Res3Units]]))</f>
        <v>0</v>
      </c>
      <c r="EE162" s="43" t="n">
        <f aca="false">IF(AND(AND(Tasks[[#This Row],[_IsLeaf]]=1,Tasks[[#This Row],[_LeafTotalWork]]&gt;0),Tasks[[#This Row],[_Res3Work]]&gt;0),Tasks[[#This Row],[_Res3Work]]/(Tasks[[#This Row],[_FinishWorkday]]-Tasks[[#This Row],[_StartWorkday]]+1),0)</f>
        <v>0</v>
      </c>
      <c r="EF162" s="43" t="n">
        <f aca="false">Tasks[[#This Row],[_Res3WorkPerWD]]*MAX(0,Tasks[[#This Row],[_StartWorkday]]-1)</f>
        <v>0</v>
      </c>
      <c r="EG162" s="43" t="n">
        <f aca="false">Tasks[[#This Row],[_Res3Work]]*Tasks[[#This Row],[_LeafProgress]]</f>
        <v>0</v>
      </c>
      <c r="EH162" s="43" t="str">
        <f aca="false">IF(Tasks[[#This Row],[_Res4Text]]="","",IF(Tasks[[#This Row],[_Res4Row]]&gt;0,INDEX(res_Name,Tasks[[#This Row],[_Res4Row]]),TRIM(LEFT(Tasks[[#This Row],[_Res4Text]],FIND("[",Tasks[[#This Row],[_Res4Text]]&amp;"[")-1))))</f>
        <v/>
      </c>
      <c r="EI1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2" s="43" t="n">
        <f aca="false">IF(OR(NOT(Tasks[[#This Row],[_IsLeaf]]=1),Tasks[[#This Row],[_Res4Row]]=0),0,N(Tasks[[#This Row],[_Days]])*HoursPerDay*IF(Tasks[[#This Row],[_Res4Units]]="",DefaultUnits,Tasks[[#This Row],[_Res4Units]]))</f>
        <v>0</v>
      </c>
      <c r="EK162" s="43" t="n">
        <f aca="false">IF(AND(AND(Tasks[[#This Row],[_IsLeaf]]=1,Tasks[[#This Row],[_LeafTotalWork]]&gt;0),Tasks[[#This Row],[_Res4Work]]&gt;0),Tasks[[#This Row],[_Res4Work]]/(Tasks[[#This Row],[_FinishWorkday]]-Tasks[[#This Row],[_StartWorkday]]+1),0)</f>
        <v>0</v>
      </c>
      <c r="EL162" s="43" t="n">
        <f aca="false">Tasks[[#This Row],[_Res4WorkPerWD]]*MAX(0,Tasks[[#This Row],[_StartWorkday]]-1)</f>
        <v>0</v>
      </c>
      <c r="EM162" s="43" t="n">
        <f aca="false">Tasks[[#This Row],[_Res4Work]]*Tasks[[#This Row],[_LeafProgress]]</f>
        <v>0</v>
      </c>
      <c r="EN162" s="43" t="n">
        <f aca="false">IF(ISNUMBER(Tasks[[#This Row],[% Complete]]),Tasks[[#This Row],[% Complete]],IF(Tasks[[#This Row],[Stage]]="",0,IFERROR(INDEX(stg_Pct,MATCH(Tasks[[#This Row],[Stage]],stg_Name,0)),0)))</f>
        <v>0</v>
      </c>
      <c r="EO162" s="43" t="n">
        <f aca="false">IF(NOT(Tasks[[#This Row],[_IsLeaf]]=1),0,IF(N(Tasks[[#This Row],[Actual Finish]])&gt;0,1,MIN(1,Tasks[[#This Row],[_Pct]])))</f>
        <v>0</v>
      </c>
      <c r="EP162" s="43" t="n">
        <f aca="false">IF(OR(NOT(Tasks[[#This Row],[_IsLeaf]]=1),Tasks[[#This Row],[_Res1Row]]=0),0,N(Tasks[[#This Row],[_Days]])*HoursPerDay*IF(Tasks[[#This Row],[_Units1]]="",DefaultUnits,Tasks[[#This Row],[_Units1]]))</f>
        <v>0</v>
      </c>
      <c r="EQ162" s="43" t="n">
        <f aca="false">Tasks[[#This Row],[_LeafWork]]+Tasks[[#This Row],[_Res2Work]]+Tasks[[#This Row],[_Res3Work]]+Tasks[[#This Row],[_Res4Work]]</f>
        <v>0</v>
      </c>
      <c r="ER16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2" s="43" t="n">
        <f aca="false">IF(NOT(Tasks[[#This Row],[_IsLeaf]]=1),0,MAX(_xlfn.MAXIFS(Tasks[_Row],Tasks[_Pred1UID],Tasks[[#This Row],[UID]]),_xlfn.MAXIFS(Tasks[_Row],Tasks[_Pred2UID],Tasks[[#This Row],[UID]]),_xlfn.MAXIFS(Tasks[_Row],Tasks[_Pred3UID],Tasks[[#This Row],[UID]]),_xlfn.MAXIFS(Tasks[_Row],Tasks[_Pred4UID],Tasks[[#This Row],[UID]])))</f>
        <v>0</v>
      </c>
      <c r="FA1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2" s="91" t="str">
        <f aca="false">IF(NOT(Tasks[[#This Row],[_IsLeaf]]=1),"",IF(N(Tasks[[#This Row],[_Days]])&lt;=0,Tasks[[#This Row],[_LeafLateFinish]],WORKDAY.INTL(Tasks[[#This Row],[_LeafLateFinish]],-(Tasks[[#This Row],[_Days]]-1),WorkWeek,Holidays)))</f>
        <v/>
      </c>
      <c r="FD1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2" s="90" t="b">
        <f aca="false">AND(Tasks[[#This Row],[_IsLeaf]]=1,Tasks[[#This Row],[_LeafProgress]]&lt;1,N(Tasks[[#This Row],[_LeafTotalSlack]])&lt;=CriticalSlackDays)</f>
        <v>0</v>
      </c>
      <c r="FF162" s="43" t="n">
        <f aca="false">IF(AND(Tasks[[#This Row],[_IsLeaf]]=1,Tasks[[#This Row],[_ConstraintCode]]=1,Tasks[[#This Row],[Mode]]&lt;&gt;"Manual",N(Tasks[[#This Row],[Actual Start]])=0),MAX(0,N(Tasks[[#This Row],[Free Slack]])),0)</f>
        <v>0</v>
      </c>
      <c r="FG162" s="91" t="str">
        <f aca="false">IF(NOT(Tasks[[#This Row],[_IsLeaf]]=1),"",IF(Tasks[[#This Row],[_AlapShift]]=0,Tasks[[#This Row],[_LeafCalcStart]],WORKDAY.INTL(Tasks[[#This Row],[_LeafCalcStart]],Tasks[[#This Row],[_AlapShift]],WorkWeek,Holidays)))</f>
        <v/>
      </c>
      <c r="FH162" s="91" t="str">
        <f aca="false">IF(NOT(Tasks[[#This Row],[_IsLeaf]]=1),"",IF(Tasks[[#This Row],[_AlapShift]]=0,Tasks[[#This Row],[_LeafCalcFinish]],WORKDAY.INTL(Tasks[[#This Row],[_LeafCalcFinish]],Tasks[[#This Row],[_AlapShift]],WorkWeek,Holidays)))</f>
        <v/>
      </c>
      <c r="FI162" s="91" t="str">
        <f aca="false">IF(NOT(Tasks[[#This Row],[_IsLeaf]]=1),"",IF(Tasks[[#This Row],[_AlapShift]]=0,Tasks[[#This Row],[_LeafFcstStart]],WORKDAY.INTL(Tasks[[#This Row],[_LeafFcstStart]],Tasks[[#This Row],[_AlapShift]],WorkWeek,Holidays)))</f>
        <v/>
      </c>
      <c r="FJ162" s="91" t="str">
        <f aca="false">IF(NOT(Tasks[[#This Row],[_IsLeaf]]=1),"",IF(Tasks[[#This Row],[_AlapShift]]=0,Tasks[[#This Row],[_LeafFcstFinish]],WORKDAY.INTL(Tasks[[#This Row],[_LeafFcstFinish]],Tasks[[#This Row],[_AlapShift]],WorkWeek,Holidays)))</f>
        <v/>
      </c>
      <c r="FK162" s="91" t="str">
        <f aca="false">IF(Tasks[[#This Row],[Task Name]]="","",IF(Tasks[[#This Row],[_IsSummary]],MIN(INDEX(Tasks[_ShownCalcStart],Tasks[[#This Row],[_Row]]+1):INDEX(Tasks[_ShownCalcStart],Tasks[[#This Row],[_Row]]+Tasks[[#This Row],[_Descendants]])),Tasks[[#This Row],[_ShownCalcStart]]))</f>
        <v/>
      </c>
      <c r="FL162" s="91" t="str">
        <f aca="false">IF(Tasks[[#This Row],[Task Name]]="","",IF(Tasks[[#This Row],[_IsSummary]],MAX(INDEX(Tasks[_ShownCalcFinish],Tasks[[#This Row],[_Row]]+1):INDEX(Tasks[_ShownCalcFinish],Tasks[[#This Row],[_Row]]+Tasks[[#This Row],[_Descendants]])),Tasks[[#This Row],[_ShownCalcFinish]]))</f>
        <v/>
      </c>
      <c r="FM1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2" s="43" t="n">
        <f aca="false">IF(AND(Tasks[[#This Row],[_IsLeaf]]=1,Tasks[[#This Row],[_LeafTotalWork]]&gt;0),NETWORKDAYS.INTL(ProjectStart,Tasks[[#This Row],[_ShownFcstStart]],WorkWeek,Holidays),0)</f>
        <v>0</v>
      </c>
      <c r="FZ162" s="43" t="n">
        <f aca="false">IF(AND(Tasks[[#This Row],[_IsLeaf]]=1,Tasks[[#This Row],[_LeafTotalWork]]&gt;0),MAX(Tasks[[#This Row],[_StartWorkday]],NETWORKDAYS.INTL(ProjectStart,Tasks[[#This Row],[_ShownFcstFinish]],WorkWeek,Holidays)),0)</f>
        <v>0</v>
      </c>
      <c r="GA162" s="43" t="n">
        <f aca="false">IF(AND(Tasks[[#This Row],[_IsLeaf]]=1,Tasks[[#This Row],[_LeafTotalWork]]&gt;0),Tasks[[#This Row],[_LeafWork]]/(Tasks[[#This Row],[_FinishWorkday]]-Tasks[[#This Row],[_StartWorkday]]+1),0)</f>
        <v>0</v>
      </c>
      <c r="GB162" s="43" t="n">
        <f aca="false">Tasks[[#This Row],[_WorkPerWorkday]]*(Tasks[[#This Row],[_StartWorkday]]-1)</f>
        <v>-0</v>
      </c>
      <c r="GC162" s="43" t="n">
        <f aca="false">IF(Tasks[[#This Row],[_IsLeaf]]=1,MAX(N(Tasks[[#This Row],[_Days]]),0.1),0)</f>
        <v>0</v>
      </c>
      <c r="GD162" s="43" t="n">
        <f aca="false">Tasks[[#This Row],[_WeightDur]]*Tasks[[#This Row],[_LeafProgress]]</f>
        <v>0</v>
      </c>
      <c r="GE162" s="43" t="n">
        <f aca="false">Tasks[[#This Row],[_WeightDur]]*Tasks[[#This Row],[_PlannedPct]]</f>
        <v>0</v>
      </c>
      <c r="GF1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2" s="43" t="str">
        <f aca="false">IF(AND(Tasks[[#This Row],[_IsLeaf]]=1,N(Tasks[[#This Row],[_Days]])=0,Tasks[[#This Row],[_LeafProgress]]&lt;1),Tasks[[#This Row],[_ShownFcstFinish]]+Tasks[[#This Row],[_Row]]/100000,"")</f>
        <v/>
      </c>
      <c r="GH1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2" s="43" t="str">
        <f aca="false">IF(Tasks[[#This Row],[Task Name]]="","",LEFT(Tasks[[#This Row],[WBS]],FIND(".",Tasks[[#This Row],[WBS]]&amp;".")-1))</f>
        <v/>
      </c>
      <c r="GJ162" s="43" t="str">
        <f aca="false">IF(AND(Tasks[[#This Row],[Task Name]]&lt;&gt;"",Tasks[[#This Row],[_Level]]=1),Tasks[[#This Row],[_Row]],"")</f>
        <v/>
      </c>
      <c r="GK162" s="43" t="str">
        <f aca="false">IF(AND(Tasks[[#This Row],[_IsLeaf]]=1,N(Tasks[[#This Row],[_Days]])=0),Tasks[[#This Row],[Planned Finish]]+Tasks[[#This Row],[_Row]]/100000,"")</f>
        <v/>
      </c>
      <c r="GL162" s="43" t="str">
        <f aca="false">IF(AND(Tasks[[#This Row],[_IsLeaf]]=1,Tasks[[#This Row],[_LeafProgress]]&lt;1,OR(N(Tasks[[#This Row],[Finish Var]])&gt;0,Tasks[[#This Row],[Status]]="Late Start")),MAX(0,Tasks[[#This Row],[Finish Var]])+1-Tasks[[#This Row],[_Row]]/1000000,"")</f>
        <v/>
      </c>
      <c r="GM162" s="43" t="str">
        <f aca="false">IF(AND(Tasks[[#This Row],[_IsLeaf]]=1,N(Tasks[[#This Row],[Actual Start]])=0,Tasks[[#This Row],[_ShownFcstStart]]&gt;=StatusDate,Tasks[[#This Row],[_ShownFcstStart]]&lt;=LookaheadEnd),Tasks[[#This Row],[_ShownFcstStart]]+Tasks[[#This Row],[_Row]]/100000,"")</f>
        <v/>
      </c>
      <c r="GN162" s="43" t="str">
        <f aca="false">IF(AND(Tasks[[#This Row],[_IsLeaf]]=1,Tasks[[#This Row],[_LeafProgress]]&lt;1,Tasks[[#This Row],[_ShownFcstFinish]]&gt;=StatusDate,Tasks[[#This Row],[_ShownFcstFinish]]&lt;=LookaheadEnd),Tasks[[#This Row],[_ShownFcstFinish]]+Tasks[[#This Row],[_Row]]/100000,"")</f>
        <v/>
      </c>
      <c r="GO162" s="43" t="str">
        <f aca="false">IF(Tasks[[#This Row],[_LeafCritical]],Tasks[[#This Row],[_ShownFcstStart]]+Tasks[[#This Row],[_Row]]/100000,"")</f>
        <v/>
      </c>
      <c r="GP162" s="43" t="n">
        <f aca="false">Tasks[[#This Row],[_LeafWork]]*Tasks[[#This Row],[_LeafProgress]]</f>
        <v>0</v>
      </c>
      <c r="GQ162" s="91" t="str">
        <f aca="false">IF(AND(Tasks[[#This Row],[_IsLeaf]]=1,Tasks[[#This Row],[_LeafProgress]]&gt;=1),IF(N(Tasks[[#This Row],[Actual Finish]])&gt;0,Tasks[[#This Row],[Actual Finish]],Tasks[[#This Row],[_ShownFcstFinish]]),"")</f>
        <v/>
      </c>
      <c r="GR162" s="43" t="n">
        <f aca="false">IF(Tasks[[#This Row],[_IsLeaf]]=1,N(Tasks[[#This Row],[Story Points]]),0)</f>
        <v>0</v>
      </c>
      <c r="GS162" s="43" t="str">
        <f aca="false">""</f>
        <v/>
      </c>
      <c r="GT162" s="90" t="b">
        <f aca="false">IF(Tasks[[#This Row],[Task Name]]="",FALSE(),AND(Tasks[[#This Row],[_IsLeaf]]=1,N(Tasks[[#This Row],[_Days]])=0))</f>
        <v>0</v>
      </c>
      <c r="GU162" s="91" t="n">
        <f aca="false">IF(Tasks[[#This Row],[Task Name]]="",0,IF(AND(Tasks[[#This Row],[_IsLeaf]]=1,NOT(Tasks[[#This Row],[_IsMilestone]]),N(Tasks[[#This Row],[Progress]])&gt;0),Tasks[[#This Row],[Start]],0))</f>
        <v>0</v>
      </c>
      <c r="GV162" s="91" t="n">
        <f aca="false">IF(Tasks[[#This Row],[_DoneFrom]]=0,0,IF(Tasks[[#This Row],[Progress]]&gt;=1,Tasks[[#This Row],[Finish]],MAX(Tasks[[#This Row],[_DoneFrom]],Tasks[[#This Row],[Start]]+ROUND((Tasks[[#This Row],[Finish]]-Tasks[[#This Row],[Start]]+1)*Tasks[[#This Row],[Progress]],0)-1)))</f>
        <v>0</v>
      </c>
      <c r="GW162" s="91" t="n">
        <f aca="false">IF(Tasks[[#This Row],[Task Name]]="",0,IF(OR(NOT(Tasks[[#This Row],[_IsLeaf]]=1),Tasks[[#This Row],[_IsMilestone]],N(Tasks[[#This Row],[Progress]])&gt;=1),0,IF(Tasks[[#This Row],[_DoneTo]]&gt;0,Tasks[[#This Row],[_DoneTo]]+1,Tasks[[#This Row],[Start]])))</f>
        <v>0</v>
      </c>
      <c r="GX162" s="91" t="n">
        <f aca="false">IF(Tasks[[#This Row],[_RemFrom]]=0,0,Tasks[[#This Row],[Finish]])</f>
        <v>0</v>
      </c>
      <c r="GY162" s="90" t="b">
        <f aca="false">IF(Tasks[[#This Row],[Task Name]]="",FALSE(),OR(NOT(BaselineSet),N(Tasks[[#This Row],[Baseline Start]])&gt;0))</f>
        <v>0</v>
      </c>
      <c r="GZ16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2" s="92" t="str">
        <f aca="false">IF(Tasks[[#This Row],[_IsLeaf]]=1,Tasks[[#This Row],[_Row]],"")</f>
        <v/>
      </c>
      <c r="HD162" s="92" t="str">
        <f aca="false">IFERROR(INDEX(Tasks[UID],SMALL(Tasks[_PickKey],Tasks[[#This Row],[_Row]]))&amp;" "&amp;INDEX(Tasks[Task Name],SMALL(Tasks[_PickKey],Tasks[[#This Row],[_Row]])),"")</f>
        <v/>
      </c>
      <c r="HE162" s="43" t="str">
        <f aca="false">IF(Tasks[[#This Row],[Task Name]]="","",IF(Tasks[[#This Row],[_IsSummary]],NETWORKDAYS.INTL(Tasks[[#This Row],[Start]],Tasks[[#This Row],[Finish]],WorkWeek,Holidays),N(Tasks[[#This Row],[_Days]])))</f>
        <v/>
      </c>
      <c r="HF162" s="43" t="n">
        <f aca="false">IF(Tasks[[#This Row],[Expected]]="",0,((Tasks[[#This Row],[Pessimistic]]-Tasks[[#This Row],[Optimistic]])/6)^2)</f>
        <v>0</v>
      </c>
      <c r="HG162" s="43" t="n">
        <f aca="false">IF(Tasks[[#This Row],[Expected]]="",0,Tasks[[#This Row],[Expected]]-N(Tasks[[#This Row],[_Days]]))</f>
        <v>0</v>
      </c>
    </row>
    <row r="163" customFormat="false" ht="15" hidden="false" customHeight="false" outlineLevel="0" collapsed="false">
      <c r="A163" s="21" t="str">
        <f aca="false">IF(Tasks[[#This Row],[Task Name]]="","",COUNTA(Tasks[[#Headers],[Task Name]]:Tasks[[#This Row],[Task Name]])-1)</f>
        <v/>
      </c>
      <c r="B163" s="22" t="n">
        <v>171</v>
      </c>
      <c r="C163" s="22"/>
      <c r="D163" s="23"/>
      <c r="E163" s="22"/>
      <c r="F163" s="23"/>
      <c r="G163" s="22"/>
      <c r="H163" s="22"/>
      <c r="I163" s="23"/>
      <c r="J163" s="22"/>
      <c r="K163" s="22"/>
      <c r="L163" s="23"/>
      <c r="M163" s="22"/>
      <c r="N163" s="22"/>
      <c r="O163" s="23"/>
      <c r="P163" s="22"/>
      <c r="Q163" s="22"/>
      <c r="R163" s="23"/>
      <c r="S163" s="23"/>
      <c r="T163" s="84"/>
      <c r="U163" s="23"/>
      <c r="V163" s="84"/>
      <c r="W163" s="23"/>
      <c r="X163" s="84"/>
      <c r="Y163" s="23"/>
      <c r="Z163" s="84"/>
      <c r="AA163" s="23"/>
      <c r="AB163" s="23"/>
      <c r="AC163" s="7"/>
      <c r="AD163" s="7"/>
      <c r="AE163" s="63" t="str">
        <f aca="false">IF(Tasks[[#This Row],[Task Name]]="","",IF(Tasks[[#This Row],[_IsSummary]],MIN(INDEX(Tasks[_ShownFcstStart],Tasks[[#This Row],[_Row]]+1):INDEX(Tasks[_ShownFcstStart],Tasks[[#This Row],[_Row]]+Tasks[[#This Row],[_Descendants]])),Tasks[[#This Row],[_ShownFcstStart]]))</f>
        <v/>
      </c>
      <c r="AF163" s="63" t="str">
        <f aca="false">IF(Tasks[[#This Row],[Task Name]]="","",IF(Tasks[[#This Row],[_IsSummary]],MAX(INDEX(Tasks[_ShownFcstFinish],Tasks[[#This Row],[_Row]]+1):INDEX(Tasks[_ShownFcstFinish],Tasks[[#This Row],[_Row]]+Tasks[[#This Row],[_Descendants]])),Tasks[[#This Row],[_ShownFcstFinish]]))</f>
        <v/>
      </c>
      <c r="AG163" s="21" t="str">
        <f aca="false">""</f>
        <v/>
      </c>
      <c r="AH163" s="23"/>
      <c r="AI1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3" s="7"/>
      <c r="AK163" s="22"/>
      <c r="AL163" s="23"/>
      <c r="AM163" s="7"/>
      <c r="AN163" s="47" t="str">
        <f aca="false">IF(Tasks[[#This Row],[Task Name]]="","",IF(Tasks[[#This Row],[Finish]]&gt;=Tasks[[#This Row],[Planned Finish]],NETWORKDAYS.INTL(Tasks[[#This Row],[Planned Finish]],Tasks[[#This Row],[Finish]],WorkWeek,Holidays)-1,1-NETWORKDAYS.INTL(Tasks[[#This Row],[Finish]],Tasks[[#This Row],[Planned Finish]],WorkWeek,Holidays)))</f>
        <v/>
      </c>
      <c r="AO163" s="21" t="str">
        <f aca="false">IF(Tasks[[#This Row],[Task Name]]="","",IF(Tasks[[#This Row],[Progress]]&gt;=1,"Complete",IF(OR(N(Tasks[[#This Row],[Actual Start]])&gt;0,Tasks[[#This Row],[Progress]]&gt;0),IF(Tasks[[#This Row],[Finish Var]]&gt;0,"Behind","In Progress"),IF(Tasks[[#This Row],[Planned Start]]&lt;StatusDate,"Late Start","Not Started"))))</f>
        <v/>
      </c>
      <c r="AP163" s="21" t="str">
        <f aca="false">IF(Tasks[[#This Row],[Task Name]]="","",IF(IF(Tasks[[#This Row],[_IsSummary]],COUNTIF(INDEX(Tasks[_LeafCritical],Tasks[[#This Row],[_Row]]+1):INDEX(Tasks[_LeafCritical],Tasks[[#This Row],[_Row]]+Tasks[[#This Row],[_Descendants]]),TRUE())&gt;0,Tasks[[#This Row],[_LeafCritical]]),"Yes",""))</f>
        <v/>
      </c>
      <c r="AQ163" s="63" t="str">
        <f aca="false">IF(Tasks[[#This Row],[Task Name]]="","",IF(N(Tasks[[#This Row],[Baseline Start]])&gt;0,Tasks[[#This Row],[Baseline Start]],Tasks[[#This Row],[_CalcStart]]))</f>
        <v/>
      </c>
      <c r="AR163" s="63" t="str">
        <f aca="false">IF(Tasks[[#This Row],[Task Name]]="","",IF(N(Tasks[[#This Row],[Baseline Finish]])&gt;0,Tasks[[#This Row],[Baseline Finish]],Tasks[[#This Row],[_CalcFinish]]))</f>
        <v/>
      </c>
      <c r="AS163" s="47" t="str">
        <f aca="false">IF(Tasks[[#This Row],[Task Name]]="","",IF(Tasks[[#This Row],[Start]]&gt;=Tasks[[#This Row],[Planned Start]],NETWORKDAYS.INTL(Tasks[[#This Row],[Planned Start]],Tasks[[#This Row],[Start]],WorkWeek,Holidays)-1,1-NETWORKDAYS.INTL(Tasks[[#This Row],[Start]],Tasks[[#This Row],[Planned Start]],WorkWeek,Holidays)))</f>
        <v/>
      </c>
      <c r="AT163" s="63" t="str">
        <f aca="false">IF(Tasks[[#This Row],[Task Name]]="","",IF(Tasks[[#This Row],[_IsSummary]],MIN(INDEX(Tasks[_LeafLateStart],Tasks[[#This Row],[_Row]]+1):INDEX(Tasks[_LeafLateStart],Tasks[[#This Row],[_Row]]+Tasks[[#This Row],[_Descendants]])),Tasks[[#This Row],[_LeafLateStart]]))</f>
        <v/>
      </c>
      <c r="AU163" s="63" t="str">
        <f aca="false">IF(Tasks[[#This Row],[Task Name]]="","",IF(Tasks[[#This Row],[_IsSummary]],MAX(INDEX(Tasks[_LeafLateFinish],Tasks[[#This Row],[_Row]]+1):INDEX(Tasks[_LeafLateFinish],Tasks[[#This Row],[_Row]]+Tasks[[#This Row],[_Descendants]])),Tasks[[#This Row],[_LeafLateFinish]]))</f>
        <v/>
      </c>
      <c r="AV163" s="47" t="str">
        <f aca="false">IF(Tasks[[#This Row],[Task Name]]="","",IF(Tasks[[#This Row],[_IsSummary]],MIN(INDEX(Tasks[_LeafTotalSlack],Tasks[[#This Row],[_Row]]+1):INDEX(Tasks[_LeafTotalSlack],Tasks[[#This Row],[_Row]]+Tasks[[#This Row],[_Descendants]])),Tasks[[#This Row],[_LeafTotalSlack]]))</f>
        <v/>
      </c>
      <c r="AW1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5"/>
      <c r="BA16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t="str">
        <f aca="false">IF(Tasks[[#This Row],[Task Name]]="","",IF(Tasks[[#This Row],[_Level]]&lt;=OutlineShowLevel,"Yes","No"))</f>
        <v/>
      </c>
      <c r="BE163" s="86" t="str">
        <f aca="false">IF(Tasks[[#This Row],[Task Name]]="","",IF(Tasks[[#This Row],[_IsSummary]],SUM(INDEX(Tasks[_LeafTotalWork],Tasks[[#This Row],[_Row]]+1):INDEX(Tasks[_LeafTotalWork],Tasks[[#This Row],[_Row]]+Tasks[[#This Row],[_Descendants]])),Tasks[[#This Row],[_LeafTotalWork]]))</f>
        <v/>
      </c>
      <c r="BF163" s="23"/>
      <c r="BG1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t="str">
        <f aca="false">""</f>
        <v/>
      </c>
      <c r="BI163" s="87"/>
      <c r="BJ163" s="22"/>
      <c r="BK163" s="47" t="str">
        <f aca="false">IF(OR(Tasks[[#This Row],[Task Name]]="",Tasks[[#This Row],[Baseline Duration]]=""),"",Tasks[[#This Row],[_SpanDays]]-N(Tasks[[#This Row],[Baseline Duration]]))</f>
        <v/>
      </c>
      <c r="BL163" s="86" t="str">
        <f aca="false">IF(OR(Tasks[[#This Row],[Task Name]]="",Tasks[[#This Row],[Baseline Work]]=""),"",Tasks[[#This Row],[Work]]-N(Tasks[[#This Row],[Baseline Work]]))</f>
        <v/>
      </c>
      <c r="BM163" s="63" t="str">
        <f aca="false">IF(Tasks[[#This Row],[Task Name]]="","",IF(OR(TakeBaseline="Yes",N(Tasks[[#This Row],[Baseline Start]])=0),Tasks[[#This Row],[Start]],Tasks[[#This Row],[Baseline Start]]))</f>
        <v/>
      </c>
      <c r="BN163" s="63" t="str">
        <f aca="false">IF(Tasks[[#This Row],[Task Name]]="","",IF(OR(TakeBaseline="Yes",N(Tasks[[#This Row],[Baseline Finish]])=0),Tasks[[#This Row],[Finish]],Tasks[[#This Row],[Baseline Finish]]))</f>
        <v/>
      </c>
      <c r="BO163" s="21" t="str">
        <f aca="false">IF(Tasks[[#This Row],[Task Name]]="","",IF(OR(TakeBaseline="Yes",N(Tasks[[#This Row],[Baseline Duration]])=0),Tasks[[#This Row],[_SpanDays]],Tasks[[#This Row],[Baseline Duration]]))</f>
        <v/>
      </c>
      <c r="BP163" s="86" t="str">
        <f aca="false">IF(Tasks[[#This Row],[Task Name]]="","",IF(OR(TakeBaseline="Yes",N(Tasks[[#This Row],[Baseline Work]])=0),Tasks[[#This Row],[Work]],Tasks[[#This Row],[Baseline Work]]))</f>
        <v/>
      </c>
      <c r="BQ163" s="7"/>
      <c r="BR163" s="7"/>
      <c r="BS163" s="22"/>
      <c r="BT163" s="88"/>
      <c r="BU163" s="23"/>
      <c r="BV163" s="23"/>
      <c r="BW163" s="23"/>
      <c r="BX163" s="89" t="str">
        <f aca="false">IF(AND(Tasks[[#This Row],[_IsLeaf]]=1,ISNUMBER(Tasks[[#This Row],[Optimistic]]),ISNUMBER(Tasks[[#This Row],[Pessimistic]])),ROUND((Tasks[[#This Row],[Optimistic]]+4*N(Tasks[[#This Row],[_Days]])+Tasks[[#This Row],[Pessimistic]])/6,1),"")</f>
        <v/>
      </c>
      <c r="BY163" s="87"/>
      <c r="BZ163" s="87"/>
      <c r="CA163" s="22"/>
      <c r="CB163" s="43" t="str">
        <f aca="false">IF(Tasks[[#This Row],[Task Name]]="","",MAX(1,N(Tasks[[#This Row],[Level]])))</f>
        <v/>
      </c>
      <c r="CC163" s="43" t="n">
        <f aca="false">ROW()-ROW(Tasks[[#Headers],[ID]])</f>
        <v>158</v>
      </c>
      <c r="CD163" s="43" t="n">
        <f aca="false">IF(OR(Tasks[[#This Row],[Task Name]]="",Tasks[[#This Row],[_Level]]&lt;=1),0,IFERROR(LOOKUP(2,1/(Tasks[[#Headers],[_Level]]:Tasks[[#This Row],[_Level]]=Tasks[[#This Row],[_Level]]-1),ROW(Tasks[[#Headers],[_Level]]:Tasks[[#This Row],[_Level]])),0))</f>
        <v>0</v>
      </c>
      <c r="CE163" s="43" t="n">
        <f aca="false">IFERROR(N(INDEX(Tasks[_Level],Tasks[[#This Row],[_Row]]+1)),0)</f>
        <v>0</v>
      </c>
      <c r="CF163" s="90" t="b">
        <f aca="false">AND(Tasks[[#This Row],[Task Name]]&lt;&gt;"",Tasks[[#This Row],[_NextLevel]]&gt;Tasks[[#This Row],[_Level]])</f>
        <v>0</v>
      </c>
      <c r="CG163" s="43" t="n">
        <f aca="false">IF(Tasks[[#This Row],[_IsSummary]],COUNTIF(Tasks[WBS],Tasks[[#This Row],[WBS]]&amp;".*"),0)</f>
        <v>0</v>
      </c>
      <c r="CH163" s="43" t="n">
        <f aca="false">IF(AND(Tasks[[#This Row],[Task Name]]&lt;&gt;"",NOT(Tasks[[#This Row],[_IsSummary]])),1,0)</f>
        <v>0</v>
      </c>
      <c r="CI163" s="43" t="n">
        <f aca="false">IF(N(Tasks[[#This Row],[_Pred1UID]])=0,0,IFERROR(MATCH(Tasks[[#This Row],[_Pred1UID]],Tasks[UID],0),-1))</f>
        <v>0</v>
      </c>
      <c r="CJ163" s="43" t="n">
        <f aca="false">IF(N(Tasks[[#This Row],[_Pred2UID]])=0,0,IFERROR(MATCH(Tasks[[#This Row],[_Pred2UID]],Tasks[UID],0),-1))</f>
        <v>0</v>
      </c>
      <c r="CK163" s="43" t="n">
        <f aca="false">IF(N(Tasks[[#This Row],[_Pred3UID]])=0,0,IFERROR(MATCH(Tasks[[#This Row],[_Pred3UID]],Tasks[UID],0),-1))</f>
        <v>0</v>
      </c>
      <c r="CL163" s="43" t="n">
        <f aca="false">IF(N(Tasks[[#This Row],[_Pred4UID]])=0,0,IFERROR(MATCH(Tasks[[#This Row],[_Pred4UID]],Tasks[UID],0),-1))</f>
        <v>0</v>
      </c>
      <c r="CM1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3" s="91" t="n">
        <f aca="false">IF(OR(Tasks[[#This Row],[_ConstraintCode]]=2,Tasks[[#This Row],[_ConstraintCode]]=3,Tasks[[#This Row],[_ConstraintCode]]=4,Tasks[[#This Row],[_ConstraintCode]]=6),Tasks[[#This Row],[_ConstraintStart]],0)</f>
        <v>0</v>
      </c>
      <c r="CP163" s="91" t="n">
        <f aca="false">IF(OR(Tasks[[#This Row],[_ConstraintCode]]=2,Tasks[[#This Row],[_ConstraintCode]]=3,Tasks[[#This Row],[_ConstraintCode]]=5,Tasks[[#This Row],[_ConstraintCode]]=7),Tasks[[#This Row],[_ConstraintStart]],2958465)</f>
        <v>2958465</v>
      </c>
      <c r="CQ1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3" s="91" t="str">
        <f aca="false">IF(NOT(Tasks[[#This Row],[_IsLeaf]]=1),"",IF(N(Tasks[[#This Row],[_Days]])&lt;=0,Tasks[[#This Row],[_LeafCalcStart]],WORKDAY.INTL(Tasks[[#This Row],[_LeafCalcStart]],Tasks[[#This Row],[_Days]]-1,WorkWeek,Holidays)))</f>
        <v/>
      </c>
      <c r="CS1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3" s="43" t="str">
        <f aca="false">IF(Tasks[[#This Row],[_Predecessors]]="","",TRIM(MID(SUBSTITUTE(SUBSTITUTE(SUBSTITUTE(UPPER(Tasks[[#This Row],[_Predecessors]]),";",",")," ",""),",",REPT(" ",99)),1,99)))</f>
        <v/>
      </c>
      <c r="CV163" s="43" t="str">
        <f aca="false">IF(Tasks[[#This Row],[_Pred1Text]]="","",IFERROR(VALUE(LEFT(Tasks[[#This Row],[_Pred1Text]],MIN(FIND("F",Tasks[[#This Row],[_Pred1Text]]&amp;"F"),FIND("S",Tasks[[#This Row],[_Pred1Text]]&amp;"S"),FIND("+",Tasks[[#This Row],[_Pred1Text]]&amp;"+"),FIND("-",Tasks[[#This Row],[_Pred1Text]]&amp;"-"))-1)),""))</f>
        <v/>
      </c>
      <c r="CW1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3" s="43" t="str">
        <f aca="false">IF(Tasks[[#This Row],[_Pred1Text]]="","",TRIM(MID(SUBSTITUTE(SUBSTITUTE(SUBSTITUTE(UPPER(Tasks[[#This Row],[_Predecessors]]),";",",")," ",""),",",REPT(" ",99)),100,99)))</f>
        <v/>
      </c>
      <c r="CZ163" s="43" t="str">
        <f aca="false">IF(Tasks[[#This Row],[_Pred2Text]]="","",IFERROR(VALUE(LEFT(Tasks[[#This Row],[_Pred2Text]],MIN(FIND("F",Tasks[[#This Row],[_Pred2Text]]&amp;"F"),FIND("S",Tasks[[#This Row],[_Pred2Text]]&amp;"S"),FIND("+",Tasks[[#This Row],[_Pred2Text]]&amp;"+"),FIND("-",Tasks[[#This Row],[_Pred2Text]]&amp;"-"))-1)),""))</f>
        <v/>
      </c>
      <c r="DA1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3" s="43" t="str">
        <f aca="false">IF(Tasks[[#This Row],[_Pred2Text]]="","",TRIM(MID(SUBSTITUTE(SUBSTITUTE(SUBSTITUTE(UPPER(Tasks[[#This Row],[_Predecessors]]),";",",")," ",""),",",REPT(" ",99)),199,99)))</f>
        <v/>
      </c>
      <c r="DD163" s="43" t="str">
        <f aca="false">IF(Tasks[[#This Row],[_Pred3Text]]="","",IFERROR(VALUE(LEFT(Tasks[[#This Row],[_Pred3Text]],MIN(FIND("F",Tasks[[#This Row],[_Pred3Text]]&amp;"F"),FIND("S",Tasks[[#This Row],[_Pred3Text]]&amp;"S"),FIND("+",Tasks[[#This Row],[_Pred3Text]]&amp;"+"),FIND("-",Tasks[[#This Row],[_Pred3Text]]&amp;"-"))-1)),""))</f>
        <v/>
      </c>
      <c r="DE1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3" s="43" t="str">
        <f aca="false">IF(Tasks[[#This Row],[_Pred3Text]]="","",TRIM(MID(SUBSTITUTE(SUBSTITUTE(SUBSTITUTE(UPPER(Tasks[[#This Row],[_Predecessors]]),";",",")," ",""),",",REPT(" ",99)),298,99)))</f>
        <v/>
      </c>
      <c r="DH163" s="43" t="str">
        <f aca="false">IF(Tasks[[#This Row],[_Pred4Text]]="","",IFERROR(VALUE(LEFT(Tasks[[#This Row],[_Pred4Text]],MIN(FIND("F",Tasks[[#This Row],[_Pred4Text]]&amp;"F"),FIND("S",Tasks[[#This Row],[_Pred4Text]]&amp;"S"),FIND("+",Tasks[[#This Row],[_Pred4Text]]&amp;"+"),FIND("-",Tasks[[#This Row],[_Pred4Text]]&amp;"-"))-1)),""))</f>
        <v/>
      </c>
      <c r="DI1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3" s="43" t="str">
        <f aca="false">IF(OR(Tasks[[#This Row],[Task Name]]="",Tasks[[#This Row],[_Resources]]=""),"",TRIM(MID(SUBSTITUTE(Tasks[[#This Row],[_Resources]],",",REPT(" ",99)),1,99)))</f>
        <v/>
      </c>
      <c r="DL163" s="43" t="str">
        <f aca="false">IF(Tasks[[#This Row],[_Res1Text]]="","",TRIM(MID(SUBSTITUTE(Tasks[[#This Row],[_Resources]],",",REPT(" ",99)),100,99)))</f>
        <v/>
      </c>
      <c r="DM163" s="43" t="str">
        <f aca="false">IF(Tasks[[#This Row],[_Res2Text]]="","",TRIM(MID(SUBSTITUTE(Tasks[[#This Row],[_Resources]],",",REPT(" ",99)),199,99)))</f>
        <v/>
      </c>
      <c r="DN163" s="43" t="str">
        <f aca="false">IF(Tasks[[#This Row],[_Res3Text]]="","",TRIM(MID(SUBSTITUTE(Tasks[[#This Row],[_Resources]],",",REPT(" ",99)),298,99)))</f>
        <v/>
      </c>
      <c r="DO163" s="43" t="n">
        <f aca="false">IF(Tasks[[#This Row],[_Res1Text]]="",0,IFERROR(MATCH(TRIM(LEFT(Tasks[[#This Row],[_Res1Text]],FIND("[",Tasks[[#This Row],[_Res1Text]]&amp;"[")-1)),res_Name,0),IFERROR(MATCH(TRIM(LEFT(Tasks[[#This Row],[_Res1Text]],FIND("[",Tasks[[#This Row],[_Res1Text]]&amp;"[")-1)),res_Initials,0),0)))</f>
        <v>0</v>
      </c>
      <c r="DP163" s="43" t="n">
        <f aca="false">IF(Tasks[[#This Row],[_Res2Text]]="",0,IFERROR(MATCH(TRIM(LEFT(Tasks[[#This Row],[_Res2Text]],FIND("[",Tasks[[#This Row],[_Res2Text]]&amp;"[")-1)),res_Name,0),IFERROR(MATCH(TRIM(LEFT(Tasks[[#This Row],[_Res2Text]],FIND("[",Tasks[[#This Row],[_Res2Text]]&amp;"[")-1)),res_Initials,0),0)))</f>
        <v>0</v>
      </c>
      <c r="DQ163" s="43" t="n">
        <f aca="false">IF(Tasks[[#This Row],[_Res3Text]]="",0,IFERROR(MATCH(TRIM(LEFT(Tasks[[#This Row],[_Res3Text]],FIND("[",Tasks[[#This Row],[_Res3Text]]&amp;"[")-1)),res_Name,0),IFERROR(MATCH(TRIM(LEFT(Tasks[[#This Row],[_Res3Text]],FIND("[",Tasks[[#This Row],[_Res3Text]]&amp;"[")-1)),res_Initials,0),0)))</f>
        <v>0</v>
      </c>
      <c r="DR163" s="43" t="n">
        <f aca="false">IF(Tasks[[#This Row],[_Res4Text]]="",0,IFERROR(MATCH(TRIM(LEFT(Tasks[[#This Row],[_Res4Text]],FIND("[",Tasks[[#This Row],[_Res4Text]]&amp;"[")-1)),res_Name,0),IFERROR(MATCH(TRIM(LEFT(Tasks[[#This Row],[_Res4Text]],FIND("[",Tasks[[#This Row],[_Res4Text]]&amp;"[")-1)),res_Initials,0),0)))</f>
        <v>0</v>
      </c>
      <c r="DS163" s="43" t="str">
        <f aca="false">IF(Tasks[[#This Row],[_Res1Text]]="","",IF(Tasks[[#This Row],[_Res1Row]]&gt;0,INDEX(res_Name,Tasks[[#This Row],[_Res1Row]]),TRIM(LEFT(Tasks[[#This Row],[_Res1Text]],FIND("[",Tasks[[#This Row],[_Res1Text]]&amp;"[")-1))))</f>
        <v/>
      </c>
      <c r="DT1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3" s="43" t="n">
        <f aca="false">IF(NOT(Tasks[[#This Row],[_IsLeaf]]=1),0,(Tasks[[#This Row],[_Resource1]]&lt;&gt;"")+(Tasks[[#This Row],[_Res2]]&lt;&gt;"")+(Tasks[[#This Row],[_Res3]]&lt;&gt;"")+(Tasks[[#This Row],[_Res4]]&lt;&gt;""))</f>
        <v>0</v>
      </c>
      <c r="DV163" s="43" t="str">
        <f aca="false">IF(Tasks[[#This Row],[_Res2Text]]="","",IF(Tasks[[#This Row],[_Res2Row]]&gt;0,INDEX(res_Name,Tasks[[#This Row],[_Res2Row]]),TRIM(LEFT(Tasks[[#This Row],[_Res2Text]],FIND("[",Tasks[[#This Row],[_Res2Text]]&amp;"[")-1))))</f>
        <v/>
      </c>
      <c r="DW1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3" s="43" t="n">
        <f aca="false">IF(OR(NOT(Tasks[[#This Row],[_IsLeaf]]=1),Tasks[[#This Row],[_Res2Row]]=0),0,N(Tasks[[#This Row],[_Days]])*HoursPerDay*IF(Tasks[[#This Row],[_Res2Units]]="",DefaultUnits,Tasks[[#This Row],[_Res2Units]]))</f>
        <v>0</v>
      </c>
      <c r="DY163" s="43" t="n">
        <f aca="false">IF(AND(AND(Tasks[[#This Row],[_IsLeaf]]=1,Tasks[[#This Row],[_LeafTotalWork]]&gt;0),Tasks[[#This Row],[_Res2Work]]&gt;0),Tasks[[#This Row],[_Res2Work]]/(Tasks[[#This Row],[_FinishWorkday]]-Tasks[[#This Row],[_StartWorkday]]+1),0)</f>
        <v>0</v>
      </c>
      <c r="DZ163" s="43" t="n">
        <f aca="false">Tasks[[#This Row],[_Res2WorkPerWD]]*MAX(0,Tasks[[#This Row],[_StartWorkday]]-1)</f>
        <v>0</v>
      </c>
      <c r="EA163" s="43" t="n">
        <f aca="false">Tasks[[#This Row],[_Res2Work]]*Tasks[[#This Row],[_LeafProgress]]</f>
        <v>0</v>
      </c>
      <c r="EB163" s="43" t="str">
        <f aca="false">IF(Tasks[[#This Row],[_Res3Text]]="","",IF(Tasks[[#This Row],[_Res3Row]]&gt;0,INDEX(res_Name,Tasks[[#This Row],[_Res3Row]]),TRIM(LEFT(Tasks[[#This Row],[_Res3Text]],FIND("[",Tasks[[#This Row],[_Res3Text]]&amp;"[")-1))))</f>
        <v/>
      </c>
      <c r="EC1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3" s="43" t="n">
        <f aca="false">IF(OR(NOT(Tasks[[#This Row],[_IsLeaf]]=1),Tasks[[#This Row],[_Res3Row]]=0),0,N(Tasks[[#This Row],[_Days]])*HoursPerDay*IF(Tasks[[#This Row],[_Res3Units]]="",DefaultUnits,Tasks[[#This Row],[_Res3Units]]))</f>
        <v>0</v>
      </c>
      <c r="EE163" s="43" t="n">
        <f aca="false">IF(AND(AND(Tasks[[#This Row],[_IsLeaf]]=1,Tasks[[#This Row],[_LeafTotalWork]]&gt;0),Tasks[[#This Row],[_Res3Work]]&gt;0),Tasks[[#This Row],[_Res3Work]]/(Tasks[[#This Row],[_FinishWorkday]]-Tasks[[#This Row],[_StartWorkday]]+1),0)</f>
        <v>0</v>
      </c>
      <c r="EF163" s="43" t="n">
        <f aca="false">Tasks[[#This Row],[_Res3WorkPerWD]]*MAX(0,Tasks[[#This Row],[_StartWorkday]]-1)</f>
        <v>0</v>
      </c>
      <c r="EG163" s="43" t="n">
        <f aca="false">Tasks[[#This Row],[_Res3Work]]*Tasks[[#This Row],[_LeafProgress]]</f>
        <v>0</v>
      </c>
      <c r="EH163" s="43" t="str">
        <f aca="false">IF(Tasks[[#This Row],[_Res4Text]]="","",IF(Tasks[[#This Row],[_Res4Row]]&gt;0,INDEX(res_Name,Tasks[[#This Row],[_Res4Row]]),TRIM(LEFT(Tasks[[#This Row],[_Res4Text]],FIND("[",Tasks[[#This Row],[_Res4Text]]&amp;"[")-1))))</f>
        <v/>
      </c>
      <c r="EI1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3" s="43" t="n">
        <f aca="false">IF(OR(NOT(Tasks[[#This Row],[_IsLeaf]]=1),Tasks[[#This Row],[_Res4Row]]=0),0,N(Tasks[[#This Row],[_Days]])*HoursPerDay*IF(Tasks[[#This Row],[_Res4Units]]="",DefaultUnits,Tasks[[#This Row],[_Res4Units]]))</f>
        <v>0</v>
      </c>
      <c r="EK163" s="43" t="n">
        <f aca="false">IF(AND(AND(Tasks[[#This Row],[_IsLeaf]]=1,Tasks[[#This Row],[_LeafTotalWork]]&gt;0),Tasks[[#This Row],[_Res4Work]]&gt;0),Tasks[[#This Row],[_Res4Work]]/(Tasks[[#This Row],[_FinishWorkday]]-Tasks[[#This Row],[_StartWorkday]]+1),0)</f>
        <v>0</v>
      </c>
      <c r="EL163" s="43" t="n">
        <f aca="false">Tasks[[#This Row],[_Res4WorkPerWD]]*MAX(0,Tasks[[#This Row],[_StartWorkday]]-1)</f>
        <v>0</v>
      </c>
      <c r="EM163" s="43" t="n">
        <f aca="false">Tasks[[#This Row],[_Res4Work]]*Tasks[[#This Row],[_LeafProgress]]</f>
        <v>0</v>
      </c>
      <c r="EN163" s="43" t="n">
        <f aca="false">IF(ISNUMBER(Tasks[[#This Row],[% Complete]]),Tasks[[#This Row],[% Complete]],IF(Tasks[[#This Row],[Stage]]="",0,IFERROR(INDEX(stg_Pct,MATCH(Tasks[[#This Row],[Stage]],stg_Name,0)),0)))</f>
        <v>0</v>
      </c>
      <c r="EO163" s="43" t="n">
        <f aca="false">IF(NOT(Tasks[[#This Row],[_IsLeaf]]=1),0,IF(N(Tasks[[#This Row],[Actual Finish]])&gt;0,1,MIN(1,Tasks[[#This Row],[_Pct]])))</f>
        <v>0</v>
      </c>
      <c r="EP163" s="43" t="n">
        <f aca="false">IF(OR(NOT(Tasks[[#This Row],[_IsLeaf]]=1),Tasks[[#This Row],[_Res1Row]]=0),0,N(Tasks[[#This Row],[_Days]])*HoursPerDay*IF(Tasks[[#This Row],[_Units1]]="",DefaultUnits,Tasks[[#This Row],[_Units1]]))</f>
        <v>0</v>
      </c>
      <c r="EQ163" s="43" t="n">
        <f aca="false">Tasks[[#This Row],[_LeafWork]]+Tasks[[#This Row],[_Res2Work]]+Tasks[[#This Row],[_Res3Work]]+Tasks[[#This Row],[_Res4Work]]</f>
        <v>0</v>
      </c>
      <c r="ER16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3" s="43" t="n">
        <f aca="false">IF(NOT(Tasks[[#This Row],[_IsLeaf]]=1),0,MAX(_xlfn.MAXIFS(Tasks[_Row],Tasks[_Pred1UID],Tasks[[#This Row],[UID]]),_xlfn.MAXIFS(Tasks[_Row],Tasks[_Pred2UID],Tasks[[#This Row],[UID]]),_xlfn.MAXIFS(Tasks[_Row],Tasks[_Pred3UID],Tasks[[#This Row],[UID]]),_xlfn.MAXIFS(Tasks[_Row],Tasks[_Pred4UID],Tasks[[#This Row],[UID]])))</f>
        <v>0</v>
      </c>
      <c r="FA1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3" s="91" t="str">
        <f aca="false">IF(NOT(Tasks[[#This Row],[_IsLeaf]]=1),"",IF(N(Tasks[[#This Row],[_Days]])&lt;=0,Tasks[[#This Row],[_LeafLateFinish]],WORKDAY.INTL(Tasks[[#This Row],[_LeafLateFinish]],-(Tasks[[#This Row],[_Days]]-1),WorkWeek,Holidays)))</f>
        <v/>
      </c>
      <c r="FD1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3" s="90" t="b">
        <f aca="false">AND(Tasks[[#This Row],[_IsLeaf]]=1,Tasks[[#This Row],[_LeafProgress]]&lt;1,N(Tasks[[#This Row],[_LeafTotalSlack]])&lt;=CriticalSlackDays)</f>
        <v>0</v>
      </c>
      <c r="FF163" s="43" t="n">
        <f aca="false">IF(AND(Tasks[[#This Row],[_IsLeaf]]=1,Tasks[[#This Row],[_ConstraintCode]]=1,Tasks[[#This Row],[Mode]]&lt;&gt;"Manual",N(Tasks[[#This Row],[Actual Start]])=0),MAX(0,N(Tasks[[#This Row],[Free Slack]])),0)</f>
        <v>0</v>
      </c>
      <c r="FG163" s="91" t="str">
        <f aca="false">IF(NOT(Tasks[[#This Row],[_IsLeaf]]=1),"",IF(Tasks[[#This Row],[_AlapShift]]=0,Tasks[[#This Row],[_LeafCalcStart]],WORKDAY.INTL(Tasks[[#This Row],[_LeafCalcStart]],Tasks[[#This Row],[_AlapShift]],WorkWeek,Holidays)))</f>
        <v/>
      </c>
      <c r="FH163" s="91" t="str">
        <f aca="false">IF(NOT(Tasks[[#This Row],[_IsLeaf]]=1),"",IF(Tasks[[#This Row],[_AlapShift]]=0,Tasks[[#This Row],[_LeafCalcFinish]],WORKDAY.INTL(Tasks[[#This Row],[_LeafCalcFinish]],Tasks[[#This Row],[_AlapShift]],WorkWeek,Holidays)))</f>
        <v/>
      </c>
      <c r="FI163" s="91" t="str">
        <f aca="false">IF(NOT(Tasks[[#This Row],[_IsLeaf]]=1),"",IF(Tasks[[#This Row],[_AlapShift]]=0,Tasks[[#This Row],[_LeafFcstStart]],WORKDAY.INTL(Tasks[[#This Row],[_LeafFcstStart]],Tasks[[#This Row],[_AlapShift]],WorkWeek,Holidays)))</f>
        <v/>
      </c>
      <c r="FJ163" s="91" t="str">
        <f aca="false">IF(NOT(Tasks[[#This Row],[_IsLeaf]]=1),"",IF(Tasks[[#This Row],[_AlapShift]]=0,Tasks[[#This Row],[_LeafFcstFinish]],WORKDAY.INTL(Tasks[[#This Row],[_LeafFcstFinish]],Tasks[[#This Row],[_AlapShift]],WorkWeek,Holidays)))</f>
        <v/>
      </c>
      <c r="FK163" s="91" t="str">
        <f aca="false">IF(Tasks[[#This Row],[Task Name]]="","",IF(Tasks[[#This Row],[_IsSummary]],MIN(INDEX(Tasks[_ShownCalcStart],Tasks[[#This Row],[_Row]]+1):INDEX(Tasks[_ShownCalcStart],Tasks[[#This Row],[_Row]]+Tasks[[#This Row],[_Descendants]])),Tasks[[#This Row],[_ShownCalcStart]]))</f>
        <v/>
      </c>
      <c r="FL163" s="91" t="str">
        <f aca="false">IF(Tasks[[#This Row],[Task Name]]="","",IF(Tasks[[#This Row],[_IsSummary]],MAX(INDEX(Tasks[_ShownCalcFinish],Tasks[[#This Row],[_Row]]+1):INDEX(Tasks[_ShownCalcFinish],Tasks[[#This Row],[_Row]]+Tasks[[#This Row],[_Descendants]])),Tasks[[#This Row],[_ShownCalcFinish]]))</f>
        <v/>
      </c>
      <c r="FM1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3" s="43" t="n">
        <f aca="false">IF(AND(Tasks[[#This Row],[_IsLeaf]]=1,Tasks[[#This Row],[_LeafTotalWork]]&gt;0),NETWORKDAYS.INTL(ProjectStart,Tasks[[#This Row],[_ShownFcstStart]],WorkWeek,Holidays),0)</f>
        <v>0</v>
      </c>
      <c r="FZ163" s="43" t="n">
        <f aca="false">IF(AND(Tasks[[#This Row],[_IsLeaf]]=1,Tasks[[#This Row],[_LeafTotalWork]]&gt;0),MAX(Tasks[[#This Row],[_StartWorkday]],NETWORKDAYS.INTL(ProjectStart,Tasks[[#This Row],[_ShownFcstFinish]],WorkWeek,Holidays)),0)</f>
        <v>0</v>
      </c>
      <c r="GA163" s="43" t="n">
        <f aca="false">IF(AND(Tasks[[#This Row],[_IsLeaf]]=1,Tasks[[#This Row],[_LeafTotalWork]]&gt;0),Tasks[[#This Row],[_LeafWork]]/(Tasks[[#This Row],[_FinishWorkday]]-Tasks[[#This Row],[_StartWorkday]]+1),0)</f>
        <v>0</v>
      </c>
      <c r="GB163" s="43" t="n">
        <f aca="false">Tasks[[#This Row],[_WorkPerWorkday]]*(Tasks[[#This Row],[_StartWorkday]]-1)</f>
        <v>-0</v>
      </c>
      <c r="GC163" s="43" t="n">
        <f aca="false">IF(Tasks[[#This Row],[_IsLeaf]]=1,MAX(N(Tasks[[#This Row],[_Days]]),0.1),0)</f>
        <v>0</v>
      </c>
      <c r="GD163" s="43" t="n">
        <f aca="false">Tasks[[#This Row],[_WeightDur]]*Tasks[[#This Row],[_LeafProgress]]</f>
        <v>0</v>
      </c>
      <c r="GE163" s="43" t="n">
        <f aca="false">Tasks[[#This Row],[_WeightDur]]*Tasks[[#This Row],[_PlannedPct]]</f>
        <v>0</v>
      </c>
      <c r="GF1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3" s="43" t="str">
        <f aca="false">IF(AND(Tasks[[#This Row],[_IsLeaf]]=1,N(Tasks[[#This Row],[_Days]])=0,Tasks[[#This Row],[_LeafProgress]]&lt;1),Tasks[[#This Row],[_ShownFcstFinish]]+Tasks[[#This Row],[_Row]]/100000,"")</f>
        <v/>
      </c>
      <c r="GH1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3" s="43" t="str">
        <f aca="false">IF(Tasks[[#This Row],[Task Name]]="","",LEFT(Tasks[[#This Row],[WBS]],FIND(".",Tasks[[#This Row],[WBS]]&amp;".")-1))</f>
        <v/>
      </c>
      <c r="GJ163" s="43" t="str">
        <f aca="false">IF(AND(Tasks[[#This Row],[Task Name]]&lt;&gt;"",Tasks[[#This Row],[_Level]]=1),Tasks[[#This Row],[_Row]],"")</f>
        <v/>
      </c>
      <c r="GK163" s="43" t="str">
        <f aca="false">IF(AND(Tasks[[#This Row],[_IsLeaf]]=1,N(Tasks[[#This Row],[_Days]])=0),Tasks[[#This Row],[Planned Finish]]+Tasks[[#This Row],[_Row]]/100000,"")</f>
        <v/>
      </c>
      <c r="GL163" s="43" t="str">
        <f aca="false">IF(AND(Tasks[[#This Row],[_IsLeaf]]=1,Tasks[[#This Row],[_LeafProgress]]&lt;1,OR(N(Tasks[[#This Row],[Finish Var]])&gt;0,Tasks[[#This Row],[Status]]="Late Start")),MAX(0,Tasks[[#This Row],[Finish Var]])+1-Tasks[[#This Row],[_Row]]/1000000,"")</f>
        <v/>
      </c>
      <c r="GM163" s="43" t="str">
        <f aca="false">IF(AND(Tasks[[#This Row],[_IsLeaf]]=1,N(Tasks[[#This Row],[Actual Start]])=0,Tasks[[#This Row],[_ShownFcstStart]]&gt;=StatusDate,Tasks[[#This Row],[_ShownFcstStart]]&lt;=LookaheadEnd),Tasks[[#This Row],[_ShownFcstStart]]+Tasks[[#This Row],[_Row]]/100000,"")</f>
        <v/>
      </c>
      <c r="GN163" s="43" t="str">
        <f aca="false">IF(AND(Tasks[[#This Row],[_IsLeaf]]=1,Tasks[[#This Row],[_LeafProgress]]&lt;1,Tasks[[#This Row],[_ShownFcstFinish]]&gt;=StatusDate,Tasks[[#This Row],[_ShownFcstFinish]]&lt;=LookaheadEnd),Tasks[[#This Row],[_ShownFcstFinish]]+Tasks[[#This Row],[_Row]]/100000,"")</f>
        <v/>
      </c>
      <c r="GO163" s="43" t="str">
        <f aca="false">IF(Tasks[[#This Row],[_LeafCritical]],Tasks[[#This Row],[_ShownFcstStart]]+Tasks[[#This Row],[_Row]]/100000,"")</f>
        <v/>
      </c>
      <c r="GP163" s="43" t="n">
        <f aca="false">Tasks[[#This Row],[_LeafWork]]*Tasks[[#This Row],[_LeafProgress]]</f>
        <v>0</v>
      </c>
      <c r="GQ163" s="91" t="str">
        <f aca="false">IF(AND(Tasks[[#This Row],[_IsLeaf]]=1,Tasks[[#This Row],[_LeafProgress]]&gt;=1),IF(N(Tasks[[#This Row],[Actual Finish]])&gt;0,Tasks[[#This Row],[Actual Finish]],Tasks[[#This Row],[_ShownFcstFinish]]),"")</f>
        <v/>
      </c>
      <c r="GR163" s="43" t="n">
        <f aca="false">IF(Tasks[[#This Row],[_IsLeaf]]=1,N(Tasks[[#This Row],[Story Points]]),0)</f>
        <v>0</v>
      </c>
      <c r="GS163" s="43" t="str">
        <f aca="false">""</f>
        <v/>
      </c>
      <c r="GT163" s="90" t="b">
        <f aca="false">IF(Tasks[[#This Row],[Task Name]]="",FALSE(),AND(Tasks[[#This Row],[_IsLeaf]]=1,N(Tasks[[#This Row],[_Days]])=0))</f>
        <v>0</v>
      </c>
      <c r="GU163" s="91" t="n">
        <f aca="false">IF(Tasks[[#This Row],[Task Name]]="",0,IF(AND(Tasks[[#This Row],[_IsLeaf]]=1,NOT(Tasks[[#This Row],[_IsMilestone]]),N(Tasks[[#This Row],[Progress]])&gt;0),Tasks[[#This Row],[Start]],0))</f>
        <v>0</v>
      </c>
      <c r="GV163" s="91" t="n">
        <f aca="false">IF(Tasks[[#This Row],[_DoneFrom]]=0,0,IF(Tasks[[#This Row],[Progress]]&gt;=1,Tasks[[#This Row],[Finish]],MAX(Tasks[[#This Row],[_DoneFrom]],Tasks[[#This Row],[Start]]+ROUND((Tasks[[#This Row],[Finish]]-Tasks[[#This Row],[Start]]+1)*Tasks[[#This Row],[Progress]],0)-1)))</f>
        <v>0</v>
      </c>
      <c r="GW163" s="91" t="n">
        <f aca="false">IF(Tasks[[#This Row],[Task Name]]="",0,IF(OR(NOT(Tasks[[#This Row],[_IsLeaf]]=1),Tasks[[#This Row],[_IsMilestone]],N(Tasks[[#This Row],[Progress]])&gt;=1),0,IF(Tasks[[#This Row],[_DoneTo]]&gt;0,Tasks[[#This Row],[_DoneTo]]+1,Tasks[[#This Row],[Start]])))</f>
        <v>0</v>
      </c>
      <c r="GX163" s="91" t="n">
        <f aca="false">IF(Tasks[[#This Row],[_RemFrom]]=0,0,Tasks[[#This Row],[Finish]])</f>
        <v>0</v>
      </c>
      <c r="GY163" s="90" t="b">
        <f aca="false">IF(Tasks[[#This Row],[Task Name]]="",FALSE(),OR(NOT(BaselineSet),N(Tasks[[#This Row],[Baseline Start]])&gt;0))</f>
        <v>0</v>
      </c>
      <c r="GZ16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3" s="92" t="str">
        <f aca="false">IF(Tasks[[#This Row],[_IsLeaf]]=1,Tasks[[#This Row],[_Row]],"")</f>
        <v/>
      </c>
      <c r="HD163" s="92" t="str">
        <f aca="false">IFERROR(INDEX(Tasks[UID],SMALL(Tasks[_PickKey],Tasks[[#This Row],[_Row]]))&amp;" "&amp;INDEX(Tasks[Task Name],SMALL(Tasks[_PickKey],Tasks[[#This Row],[_Row]])),"")</f>
        <v/>
      </c>
      <c r="HE163" s="43" t="str">
        <f aca="false">IF(Tasks[[#This Row],[Task Name]]="","",IF(Tasks[[#This Row],[_IsSummary]],NETWORKDAYS.INTL(Tasks[[#This Row],[Start]],Tasks[[#This Row],[Finish]],WorkWeek,Holidays),N(Tasks[[#This Row],[_Days]])))</f>
        <v/>
      </c>
      <c r="HF163" s="43" t="n">
        <f aca="false">IF(Tasks[[#This Row],[Expected]]="",0,((Tasks[[#This Row],[Pessimistic]]-Tasks[[#This Row],[Optimistic]])/6)^2)</f>
        <v>0</v>
      </c>
      <c r="HG163" s="43" t="n">
        <f aca="false">IF(Tasks[[#This Row],[Expected]]="",0,Tasks[[#This Row],[Expected]]-N(Tasks[[#This Row],[_Days]]))</f>
        <v>0</v>
      </c>
    </row>
    <row r="164" customFormat="false" ht="15" hidden="false" customHeight="false" outlineLevel="0" collapsed="false">
      <c r="A164" s="21" t="str">
        <f aca="false">IF(Tasks[[#This Row],[Task Name]]="","",COUNTA(Tasks[[#Headers],[Task Name]]:Tasks[[#This Row],[Task Name]])-1)</f>
        <v/>
      </c>
      <c r="B164" s="22" t="n">
        <v>172</v>
      </c>
      <c r="C164" s="22"/>
      <c r="D164" s="23"/>
      <c r="E164" s="22"/>
      <c r="F164" s="23"/>
      <c r="G164" s="22"/>
      <c r="H164" s="22"/>
      <c r="I164" s="23"/>
      <c r="J164" s="22"/>
      <c r="K164" s="22"/>
      <c r="L164" s="23"/>
      <c r="M164" s="22"/>
      <c r="N164" s="22"/>
      <c r="O164" s="23"/>
      <c r="P164" s="22"/>
      <c r="Q164" s="22"/>
      <c r="R164" s="23"/>
      <c r="S164" s="23"/>
      <c r="T164" s="84"/>
      <c r="U164" s="23"/>
      <c r="V164" s="84"/>
      <c r="W164" s="23"/>
      <c r="X164" s="84"/>
      <c r="Y164" s="23"/>
      <c r="Z164" s="84"/>
      <c r="AA164" s="23"/>
      <c r="AB164" s="23"/>
      <c r="AC164" s="7"/>
      <c r="AD164" s="7"/>
      <c r="AE164" s="63" t="str">
        <f aca="false">IF(Tasks[[#This Row],[Task Name]]="","",IF(Tasks[[#This Row],[_IsSummary]],MIN(INDEX(Tasks[_ShownFcstStart],Tasks[[#This Row],[_Row]]+1):INDEX(Tasks[_ShownFcstStart],Tasks[[#This Row],[_Row]]+Tasks[[#This Row],[_Descendants]])),Tasks[[#This Row],[_ShownFcstStart]]))</f>
        <v/>
      </c>
      <c r="AF164" s="63" t="str">
        <f aca="false">IF(Tasks[[#This Row],[Task Name]]="","",IF(Tasks[[#This Row],[_IsSummary]],MAX(INDEX(Tasks[_ShownFcstFinish],Tasks[[#This Row],[_Row]]+1):INDEX(Tasks[_ShownFcstFinish],Tasks[[#This Row],[_Row]]+Tasks[[#This Row],[_Descendants]])),Tasks[[#This Row],[_ShownFcstFinish]]))</f>
        <v/>
      </c>
      <c r="AG164" s="21" t="str">
        <f aca="false">""</f>
        <v/>
      </c>
      <c r="AH164" s="23"/>
      <c r="AI1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4" s="7"/>
      <c r="AK164" s="22"/>
      <c r="AL164" s="23"/>
      <c r="AM164" s="7"/>
      <c r="AN164" s="47" t="str">
        <f aca="false">IF(Tasks[[#This Row],[Task Name]]="","",IF(Tasks[[#This Row],[Finish]]&gt;=Tasks[[#This Row],[Planned Finish]],NETWORKDAYS.INTL(Tasks[[#This Row],[Planned Finish]],Tasks[[#This Row],[Finish]],WorkWeek,Holidays)-1,1-NETWORKDAYS.INTL(Tasks[[#This Row],[Finish]],Tasks[[#This Row],[Planned Finish]],WorkWeek,Holidays)))</f>
        <v/>
      </c>
      <c r="AO164" s="21" t="str">
        <f aca="false">IF(Tasks[[#This Row],[Task Name]]="","",IF(Tasks[[#This Row],[Progress]]&gt;=1,"Complete",IF(OR(N(Tasks[[#This Row],[Actual Start]])&gt;0,Tasks[[#This Row],[Progress]]&gt;0),IF(Tasks[[#This Row],[Finish Var]]&gt;0,"Behind","In Progress"),IF(Tasks[[#This Row],[Planned Start]]&lt;StatusDate,"Late Start","Not Started"))))</f>
        <v/>
      </c>
      <c r="AP164" s="21" t="str">
        <f aca="false">IF(Tasks[[#This Row],[Task Name]]="","",IF(IF(Tasks[[#This Row],[_IsSummary]],COUNTIF(INDEX(Tasks[_LeafCritical],Tasks[[#This Row],[_Row]]+1):INDEX(Tasks[_LeafCritical],Tasks[[#This Row],[_Row]]+Tasks[[#This Row],[_Descendants]]),TRUE())&gt;0,Tasks[[#This Row],[_LeafCritical]]),"Yes",""))</f>
        <v/>
      </c>
      <c r="AQ164" s="63" t="str">
        <f aca="false">IF(Tasks[[#This Row],[Task Name]]="","",IF(N(Tasks[[#This Row],[Baseline Start]])&gt;0,Tasks[[#This Row],[Baseline Start]],Tasks[[#This Row],[_CalcStart]]))</f>
        <v/>
      </c>
      <c r="AR164" s="63" t="str">
        <f aca="false">IF(Tasks[[#This Row],[Task Name]]="","",IF(N(Tasks[[#This Row],[Baseline Finish]])&gt;0,Tasks[[#This Row],[Baseline Finish]],Tasks[[#This Row],[_CalcFinish]]))</f>
        <v/>
      </c>
      <c r="AS164" s="47" t="str">
        <f aca="false">IF(Tasks[[#This Row],[Task Name]]="","",IF(Tasks[[#This Row],[Start]]&gt;=Tasks[[#This Row],[Planned Start]],NETWORKDAYS.INTL(Tasks[[#This Row],[Planned Start]],Tasks[[#This Row],[Start]],WorkWeek,Holidays)-1,1-NETWORKDAYS.INTL(Tasks[[#This Row],[Start]],Tasks[[#This Row],[Planned Start]],WorkWeek,Holidays)))</f>
        <v/>
      </c>
      <c r="AT164" s="63" t="str">
        <f aca="false">IF(Tasks[[#This Row],[Task Name]]="","",IF(Tasks[[#This Row],[_IsSummary]],MIN(INDEX(Tasks[_LeafLateStart],Tasks[[#This Row],[_Row]]+1):INDEX(Tasks[_LeafLateStart],Tasks[[#This Row],[_Row]]+Tasks[[#This Row],[_Descendants]])),Tasks[[#This Row],[_LeafLateStart]]))</f>
        <v/>
      </c>
      <c r="AU164" s="63" t="str">
        <f aca="false">IF(Tasks[[#This Row],[Task Name]]="","",IF(Tasks[[#This Row],[_IsSummary]],MAX(INDEX(Tasks[_LeafLateFinish],Tasks[[#This Row],[_Row]]+1):INDEX(Tasks[_LeafLateFinish],Tasks[[#This Row],[_Row]]+Tasks[[#This Row],[_Descendants]])),Tasks[[#This Row],[_LeafLateFinish]]))</f>
        <v/>
      </c>
      <c r="AV164" s="47" t="str">
        <f aca="false">IF(Tasks[[#This Row],[Task Name]]="","",IF(Tasks[[#This Row],[_IsSummary]],MIN(INDEX(Tasks[_LeafTotalSlack],Tasks[[#This Row],[_Row]]+1):INDEX(Tasks[_LeafTotalSlack],Tasks[[#This Row],[_Row]]+Tasks[[#This Row],[_Descendants]])),Tasks[[#This Row],[_LeafTotalSlack]]))</f>
        <v/>
      </c>
      <c r="AW1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5"/>
      <c r="BA16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t="str">
        <f aca="false">IF(Tasks[[#This Row],[Task Name]]="","",IF(Tasks[[#This Row],[_Level]]&lt;=OutlineShowLevel,"Yes","No"))</f>
        <v/>
      </c>
      <c r="BE164" s="86" t="str">
        <f aca="false">IF(Tasks[[#This Row],[Task Name]]="","",IF(Tasks[[#This Row],[_IsSummary]],SUM(INDEX(Tasks[_LeafTotalWork],Tasks[[#This Row],[_Row]]+1):INDEX(Tasks[_LeafTotalWork],Tasks[[#This Row],[_Row]]+Tasks[[#This Row],[_Descendants]])),Tasks[[#This Row],[_LeafTotalWork]]))</f>
        <v/>
      </c>
      <c r="BF164" s="23"/>
      <c r="BG1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t="str">
        <f aca="false">""</f>
        <v/>
      </c>
      <c r="BI164" s="87"/>
      <c r="BJ164" s="22"/>
      <c r="BK164" s="47" t="str">
        <f aca="false">IF(OR(Tasks[[#This Row],[Task Name]]="",Tasks[[#This Row],[Baseline Duration]]=""),"",Tasks[[#This Row],[_SpanDays]]-N(Tasks[[#This Row],[Baseline Duration]]))</f>
        <v/>
      </c>
      <c r="BL164" s="86" t="str">
        <f aca="false">IF(OR(Tasks[[#This Row],[Task Name]]="",Tasks[[#This Row],[Baseline Work]]=""),"",Tasks[[#This Row],[Work]]-N(Tasks[[#This Row],[Baseline Work]]))</f>
        <v/>
      </c>
      <c r="BM164" s="63" t="str">
        <f aca="false">IF(Tasks[[#This Row],[Task Name]]="","",IF(OR(TakeBaseline="Yes",N(Tasks[[#This Row],[Baseline Start]])=0),Tasks[[#This Row],[Start]],Tasks[[#This Row],[Baseline Start]]))</f>
        <v/>
      </c>
      <c r="BN164" s="63" t="str">
        <f aca="false">IF(Tasks[[#This Row],[Task Name]]="","",IF(OR(TakeBaseline="Yes",N(Tasks[[#This Row],[Baseline Finish]])=0),Tasks[[#This Row],[Finish]],Tasks[[#This Row],[Baseline Finish]]))</f>
        <v/>
      </c>
      <c r="BO164" s="21" t="str">
        <f aca="false">IF(Tasks[[#This Row],[Task Name]]="","",IF(OR(TakeBaseline="Yes",N(Tasks[[#This Row],[Baseline Duration]])=0),Tasks[[#This Row],[_SpanDays]],Tasks[[#This Row],[Baseline Duration]]))</f>
        <v/>
      </c>
      <c r="BP164" s="86" t="str">
        <f aca="false">IF(Tasks[[#This Row],[Task Name]]="","",IF(OR(TakeBaseline="Yes",N(Tasks[[#This Row],[Baseline Work]])=0),Tasks[[#This Row],[Work]],Tasks[[#This Row],[Baseline Work]]))</f>
        <v/>
      </c>
      <c r="BQ164" s="7"/>
      <c r="BR164" s="7"/>
      <c r="BS164" s="22"/>
      <c r="BT164" s="88"/>
      <c r="BU164" s="23"/>
      <c r="BV164" s="23"/>
      <c r="BW164" s="23"/>
      <c r="BX164" s="89" t="str">
        <f aca="false">IF(AND(Tasks[[#This Row],[_IsLeaf]]=1,ISNUMBER(Tasks[[#This Row],[Optimistic]]),ISNUMBER(Tasks[[#This Row],[Pessimistic]])),ROUND((Tasks[[#This Row],[Optimistic]]+4*N(Tasks[[#This Row],[_Days]])+Tasks[[#This Row],[Pessimistic]])/6,1),"")</f>
        <v/>
      </c>
      <c r="BY164" s="87"/>
      <c r="BZ164" s="87"/>
      <c r="CA164" s="22"/>
      <c r="CB164" s="43" t="str">
        <f aca="false">IF(Tasks[[#This Row],[Task Name]]="","",MAX(1,N(Tasks[[#This Row],[Level]])))</f>
        <v/>
      </c>
      <c r="CC164" s="43" t="n">
        <f aca="false">ROW()-ROW(Tasks[[#Headers],[ID]])</f>
        <v>159</v>
      </c>
      <c r="CD164" s="43" t="n">
        <f aca="false">IF(OR(Tasks[[#This Row],[Task Name]]="",Tasks[[#This Row],[_Level]]&lt;=1),0,IFERROR(LOOKUP(2,1/(Tasks[[#Headers],[_Level]]:Tasks[[#This Row],[_Level]]=Tasks[[#This Row],[_Level]]-1),ROW(Tasks[[#Headers],[_Level]]:Tasks[[#This Row],[_Level]])),0))</f>
        <v>0</v>
      </c>
      <c r="CE164" s="43" t="n">
        <f aca="false">IFERROR(N(INDEX(Tasks[_Level],Tasks[[#This Row],[_Row]]+1)),0)</f>
        <v>0</v>
      </c>
      <c r="CF164" s="90" t="b">
        <f aca="false">AND(Tasks[[#This Row],[Task Name]]&lt;&gt;"",Tasks[[#This Row],[_NextLevel]]&gt;Tasks[[#This Row],[_Level]])</f>
        <v>0</v>
      </c>
      <c r="CG164" s="43" t="n">
        <f aca="false">IF(Tasks[[#This Row],[_IsSummary]],COUNTIF(Tasks[WBS],Tasks[[#This Row],[WBS]]&amp;".*"),0)</f>
        <v>0</v>
      </c>
      <c r="CH164" s="43" t="n">
        <f aca="false">IF(AND(Tasks[[#This Row],[Task Name]]&lt;&gt;"",NOT(Tasks[[#This Row],[_IsSummary]])),1,0)</f>
        <v>0</v>
      </c>
      <c r="CI164" s="43" t="n">
        <f aca="false">IF(N(Tasks[[#This Row],[_Pred1UID]])=0,0,IFERROR(MATCH(Tasks[[#This Row],[_Pred1UID]],Tasks[UID],0),-1))</f>
        <v>0</v>
      </c>
      <c r="CJ164" s="43" t="n">
        <f aca="false">IF(N(Tasks[[#This Row],[_Pred2UID]])=0,0,IFERROR(MATCH(Tasks[[#This Row],[_Pred2UID]],Tasks[UID],0),-1))</f>
        <v>0</v>
      </c>
      <c r="CK164" s="43" t="n">
        <f aca="false">IF(N(Tasks[[#This Row],[_Pred3UID]])=0,0,IFERROR(MATCH(Tasks[[#This Row],[_Pred3UID]],Tasks[UID],0),-1))</f>
        <v>0</v>
      </c>
      <c r="CL164" s="43" t="n">
        <f aca="false">IF(N(Tasks[[#This Row],[_Pred4UID]])=0,0,IFERROR(MATCH(Tasks[[#This Row],[_Pred4UID]],Tasks[UID],0),-1))</f>
        <v>0</v>
      </c>
      <c r="CM1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4" s="91" t="n">
        <f aca="false">IF(OR(Tasks[[#This Row],[_ConstraintCode]]=2,Tasks[[#This Row],[_ConstraintCode]]=3,Tasks[[#This Row],[_ConstraintCode]]=4,Tasks[[#This Row],[_ConstraintCode]]=6),Tasks[[#This Row],[_ConstraintStart]],0)</f>
        <v>0</v>
      </c>
      <c r="CP164" s="91" t="n">
        <f aca="false">IF(OR(Tasks[[#This Row],[_ConstraintCode]]=2,Tasks[[#This Row],[_ConstraintCode]]=3,Tasks[[#This Row],[_ConstraintCode]]=5,Tasks[[#This Row],[_ConstraintCode]]=7),Tasks[[#This Row],[_ConstraintStart]],2958465)</f>
        <v>2958465</v>
      </c>
      <c r="CQ1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4" s="91" t="str">
        <f aca="false">IF(NOT(Tasks[[#This Row],[_IsLeaf]]=1),"",IF(N(Tasks[[#This Row],[_Days]])&lt;=0,Tasks[[#This Row],[_LeafCalcStart]],WORKDAY.INTL(Tasks[[#This Row],[_LeafCalcStart]],Tasks[[#This Row],[_Days]]-1,WorkWeek,Holidays)))</f>
        <v/>
      </c>
      <c r="CS1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4" s="43" t="str">
        <f aca="false">IF(Tasks[[#This Row],[_Predecessors]]="","",TRIM(MID(SUBSTITUTE(SUBSTITUTE(SUBSTITUTE(UPPER(Tasks[[#This Row],[_Predecessors]]),";",",")," ",""),",",REPT(" ",99)),1,99)))</f>
        <v/>
      </c>
      <c r="CV164" s="43" t="str">
        <f aca="false">IF(Tasks[[#This Row],[_Pred1Text]]="","",IFERROR(VALUE(LEFT(Tasks[[#This Row],[_Pred1Text]],MIN(FIND("F",Tasks[[#This Row],[_Pred1Text]]&amp;"F"),FIND("S",Tasks[[#This Row],[_Pred1Text]]&amp;"S"),FIND("+",Tasks[[#This Row],[_Pred1Text]]&amp;"+"),FIND("-",Tasks[[#This Row],[_Pred1Text]]&amp;"-"))-1)),""))</f>
        <v/>
      </c>
      <c r="CW1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4" s="43" t="str">
        <f aca="false">IF(Tasks[[#This Row],[_Pred1Text]]="","",TRIM(MID(SUBSTITUTE(SUBSTITUTE(SUBSTITUTE(UPPER(Tasks[[#This Row],[_Predecessors]]),";",",")," ",""),",",REPT(" ",99)),100,99)))</f>
        <v/>
      </c>
      <c r="CZ164" s="43" t="str">
        <f aca="false">IF(Tasks[[#This Row],[_Pred2Text]]="","",IFERROR(VALUE(LEFT(Tasks[[#This Row],[_Pred2Text]],MIN(FIND("F",Tasks[[#This Row],[_Pred2Text]]&amp;"F"),FIND("S",Tasks[[#This Row],[_Pred2Text]]&amp;"S"),FIND("+",Tasks[[#This Row],[_Pred2Text]]&amp;"+"),FIND("-",Tasks[[#This Row],[_Pred2Text]]&amp;"-"))-1)),""))</f>
        <v/>
      </c>
      <c r="DA1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4" s="43" t="str">
        <f aca="false">IF(Tasks[[#This Row],[_Pred2Text]]="","",TRIM(MID(SUBSTITUTE(SUBSTITUTE(SUBSTITUTE(UPPER(Tasks[[#This Row],[_Predecessors]]),";",",")," ",""),",",REPT(" ",99)),199,99)))</f>
        <v/>
      </c>
      <c r="DD164" s="43" t="str">
        <f aca="false">IF(Tasks[[#This Row],[_Pred3Text]]="","",IFERROR(VALUE(LEFT(Tasks[[#This Row],[_Pred3Text]],MIN(FIND("F",Tasks[[#This Row],[_Pred3Text]]&amp;"F"),FIND("S",Tasks[[#This Row],[_Pred3Text]]&amp;"S"),FIND("+",Tasks[[#This Row],[_Pred3Text]]&amp;"+"),FIND("-",Tasks[[#This Row],[_Pred3Text]]&amp;"-"))-1)),""))</f>
        <v/>
      </c>
      <c r="DE1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4" s="43" t="str">
        <f aca="false">IF(Tasks[[#This Row],[_Pred3Text]]="","",TRIM(MID(SUBSTITUTE(SUBSTITUTE(SUBSTITUTE(UPPER(Tasks[[#This Row],[_Predecessors]]),";",",")," ",""),",",REPT(" ",99)),298,99)))</f>
        <v/>
      </c>
      <c r="DH164" s="43" t="str">
        <f aca="false">IF(Tasks[[#This Row],[_Pred4Text]]="","",IFERROR(VALUE(LEFT(Tasks[[#This Row],[_Pred4Text]],MIN(FIND("F",Tasks[[#This Row],[_Pred4Text]]&amp;"F"),FIND("S",Tasks[[#This Row],[_Pred4Text]]&amp;"S"),FIND("+",Tasks[[#This Row],[_Pred4Text]]&amp;"+"),FIND("-",Tasks[[#This Row],[_Pred4Text]]&amp;"-"))-1)),""))</f>
        <v/>
      </c>
      <c r="DI1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4" s="43" t="str">
        <f aca="false">IF(OR(Tasks[[#This Row],[Task Name]]="",Tasks[[#This Row],[_Resources]]=""),"",TRIM(MID(SUBSTITUTE(Tasks[[#This Row],[_Resources]],",",REPT(" ",99)),1,99)))</f>
        <v/>
      </c>
      <c r="DL164" s="43" t="str">
        <f aca="false">IF(Tasks[[#This Row],[_Res1Text]]="","",TRIM(MID(SUBSTITUTE(Tasks[[#This Row],[_Resources]],",",REPT(" ",99)),100,99)))</f>
        <v/>
      </c>
      <c r="DM164" s="43" t="str">
        <f aca="false">IF(Tasks[[#This Row],[_Res2Text]]="","",TRIM(MID(SUBSTITUTE(Tasks[[#This Row],[_Resources]],",",REPT(" ",99)),199,99)))</f>
        <v/>
      </c>
      <c r="DN164" s="43" t="str">
        <f aca="false">IF(Tasks[[#This Row],[_Res3Text]]="","",TRIM(MID(SUBSTITUTE(Tasks[[#This Row],[_Resources]],",",REPT(" ",99)),298,99)))</f>
        <v/>
      </c>
      <c r="DO164" s="43" t="n">
        <f aca="false">IF(Tasks[[#This Row],[_Res1Text]]="",0,IFERROR(MATCH(TRIM(LEFT(Tasks[[#This Row],[_Res1Text]],FIND("[",Tasks[[#This Row],[_Res1Text]]&amp;"[")-1)),res_Name,0),IFERROR(MATCH(TRIM(LEFT(Tasks[[#This Row],[_Res1Text]],FIND("[",Tasks[[#This Row],[_Res1Text]]&amp;"[")-1)),res_Initials,0),0)))</f>
        <v>0</v>
      </c>
      <c r="DP164" s="43" t="n">
        <f aca="false">IF(Tasks[[#This Row],[_Res2Text]]="",0,IFERROR(MATCH(TRIM(LEFT(Tasks[[#This Row],[_Res2Text]],FIND("[",Tasks[[#This Row],[_Res2Text]]&amp;"[")-1)),res_Name,0),IFERROR(MATCH(TRIM(LEFT(Tasks[[#This Row],[_Res2Text]],FIND("[",Tasks[[#This Row],[_Res2Text]]&amp;"[")-1)),res_Initials,0),0)))</f>
        <v>0</v>
      </c>
      <c r="DQ164" s="43" t="n">
        <f aca="false">IF(Tasks[[#This Row],[_Res3Text]]="",0,IFERROR(MATCH(TRIM(LEFT(Tasks[[#This Row],[_Res3Text]],FIND("[",Tasks[[#This Row],[_Res3Text]]&amp;"[")-1)),res_Name,0),IFERROR(MATCH(TRIM(LEFT(Tasks[[#This Row],[_Res3Text]],FIND("[",Tasks[[#This Row],[_Res3Text]]&amp;"[")-1)),res_Initials,0),0)))</f>
        <v>0</v>
      </c>
      <c r="DR164" s="43" t="n">
        <f aca="false">IF(Tasks[[#This Row],[_Res4Text]]="",0,IFERROR(MATCH(TRIM(LEFT(Tasks[[#This Row],[_Res4Text]],FIND("[",Tasks[[#This Row],[_Res4Text]]&amp;"[")-1)),res_Name,0),IFERROR(MATCH(TRIM(LEFT(Tasks[[#This Row],[_Res4Text]],FIND("[",Tasks[[#This Row],[_Res4Text]]&amp;"[")-1)),res_Initials,0),0)))</f>
        <v>0</v>
      </c>
      <c r="DS164" s="43" t="str">
        <f aca="false">IF(Tasks[[#This Row],[_Res1Text]]="","",IF(Tasks[[#This Row],[_Res1Row]]&gt;0,INDEX(res_Name,Tasks[[#This Row],[_Res1Row]]),TRIM(LEFT(Tasks[[#This Row],[_Res1Text]],FIND("[",Tasks[[#This Row],[_Res1Text]]&amp;"[")-1))))</f>
        <v/>
      </c>
      <c r="DT1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4" s="43" t="n">
        <f aca="false">IF(NOT(Tasks[[#This Row],[_IsLeaf]]=1),0,(Tasks[[#This Row],[_Resource1]]&lt;&gt;"")+(Tasks[[#This Row],[_Res2]]&lt;&gt;"")+(Tasks[[#This Row],[_Res3]]&lt;&gt;"")+(Tasks[[#This Row],[_Res4]]&lt;&gt;""))</f>
        <v>0</v>
      </c>
      <c r="DV164" s="43" t="str">
        <f aca="false">IF(Tasks[[#This Row],[_Res2Text]]="","",IF(Tasks[[#This Row],[_Res2Row]]&gt;0,INDEX(res_Name,Tasks[[#This Row],[_Res2Row]]),TRIM(LEFT(Tasks[[#This Row],[_Res2Text]],FIND("[",Tasks[[#This Row],[_Res2Text]]&amp;"[")-1))))</f>
        <v/>
      </c>
      <c r="DW1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4" s="43" t="n">
        <f aca="false">IF(OR(NOT(Tasks[[#This Row],[_IsLeaf]]=1),Tasks[[#This Row],[_Res2Row]]=0),0,N(Tasks[[#This Row],[_Days]])*HoursPerDay*IF(Tasks[[#This Row],[_Res2Units]]="",DefaultUnits,Tasks[[#This Row],[_Res2Units]]))</f>
        <v>0</v>
      </c>
      <c r="DY164" s="43" t="n">
        <f aca="false">IF(AND(AND(Tasks[[#This Row],[_IsLeaf]]=1,Tasks[[#This Row],[_LeafTotalWork]]&gt;0),Tasks[[#This Row],[_Res2Work]]&gt;0),Tasks[[#This Row],[_Res2Work]]/(Tasks[[#This Row],[_FinishWorkday]]-Tasks[[#This Row],[_StartWorkday]]+1),0)</f>
        <v>0</v>
      </c>
      <c r="DZ164" s="43" t="n">
        <f aca="false">Tasks[[#This Row],[_Res2WorkPerWD]]*MAX(0,Tasks[[#This Row],[_StartWorkday]]-1)</f>
        <v>0</v>
      </c>
      <c r="EA164" s="43" t="n">
        <f aca="false">Tasks[[#This Row],[_Res2Work]]*Tasks[[#This Row],[_LeafProgress]]</f>
        <v>0</v>
      </c>
      <c r="EB164" s="43" t="str">
        <f aca="false">IF(Tasks[[#This Row],[_Res3Text]]="","",IF(Tasks[[#This Row],[_Res3Row]]&gt;0,INDEX(res_Name,Tasks[[#This Row],[_Res3Row]]),TRIM(LEFT(Tasks[[#This Row],[_Res3Text]],FIND("[",Tasks[[#This Row],[_Res3Text]]&amp;"[")-1))))</f>
        <v/>
      </c>
      <c r="EC1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4" s="43" t="n">
        <f aca="false">IF(OR(NOT(Tasks[[#This Row],[_IsLeaf]]=1),Tasks[[#This Row],[_Res3Row]]=0),0,N(Tasks[[#This Row],[_Days]])*HoursPerDay*IF(Tasks[[#This Row],[_Res3Units]]="",DefaultUnits,Tasks[[#This Row],[_Res3Units]]))</f>
        <v>0</v>
      </c>
      <c r="EE164" s="43" t="n">
        <f aca="false">IF(AND(AND(Tasks[[#This Row],[_IsLeaf]]=1,Tasks[[#This Row],[_LeafTotalWork]]&gt;0),Tasks[[#This Row],[_Res3Work]]&gt;0),Tasks[[#This Row],[_Res3Work]]/(Tasks[[#This Row],[_FinishWorkday]]-Tasks[[#This Row],[_StartWorkday]]+1),0)</f>
        <v>0</v>
      </c>
      <c r="EF164" s="43" t="n">
        <f aca="false">Tasks[[#This Row],[_Res3WorkPerWD]]*MAX(0,Tasks[[#This Row],[_StartWorkday]]-1)</f>
        <v>0</v>
      </c>
      <c r="EG164" s="43" t="n">
        <f aca="false">Tasks[[#This Row],[_Res3Work]]*Tasks[[#This Row],[_LeafProgress]]</f>
        <v>0</v>
      </c>
      <c r="EH164" s="43" t="str">
        <f aca="false">IF(Tasks[[#This Row],[_Res4Text]]="","",IF(Tasks[[#This Row],[_Res4Row]]&gt;0,INDEX(res_Name,Tasks[[#This Row],[_Res4Row]]),TRIM(LEFT(Tasks[[#This Row],[_Res4Text]],FIND("[",Tasks[[#This Row],[_Res4Text]]&amp;"[")-1))))</f>
        <v/>
      </c>
      <c r="EI1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4" s="43" t="n">
        <f aca="false">IF(OR(NOT(Tasks[[#This Row],[_IsLeaf]]=1),Tasks[[#This Row],[_Res4Row]]=0),0,N(Tasks[[#This Row],[_Days]])*HoursPerDay*IF(Tasks[[#This Row],[_Res4Units]]="",DefaultUnits,Tasks[[#This Row],[_Res4Units]]))</f>
        <v>0</v>
      </c>
      <c r="EK164" s="43" t="n">
        <f aca="false">IF(AND(AND(Tasks[[#This Row],[_IsLeaf]]=1,Tasks[[#This Row],[_LeafTotalWork]]&gt;0),Tasks[[#This Row],[_Res4Work]]&gt;0),Tasks[[#This Row],[_Res4Work]]/(Tasks[[#This Row],[_FinishWorkday]]-Tasks[[#This Row],[_StartWorkday]]+1),0)</f>
        <v>0</v>
      </c>
      <c r="EL164" s="43" t="n">
        <f aca="false">Tasks[[#This Row],[_Res4WorkPerWD]]*MAX(0,Tasks[[#This Row],[_StartWorkday]]-1)</f>
        <v>0</v>
      </c>
      <c r="EM164" s="43" t="n">
        <f aca="false">Tasks[[#This Row],[_Res4Work]]*Tasks[[#This Row],[_LeafProgress]]</f>
        <v>0</v>
      </c>
      <c r="EN164" s="43" t="n">
        <f aca="false">IF(ISNUMBER(Tasks[[#This Row],[% Complete]]),Tasks[[#This Row],[% Complete]],IF(Tasks[[#This Row],[Stage]]="",0,IFERROR(INDEX(stg_Pct,MATCH(Tasks[[#This Row],[Stage]],stg_Name,0)),0)))</f>
        <v>0</v>
      </c>
      <c r="EO164" s="43" t="n">
        <f aca="false">IF(NOT(Tasks[[#This Row],[_IsLeaf]]=1),0,IF(N(Tasks[[#This Row],[Actual Finish]])&gt;0,1,MIN(1,Tasks[[#This Row],[_Pct]])))</f>
        <v>0</v>
      </c>
      <c r="EP164" s="43" t="n">
        <f aca="false">IF(OR(NOT(Tasks[[#This Row],[_IsLeaf]]=1),Tasks[[#This Row],[_Res1Row]]=0),0,N(Tasks[[#This Row],[_Days]])*HoursPerDay*IF(Tasks[[#This Row],[_Units1]]="",DefaultUnits,Tasks[[#This Row],[_Units1]]))</f>
        <v>0</v>
      </c>
      <c r="EQ164" s="43" t="n">
        <f aca="false">Tasks[[#This Row],[_LeafWork]]+Tasks[[#This Row],[_Res2Work]]+Tasks[[#This Row],[_Res3Work]]+Tasks[[#This Row],[_Res4Work]]</f>
        <v>0</v>
      </c>
      <c r="ER16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4" s="43" t="n">
        <f aca="false">IF(NOT(Tasks[[#This Row],[_IsLeaf]]=1),0,MAX(_xlfn.MAXIFS(Tasks[_Row],Tasks[_Pred1UID],Tasks[[#This Row],[UID]]),_xlfn.MAXIFS(Tasks[_Row],Tasks[_Pred2UID],Tasks[[#This Row],[UID]]),_xlfn.MAXIFS(Tasks[_Row],Tasks[_Pred3UID],Tasks[[#This Row],[UID]]),_xlfn.MAXIFS(Tasks[_Row],Tasks[_Pred4UID],Tasks[[#This Row],[UID]])))</f>
        <v>0</v>
      </c>
      <c r="FA1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4" s="91" t="str">
        <f aca="false">IF(NOT(Tasks[[#This Row],[_IsLeaf]]=1),"",IF(N(Tasks[[#This Row],[_Days]])&lt;=0,Tasks[[#This Row],[_LeafLateFinish]],WORKDAY.INTL(Tasks[[#This Row],[_LeafLateFinish]],-(Tasks[[#This Row],[_Days]]-1),WorkWeek,Holidays)))</f>
        <v/>
      </c>
      <c r="FD1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4" s="90" t="b">
        <f aca="false">AND(Tasks[[#This Row],[_IsLeaf]]=1,Tasks[[#This Row],[_LeafProgress]]&lt;1,N(Tasks[[#This Row],[_LeafTotalSlack]])&lt;=CriticalSlackDays)</f>
        <v>0</v>
      </c>
      <c r="FF164" s="43" t="n">
        <f aca="false">IF(AND(Tasks[[#This Row],[_IsLeaf]]=1,Tasks[[#This Row],[_ConstraintCode]]=1,Tasks[[#This Row],[Mode]]&lt;&gt;"Manual",N(Tasks[[#This Row],[Actual Start]])=0),MAX(0,N(Tasks[[#This Row],[Free Slack]])),0)</f>
        <v>0</v>
      </c>
      <c r="FG164" s="91" t="str">
        <f aca="false">IF(NOT(Tasks[[#This Row],[_IsLeaf]]=1),"",IF(Tasks[[#This Row],[_AlapShift]]=0,Tasks[[#This Row],[_LeafCalcStart]],WORKDAY.INTL(Tasks[[#This Row],[_LeafCalcStart]],Tasks[[#This Row],[_AlapShift]],WorkWeek,Holidays)))</f>
        <v/>
      </c>
      <c r="FH164" s="91" t="str">
        <f aca="false">IF(NOT(Tasks[[#This Row],[_IsLeaf]]=1),"",IF(Tasks[[#This Row],[_AlapShift]]=0,Tasks[[#This Row],[_LeafCalcFinish]],WORKDAY.INTL(Tasks[[#This Row],[_LeafCalcFinish]],Tasks[[#This Row],[_AlapShift]],WorkWeek,Holidays)))</f>
        <v/>
      </c>
      <c r="FI164" s="91" t="str">
        <f aca="false">IF(NOT(Tasks[[#This Row],[_IsLeaf]]=1),"",IF(Tasks[[#This Row],[_AlapShift]]=0,Tasks[[#This Row],[_LeafFcstStart]],WORKDAY.INTL(Tasks[[#This Row],[_LeafFcstStart]],Tasks[[#This Row],[_AlapShift]],WorkWeek,Holidays)))</f>
        <v/>
      </c>
      <c r="FJ164" s="91" t="str">
        <f aca="false">IF(NOT(Tasks[[#This Row],[_IsLeaf]]=1),"",IF(Tasks[[#This Row],[_AlapShift]]=0,Tasks[[#This Row],[_LeafFcstFinish]],WORKDAY.INTL(Tasks[[#This Row],[_LeafFcstFinish]],Tasks[[#This Row],[_AlapShift]],WorkWeek,Holidays)))</f>
        <v/>
      </c>
      <c r="FK164" s="91" t="str">
        <f aca="false">IF(Tasks[[#This Row],[Task Name]]="","",IF(Tasks[[#This Row],[_IsSummary]],MIN(INDEX(Tasks[_ShownCalcStart],Tasks[[#This Row],[_Row]]+1):INDEX(Tasks[_ShownCalcStart],Tasks[[#This Row],[_Row]]+Tasks[[#This Row],[_Descendants]])),Tasks[[#This Row],[_ShownCalcStart]]))</f>
        <v/>
      </c>
      <c r="FL164" s="91" t="str">
        <f aca="false">IF(Tasks[[#This Row],[Task Name]]="","",IF(Tasks[[#This Row],[_IsSummary]],MAX(INDEX(Tasks[_ShownCalcFinish],Tasks[[#This Row],[_Row]]+1):INDEX(Tasks[_ShownCalcFinish],Tasks[[#This Row],[_Row]]+Tasks[[#This Row],[_Descendants]])),Tasks[[#This Row],[_ShownCalcFinish]]))</f>
        <v/>
      </c>
      <c r="FM1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4" s="43" t="n">
        <f aca="false">IF(AND(Tasks[[#This Row],[_IsLeaf]]=1,Tasks[[#This Row],[_LeafTotalWork]]&gt;0),NETWORKDAYS.INTL(ProjectStart,Tasks[[#This Row],[_ShownFcstStart]],WorkWeek,Holidays),0)</f>
        <v>0</v>
      </c>
      <c r="FZ164" s="43" t="n">
        <f aca="false">IF(AND(Tasks[[#This Row],[_IsLeaf]]=1,Tasks[[#This Row],[_LeafTotalWork]]&gt;0),MAX(Tasks[[#This Row],[_StartWorkday]],NETWORKDAYS.INTL(ProjectStart,Tasks[[#This Row],[_ShownFcstFinish]],WorkWeek,Holidays)),0)</f>
        <v>0</v>
      </c>
      <c r="GA164" s="43" t="n">
        <f aca="false">IF(AND(Tasks[[#This Row],[_IsLeaf]]=1,Tasks[[#This Row],[_LeafTotalWork]]&gt;0),Tasks[[#This Row],[_LeafWork]]/(Tasks[[#This Row],[_FinishWorkday]]-Tasks[[#This Row],[_StartWorkday]]+1),0)</f>
        <v>0</v>
      </c>
      <c r="GB164" s="43" t="n">
        <f aca="false">Tasks[[#This Row],[_WorkPerWorkday]]*(Tasks[[#This Row],[_StartWorkday]]-1)</f>
        <v>-0</v>
      </c>
      <c r="GC164" s="43" t="n">
        <f aca="false">IF(Tasks[[#This Row],[_IsLeaf]]=1,MAX(N(Tasks[[#This Row],[_Days]]),0.1),0)</f>
        <v>0</v>
      </c>
      <c r="GD164" s="43" t="n">
        <f aca="false">Tasks[[#This Row],[_WeightDur]]*Tasks[[#This Row],[_LeafProgress]]</f>
        <v>0</v>
      </c>
      <c r="GE164" s="43" t="n">
        <f aca="false">Tasks[[#This Row],[_WeightDur]]*Tasks[[#This Row],[_PlannedPct]]</f>
        <v>0</v>
      </c>
      <c r="GF1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4" s="43" t="str">
        <f aca="false">IF(AND(Tasks[[#This Row],[_IsLeaf]]=1,N(Tasks[[#This Row],[_Days]])=0,Tasks[[#This Row],[_LeafProgress]]&lt;1),Tasks[[#This Row],[_ShownFcstFinish]]+Tasks[[#This Row],[_Row]]/100000,"")</f>
        <v/>
      </c>
      <c r="GH1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4" s="43" t="str">
        <f aca="false">IF(Tasks[[#This Row],[Task Name]]="","",LEFT(Tasks[[#This Row],[WBS]],FIND(".",Tasks[[#This Row],[WBS]]&amp;".")-1))</f>
        <v/>
      </c>
      <c r="GJ164" s="43" t="str">
        <f aca="false">IF(AND(Tasks[[#This Row],[Task Name]]&lt;&gt;"",Tasks[[#This Row],[_Level]]=1),Tasks[[#This Row],[_Row]],"")</f>
        <v/>
      </c>
      <c r="GK164" s="43" t="str">
        <f aca="false">IF(AND(Tasks[[#This Row],[_IsLeaf]]=1,N(Tasks[[#This Row],[_Days]])=0),Tasks[[#This Row],[Planned Finish]]+Tasks[[#This Row],[_Row]]/100000,"")</f>
        <v/>
      </c>
      <c r="GL164" s="43" t="str">
        <f aca="false">IF(AND(Tasks[[#This Row],[_IsLeaf]]=1,Tasks[[#This Row],[_LeafProgress]]&lt;1,OR(N(Tasks[[#This Row],[Finish Var]])&gt;0,Tasks[[#This Row],[Status]]="Late Start")),MAX(0,Tasks[[#This Row],[Finish Var]])+1-Tasks[[#This Row],[_Row]]/1000000,"")</f>
        <v/>
      </c>
      <c r="GM164" s="43" t="str">
        <f aca="false">IF(AND(Tasks[[#This Row],[_IsLeaf]]=1,N(Tasks[[#This Row],[Actual Start]])=0,Tasks[[#This Row],[_ShownFcstStart]]&gt;=StatusDate,Tasks[[#This Row],[_ShownFcstStart]]&lt;=LookaheadEnd),Tasks[[#This Row],[_ShownFcstStart]]+Tasks[[#This Row],[_Row]]/100000,"")</f>
        <v/>
      </c>
      <c r="GN164" s="43" t="str">
        <f aca="false">IF(AND(Tasks[[#This Row],[_IsLeaf]]=1,Tasks[[#This Row],[_LeafProgress]]&lt;1,Tasks[[#This Row],[_ShownFcstFinish]]&gt;=StatusDate,Tasks[[#This Row],[_ShownFcstFinish]]&lt;=LookaheadEnd),Tasks[[#This Row],[_ShownFcstFinish]]+Tasks[[#This Row],[_Row]]/100000,"")</f>
        <v/>
      </c>
      <c r="GO164" s="43" t="str">
        <f aca="false">IF(Tasks[[#This Row],[_LeafCritical]],Tasks[[#This Row],[_ShownFcstStart]]+Tasks[[#This Row],[_Row]]/100000,"")</f>
        <v/>
      </c>
      <c r="GP164" s="43" t="n">
        <f aca="false">Tasks[[#This Row],[_LeafWork]]*Tasks[[#This Row],[_LeafProgress]]</f>
        <v>0</v>
      </c>
      <c r="GQ164" s="91" t="str">
        <f aca="false">IF(AND(Tasks[[#This Row],[_IsLeaf]]=1,Tasks[[#This Row],[_LeafProgress]]&gt;=1),IF(N(Tasks[[#This Row],[Actual Finish]])&gt;0,Tasks[[#This Row],[Actual Finish]],Tasks[[#This Row],[_ShownFcstFinish]]),"")</f>
        <v/>
      </c>
      <c r="GR164" s="43" t="n">
        <f aca="false">IF(Tasks[[#This Row],[_IsLeaf]]=1,N(Tasks[[#This Row],[Story Points]]),0)</f>
        <v>0</v>
      </c>
      <c r="GS164" s="43" t="str">
        <f aca="false">""</f>
        <v/>
      </c>
      <c r="GT164" s="90" t="b">
        <f aca="false">IF(Tasks[[#This Row],[Task Name]]="",FALSE(),AND(Tasks[[#This Row],[_IsLeaf]]=1,N(Tasks[[#This Row],[_Days]])=0))</f>
        <v>0</v>
      </c>
      <c r="GU164" s="91" t="n">
        <f aca="false">IF(Tasks[[#This Row],[Task Name]]="",0,IF(AND(Tasks[[#This Row],[_IsLeaf]]=1,NOT(Tasks[[#This Row],[_IsMilestone]]),N(Tasks[[#This Row],[Progress]])&gt;0),Tasks[[#This Row],[Start]],0))</f>
        <v>0</v>
      </c>
      <c r="GV164" s="91" t="n">
        <f aca="false">IF(Tasks[[#This Row],[_DoneFrom]]=0,0,IF(Tasks[[#This Row],[Progress]]&gt;=1,Tasks[[#This Row],[Finish]],MAX(Tasks[[#This Row],[_DoneFrom]],Tasks[[#This Row],[Start]]+ROUND((Tasks[[#This Row],[Finish]]-Tasks[[#This Row],[Start]]+1)*Tasks[[#This Row],[Progress]],0)-1)))</f>
        <v>0</v>
      </c>
      <c r="GW164" s="91" t="n">
        <f aca="false">IF(Tasks[[#This Row],[Task Name]]="",0,IF(OR(NOT(Tasks[[#This Row],[_IsLeaf]]=1),Tasks[[#This Row],[_IsMilestone]],N(Tasks[[#This Row],[Progress]])&gt;=1),0,IF(Tasks[[#This Row],[_DoneTo]]&gt;0,Tasks[[#This Row],[_DoneTo]]+1,Tasks[[#This Row],[Start]])))</f>
        <v>0</v>
      </c>
      <c r="GX164" s="91" t="n">
        <f aca="false">IF(Tasks[[#This Row],[_RemFrom]]=0,0,Tasks[[#This Row],[Finish]])</f>
        <v>0</v>
      </c>
      <c r="GY164" s="90" t="b">
        <f aca="false">IF(Tasks[[#This Row],[Task Name]]="",FALSE(),OR(NOT(BaselineSet),N(Tasks[[#This Row],[Baseline Start]])&gt;0))</f>
        <v>0</v>
      </c>
      <c r="GZ16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4" s="92" t="str">
        <f aca="false">IF(Tasks[[#This Row],[_IsLeaf]]=1,Tasks[[#This Row],[_Row]],"")</f>
        <v/>
      </c>
      <c r="HD164" s="92" t="str">
        <f aca="false">IFERROR(INDEX(Tasks[UID],SMALL(Tasks[_PickKey],Tasks[[#This Row],[_Row]]))&amp;" "&amp;INDEX(Tasks[Task Name],SMALL(Tasks[_PickKey],Tasks[[#This Row],[_Row]])),"")</f>
        <v/>
      </c>
      <c r="HE164" s="43" t="str">
        <f aca="false">IF(Tasks[[#This Row],[Task Name]]="","",IF(Tasks[[#This Row],[_IsSummary]],NETWORKDAYS.INTL(Tasks[[#This Row],[Start]],Tasks[[#This Row],[Finish]],WorkWeek,Holidays),N(Tasks[[#This Row],[_Days]])))</f>
        <v/>
      </c>
      <c r="HF164" s="43" t="n">
        <f aca="false">IF(Tasks[[#This Row],[Expected]]="",0,((Tasks[[#This Row],[Pessimistic]]-Tasks[[#This Row],[Optimistic]])/6)^2)</f>
        <v>0</v>
      </c>
      <c r="HG164" s="43" t="n">
        <f aca="false">IF(Tasks[[#This Row],[Expected]]="",0,Tasks[[#This Row],[Expected]]-N(Tasks[[#This Row],[_Days]]))</f>
        <v>0</v>
      </c>
    </row>
    <row r="165" customFormat="false" ht="15" hidden="false" customHeight="false" outlineLevel="0" collapsed="false">
      <c r="A165" s="21" t="str">
        <f aca="false">IF(Tasks[[#This Row],[Task Name]]="","",COUNTA(Tasks[[#Headers],[Task Name]]:Tasks[[#This Row],[Task Name]])-1)</f>
        <v/>
      </c>
      <c r="B165" s="22" t="n">
        <v>173</v>
      </c>
      <c r="C165" s="22"/>
      <c r="D165" s="23"/>
      <c r="E165" s="22"/>
      <c r="F165" s="23"/>
      <c r="G165" s="22"/>
      <c r="H165" s="22"/>
      <c r="I165" s="23"/>
      <c r="J165" s="22"/>
      <c r="K165" s="22"/>
      <c r="L165" s="23"/>
      <c r="M165" s="22"/>
      <c r="N165" s="22"/>
      <c r="O165" s="23"/>
      <c r="P165" s="22"/>
      <c r="Q165" s="22"/>
      <c r="R165" s="23"/>
      <c r="S165" s="23"/>
      <c r="T165" s="84"/>
      <c r="U165" s="23"/>
      <c r="V165" s="84"/>
      <c r="W165" s="23"/>
      <c r="X165" s="84"/>
      <c r="Y165" s="23"/>
      <c r="Z165" s="84"/>
      <c r="AA165" s="23"/>
      <c r="AB165" s="23"/>
      <c r="AC165" s="7"/>
      <c r="AD165" s="7"/>
      <c r="AE165" s="63" t="str">
        <f aca="false">IF(Tasks[[#This Row],[Task Name]]="","",IF(Tasks[[#This Row],[_IsSummary]],MIN(INDEX(Tasks[_ShownFcstStart],Tasks[[#This Row],[_Row]]+1):INDEX(Tasks[_ShownFcstStart],Tasks[[#This Row],[_Row]]+Tasks[[#This Row],[_Descendants]])),Tasks[[#This Row],[_ShownFcstStart]]))</f>
        <v/>
      </c>
      <c r="AF165" s="63" t="str">
        <f aca="false">IF(Tasks[[#This Row],[Task Name]]="","",IF(Tasks[[#This Row],[_IsSummary]],MAX(INDEX(Tasks[_ShownFcstFinish],Tasks[[#This Row],[_Row]]+1):INDEX(Tasks[_ShownFcstFinish],Tasks[[#This Row],[_Row]]+Tasks[[#This Row],[_Descendants]])),Tasks[[#This Row],[_ShownFcstFinish]]))</f>
        <v/>
      </c>
      <c r="AG165" s="21" t="str">
        <f aca="false">""</f>
        <v/>
      </c>
      <c r="AH165" s="23"/>
      <c r="AI1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5" s="7"/>
      <c r="AK165" s="22"/>
      <c r="AL165" s="23"/>
      <c r="AM165" s="7"/>
      <c r="AN165" s="47" t="str">
        <f aca="false">IF(Tasks[[#This Row],[Task Name]]="","",IF(Tasks[[#This Row],[Finish]]&gt;=Tasks[[#This Row],[Planned Finish]],NETWORKDAYS.INTL(Tasks[[#This Row],[Planned Finish]],Tasks[[#This Row],[Finish]],WorkWeek,Holidays)-1,1-NETWORKDAYS.INTL(Tasks[[#This Row],[Finish]],Tasks[[#This Row],[Planned Finish]],WorkWeek,Holidays)))</f>
        <v/>
      </c>
      <c r="AO165" s="21" t="str">
        <f aca="false">IF(Tasks[[#This Row],[Task Name]]="","",IF(Tasks[[#This Row],[Progress]]&gt;=1,"Complete",IF(OR(N(Tasks[[#This Row],[Actual Start]])&gt;0,Tasks[[#This Row],[Progress]]&gt;0),IF(Tasks[[#This Row],[Finish Var]]&gt;0,"Behind","In Progress"),IF(Tasks[[#This Row],[Planned Start]]&lt;StatusDate,"Late Start","Not Started"))))</f>
        <v/>
      </c>
      <c r="AP165" s="21" t="str">
        <f aca="false">IF(Tasks[[#This Row],[Task Name]]="","",IF(IF(Tasks[[#This Row],[_IsSummary]],COUNTIF(INDEX(Tasks[_LeafCritical],Tasks[[#This Row],[_Row]]+1):INDEX(Tasks[_LeafCritical],Tasks[[#This Row],[_Row]]+Tasks[[#This Row],[_Descendants]]),TRUE())&gt;0,Tasks[[#This Row],[_LeafCritical]]),"Yes",""))</f>
        <v/>
      </c>
      <c r="AQ165" s="63" t="str">
        <f aca="false">IF(Tasks[[#This Row],[Task Name]]="","",IF(N(Tasks[[#This Row],[Baseline Start]])&gt;0,Tasks[[#This Row],[Baseline Start]],Tasks[[#This Row],[_CalcStart]]))</f>
        <v/>
      </c>
      <c r="AR165" s="63" t="str">
        <f aca="false">IF(Tasks[[#This Row],[Task Name]]="","",IF(N(Tasks[[#This Row],[Baseline Finish]])&gt;0,Tasks[[#This Row],[Baseline Finish]],Tasks[[#This Row],[_CalcFinish]]))</f>
        <v/>
      </c>
      <c r="AS165" s="47" t="str">
        <f aca="false">IF(Tasks[[#This Row],[Task Name]]="","",IF(Tasks[[#This Row],[Start]]&gt;=Tasks[[#This Row],[Planned Start]],NETWORKDAYS.INTL(Tasks[[#This Row],[Planned Start]],Tasks[[#This Row],[Start]],WorkWeek,Holidays)-1,1-NETWORKDAYS.INTL(Tasks[[#This Row],[Start]],Tasks[[#This Row],[Planned Start]],WorkWeek,Holidays)))</f>
        <v/>
      </c>
      <c r="AT165" s="63" t="str">
        <f aca="false">IF(Tasks[[#This Row],[Task Name]]="","",IF(Tasks[[#This Row],[_IsSummary]],MIN(INDEX(Tasks[_LeafLateStart],Tasks[[#This Row],[_Row]]+1):INDEX(Tasks[_LeafLateStart],Tasks[[#This Row],[_Row]]+Tasks[[#This Row],[_Descendants]])),Tasks[[#This Row],[_LeafLateStart]]))</f>
        <v/>
      </c>
      <c r="AU165" s="63" t="str">
        <f aca="false">IF(Tasks[[#This Row],[Task Name]]="","",IF(Tasks[[#This Row],[_IsSummary]],MAX(INDEX(Tasks[_LeafLateFinish],Tasks[[#This Row],[_Row]]+1):INDEX(Tasks[_LeafLateFinish],Tasks[[#This Row],[_Row]]+Tasks[[#This Row],[_Descendants]])),Tasks[[#This Row],[_LeafLateFinish]]))</f>
        <v/>
      </c>
      <c r="AV165" s="47" t="str">
        <f aca="false">IF(Tasks[[#This Row],[Task Name]]="","",IF(Tasks[[#This Row],[_IsSummary]],MIN(INDEX(Tasks[_LeafTotalSlack],Tasks[[#This Row],[_Row]]+1):INDEX(Tasks[_LeafTotalSlack],Tasks[[#This Row],[_Row]]+Tasks[[#This Row],[_Descendants]])),Tasks[[#This Row],[_LeafTotalSlack]]))</f>
        <v/>
      </c>
      <c r="AW1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5"/>
      <c r="BA16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t="str">
        <f aca="false">IF(Tasks[[#This Row],[Task Name]]="","",IF(Tasks[[#This Row],[_Level]]&lt;=OutlineShowLevel,"Yes","No"))</f>
        <v/>
      </c>
      <c r="BE165" s="86" t="str">
        <f aca="false">IF(Tasks[[#This Row],[Task Name]]="","",IF(Tasks[[#This Row],[_IsSummary]],SUM(INDEX(Tasks[_LeafTotalWork],Tasks[[#This Row],[_Row]]+1):INDEX(Tasks[_LeafTotalWork],Tasks[[#This Row],[_Row]]+Tasks[[#This Row],[_Descendants]])),Tasks[[#This Row],[_LeafTotalWork]]))</f>
        <v/>
      </c>
      <c r="BF165" s="23"/>
      <c r="BG1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t="str">
        <f aca="false">""</f>
        <v/>
      </c>
      <c r="BI165" s="87"/>
      <c r="BJ165" s="22"/>
      <c r="BK165" s="47" t="str">
        <f aca="false">IF(OR(Tasks[[#This Row],[Task Name]]="",Tasks[[#This Row],[Baseline Duration]]=""),"",Tasks[[#This Row],[_SpanDays]]-N(Tasks[[#This Row],[Baseline Duration]]))</f>
        <v/>
      </c>
      <c r="BL165" s="86" t="str">
        <f aca="false">IF(OR(Tasks[[#This Row],[Task Name]]="",Tasks[[#This Row],[Baseline Work]]=""),"",Tasks[[#This Row],[Work]]-N(Tasks[[#This Row],[Baseline Work]]))</f>
        <v/>
      </c>
      <c r="BM165" s="63" t="str">
        <f aca="false">IF(Tasks[[#This Row],[Task Name]]="","",IF(OR(TakeBaseline="Yes",N(Tasks[[#This Row],[Baseline Start]])=0),Tasks[[#This Row],[Start]],Tasks[[#This Row],[Baseline Start]]))</f>
        <v/>
      </c>
      <c r="BN165" s="63" t="str">
        <f aca="false">IF(Tasks[[#This Row],[Task Name]]="","",IF(OR(TakeBaseline="Yes",N(Tasks[[#This Row],[Baseline Finish]])=0),Tasks[[#This Row],[Finish]],Tasks[[#This Row],[Baseline Finish]]))</f>
        <v/>
      </c>
      <c r="BO165" s="21" t="str">
        <f aca="false">IF(Tasks[[#This Row],[Task Name]]="","",IF(OR(TakeBaseline="Yes",N(Tasks[[#This Row],[Baseline Duration]])=0),Tasks[[#This Row],[_SpanDays]],Tasks[[#This Row],[Baseline Duration]]))</f>
        <v/>
      </c>
      <c r="BP165" s="86" t="str">
        <f aca="false">IF(Tasks[[#This Row],[Task Name]]="","",IF(OR(TakeBaseline="Yes",N(Tasks[[#This Row],[Baseline Work]])=0),Tasks[[#This Row],[Work]],Tasks[[#This Row],[Baseline Work]]))</f>
        <v/>
      </c>
      <c r="BQ165" s="7"/>
      <c r="BR165" s="7"/>
      <c r="BS165" s="22"/>
      <c r="BT165" s="88"/>
      <c r="BU165" s="23"/>
      <c r="BV165" s="23"/>
      <c r="BW165" s="23"/>
      <c r="BX165" s="89" t="str">
        <f aca="false">IF(AND(Tasks[[#This Row],[_IsLeaf]]=1,ISNUMBER(Tasks[[#This Row],[Optimistic]]),ISNUMBER(Tasks[[#This Row],[Pessimistic]])),ROUND((Tasks[[#This Row],[Optimistic]]+4*N(Tasks[[#This Row],[_Days]])+Tasks[[#This Row],[Pessimistic]])/6,1),"")</f>
        <v/>
      </c>
      <c r="BY165" s="87"/>
      <c r="BZ165" s="87"/>
      <c r="CA165" s="22"/>
      <c r="CB165" s="43" t="str">
        <f aca="false">IF(Tasks[[#This Row],[Task Name]]="","",MAX(1,N(Tasks[[#This Row],[Level]])))</f>
        <v/>
      </c>
      <c r="CC165" s="43" t="n">
        <f aca="false">ROW()-ROW(Tasks[[#Headers],[ID]])</f>
        <v>160</v>
      </c>
      <c r="CD165" s="43" t="n">
        <f aca="false">IF(OR(Tasks[[#This Row],[Task Name]]="",Tasks[[#This Row],[_Level]]&lt;=1),0,IFERROR(LOOKUP(2,1/(Tasks[[#Headers],[_Level]]:Tasks[[#This Row],[_Level]]=Tasks[[#This Row],[_Level]]-1),ROW(Tasks[[#Headers],[_Level]]:Tasks[[#This Row],[_Level]])),0))</f>
        <v>0</v>
      </c>
      <c r="CE165" s="43" t="n">
        <f aca="false">IFERROR(N(INDEX(Tasks[_Level],Tasks[[#This Row],[_Row]]+1)),0)</f>
        <v>0</v>
      </c>
      <c r="CF165" s="90" t="b">
        <f aca="false">AND(Tasks[[#This Row],[Task Name]]&lt;&gt;"",Tasks[[#This Row],[_NextLevel]]&gt;Tasks[[#This Row],[_Level]])</f>
        <v>0</v>
      </c>
      <c r="CG165" s="43" t="n">
        <f aca="false">IF(Tasks[[#This Row],[_IsSummary]],COUNTIF(Tasks[WBS],Tasks[[#This Row],[WBS]]&amp;".*"),0)</f>
        <v>0</v>
      </c>
      <c r="CH165" s="43" t="n">
        <f aca="false">IF(AND(Tasks[[#This Row],[Task Name]]&lt;&gt;"",NOT(Tasks[[#This Row],[_IsSummary]])),1,0)</f>
        <v>0</v>
      </c>
      <c r="CI165" s="43" t="n">
        <f aca="false">IF(N(Tasks[[#This Row],[_Pred1UID]])=0,0,IFERROR(MATCH(Tasks[[#This Row],[_Pred1UID]],Tasks[UID],0),-1))</f>
        <v>0</v>
      </c>
      <c r="CJ165" s="43" t="n">
        <f aca="false">IF(N(Tasks[[#This Row],[_Pred2UID]])=0,0,IFERROR(MATCH(Tasks[[#This Row],[_Pred2UID]],Tasks[UID],0),-1))</f>
        <v>0</v>
      </c>
      <c r="CK165" s="43" t="n">
        <f aca="false">IF(N(Tasks[[#This Row],[_Pred3UID]])=0,0,IFERROR(MATCH(Tasks[[#This Row],[_Pred3UID]],Tasks[UID],0),-1))</f>
        <v>0</v>
      </c>
      <c r="CL165" s="43" t="n">
        <f aca="false">IF(N(Tasks[[#This Row],[_Pred4UID]])=0,0,IFERROR(MATCH(Tasks[[#This Row],[_Pred4UID]],Tasks[UID],0),-1))</f>
        <v>0</v>
      </c>
      <c r="CM1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5" s="91" t="n">
        <f aca="false">IF(OR(Tasks[[#This Row],[_ConstraintCode]]=2,Tasks[[#This Row],[_ConstraintCode]]=3,Tasks[[#This Row],[_ConstraintCode]]=4,Tasks[[#This Row],[_ConstraintCode]]=6),Tasks[[#This Row],[_ConstraintStart]],0)</f>
        <v>0</v>
      </c>
      <c r="CP165" s="91" t="n">
        <f aca="false">IF(OR(Tasks[[#This Row],[_ConstraintCode]]=2,Tasks[[#This Row],[_ConstraintCode]]=3,Tasks[[#This Row],[_ConstraintCode]]=5,Tasks[[#This Row],[_ConstraintCode]]=7),Tasks[[#This Row],[_ConstraintStart]],2958465)</f>
        <v>2958465</v>
      </c>
      <c r="CQ1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5" s="91" t="str">
        <f aca="false">IF(NOT(Tasks[[#This Row],[_IsLeaf]]=1),"",IF(N(Tasks[[#This Row],[_Days]])&lt;=0,Tasks[[#This Row],[_LeafCalcStart]],WORKDAY.INTL(Tasks[[#This Row],[_LeafCalcStart]],Tasks[[#This Row],[_Days]]-1,WorkWeek,Holidays)))</f>
        <v/>
      </c>
      <c r="CS1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5" s="43" t="str">
        <f aca="false">IF(Tasks[[#This Row],[_Predecessors]]="","",TRIM(MID(SUBSTITUTE(SUBSTITUTE(SUBSTITUTE(UPPER(Tasks[[#This Row],[_Predecessors]]),";",",")," ",""),",",REPT(" ",99)),1,99)))</f>
        <v/>
      </c>
      <c r="CV165" s="43" t="str">
        <f aca="false">IF(Tasks[[#This Row],[_Pred1Text]]="","",IFERROR(VALUE(LEFT(Tasks[[#This Row],[_Pred1Text]],MIN(FIND("F",Tasks[[#This Row],[_Pred1Text]]&amp;"F"),FIND("S",Tasks[[#This Row],[_Pred1Text]]&amp;"S"),FIND("+",Tasks[[#This Row],[_Pred1Text]]&amp;"+"),FIND("-",Tasks[[#This Row],[_Pred1Text]]&amp;"-"))-1)),""))</f>
        <v/>
      </c>
      <c r="CW1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5" s="43" t="str">
        <f aca="false">IF(Tasks[[#This Row],[_Pred1Text]]="","",TRIM(MID(SUBSTITUTE(SUBSTITUTE(SUBSTITUTE(UPPER(Tasks[[#This Row],[_Predecessors]]),";",",")," ",""),",",REPT(" ",99)),100,99)))</f>
        <v/>
      </c>
      <c r="CZ165" s="43" t="str">
        <f aca="false">IF(Tasks[[#This Row],[_Pred2Text]]="","",IFERROR(VALUE(LEFT(Tasks[[#This Row],[_Pred2Text]],MIN(FIND("F",Tasks[[#This Row],[_Pred2Text]]&amp;"F"),FIND("S",Tasks[[#This Row],[_Pred2Text]]&amp;"S"),FIND("+",Tasks[[#This Row],[_Pred2Text]]&amp;"+"),FIND("-",Tasks[[#This Row],[_Pred2Text]]&amp;"-"))-1)),""))</f>
        <v/>
      </c>
      <c r="DA1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5" s="43" t="str">
        <f aca="false">IF(Tasks[[#This Row],[_Pred2Text]]="","",TRIM(MID(SUBSTITUTE(SUBSTITUTE(SUBSTITUTE(UPPER(Tasks[[#This Row],[_Predecessors]]),";",",")," ",""),",",REPT(" ",99)),199,99)))</f>
        <v/>
      </c>
      <c r="DD165" s="43" t="str">
        <f aca="false">IF(Tasks[[#This Row],[_Pred3Text]]="","",IFERROR(VALUE(LEFT(Tasks[[#This Row],[_Pred3Text]],MIN(FIND("F",Tasks[[#This Row],[_Pred3Text]]&amp;"F"),FIND("S",Tasks[[#This Row],[_Pred3Text]]&amp;"S"),FIND("+",Tasks[[#This Row],[_Pred3Text]]&amp;"+"),FIND("-",Tasks[[#This Row],[_Pred3Text]]&amp;"-"))-1)),""))</f>
        <v/>
      </c>
      <c r="DE1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5" s="43" t="str">
        <f aca="false">IF(Tasks[[#This Row],[_Pred3Text]]="","",TRIM(MID(SUBSTITUTE(SUBSTITUTE(SUBSTITUTE(UPPER(Tasks[[#This Row],[_Predecessors]]),";",",")," ",""),",",REPT(" ",99)),298,99)))</f>
        <v/>
      </c>
      <c r="DH165" s="43" t="str">
        <f aca="false">IF(Tasks[[#This Row],[_Pred4Text]]="","",IFERROR(VALUE(LEFT(Tasks[[#This Row],[_Pred4Text]],MIN(FIND("F",Tasks[[#This Row],[_Pred4Text]]&amp;"F"),FIND("S",Tasks[[#This Row],[_Pred4Text]]&amp;"S"),FIND("+",Tasks[[#This Row],[_Pred4Text]]&amp;"+"),FIND("-",Tasks[[#This Row],[_Pred4Text]]&amp;"-"))-1)),""))</f>
        <v/>
      </c>
      <c r="DI1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5" s="43" t="str">
        <f aca="false">IF(OR(Tasks[[#This Row],[Task Name]]="",Tasks[[#This Row],[_Resources]]=""),"",TRIM(MID(SUBSTITUTE(Tasks[[#This Row],[_Resources]],",",REPT(" ",99)),1,99)))</f>
        <v/>
      </c>
      <c r="DL165" s="43" t="str">
        <f aca="false">IF(Tasks[[#This Row],[_Res1Text]]="","",TRIM(MID(SUBSTITUTE(Tasks[[#This Row],[_Resources]],",",REPT(" ",99)),100,99)))</f>
        <v/>
      </c>
      <c r="DM165" s="43" t="str">
        <f aca="false">IF(Tasks[[#This Row],[_Res2Text]]="","",TRIM(MID(SUBSTITUTE(Tasks[[#This Row],[_Resources]],",",REPT(" ",99)),199,99)))</f>
        <v/>
      </c>
      <c r="DN165" s="43" t="str">
        <f aca="false">IF(Tasks[[#This Row],[_Res3Text]]="","",TRIM(MID(SUBSTITUTE(Tasks[[#This Row],[_Resources]],",",REPT(" ",99)),298,99)))</f>
        <v/>
      </c>
      <c r="DO165" s="43" t="n">
        <f aca="false">IF(Tasks[[#This Row],[_Res1Text]]="",0,IFERROR(MATCH(TRIM(LEFT(Tasks[[#This Row],[_Res1Text]],FIND("[",Tasks[[#This Row],[_Res1Text]]&amp;"[")-1)),res_Name,0),IFERROR(MATCH(TRIM(LEFT(Tasks[[#This Row],[_Res1Text]],FIND("[",Tasks[[#This Row],[_Res1Text]]&amp;"[")-1)),res_Initials,0),0)))</f>
        <v>0</v>
      </c>
      <c r="DP165" s="43" t="n">
        <f aca="false">IF(Tasks[[#This Row],[_Res2Text]]="",0,IFERROR(MATCH(TRIM(LEFT(Tasks[[#This Row],[_Res2Text]],FIND("[",Tasks[[#This Row],[_Res2Text]]&amp;"[")-1)),res_Name,0),IFERROR(MATCH(TRIM(LEFT(Tasks[[#This Row],[_Res2Text]],FIND("[",Tasks[[#This Row],[_Res2Text]]&amp;"[")-1)),res_Initials,0),0)))</f>
        <v>0</v>
      </c>
      <c r="DQ165" s="43" t="n">
        <f aca="false">IF(Tasks[[#This Row],[_Res3Text]]="",0,IFERROR(MATCH(TRIM(LEFT(Tasks[[#This Row],[_Res3Text]],FIND("[",Tasks[[#This Row],[_Res3Text]]&amp;"[")-1)),res_Name,0),IFERROR(MATCH(TRIM(LEFT(Tasks[[#This Row],[_Res3Text]],FIND("[",Tasks[[#This Row],[_Res3Text]]&amp;"[")-1)),res_Initials,0),0)))</f>
        <v>0</v>
      </c>
      <c r="DR165" s="43" t="n">
        <f aca="false">IF(Tasks[[#This Row],[_Res4Text]]="",0,IFERROR(MATCH(TRIM(LEFT(Tasks[[#This Row],[_Res4Text]],FIND("[",Tasks[[#This Row],[_Res4Text]]&amp;"[")-1)),res_Name,0),IFERROR(MATCH(TRIM(LEFT(Tasks[[#This Row],[_Res4Text]],FIND("[",Tasks[[#This Row],[_Res4Text]]&amp;"[")-1)),res_Initials,0),0)))</f>
        <v>0</v>
      </c>
      <c r="DS165" s="43" t="str">
        <f aca="false">IF(Tasks[[#This Row],[_Res1Text]]="","",IF(Tasks[[#This Row],[_Res1Row]]&gt;0,INDEX(res_Name,Tasks[[#This Row],[_Res1Row]]),TRIM(LEFT(Tasks[[#This Row],[_Res1Text]],FIND("[",Tasks[[#This Row],[_Res1Text]]&amp;"[")-1))))</f>
        <v/>
      </c>
      <c r="DT1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5" s="43" t="n">
        <f aca="false">IF(NOT(Tasks[[#This Row],[_IsLeaf]]=1),0,(Tasks[[#This Row],[_Resource1]]&lt;&gt;"")+(Tasks[[#This Row],[_Res2]]&lt;&gt;"")+(Tasks[[#This Row],[_Res3]]&lt;&gt;"")+(Tasks[[#This Row],[_Res4]]&lt;&gt;""))</f>
        <v>0</v>
      </c>
      <c r="DV165" s="43" t="str">
        <f aca="false">IF(Tasks[[#This Row],[_Res2Text]]="","",IF(Tasks[[#This Row],[_Res2Row]]&gt;0,INDEX(res_Name,Tasks[[#This Row],[_Res2Row]]),TRIM(LEFT(Tasks[[#This Row],[_Res2Text]],FIND("[",Tasks[[#This Row],[_Res2Text]]&amp;"[")-1))))</f>
        <v/>
      </c>
      <c r="DW1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5" s="43" t="n">
        <f aca="false">IF(OR(NOT(Tasks[[#This Row],[_IsLeaf]]=1),Tasks[[#This Row],[_Res2Row]]=0),0,N(Tasks[[#This Row],[_Days]])*HoursPerDay*IF(Tasks[[#This Row],[_Res2Units]]="",DefaultUnits,Tasks[[#This Row],[_Res2Units]]))</f>
        <v>0</v>
      </c>
      <c r="DY165" s="43" t="n">
        <f aca="false">IF(AND(AND(Tasks[[#This Row],[_IsLeaf]]=1,Tasks[[#This Row],[_LeafTotalWork]]&gt;0),Tasks[[#This Row],[_Res2Work]]&gt;0),Tasks[[#This Row],[_Res2Work]]/(Tasks[[#This Row],[_FinishWorkday]]-Tasks[[#This Row],[_StartWorkday]]+1),0)</f>
        <v>0</v>
      </c>
      <c r="DZ165" s="43" t="n">
        <f aca="false">Tasks[[#This Row],[_Res2WorkPerWD]]*MAX(0,Tasks[[#This Row],[_StartWorkday]]-1)</f>
        <v>0</v>
      </c>
      <c r="EA165" s="43" t="n">
        <f aca="false">Tasks[[#This Row],[_Res2Work]]*Tasks[[#This Row],[_LeafProgress]]</f>
        <v>0</v>
      </c>
      <c r="EB165" s="43" t="str">
        <f aca="false">IF(Tasks[[#This Row],[_Res3Text]]="","",IF(Tasks[[#This Row],[_Res3Row]]&gt;0,INDEX(res_Name,Tasks[[#This Row],[_Res3Row]]),TRIM(LEFT(Tasks[[#This Row],[_Res3Text]],FIND("[",Tasks[[#This Row],[_Res3Text]]&amp;"[")-1))))</f>
        <v/>
      </c>
      <c r="EC1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5" s="43" t="n">
        <f aca="false">IF(OR(NOT(Tasks[[#This Row],[_IsLeaf]]=1),Tasks[[#This Row],[_Res3Row]]=0),0,N(Tasks[[#This Row],[_Days]])*HoursPerDay*IF(Tasks[[#This Row],[_Res3Units]]="",DefaultUnits,Tasks[[#This Row],[_Res3Units]]))</f>
        <v>0</v>
      </c>
      <c r="EE165" s="43" t="n">
        <f aca="false">IF(AND(AND(Tasks[[#This Row],[_IsLeaf]]=1,Tasks[[#This Row],[_LeafTotalWork]]&gt;0),Tasks[[#This Row],[_Res3Work]]&gt;0),Tasks[[#This Row],[_Res3Work]]/(Tasks[[#This Row],[_FinishWorkday]]-Tasks[[#This Row],[_StartWorkday]]+1),0)</f>
        <v>0</v>
      </c>
      <c r="EF165" s="43" t="n">
        <f aca="false">Tasks[[#This Row],[_Res3WorkPerWD]]*MAX(0,Tasks[[#This Row],[_StartWorkday]]-1)</f>
        <v>0</v>
      </c>
      <c r="EG165" s="43" t="n">
        <f aca="false">Tasks[[#This Row],[_Res3Work]]*Tasks[[#This Row],[_LeafProgress]]</f>
        <v>0</v>
      </c>
      <c r="EH165" s="43" t="str">
        <f aca="false">IF(Tasks[[#This Row],[_Res4Text]]="","",IF(Tasks[[#This Row],[_Res4Row]]&gt;0,INDEX(res_Name,Tasks[[#This Row],[_Res4Row]]),TRIM(LEFT(Tasks[[#This Row],[_Res4Text]],FIND("[",Tasks[[#This Row],[_Res4Text]]&amp;"[")-1))))</f>
        <v/>
      </c>
      <c r="EI1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5" s="43" t="n">
        <f aca="false">IF(OR(NOT(Tasks[[#This Row],[_IsLeaf]]=1),Tasks[[#This Row],[_Res4Row]]=0),0,N(Tasks[[#This Row],[_Days]])*HoursPerDay*IF(Tasks[[#This Row],[_Res4Units]]="",DefaultUnits,Tasks[[#This Row],[_Res4Units]]))</f>
        <v>0</v>
      </c>
      <c r="EK165" s="43" t="n">
        <f aca="false">IF(AND(AND(Tasks[[#This Row],[_IsLeaf]]=1,Tasks[[#This Row],[_LeafTotalWork]]&gt;0),Tasks[[#This Row],[_Res4Work]]&gt;0),Tasks[[#This Row],[_Res4Work]]/(Tasks[[#This Row],[_FinishWorkday]]-Tasks[[#This Row],[_StartWorkday]]+1),0)</f>
        <v>0</v>
      </c>
      <c r="EL165" s="43" t="n">
        <f aca="false">Tasks[[#This Row],[_Res4WorkPerWD]]*MAX(0,Tasks[[#This Row],[_StartWorkday]]-1)</f>
        <v>0</v>
      </c>
      <c r="EM165" s="43" t="n">
        <f aca="false">Tasks[[#This Row],[_Res4Work]]*Tasks[[#This Row],[_LeafProgress]]</f>
        <v>0</v>
      </c>
      <c r="EN165" s="43" t="n">
        <f aca="false">IF(ISNUMBER(Tasks[[#This Row],[% Complete]]),Tasks[[#This Row],[% Complete]],IF(Tasks[[#This Row],[Stage]]="",0,IFERROR(INDEX(stg_Pct,MATCH(Tasks[[#This Row],[Stage]],stg_Name,0)),0)))</f>
        <v>0</v>
      </c>
      <c r="EO165" s="43" t="n">
        <f aca="false">IF(NOT(Tasks[[#This Row],[_IsLeaf]]=1),0,IF(N(Tasks[[#This Row],[Actual Finish]])&gt;0,1,MIN(1,Tasks[[#This Row],[_Pct]])))</f>
        <v>0</v>
      </c>
      <c r="EP165" s="43" t="n">
        <f aca="false">IF(OR(NOT(Tasks[[#This Row],[_IsLeaf]]=1),Tasks[[#This Row],[_Res1Row]]=0),0,N(Tasks[[#This Row],[_Days]])*HoursPerDay*IF(Tasks[[#This Row],[_Units1]]="",DefaultUnits,Tasks[[#This Row],[_Units1]]))</f>
        <v>0</v>
      </c>
      <c r="EQ165" s="43" t="n">
        <f aca="false">Tasks[[#This Row],[_LeafWork]]+Tasks[[#This Row],[_Res2Work]]+Tasks[[#This Row],[_Res3Work]]+Tasks[[#This Row],[_Res4Work]]</f>
        <v>0</v>
      </c>
      <c r="ER16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5" s="43" t="n">
        <f aca="false">IF(NOT(Tasks[[#This Row],[_IsLeaf]]=1),0,MAX(_xlfn.MAXIFS(Tasks[_Row],Tasks[_Pred1UID],Tasks[[#This Row],[UID]]),_xlfn.MAXIFS(Tasks[_Row],Tasks[_Pred2UID],Tasks[[#This Row],[UID]]),_xlfn.MAXIFS(Tasks[_Row],Tasks[_Pred3UID],Tasks[[#This Row],[UID]]),_xlfn.MAXIFS(Tasks[_Row],Tasks[_Pred4UID],Tasks[[#This Row],[UID]])))</f>
        <v>0</v>
      </c>
      <c r="FA1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5" s="91" t="str">
        <f aca="false">IF(NOT(Tasks[[#This Row],[_IsLeaf]]=1),"",IF(N(Tasks[[#This Row],[_Days]])&lt;=0,Tasks[[#This Row],[_LeafLateFinish]],WORKDAY.INTL(Tasks[[#This Row],[_LeafLateFinish]],-(Tasks[[#This Row],[_Days]]-1),WorkWeek,Holidays)))</f>
        <v/>
      </c>
      <c r="FD1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5" s="90" t="b">
        <f aca="false">AND(Tasks[[#This Row],[_IsLeaf]]=1,Tasks[[#This Row],[_LeafProgress]]&lt;1,N(Tasks[[#This Row],[_LeafTotalSlack]])&lt;=CriticalSlackDays)</f>
        <v>0</v>
      </c>
      <c r="FF165" s="43" t="n">
        <f aca="false">IF(AND(Tasks[[#This Row],[_IsLeaf]]=1,Tasks[[#This Row],[_ConstraintCode]]=1,Tasks[[#This Row],[Mode]]&lt;&gt;"Manual",N(Tasks[[#This Row],[Actual Start]])=0),MAX(0,N(Tasks[[#This Row],[Free Slack]])),0)</f>
        <v>0</v>
      </c>
      <c r="FG165" s="91" t="str">
        <f aca="false">IF(NOT(Tasks[[#This Row],[_IsLeaf]]=1),"",IF(Tasks[[#This Row],[_AlapShift]]=0,Tasks[[#This Row],[_LeafCalcStart]],WORKDAY.INTL(Tasks[[#This Row],[_LeafCalcStart]],Tasks[[#This Row],[_AlapShift]],WorkWeek,Holidays)))</f>
        <v/>
      </c>
      <c r="FH165" s="91" t="str">
        <f aca="false">IF(NOT(Tasks[[#This Row],[_IsLeaf]]=1),"",IF(Tasks[[#This Row],[_AlapShift]]=0,Tasks[[#This Row],[_LeafCalcFinish]],WORKDAY.INTL(Tasks[[#This Row],[_LeafCalcFinish]],Tasks[[#This Row],[_AlapShift]],WorkWeek,Holidays)))</f>
        <v/>
      </c>
      <c r="FI165" s="91" t="str">
        <f aca="false">IF(NOT(Tasks[[#This Row],[_IsLeaf]]=1),"",IF(Tasks[[#This Row],[_AlapShift]]=0,Tasks[[#This Row],[_LeafFcstStart]],WORKDAY.INTL(Tasks[[#This Row],[_LeafFcstStart]],Tasks[[#This Row],[_AlapShift]],WorkWeek,Holidays)))</f>
        <v/>
      </c>
      <c r="FJ165" s="91" t="str">
        <f aca="false">IF(NOT(Tasks[[#This Row],[_IsLeaf]]=1),"",IF(Tasks[[#This Row],[_AlapShift]]=0,Tasks[[#This Row],[_LeafFcstFinish]],WORKDAY.INTL(Tasks[[#This Row],[_LeafFcstFinish]],Tasks[[#This Row],[_AlapShift]],WorkWeek,Holidays)))</f>
        <v/>
      </c>
      <c r="FK165" s="91" t="str">
        <f aca="false">IF(Tasks[[#This Row],[Task Name]]="","",IF(Tasks[[#This Row],[_IsSummary]],MIN(INDEX(Tasks[_ShownCalcStart],Tasks[[#This Row],[_Row]]+1):INDEX(Tasks[_ShownCalcStart],Tasks[[#This Row],[_Row]]+Tasks[[#This Row],[_Descendants]])),Tasks[[#This Row],[_ShownCalcStart]]))</f>
        <v/>
      </c>
      <c r="FL165" s="91" t="str">
        <f aca="false">IF(Tasks[[#This Row],[Task Name]]="","",IF(Tasks[[#This Row],[_IsSummary]],MAX(INDEX(Tasks[_ShownCalcFinish],Tasks[[#This Row],[_Row]]+1):INDEX(Tasks[_ShownCalcFinish],Tasks[[#This Row],[_Row]]+Tasks[[#This Row],[_Descendants]])),Tasks[[#This Row],[_ShownCalcFinish]]))</f>
        <v/>
      </c>
      <c r="FM1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5" s="43" t="n">
        <f aca="false">IF(AND(Tasks[[#This Row],[_IsLeaf]]=1,Tasks[[#This Row],[_LeafTotalWork]]&gt;0),NETWORKDAYS.INTL(ProjectStart,Tasks[[#This Row],[_ShownFcstStart]],WorkWeek,Holidays),0)</f>
        <v>0</v>
      </c>
      <c r="FZ165" s="43" t="n">
        <f aca="false">IF(AND(Tasks[[#This Row],[_IsLeaf]]=1,Tasks[[#This Row],[_LeafTotalWork]]&gt;0),MAX(Tasks[[#This Row],[_StartWorkday]],NETWORKDAYS.INTL(ProjectStart,Tasks[[#This Row],[_ShownFcstFinish]],WorkWeek,Holidays)),0)</f>
        <v>0</v>
      </c>
      <c r="GA165" s="43" t="n">
        <f aca="false">IF(AND(Tasks[[#This Row],[_IsLeaf]]=1,Tasks[[#This Row],[_LeafTotalWork]]&gt;0),Tasks[[#This Row],[_LeafWork]]/(Tasks[[#This Row],[_FinishWorkday]]-Tasks[[#This Row],[_StartWorkday]]+1),0)</f>
        <v>0</v>
      </c>
      <c r="GB165" s="43" t="n">
        <f aca="false">Tasks[[#This Row],[_WorkPerWorkday]]*(Tasks[[#This Row],[_StartWorkday]]-1)</f>
        <v>-0</v>
      </c>
      <c r="GC165" s="43" t="n">
        <f aca="false">IF(Tasks[[#This Row],[_IsLeaf]]=1,MAX(N(Tasks[[#This Row],[_Days]]),0.1),0)</f>
        <v>0</v>
      </c>
      <c r="GD165" s="43" t="n">
        <f aca="false">Tasks[[#This Row],[_WeightDur]]*Tasks[[#This Row],[_LeafProgress]]</f>
        <v>0</v>
      </c>
      <c r="GE165" s="43" t="n">
        <f aca="false">Tasks[[#This Row],[_WeightDur]]*Tasks[[#This Row],[_PlannedPct]]</f>
        <v>0</v>
      </c>
      <c r="GF1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5" s="43" t="str">
        <f aca="false">IF(AND(Tasks[[#This Row],[_IsLeaf]]=1,N(Tasks[[#This Row],[_Days]])=0,Tasks[[#This Row],[_LeafProgress]]&lt;1),Tasks[[#This Row],[_ShownFcstFinish]]+Tasks[[#This Row],[_Row]]/100000,"")</f>
        <v/>
      </c>
      <c r="GH1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5" s="43" t="str">
        <f aca="false">IF(Tasks[[#This Row],[Task Name]]="","",LEFT(Tasks[[#This Row],[WBS]],FIND(".",Tasks[[#This Row],[WBS]]&amp;".")-1))</f>
        <v/>
      </c>
      <c r="GJ165" s="43" t="str">
        <f aca="false">IF(AND(Tasks[[#This Row],[Task Name]]&lt;&gt;"",Tasks[[#This Row],[_Level]]=1),Tasks[[#This Row],[_Row]],"")</f>
        <v/>
      </c>
      <c r="GK165" s="43" t="str">
        <f aca="false">IF(AND(Tasks[[#This Row],[_IsLeaf]]=1,N(Tasks[[#This Row],[_Days]])=0),Tasks[[#This Row],[Planned Finish]]+Tasks[[#This Row],[_Row]]/100000,"")</f>
        <v/>
      </c>
      <c r="GL165" s="43" t="str">
        <f aca="false">IF(AND(Tasks[[#This Row],[_IsLeaf]]=1,Tasks[[#This Row],[_LeafProgress]]&lt;1,OR(N(Tasks[[#This Row],[Finish Var]])&gt;0,Tasks[[#This Row],[Status]]="Late Start")),MAX(0,Tasks[[#This Row],[Finish Var]])+1-Tasks[[#This Row],[_Row]]/1000000,"")</f>
        <v/>
      </c>
      <c r="GM165" s="43" t="str">
        <f aca="false">IF(AND(Tasks[[#This Row],[_IsLeaf]]=1,N(Tasks[[#This Row],[Actual Start]])=0,Tasks[[#This Row],[_ShownFcstStart]]&gt;=StatusDate,Tasks[[#This Row],[_ShownFcstStart]]&lt;=LookaheadEnd),Tasks[[#This Row],[_ShownFcstStart]]+Tasks[[#This Row],[_Row]]/100000,"")</f>
        <v/>
      </c>
      <c r="GN165" s="43" t="str">
        <f aca="false">IF(AND(Tasks[[#This Row],[_IsLeaf]]=1,Tasks[[#This Row],[_LeafProgress]]&lt;1,Tasks[[#This Row],[_ShownFcstFinish]]&gt;=StatusDate,Tasks[[#This Row],[_ShownFcstFinish]]&lt;=LookaheadEnd),Tasks[[#This Row],[_ShownFcstFinish]]+Tasks[[#This Row],[_Row]]/100000,"")</f>
        <v/>
      </c>
      <c r="GO165" s="43" t="str">
        <f aca="false">IF(Tasks[[#This Row],[_LeafCritical]],Tasks[[#This Row],[_ShownFcstStart]]+Tasks[[#This Row],[_Row]]/100000,"")</f>
        <v/>
      </c>
      <c r="GP165" s="43" t="n">
        <f aca="false">Tasks[[#This Row],[_LeafWork]]*Tasks[[#This Row],[_LeafProgress]]</f>
        <v>0</v>
      </c>
      <c r="GQ165" s="91" t="str">
        <f aca="false">IF(AND(Tasks[[#This Row],[_IsLeaf]]=1,Tasks[[#This Row],[_LeafProgress]]&gt;=1),IF(N(Tasks[[#This Row],[Actual Finish]])&gt;0,Tasks[[#This Row],[Actual Finish]],Tasks[[#This Row],[_ShownFcstFinish]]),"")</f>
        <v/>
      </c>
      <c r="GR165" s="43" t="n">
        <f aca="false">IF(Tasks[[#This Row],[_IsLeaf]]=1,N(Tasks[[#This Row],[Story Points]]),0)</f>
        <v>0</v>
      </c>
      <c r="GS165" s="43" t="str">
        <f aca="false">""</f>
        <v/>
      </c>
      <c r="GT165" s="90" t="b">
        <f aca="false">IF(Tasks[[#This Row],[Task Name]]="",FALSE(),AND(Tasks[[#This Row],[_IsLeaf]]=1,N(Tasks[[#This Row],[_Days]])=0))</f>
        <v>0</v>
      </c>
      <c r="GU165" s="91" t="n">
        <f aca="false">IF(Tasks[[#This Row],[Task Name]]="",0,IF(AND(Tasks[[#This Row],[_IsLeaf]]=1,NOT(Tasks[[#This Row],[_IsMilestone]]),N(Tasks[[#This Row],[Progress]])&gt;0),Tasks[[#This Row],[Start]],0))</f>
        <v>0</v>
      </c>
      <c r="GV165" s="91" t="n">
        <f aca="false">IF(Tasks[[#This Row],[_DoneFrom]]=0,0,IF(Tasks[[#This Row],[Progress]]&gt;=1,Tasks[[#This Row],[Finish]],MAX(Tasks[[#This Row],[_DoneFrom]],Tasks[[#This Row],[Start]]+ROUND((Tasks[[#This Row],[Finish]]-Tasks[[#This Row],[Start]]+1)*Tasks[[#This Row],[Progress]],0)-1)))</f>
        <v>0</v>
      </c>
      <c r="GW165" s="91" t="n">
        <f aca="false">IF(Tasks[[#This Row],[Task Name]]="",0,IF(OR(NOT(Tasks[[#This Row],[_IsLeaf]]=1),Tasks[[#This Row],[_IsMilestone]],N(Tasks[[#This Row],[Progress]])&gt;=1),0,IF(Tasks[[#This Row],[_DoneTo]]&gt;0,Tasks[[#This Row],[_DoneTo]]+1,Tasks[[#This Row],[Start]])))</f>
        <v>0</v>
      </c>
      <c r="GX165" s="91" t="n">
        <f aca="false">IF(Tasks[[#This Row],[_RemFrom]]=0,0,Tasks[[#This Row],[Finish]])</f>
        <v>0</v>
      </c>
      <c r="GY165" s="90" t="b">
        <f aca="false">IF(Tasks[[#This Row],[Task Name]]="",FALSE(),OR(NOT(BaselineSet),N(Tasks[[#This Row],[Baseline Start]])&gt;0))</f>
        <v>0</v>
      </c>
      <c r="GZ16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5" s="92" t="str">
        <f aca="false">IF(Tasks[[#This Row],[_IsLeaf]]=1,Tasks[[#This Row],[_Row]],"")</f>
        <v/>
      </c>
      <c r="HD165" s="92" t="str">
        <f aca="false">IFERROR(INDEX(Tasks[UID],SMALL(Tasks[_PickKey],Tasks[[#This Row],[_Row]]))&amp;" "&amp;INDEX(Tasks[Task Name],SMALL(Tasks[_PickKey],Tasks[[#This Row],[_Row]])),"")</f>
        <v/>
      </c>
      <c r="HE165" s="43" t="str">
        <f aca="false">IF(Tasks[[#This Row],[Task Name]]="","",IF(Tasks[[#This Row],[_IsSummary]],NETWORKDAYS.INTL(Tasks[[#This Row],[Start]],Tasks[[#This Row],[Finish]],WorkWeek,Holidays),N(Tasks[[#This Row],[_Days]])))</f>
        <v/>
      </c>
      <c r="HF165" s="43" t="n">
        <f aca="false">IF(Tasks[[#This Row],[Expected]]="",0,((Tasks[[#This Row],[Pessimistic]]-Tasks[[#This Row],[Optimistic]])/6)^2)</f>
        <v>0</v>
      </c>
      <c r="HG165" s="43" t="n">
        <f aca="false">IF(Tasks[[#This Row],[Expected]]="",0,Tasks[[#This Row],[Expected]]-N(Tasks[[#This Row],[_Days]]))</f>
        <v>0</v>
      </c>
    </row>
    <row r="166" customFormat="false" ht="15" hidden="false" customHeight="false" outlineLevel="0" collapsed="false">
      <c r="A166" s="21" t="str">
        <f aca="false">IF(Tasks[[#This Row],[Task Name]]="","",COUNTA(Tasks[[#Headers],[Task Name]]:Tasks[[#This Row],[Task Name]])-1)</f>
        <v/>
      </c>
      <c r="B166" s="22" t="n">
        <v>174</v>
      </c>
      <c r="C166" s="22"/>
      <c r="D166" s="23"/>
      <c r="E166" s="22"/>
      <c r="F166" s="23"/>
      <c r="G166" s="22"/>
      <c r="H166" s="22"/>
      <c r="I166" s="23"/>
      <c r="J166" s="22"/>
      <c r="K166" s="22"/>
      <c r="L166" s="23"/>
      <c r="M166" s="22"/>
      <c r="N166" s="22"/>
      <c r="O166" s="23"/>
      <c r="P166" s="22"/>
      <c r="Q166" s="22"/>
      <c r="R166" s="23"/>
      <c r="S166" s="23"/>
      <c r="T166" s="84"/>
      <c r="U166" s="23"/>
      <c r="V166" s="84"/>
      <c r="W166" s="23"/>
      <c r="X166" s="84"/>
      <c r="Y166" s="23"/>
      <c r="Z166" s="84"/>
      <c r="AA166" s="23"/>
      <c r="AB166" s="23"/>
      <c r="AC166" s="7"/>
      <c r="AD166" s="7"/>
      <c r="AE166" s="63" t="str">
        <f aca="false">IF(Tasks[[#This Row],[Task Name]]="","",IF(Tasks[[#This Row],[_IsSummary]],MIN(INDEX(Tasks[_ShownFcstStart],Tasks[[#This Row],[_Row]]+1):INDEX(Tasks[_ShownFcstStart],Tasks[[#This Row],[_Row]]+Tasks[[#This Row],[_Descendants]])),Tasks[[#This Row],[_ShownFcstStart]]))</f>
        <v/>
      </c>
      <c r="AF166" s="63" t="str">
        <f aca="false">IF(Tasks[[#This Row],[Task Name]]="","",IF(Tasks[[#This Row],[_IsSummary]],MAX(INDEX(Tasks[_ShownFcstFinish],Tasks[[#This Row],[_Row]]+1):INDEX(Tasks[_ShownFcstFinish],Tasks[[#This Row],[_Row]]+Tasks[[#This Row],[_Descendants]])),Tasks[[#This Row],[_ShownFcstFinish]]))</f>
        <v/>
      </c>
      <c r="AG166" s="21" t="str">
        <f aca="false">""</f>
        <v/>
      </c>
      <c r="AH166" s="23"/>
      <c r="AI1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6" s="7"/>
      <c r="AK166" s="22"/>
      <c r="AL166" s="23"/>
      <c r="AM166" s="7"/>
      <c r="AN166" s="47" t="str">
        <f aca="false">IF(Tasks[[#This Row],[Task Name]]="","",IF(Tasks[[#This Row],[Finish]]&gt;=Tasks[[#This Row],[Planned Finish]],NETWORKDAYS.INTL(Tasks[[#This Row],[Planned Finish]],Tasks[[#This Row],[Finish]],WorkWeek,Holidays)-1,1-NETWORKDAYS.INTL(Tasks[[#This Row],[Finish]],Tasks[[#This Row],[Planned Finish]],WorkWeek,Holidays)))</f>
        <v/>
      </c>
      <c r="AO166" s="21" t="str">
        <f aca="false">IF(Tasks[[#This Row],[Task Name]]="","",IF(Tasks[[#This Row],[Progress]]&gt;=1,"Complete",IF(OR(N(Tasks[[#This Row],[Actual Start]])&gt;0,Tasks[[#This Row],[Progress]]&gt;0),IF(Tasks[[#This Row],[Finish Var]]&gt;0,"Behind","In Progress"),IF(Tasks[[#This Row],[Planned Start]]&lt;StatusDate,"Late Start","Not Started"))))</f>
        <v/>
      </c>
      <c r="AP166" s="21" t="str">
        <f aca="false">IF(Tasks[[#This Row],[Task Name]]="","",IF(IF(Tasks[[#This Row],[_IsSummary]],COUNTIF(INDEX(Tasks[_LeafCritical],Tasks[[#This Row],[_Row]]+1):INDEX(Tasks[_LeafCritical],Tasks[[#This Row],[_Row]]+Tasks[[#This Row],[_Descendants]]),TRUE())&gt;0,Tasks[[#This Row],[_LeafCritical]]),"Yes",""))</f>
        <v/>
      </c>
      <c r="AQ166" s="63" t="str">
        <f aca="false">IF(Tasks[[#This Row],[Task Name]]="","",IF(N(Tasks[[#This Row],[Baseline Start]])&gt;0,Tasks[[#This Row],[Baseline Start]],Tasks[[#This Row],[_CalcStart]]))</f>
        <v/>
      </c>
      <c r="AR166" s="63" t="str">
        <f aca="false">IF(Tasks[[#This Row],[Task Name]]="","",IF(N(Tasks[[#This Row],[Baseline Finish]])&gt;0,Tasks[[#This Row],[Baseline Finish]],Tasks[[#This Row],[_CalcFinish]]))</f>
        <v/>
      </c>
      <c r="AS166" s="47" t="str">
        <f aca="false">IF(Tasks[[#This Row],[Task Name]]="","",IF(Tasks[[#This Row],[Start]]&gt;=Tasks[[#This Row],[Planned Start]],NETWORKDAYS.INTL(Tasks[[#This Row],[Planned Start]],Tasks[[#This Row],[Start]],WorkWeek,Holidays)-1,1-NETWORKDAYS.INTL(Tasks[[#This Row],[Start]],Tasks[[#This Row],[Planned Start]],WorkWeek,Holidays)))</f>
        <v/>
      </c>
      <c r="AT166" s="63" t="str">
        <f aca="false">IF(Tasks[[#This Row],[Task Name]]="","",IF(Tasks[[#This Row],[_IsSummary]],MIN(INDEX(Tasks[_LeafLateStart],Tasks[[#This Row],[_Row]]+1):INDEX(Tasks[_LeafLateStart],Tasks[[#This Row],[_Row]]+Tasks[[#This Row],[_Descendants]])),Tasks[[#This Row],[_LeafLateStart]]))</f>
        <v/>
      </c>
      <c r="AU166" s="63" t="str">
        <f aca="false">IF(Tasks[[#This Row],[Task Name]]="","",IF(Tasks[[#This Row],[_IsSummary]],MAX(INDEX(Tasks[_LeafLateFinish],Tasks[[#This Row],[_Row]]+1):INDEX(Tasks[_LeafLateFinish],Tasks[[#This Row],[_Row]]+Tasks[[#This Row],[_Descendants]])),Tasks[[#This Row],[_LeafLateFinish]]))</f>
        <v/>
      </c>
      <c r="AV166" s="47" t="str">
        <f aca="false">IF(Tasks[[#This Row],[Task Name]]="","",IF(Tasks[[#This Row],[_IsSummary]],MIN(INDEX(Tasks[_LeafTotalSlack],Tasks[[#This Row],[_Row]]+1):INDEX(Tasks[_LeafTotalSlack],Tasks[[#This Row],[_Row]]+Tasks[[#This Row],[_Descendants]])),Tasks[[#This Row],[_LeafTotalSlack]]))</f>
        <v/>
      </c>
      <c r="AW1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5"/>
      <c r="BA16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t="str">
        <f aca="false">IF(Tasks[[#This Row],[Task Name]]="","",IF(Tasks[[#This Row],[_Level]]&lt;=OutlineShowLevel,"Yes","No"))</f>
        <v/>
      </c>
      <c r="BE166" s="86" t="str">
        <f aca="false">IF(Tasks[[#This Row],[Task Name]]="","",IF(Tasks[[#This Row],[_IsSummary]],SUM(INDEX(Tasks[_LeafTotalWork],Tasks[[#This Row],[_Row]]+1):INDEX(Tasks[_LeafTotalWork],Tasks[[#This Row],[_Row]]+Tasks[[#This Row],[_Descendants]])),Tasks[[#This Row],[_LeafTotalWork]]))</f>
        <v/>
      </c>
      <c r="BF166" s="23"/>
      <c r="BG1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t="str">
        <f aca="false">""</f>
        <v/>
      </c>
      <c r="BI166" s="87"/>
      <c r="BJ166" s="22"/>
      <c r="BK166" s="47" t="str">
        <f aca="false">IF(OR(Tasks[[#This Row],[Task Name]]="",Tasks[[#This Row],[Baseline Duration]]=""),"",Tasks[[#This Row],[_SpanDays]]-N(Tasks[[#This Row],[Baseline Duration]]))</f>
        <v/>
      </c>
      <c r="BL166" s="86" t="str">
        <f aca="false">IF(OR(Tasks[[#This Row],[Task Name]]="",Tasks[[#This Row],[Baseline Work]]=""),"",Tasks[[#This Row],[Work]]-N(Tasks[[#This Row],[Baseline Work]]))</f>
        <v/>
      </c>
      <c r="BM166" s="63" t="str">
        <f aca="false">IF(Tasks[[#This Row],[Task Name]]="","",IF(OR(TakeBaseline="Yes",N(Tasks[[#This Row],[Baseline Start]])=0),Tasks[[#This Row],[Start]],Tasks[[#This Row],[Baseline Start]]))</f>
        <v/>
      </c>
      <c r="BN166" s="63" t="str">
        <f aca="false">IF(Tasks[[#This Row],[Task Name]]="","",IF(OR(TakeBaseline="Yes",N(Tasks[[#This Row],[Baseline Finish]])=0),Tasks[[#This Row],[Finish]],Tasks[[#This Row],[Baseline Finish]]))</f>
        <v/>
      </c>
      <c r="BO166" s="21" t="str">
        <f aca="false">IF(Tasks[[#This Row],[Task Name]]="","",IF(OR(TakeBaseline="Yes",N(Tasks[[#This Row],[Baseline Duration]])=0),Tasks[[#This Row],[_SpanDays]],Tasks[[#This Row],[Baseline Duration]]))</f>
        <v/>
      </c>
      <c r="BP166" s="86" t="str">
        <f aca="false">IF(Tasks[[#This Row],[Task Name]]="","",IF(OR(TakeBaseline="Yes",N(Tasks[[#This Row],[Baseline Work]])=0),Tasks[[#This Row],[Work]],Tasks[[#This Row],[Baseline Work]]))</f>
        <v/>
      </c>
      <c r="BQ166" s="7"/>
      <c r="BR166" s="7"/>
      <c r="BS166" s="22"/>
      <c r="BT166" s="88"/>
      <c r="BU166" s="23"/>
      <c r="BV166" s="23"/>
      <c r="BW166" s="23"/>
      <c r="BX166" s="89" t="str">
        <f aca="false">IF(AND(Tasks[[#This Row],[_IsLeaf]]=1,ISNUMBER(Tasks[[#This Row],[Optimistic]]),ISNUMBER(Tasks[[#This Row],[Pessimistic]])),ROUND((Tasks[[#This Row],[Optimistic]]+4*N(Tasks[[#This Row],[_Days]])+Tasks[[#This Row],[Pessimistic]])/6,1),"")</f>
        <v/>
      </c>
      <c r="BY166" s="87"/>
      <c r="BZ166" s="87"/>
      <c r="CA166" s="22"/>
      <c r="CB166" s="43" t="str">
        <f aca="false">IF(Tasks[[#This Row],[Task Name]]="","",MAX(1,N(Tasks[[#This Row],[Level]])))</f>
        <v/>
      </c>
      <c r="CC166" s="43" t="n">
        <f aca="false">ROW()-ROW(Tasks[[#Headers],[ID]])</f>
        <v>161</v>
      </c>
      <c r="CD166" s="43" t="n">
        <f aca="false">IF(OR(Tasks[[#This Row],[Task Name]]="",Tasks[[#This Row],[_Level]]&lt;=1),0,IFERROR(LOOKUP(2,1/(Tasks[[#Headers],[_Level]]:Tasks[[#This Row],[_Level]]=Tasks[[#This Row],[_Level]]-1),ROW(Tasks[[#Headers],[_Level]]:Tasks[[#This Row],[_Level]])),0))</f>
        <v>0</v>
      </c>
      <c r="CE166" s="43" t="n">
        <f aca="false">IFERROR(N(INDEX(Tasks[_Level],Tasks[[#This Row],[_Row]]+1)),0)</f>
        <v>0</v>
      </c>
      <c r="CF166" s="90" t="b">
        <f aca="false">AND(Tasks[[#This Row],[Task Name]]&lt;&gt;"",Tasks[[#This Row],[_NextLevel]]&gt;Tasks[[#This Row],[_Level]])</f>
        <v>0</v>
      </c>
      <c r="CG166" s="43" t="n">
        <f aca="false">IF(Tasks[[#This Row],[_IsSummary]],COUNTIF(Tasks[WBS],Tasks[[#This Row],[WBS]]&amp;".*"),0)</f>
        <v>0</v>
      </c>
      <c r="CH166" s="43" t="n">
        <f aca="false">IF(AND(Tasks[[#This Row],[Task Name]]&lt;&gt;"",NOT(Tasks[[#This Row],[_IsSummary]])),1,0)</f>
        <v>0</v>
      </c>
      <c r="CI166" s="43" t="n">
        <f aca="false">IF(N(Tasks[[#This Row],[_Pred1UID]])=0,0,IFERROR(MATCH(Tasks[[#This Row],[_Pred1UID]],Tasks[UID],0),-1))</f>
        <v>0</v>
      </c>
      <c r="CJ166" s="43" t="n">
        <f aca="false">IF(N(Tasks[[#This Row],[_Pred2UID]])=0,0,IFERROR(MATCH(Tasks[[#This Row],[_Pred2UID]],Tasks[UID],0),-1))</f>
        <v>0</v>
      </c>
      <c r="CK166" s="43" t="n">
        <f aca="false">IF(N(Tasks[[#This Row],[_Pred3UID]])=0,0,IFERROR(MATCH(Tasks[[#This Row],[_Pred3UID]],Tasks[UID],0),-1))</f>
        <v>0</v>
      </c>
      <c r="CL166" s="43" t="n">
        <f aca="false">IF(N(Tasks[[#This Row],[_Pred4UID]])=0,0,IFERROR(MATCH(Tasks[[#This Row],[_Pred4UID]],Tasks[UID],0),-1))</f>
        <v>0</v>
      </c>
      <c r="CM1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6" s="91" t="n">
        <f aca="false">IF(OR(Tasks[[#This Row],[_ConstraintCode]]=2,Tasks[[#This Row],[_ConstraintCode]]=3,Tasks[[#This Row],[_ConstraintCode]]=4,Tasks[[#This Row],[_ConstraintCode]]=6),Tasks[[#This Row],[_ConstraintStart]],0)</f>
        <v>0</v>
      </c>
      <c r="CP166" s="91" t="n">
        <f aca="false">IF(OR(Tasks[[#This Row],[_ConstraintCode]]=2,Tasks[[#This Row],[_ConstraintCode]]=3,Tasks[[#This Row],[_ConstraintCode]]=5,Tasks[[#This Row],[_ConstraintCode]]=7),Tasks[[#This Row],[_ConstraintStart]],2958465)</f>
        <v>2958465</v>
      </c>
      <c r="CQ1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6" s="91" t="str">
        <f aca="false">IF(NOT(Tasks[[#This Row],[_IsLeaf]]=1),"",IF(N(Tasks[[#This Row],[_Days]])&lt;=0,Tasks[[#This Row],[_LeafCalcStart]],WORKDAY.INTL(Tasks[[#This Row],[_LeafCalcStart]],Tasks[[#This Row],[_Days]]-1,WorkWeek,Holidays)))</f>
        <v/>
      </c>
      <c r="CS1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6" s="43" t="str">
        <f aca="false">IF(Tasks[[#This Row],[_Predecessors]]="","",TRIM(MID(SUBSTITUTE(SUBSTITUTE(SUBSTITUTE(UPPER(Tasks[[#This Row],[_Predecessors]]),";",",")," ",""),",",REPT(" ",99)),1,99)))</f>
        <v/>
      </c>
      <c r="CV166" s="43" t="str">
        <f aca="false">IF(Tasks[[#This Row],[_Pred1Text]]="","",IFERROR(VALUE(LEFT(Tasks[[#This Row],[_Pred1Text]],MIN(FIND("F",Tasks[[#This Row],[_Pred1Text]]&amp;"F"),FIND("S",Tasks[[#This Row],[_Pred1Text]]&amp;"S"),FIND("+",Tasks[[#This Row],[_Pred1Text]]&amp;"+"),FIND("-",Tasks[[#This Row],[_Pred1Text]]&amp;"-"))-1)),""))</f>
        <v/>
      </c>
      <c r="CW1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6" s="43" t="str">
        <f aca="false">IF(Tasks[[#This Row],[_Pred1Text]]="","",TRIM(MID(SUBSTITUTE(SUBSTITUTE(SUBSTITUTE(UPPER(Tasks[[#This Row],[_Predecessors]]),";",",")," ",""),",",REPT(" ",99)),100,99)))</f>
        <v/>
      </c>
      <c r="CZ166" s="43" t="str">
        <f aca="false">IF(Tasks[[#This Row],[_Pred2Text]]="","",IFERROR(VALUE(LEFT(Tasks[[#This Row],[_Pred2Text]],MIN(FIND("F",Tasks[[#This Row],[_Pred2Text]]&amp;"F"),FIND("S",Tasks[[#This Row],[_Pred2Text]]&amp;"S"),FIND("+",Tasks[[#This Row],[_Pred2Text]]&amp;"+"),FIND("-",Tasks[[#This Row],[_Pred2Text]]&amp;"-"))-1)),""))</f>
        <v/>
      </c>
      <c r="DA1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6" s="43" t="str">
        <f aca="false">IF(Tasks[[#This Row],[_Pred2Text]]="","",TRIM(MID(SUBSTITUTE(SUBSTITUTE(SUBSTITUTE(UPPER(Tasks[[#This Row],[_Predecessors]]),";",",")," ",""),",",REPT(" ",99)),199,99)))</f>
        <v/>
      </c>
      <c r="DD166" s="43" t="str">
        <f aca="false">IF(Tasks[[#This Row],[_Pred3Text]]="","",IFERROR(VALUE(LEFT(Tasks[[#This Row],[_Pred3Text]],MIN(FIND("F",Tasks[[#This Row],[_Pred3Text]]&amp;"F"),FIND("S",Tasks[[#This Row],[_Pred3Text]]&amp;"S"),FIND("+",Tasks[[#This Row],[_Pred3Text]]&amp;"+"),FIND("-",Tasks[[#This Row],[_Pred3Text]]&amp;"-"))-1)),""))</f>
        <v/>
      </c>
      <c r="DE1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6" s="43" t="str">
        <f aca="false">IF(Tasks[[#This Row],[_Pred3Text]]="","",TRIM(MID(SUBSTITUTE(SUBSTITUTE(SUBSTITUTE(UPPER(Tasks[[#This Row],[_Predecessors]]),";",",")," ",""),",",REPT(" ",99)),298,99)))</f>
        <v/>
      </c>
      <c r="DH166" s="43" t="str">
        <f aca="false">IF(Tasks[[#This Row],[_Pred4Text]]="","",IFERROR(VALUE(LEFT(Tasks[[#This Row],[_Pred4Text]],MIN(FIND("F",Tasks[[#This Row],[_Pred4Text]]&amp;"F"),FIND("S",Tasks[[#This Row],[_Pred4Text]]&amp;"S"),FIND("+",Tasks[[#This Row],[_Pred4Text]]&amp;"+"),FIND("-",Tasks[[#This Row],[_Pred4Text]]&amp;"-"))-1)),""))</f>
        <v/>
      </c>
      <c r="DI1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6" s="43" t="str">
        <f aca="false">IF(OR(Tasks[[#This Row],[Task Name]]="",Tasks[[#This Row],[_Resources]]=""),"",TRIM(MID(SUBSTITUTE(Tasks[[#This Row],[_Resources]],",",REPT(" ",99)),1,99)))</f>
        <v/>
      </c>
      <c r="DL166" s="43" t="str">
        <f aca="false">IF(Tasks[[#This Row],[_Res1Text]]="","",TRIM(MID(SUBSTITUTE(Tasks[[#This Row],[_Resources]],",",REPT(" ",99)),100,99)))</f>
        <v/>
      </c>
      <c r="DM166" s="43" t="str">
        <f aca="false">IF(Tasks[[#This Row],[_Res2Text]]="","",TRIM(MID(SUBSTITUTE(Tasks[[#This Row],[_Resources]],",",REPT(" ",99)),199,99)))</f>
        <v/>
      </c>
      <c r="DN166" s="43" t="str">
        <f aca="false">IF(Tasks[[#This Row],[_Res3Text]]="","",TRIM(MID(SUBSTITUTE(Tasks[[#This Row],[_Resources]],",",REPT(" ",99)),298,99)))</f>
        <v/>
      </c>
      <c r="DO166" s="43" t="n">
        <f aca="false">IF(Tasks[[#This Row],[_Res1Text]]="",0,IFERROR(MATCH(TRIM(LEFT(Tasks[[#This Row],[_Res1Text]],FIND("[",Tasks[[#This Row],[_Res1Text]]&amp;"[")-1)),res_Name,0),IFERROR(MATCH(TRIM(LEFT(Tasks[[#This Row],[_Res1Text]],FIND("[",Tasks[[#This Row],[_Res1Text]]&amp;"[")-1)),res_Initials,0),0)))</f>
        <v>0</v>
      </c>
      <c r="DP166" s="43" t="n">
        <f aca="false">IF(Tasks[[#This Row],[_Res2Text]]="",0,IFERROR(MATCH(TRIM(LEFT(Tasks[[#This Row],[_Res2Text]],FIND("[",Tasks[[#This Row],[_Res2Text]]&amp;"[")-1)),res_Name,0),IFERROR(MATCH(TRIM(LEFT(Tasks[[#This Row],[_Res2Text]],FIND("[",Tasks[[#This Row],[_Res2Text]]&amp;"[")-1)),res_Initials,0),0)))</f>
        <v>0</v>
      </c>
      <c r="DQ166" s="43" t="n">
        <f aca="false">IF(Tasks[[#This Row],[_Res3Text]]="",0,IFERROR(MATCH(TRIM(LEFT(Tasks[[#This Row],[_Res3Text]],FIND("[",Tasks[[#This Row],[_Res3Text]]&amp;"[")-1)),res_Name,0),IFERROR(MATCH(TRIM(LEFT(Tasks[[#This Row],[_Res3Text]],FIND("[",Tasks[[#This Row],[_Res3Text]]&amp;"[")-1)),res_Initials,0),0)))</f>
        <v>0</v>
      </c>
      <c r="DR166" s="43" t="n">
        <f aca="false">IF(Tasks[[#This Row],[_Res4Text]]="",0,IFERROR(MATCH(TRIM(LEFT(Tasks[[#This Row],[_Res4Text]],FIND("[",Tasks[[#This Row],[_Res4Text]]&amp;"[")-1)),res_Name,0),IFERROR(MATCH(TRIM(LEFT(Tasks[[#This Row],[_Res4Text]],FIND("[",Tasks[[#This Row],[_Res4Text]]&amp;"[")-1)),res_Initials,0),0)))</f>
        <v>0</v>
      </c>
      <c r="DS166" s="43" t="str">
        <f aca="false">IF(Tasks[[#This Row],[_Res1Text]]="","",IF(Tasks[[#This Row],[_Res1Row]]&gt;0,INDEX(res_Name,Tasks[[#This Row],[_Res1Row]]),TRIM(LEFT(Tasks[[#This Row],[_Res1Text]],FIND("[",Tasks[[#This Row],[_Res1Text]]&amp;"[")-1))))</f>
        <v/>
      </c>
      <c r="DT1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6" s="43" t="n">
        <f aca="false">IF(NOT(Tasks[[#This Row],[_IsLeaf]]=1),0,(Tasks[[#This Row],[_Resource1]]&lt;&gt;"")+(Tasks[[#This Row],[_Res2]]&lt;&gt;"")+(Tasks[[#This Row],[_Res3]]&lt;&gt;"")+(Tasks[[#This Row],[_Res4]]&lt;&gt;""))</f>
        <v>0</v>
      </c>
      <c r="DV166" s="43" t="str">
        <f aca="false">IF(Tasks[[#This Row],[_Res2Text]]="","",IF(Tasks[[#This Row],[_Res2Row]]&gt;0,INDEX(res_Name,Tasks[[#This Row],[_Res2Row]]),TRIM(LEFT(Tasks[[#This Row],[_Res2Text]],FIND("[",Tasks[[#This Row],[_Res2Text]]&amp;"[")-1))))</f>
        <v/>
      </c>
      <c r="DW1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6" s="43" t="n">
        <f aca="false">IF(OR(NOT(Tasks[[#This Row],[_IsLeaf]]=1),Tasks[[#This Row],[_Res2Row]]=0),0,N(Tasks[[#This Row],[_Days]])*HoursPerDay*IF(Tasks[[#This Row],[_Res2Units]]="",DefaultUnits,Tasks[[#This Row],[_Res2Units]]))</f>
        <v>0</v>
      </c>
      <c r="DY166" s="43" t="n">
        <f aca="false">IF(AND(AND(Tasks[[#This Row],[_IsLeaf]]=1,Tasks[[#This Row],[_LeafTotalWork]]&gt;0),Tasks[[#This Row],[_Res2Work]]&gt;0),Tasks[[#This Row],[_Res2Work]]/(Tasks[[#This Row],[_FinishWorkday]]-Tasks[[#This Row],[_StartWorkday]]+1),0)</f>
        <v>0</v>
      </c>
      <c r="DZ166" s="43" t="n">
        <f aca="false">Tasks[[#This Row],[_Res2WorkPerWD]]*MAX(0,Tasks[[#This Row],[_StartWorkday]]-1)</f>
        <v>0</v>
      </c>
      <c r="EA166" s="43" t="n">
        <f aca="false">Tasks[[#This Row],[_Res2Work]]*Tasks[[#This Row],[_LeafProgress]]</f>
        <v>0</v>
      </c>
      <c r="EB166" s="43" t="str">
        <f aca="false">IF(Tasks[[#This Row],[_Res3Text]]="","",IF(Tasks[[#This Row],[_Res3Row]]&gt;0,INDEX(res_Name,Tasks[[#This Row],[_Res3Row]]),TRIM(LEFT(Tasks[[#This Row],[_Res3Text]],FIND("[",Tasks[[#This Row],[_Res3Text]]&amp;"[")-1))))</f>
        <v/>
      </c>
      <c r="EC1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6" s="43" t="n">
        <f aca="false">IF(OR(NOT(Tasks[[#This Row],[_IsLeaf]]=1),Tasks[[#This Row],[_Res3Row]]=0),0,N(Tasks[[#This Row],[_Days]])*HoursPerDay*IF(Tasks[[#This Row],[_Res3Units]]="",DefaultUnits,Tasks[[#This Row],[_Res3Units]]))</f>
        <v>0</v>
      </c>
      <c r="EE166" s="43" t="n">
        <f aca="false">IF(AND(AND(Tasks[[#This Row],[_IsLeaf]]=1,Tasks[[#This Row],[_LeafTotalWork]]&gt;0),Tasks[[#This Row],[_Res3Work]]&gt;0),Tasks[[#This Row],[_Res3Work]]/(Tasks[[#This Row],[_FinishWorkday]]-Tasks[[#This Row],[_StartWorkday]]+1),0)</f>
        <v>0</v>
      </c>
      <c r="EF166" s="43" t="n">
        <f aca="false">Tasks[[#This Row],[_Res3WorkPerWD]]*MAX(0,Tasks[[#This Row],[_StartWorkday]]-1)</f>
        <v>0</v>
      </c>
      <c r="EG166" s="43" t="n">
        <f aca="false">Tasks[[#This Row],[_Res3Work]]*Tasks[[#This Row],[_LeafProgress]]</f>
        <v>0</v>
      </c>
      <c r="EH166" s="43" t="str">
        <f aca="false">IF(Tasks[[#This Row],[_Res4Text]]="","",IF(Tasks[[#This Row],[_Res4Row]]&gt;0,INDEX(res_Name,Tasks[[#This Row],[_Res4Row]]),TRIM(LEFT(Tasks[[#This Row],[_Res4Text]],FIND("[",Tasks[[#This Row],[_Res4Text]]&amp;"[")-1))))</f>
        <v/>
      </c>
      <c r="EI1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6" s="43" t="n">
        <f aca="false">IF(OR(NOT(Tasks[[#This Row],[_IsLeaf]]=1),Tasks[[#This Row],[_Res4Row]]=0),0,N(Tasks[[#This Row],[_Days]])*HoursPerDay*IF(Tasks[[#This Row],[_Res4Units]]="",DefaultUnits,Tasks[[#This Row],[_Res4Units]]))</f>
        <v>0</v>
      </c>
      <c r="EK166" s="43" t="n">
        <f aca="false">IF(AND(AND(Tasks[[#This Row],[_IsLeaf]]=1,Tasks[[#This Row],[_LeafTotalWork]]&gt;0),Tasks[[#This Row],[_Res4Work]]&gt;0),Tasks[[#This Row],[_Res4Work]]/(Tasks[[#This Row],[_FinishWorkday]]-Tasks[[#This Row],[_StartWorkday]]+1),0)</f>
        <v>0</v>
      </c>
      <c r="EL166" s="43" t="n">
        <f aca="false">Tasks[[#This Row],[_Res4WorkPerWD]]*MAX(0,Tasks[[#This Row],[_StartWorkday]]-1)</f>
        <v>0</v>
      </c>
      <c r="EM166" s="43" t="n">
        <f aca="false">Tasks[[#This Row],[_Res4Work]]*Tasks[[#This Row],[_LeafProgress]]</f>
        <v>0</v>
      </c>
      <c r="EN166" s="43" t="n">
        <f aca="false">IF(ISNUMBER(Tasks[[#This Row],[% Complete]]),Tasks[[#This Row],[% Complete]],IF(Tasks[[#This Row],[Stage]]="",0,IFERROR(INDEX(stg_Pct,MATCH(Tasks[[#This Row],[Stage]],stg_Name,0)),0)))</f>
        <v>0</v>
      </c>
      <c r="EO166" s="43" t="n">
        <f aca="false">IF(NOT(Tasks[[#This Row],[_IsLeaf]]=1),0,IF(N(Tasks[[#This Row],[Actual Finish]])&gt;0,1,MIN(1,Tasks[[#This Row],[_Pct]])))</f>
        <v>0</v>
      </c>
      <c r="EP166" s="43" t="n">
        <f aca="false">IF(OR(NOT(Tasks[[#This Row],[_IsLeaf]]=1),Tasks[[#This Row],[_Res1Row]]=0),0,N(Tasks[[#This Row],[_Days]])*HoursPerDay*IF(Tasks[[#This Row],[_Units1]]="",DefaultUnits,Tasks[[#This Row],[_Units1]]))</f>
        <v>0</v>
      </c>
      <c r="EQ166" s="43" t="n">
        <f aca="false">Tasks[[#This Row],[_LeafWork]]+Tasks[[#This Row],[_Res2Work]]+Tasks[[#This Row],[_Res3Work]]+Tasks[[#This Row],[_Res4Work]]</f>
        <v>0</v>
      </c>
      <c r="ER16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6" s="43" t="n">
        <f aca="false">IF(NOT(Tasks[[#This Row],[_IsLeaf]]=1),0,MAX(_xlfn.MAXIFS(Tasks[_Row],Tasks[_Pred1UID],Tasks[[#This Row],[UID]]),_xlfn.MAXIFS(Tasks[_Row],Tasks[_Pred2UID],Tasks[[#This Row],[UID]]),_xlfn.MAXIFS(Tasks[_Row],Tasks[_Pred3UID],Tasks[[#This Row],[UID]]),_xlfn.MAXIFS(Tasks[_Row],Tasks[_Pred4UID],Tasks[[#This Row],[UID]])))</f>
        <v>0</v>
      </c>
      <c r="FA1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6" s="91" t="str">
        <f aca="false">IF(NOT(Tasks[[#This Row],[_IsLeaf]]=1),"",IF(N(Tasks[[#This Row],[_Days]])&lt;=0,Tasks[[#This Row],[_LeafLateFinish]],WORKDAY.INTL(Tasks[[#This Row],[_LeafLateFinish]],-(Tasks[[#This Row],[_Days]]-1),WorkWeek,Holidays)))</f>
        <v/>
      </c>
      <c r="FD1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6" s="90" t="b">
        <f aca="false">AND(Tasks[[#This Row],[_IsLeaf]]=1,Tasks[[#This Row],[_LeafProgress]]&lt;1,N(Tasks[[#This Row],[_LeafTotalSlack]])&lt;=CriticalSlackDays)</f>
        <v>0</v>
      </c>
      <c r="FF166" s="43" t="n">
        <f aca="false">IF(AND(Tasks[[#This Row],[_IsLeaf]]=1,Tasks[[#This Row],[_ConstraintCode]]=1,Tasks[[#This Row],[Mode]]&lt;&gt;"Manual",N(Tasks[[#This Row],[Actual Start]])=0),MAX(0,N(Tasks[[#This Row],[Free Slack]])),0)</f>
        <v>0</v>
      </c>
      <c r="FG166" s="91" t="str">
        <f aca="false">IF(NOT(Tasks[[#This Row],[_IsLeaf]]=1),"",IF(Tasks[[#This Row],[_AlapShift]]=0,Tasks[[#This Row],[_LeafCalcStart]],WORKDAY.INTL(Tasks[[#This Row],[_LeafCalcStart]],Tasks[[#This Row],[_AlapShift]],WorkWeek,Holidays)))</f>
        <v/>
      </c>
      <c r="FH166" s="91" t="str">
        <f aca="false">IF(NOT(Tasks[[#This Row],[_IsLeaf]]=1),"",IF(Tasks[[#This Row],[_AlapShift]]=0,Tasks[[#This Row],[_LeafCalcFinish]],WORKDAY.INTL(Tasks[[#This Row],[_LeafCalcFinish]],Tasks[[#This Row],[_AlapShift]],WorkWeek,Holidays)))</f>
        <v/>
      </c>
      <c r="FI166" s="91" t="str">
        <f aca="false">IF(NOT(Tasks[[#This Row],[_IsLeaf]]=1),"",IF(Tasks[[#This Row],[_AlapShift]]=0,Tasks[[#This Row],[_LeafFcstStart]],WORKDAY.INTL(Tasks[[#This Row],[_LeafFcstStart]],Tasks[[#This Row],[_AlapShift]],WorkWeek,Holidays)))</f>
        <v/>
      </c>
      <c r="FJ166" s="91" t="str">
        <f aca="false">IF(NOT(Tasks[[#This Row],[_IsLeaf]]=1),"",IF(Tasks[[#This Row],[_AlapShift]]=0,Tasks[[#This Row],[_LeafFcstFinish]],WORKDAY.INTL(Tasks[[#This Row],[_LeafFcstFinish]],Tasks[[#This Row],[_AlapShift]],WorkWeek,Holidays)))</f>
        <v/>
      </c>
      <c r="FK166" s="91" t="str">
        <f aca="false">IF(Tasks[[#This Row],[Task Name]]="","",IF(Tasks[[#This Row],[_IsSummary]],MIN(INDEX(Tasks[_ShownCalcStart],Tasks[[#This Row],[_Row]]+1):INDEX(Tasks[_ShownCalcStart],Tasks[[#This Row],[_Row]]+Tasks[[#This Row],[_Descendants]])),Tasks[[#This Row],[_ShownCalcStart]]))</f>
        <v/>
      </c>
      <c r="FL166" s="91" t="str">
        <f aca="false">IF(Tasks[[#This Row],[Task Name]]="","",IF(Tasks[[#This Row],[_IsSummary]],MAX(INDEX(Tasks[_ShownCalcFinish],Tasks[[#This Row],[_Row]]+1):INDEX(Tasks[_ShownCalcFinish],Tasks[[#This Row],[_Row]]+Tasks[[#This Row],[_Descendants]])),Tasks[[#This Row],[_ShownCalcFinish]]))</f>
        <v/>
      </c>
      <c r="FM1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6" s="43" t="n">
        <f aca="false">IF(AND(Tasks[[#This Row],[_IsLeaf]]=1,Tasks[[#This Row],[_LeafTotalWork]]&gt;0),NETWORKDAYS.INTL(ProjectStart,Tasks[[#This Row],[_ShownFcstStart]],WorkWeek,Holidays),0)</f>
        <v>0</v>
      </c>
      <c r="FZ166" s="43" t="n">
        <f aca="false">IF(AND(Tasks[[#This Row],[_IsLeaf]]=1,Tasks[[#This Row],[_LeafTotalWork]]&gt;0),MAX(Tasks[[#This Row],[_StartWorkday]],NETWORKDAYS.INTL(ProjectStart,Tasks[[#This Row],[_ShownFcstFinish]],WorkWeek,Holidays)),0)</f>
        <v>0</v>
      </c>
      <c r="GA166" s="43" t="n">
        <f aca="false">IF(AND(Tasks[[#This Row],[_IsLeaf]]=1,Tasks[[#This Row],[_LeafTotalWork]]&gt;0),Tasks[[#This Row],[_LeafWork]]/(Tasks[[#This Row],[_FinishWorkday]]-Tasks[[#This Row],[_StartWorkday]]+1),0)</f>
        <v>0</v>
      </c>
      <c r="GB166" s="43" t="n">
        <f aca="false">Tasks[[#This Row],[_WorkPerWorkday]]*(Tasks[[#This Row],[_StartWorkday]]-1)</f>
        <v>-0</v>
      </c>
      <c r="GC166" s="43" t="n">
        <f aca="false">IF(Tasks[[#This Row],[_IsLeaf]]=1,MAX(N(Tasks[[#This Row],[_Days]]),0.1),0)</f>
        <v>0</v>
      </c>
      <c r="GD166" s="43" t="n">
        <f aca="false">Tasks[[#This Row],[_WeightDur]]*Tasks[[#This Row],[_LeafProgress]]</f>
        <v>0</v>
      </c>
      <c r="GE166" s="43" t="n">
        <f aca="false">Tasks[[#This Row],[_WeightDur]]*Tasks[[#This Row],[_PlannedPct]]</f>
        <v>0</v>
      </c>
      <c r="GF1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6" s="43" t="str">
        <f aca="false">IF(AND(Tasks[[#This Row],[_IsLeaf]]=1,N(Tasks[[#This Row],[_Days]])=0,Tasks[[#This Row],[_LeafProgress]]&lt;1),Tasks[[#This Row],[_ShownFcstFinish]]+Tasks[[#This Row],[_Row]]/100000,"")</f>
        <v/>
      </c>
      <c r="GH1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6" s="43" t="str">
        <f aca="false">IF(Tasks[[#This Row],[Task Name]]="","",LEFT(Tasks[[#This Row],[WBS]],FIND(".",Tasks[[#This Row],[WBS]]&amp;".")-1))</f>
        <v/>
      </c>
      <c r="GJ166" s="43" t="str">
        <f aca="false">IF(AND(Tasks[[#This Row],[Task Name]]&lt;&gt;"",Tasks[[#This Row],[_Level]]=1),Tasks[[#This Row],[_Row]],"")</f>
        <v/>
      </c>
      <c r="GK166" s="43" t="str">
        <f aca="false">IF(AND(Tasks[[#This Row],[_IsLeaf]]=1,N(Tasks[[#This Row],[_Days]])=0),Tasks[[#This Row],[Planned Finish]]+Tasks[[#This Row],[_Row]]/100000,"")</f>
        <v/>
      </c>
      <c r="GL166" s="43" t="str">
        <f aca="false">IF(AND(Tasks[[#This Row],[_IsLeaf]]=1,Tasks[[#This Row],[_LeafProgress]]&lt;1,OR(N(Tasks[[#This Row],[Finish Var]])&gt;0,Tasks[[#This Row],[Status]]="Late Start")),MAX(0,Tasks[[#This Row],[Finish Var]])+1-Tasks[[#This Row],[_Row]]/1000000,"")</f>
        <v/>
      </c>
      <c r="GM166" s="43" t="str">
        <f aca="false">IF(AND(Tasks[[#This Row],[_IsLeaf]]=1,N(Tasks[[#This Row],[Actual Start]])=0,Tasks[[#This Row],[_ShownFcstStart]]&gt;=StatusDate,Tasks[[#This Row],[_ShownFcstStart]]&lt;=LookaheadEnd),Tasks[[#This Row],[_ShownFcstStart]]+Tasks[[#This Row],[_Row]]/100000,"")</f>
        <v/>
      </c>
      <c r="GN166" s="43" t="str">
        <f aca="false">IF(AND(Tasks[[#This Row],[_IsLeaf]]=1,Tasks[[#This Row],[_LeafProgress]]&lt;1,Tasks[[#This Row],[_ShownFcstFinish]]&gt;=StatusDate,Tasks[[#This Row],[_ShownFcstFinish]]&lt;=LookaheadEnd),Tasks[[#This Row],[_ShownFcstFinish]]+Tasks[[#This Row],[_Row]]/100000,"")</f>
        <v/>
      </c>
      <c r="GO166" s="43" t="str">
        <f aca="false">IF(Tasks[[#This Row],[_LeafCritical]],Tasks[[#This Row],[_ShownFcstStart]]+Tasks[[#This Row],[_Row]]/100000,"")</f>
        <v/>
      </c>
      <c r="GP166" s="43" t="n">
        <f aca="false">Tasks[[#This Row],[_LeafWork]]*Tasks[[#This Row],[_LeafProgress]]</f>
        <v>0</v>
      </c>
      <c r="GQ166" s="91" t="str">
        <f aca="false">IF(AND(Tasks[[#This Row],[_IsLeaf]]=1,Tasks[[#This Row],[_LeafProgress]]&gt;=1),IF(N(Tasks[[#This Row],[Actual Finish]])&gt;0,Tasks[[#This Row],[Actual Finish]],Tasks[[#This Row],[_ShownFcstFinish]]),"")</f>
        <v/>
      </c>
      <c r="GR166" s="43" t="n">
        <f aca="false">IF(Tasks[[#This Row],[_IsLeaf]]=1,N(Tasks[[#This Row],[Story Points]]),0)</f>
        <v>0</v>
      </c>
      <c r="GS166" s="43" t="str">
        <f aca="false">""</f>
        <v/>
      </c>
      <c r="GT166" s="90" t="b">
        <f aca="false">IF(Tasks[[#This Row],[Task Name]]="",FALSE(),AND(Tasks[[#This Row],[_IsLeaf]]=1,N(Tasks[[#This Row],[_Days]])=0))</f>
        <v>0</v>
      </c>
      <c r="GU166" s="91" t="n">
        <f aca="false">IF(Tasks[[#This Row],[Task Name]]="",0,IF(AND(Tasks[[#This Row],[_IsLeaf]]=1,NOT(Tasks[[#This Row],[_IsMilestone]]),N(Tasks[[#This Row],[Progress]])&gt;0),Tasks[[#This Row],[Start]],0))</f>
        <v>0</v>
      </c>
      <c r="GV166" s="91" t="n">
        <f aca="false">IF(Tasks[[#This Row],[_DoneFrom]]=0,0,IF(Tasks[[#This Row],[Progress]]&gt;=1,Tasks[[#This Row],[Finish]],MAX(Tasks[[#This Row],[_DoneFrom]],Tasks[[#This Row],[Start]]+ROUND((Tasks[[#This Row],[Finish]]-Tasks[[#This Row],[Start]]+1)*Tasks[[#This Row],[Progress]],0)-1)))</f>
        <v>0</v>
      </c>
      <c r="GW166" s="91" t="n">
        <f aca="false">IF(Tasks[[#This Row],[Task Name]]="",0,IF(OR(NOT(Tasks[[#This Row],[_IsLeaf]]=1),Tasks[[#This Row],[_IsMilestone]],N(Tasks[[#This Row],[Progress]])&gt;=1),0,IF(Tasks[[#This Row],[_DoneTo]]&gt;0,Tasks[[#This Row],[_DoneTo]]+1,Tasks[[#This Row],[Start]])))</f>
        <v>0</v>
      </c>
      <c r="GX166" s="91" t="n">
        <f aca="false">IF(Tasks[[#This Row],[_RemFrom]]=0,0,Tasks[[#This Row],[Finish]])</f>
        <v>0</v>
      </c>
      <c r="GY166" s="90" t="b">
        <f aca="false">IF(Tasks[[#This Row],[Task Name]]="",FALSE(),OR(NOT(BaselineSet),N(Tasks[[#This Row],[Baseline Start]])&gt;0))</f>
        <v>0</v>
      </c>
      <c r="GZ16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6" s="92" t="str">
        <f aca="false">IF(Tasks[[#This Row],[_IsLeaf]]=1,Tasks[[#This Row],[_Row]],"")</f>
        <v/>
      </c>
      <c r="HD166" s="92" t="str">
        <f aca="false">IFERROR(INDEX(Tasks[UID],SMALL(Tasks[_PickKey],Tasks[[#This Row],[_Row]]))&amp;" "&amp;INDEX(Tasks[Task Name],SMALL(Tasks[_PickKey],Tasks[[#This Row],[_Row]])),"")</f>
        <v/>
      </c>
      <c r="HE166" s="43" t="str">
        <f aca="false">IF(Tasks[[#This Row],[Task Name]]="","",IF(Tasks[[#This Row],[_IsSummary]],NETWORKDAYS.INTL(Tasks[[#This Row],[Start]],Tasks[[#This Row],[Finish]],WorkWeek,Holidays),N(Tasks[[#This Row],[_Days]])))</f>
        <v/>
      </c>
      <c r="HF166" s="43" t="n">
        <f aca="false">IF(Tasks[[#This Row],[Expected]]="",0,((Tasks[[#This Row],[Pessimistic]]-Tasks[[#This Row],[Optimistic]])/6)^2)</f>
        <v>0</v>
      </c>
      <c r="HG166" s="43" t="n">
        <f aca="false">IF(Tasks[[#This Row],[Expected]]="",0,Tasks[[#This Row],[Expected]]-N(Tasks[[#This Row],[_Days]]))</f>
        <v>0</v>
      </c>
    </row>
    <row r="167" customFormat="false" ht="15" hidden="false" customHeight="false" outlineLevel="0" collapsed="false">
      <c r="A167" s="21" t="str">
        <f aca="false">IF(Tasks[[#This Row],[Task Name]]="","",COUNTA(Tasks[[#Headers],[Task Name]]:Tasks[[#This Row],[Task Name]])-1)</f>
        <v/>
      </c>
      <c r="B167" s="22" t="n">
        <v>175</v>
      </c>
      <c r="C167" s="22"/>
      <c r="D167" s="23"/>
      <c r="E167" s="22"/>
      <c r="F167" s="23"/>
      <c r="G167" s="22"/>
      <c r="H167" s="22"/>
      <c r="I167" s="23"/>
      <c r="J167" s="22"/>
      <c r="K167" s="22"/>
      <c r="L167" s="23"/>
      <c r="M167" s="22"/>
      <c r="N167" s="22"/>
      <c r="O167" s="23"/>
      <c r="P167" s="22"/>
      <c r="Q167" s="22"/>
      <c r="R167" s="23"/>
      <c r="S167" s="23"/>
      <c r="T167" s="84"/>
      <c r="U167" s="23"/>
      <c r="V167" s="84"/>
      <c r="W167" s="23"/>
      <c r="X167" s="84"/>
      <c r="Y167" s="23"/>
      <c r="Z167" s="84"/>
      <c r="AA167" s="23"/>
      <c r="AB167" s="23"/>
      <c r="AC167" s="7"/>
      <c r="AD167" s="7"/>
      <c r="AE167" s="63" t="str">
        <f aca="false">IF(Tasks[[#This Row],[Task Name]]="","",IF(Tasks[[#This Row],[_IsSummary]],MIN(INDEX(Tasks[_ShownFcstStart],Tasks[[#This Row],[_Row]]+1):INDEX(Tasks[_ShownFcstStart],Tasks[[#This Row],[_Row]]+Tasks[[#This Row],[_Descendants]])),Tasks[[#This Row],[_ShownFcstStart]]))</f>
        <v/>
      </c>
      <c r="AF167" s="63" t="str">
        <f aca="false">IF(Tasks[[#This Row],[Task Name]]="","",IF(Tasks[[#This Row],[_IsSummary]],MAX(INDEX(Tasks[_ShownFcstFinish],Tasks[[#This Row],[_Row]]+1):INDEX(Tasks[_ShownFcstFinish],Tasks[[#This Row],[_Row]]+Tasks[[#This Row],[_Descendants]])),Tasks[[#This Row],[_ShownFcstFinish]]))</f>
        <v/>
      </c>
      <c r="AG167" s="21" t="str">
        <f aca="false">""</f>
        <v/>
      </c>
      <c r="AH167" s="23"/>
      <c r="AI1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7" s="7"/>
      <c r="AK167" s="22"/>
      <c r="AL167" s="23"/>
      <c r="AM167" s="7"/>
      <c r="AN167" s="47" t="str">
        <f aca="false">IF(Tasks[[#This Row],[Task Name]]="","",IF(Tasks[[#This Row],[Finish]]&gt;=Tasks[[#This Row],[Planned Finish]],NETWORKDAYS.INTL(Tasks[[#This Row],[Planned Finish]],Tasks[[#This Row],[Finish]],WorkWeek,Holidays)-1,1-NETWORKDAYS.INTL(Tasks[[#This Row],[Finish]],Tasks[[#This Row],[Planned Finish]],WorkWeek,Holidays)))</f>
        <v/>
      </c>
      <c r="AO167" s="21" t="str">
        <f aca="false">IF(Tasks[[#This Row],[Task Name]]="","",IF(Tasks[[#This Row],[Progress]]&gt;=1,"Complete",IF(OR(N(Tasks[[#This Row],[Actual Start]])&gt;0,Tasks[[#This Row],[Progress]]&gt;0),IF(Tasks[[#This Row],[Finish Var]]&gt;0,"Behind","In Progress"),IF(Tasks[[#This Row],[Planned Start]]&lt;StatusDate,"Late Start","Not Started"))))</f>
        <v/>
      </c>
      <c r="AP167" s="21" t="str">
        <f aca="false">IF(Tasks[[#This Row],[Task Name]]="","",IF(IF(Tasks[[#This Row],[_IsSummary]],COUNTIF(INDEX(Tasks[_LeafCritical],Tasks[[#This Row],[_Row]]+1):INDEX(Tasks[_LeafCritical],Tasks[[#This Row],[_Row]]+Tasks[[#This Row],[_Descendants]]),TRUE())&gt;0,Tasks[[#This Row],[_LeafCritical]]),"Yes",""))</f>
        <v/>
      </c>
      <c r="AQ167" s="63" t="str">
        <f aca="false">IF(Tasks[[#This Row],[Task Name]]="","",IF(N(Tasks[[#This Row],[Baseline Start]])&gt;0,Tasks[[#This Row],[Baseline Start]],Tasks[[#This Row],[_CalcStart]]))</f>
        <v/>
      </c>
      <c r="AR167" s="63" t="str">
        <f aca="false">IF(Tasks[[#This Row],[Task Name]]="","",IF(N(Tasks[[#This Row],[Baseline Finish]])&gt;0,Tasks[[#This Row],[Baseline Finish]],Tasks[[#This Row],[_CalcFinish]]))</f>
        <v/>
      </c>
      <c r="AS167" s="47" t="str">
        <f aca="false">IF(Tasks[[#This Row],[Task Name]]="","",IF(Tasks[[#This Row],[Start]]&gt;=Tasks[[#This Row],[Planned Start]],NETWORKDAYS.INTL(Tasks[[#This Row],[Planned Start]],Tasks[[#This Row],[Start]],WorkWeek,Holidays)-1,1-NETWORKDAYS.INTL(Tasks[[#This Row],[Start]],Tasks[[#This Row],[Planned Start]],WorkWeek,Holidays)))</f>
        <v/>
      </c>
      <c r="AT167" s="63" t="str">
        <f aca="false">IF(Tasks[[#This Row],[Task Name]]="","",IF(Tasks[[#This Row],[_IsSummary]],MIN(INDEX(Tasks[_LeafLateStart],Tasks[[#This Row],[_Row]]+1):INDEX(Tasks[_LeafLateStart],Tasks[[#This Row],[_Row]]+Tasks[[#This Row],[_Descendants]])),Tasks[[#This Row],[_LeafLateStart]]))</f>
        <v/>
      </c>
      <c r="AU167" s="63" t="str">
        <f aca="false">IF(Tasks[[#This Row],[Task Name]]="","",IF(Tasks[[#This Row],[_IsSummary]],MAX(INDEX(Tasks[_LeafLateFinish],Tasks[[#This Row],[_Row]]+1):INDEX(Tasks[_LeafLateFinish],Tasks[[#This Row],[_Row]]+Tasks[[#This Row],[_Descendants]])),Tasks[[#This Row],[_LeafLateFinish]]))</f>
        <v/>
      </c>
      <c r="AV167" s="47" t="str">
        <f aca="false">IF(Tasks[[#This Row],[Task Name]]="","",IF(Tasks[[#This Row],[_IsSummary]],MIN(INDEX(Tasks[_LeafTotalSlack],Tasks[[#This Row],[_Row]]+1):INDEX(Tasks[_LeafTotalSlack],Tasks[[#This Row],[_Row]]+Tasks[[#This Row],[_Descendants]])),Tasks[[#This Row],[_LeafTotalSlack]]))</f>
        <v/>
      </c>
      <c r="AW1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5"/>
      <c r="BA16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t="str">
        <f aca="false">IF(Tasks[[#This Row],[Task Name]]="","",IF(Tasks[[#This Row],[_Level]]&lt;=OutlineShowLevel,"Yes","No"))</f>
        <v/>
      </c>
      <c r="BE167" s="86" t="str">
        <f aca="false">IF(Tasks[[#This Row],[Task Name]]="","",IF(Tasks[[#This Row],[_IsSummary]],SUM(INDEX(Tasks[_LeafTotalWork],Tasks[[#This Row],[_Row]]+1):INDEX(Tasks[_LeafTotalWork],Tasks[[#This Row],[_Row]]+Tasks[[#This Row],[_Descendants]])),Tasks[[#This Row],[_LeafTotalWork]]))</f>
        <v/>
      </c>
      <c r="BF167" s="23"/>
      <c r="BG1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t="str">
        <f aca="false">""</f>
        <v/>
      </c>
      <c r="BI167" s="87"/>
      <c r="BJ167" s="22"/>
      <c r="BK167" s="47" t="str">
        <f aca="false">IF(OR(Tasks[[#This Row],[Task Name]]="",Tasks[[#This Row],[Baseline Duration]]=""),"",Tasks[[#This Row],[_SpanDays]]-N(Tasks[[#This Row],[Baseline Duration]]))</f>
        <v/>
      </c>
      <c r="BL167" s="86" t="str">
        <f aca="false">IF(OR(Tasks[[#This Row],[Task Name]]="",Tasks[[#This Row],[Baseline Work]]=""),"",Tasks[[#This Row],[Work]]-N(Tasks[[#This Row],[Baseline Work]]))</f>
        <v/>
      </c>
      <c r="BM167" s="63" t="str">
        <f aca="false">IF(Tasks[[#This Row],[Task Name]]="","",IF(OR(TakeBaseline="Yes",N(Tasks[[#This Row],[Baseline Start]])=0),Tasks[[#This Row],[Start]],Tasks[[#This Row],[Baseline Start]]))</f>
        <v/>
      </c>
      <c r="BN167" s="63" t="str">
        <f aca="false">IF(Tasks[[#This Row],[Task Name]]="","",IF(OR(TakeBaseline="Yes",N(Tasks[[#This Row],[Baseline Finish]])=0),Tasks[[#This Row],[Finish]],Tasks[[#This Row],[Baseline Finish]]))</f>
        <v/>
      </c>
      <c r="BO167" s="21" t="str">
        <f aca="false">IF(Tasks[[#This Row],[Task Name]]="","",IF(OR(TakeBaseline="Yes",N(Tasks[[#This Row],[Baseline Duration]])=0),Tasks[[#This Row],[_SpanDays]],Tasks[[#This Row],[Baseline Duration]]))</f>
        <v/>
      </c>
      <c r="BP167" s="86" t="str">
        <f aca="false">IF(Tasks[[#This Row],[Task Name]]="","",IF(OR(TakeBaseline="Yes",N(Tasks[[#This Row],[Baseline Work]])=0),Tasks[[#This Row],[Work]],Tasks[[#This Row],[Baseline Work]]))</f>
        <v/>
      </c>
      <c r="BQ167" s="7"/>
      <c r="BR167" s="7"/>
      <c r="BS167" s="22"/>
      <c r="BT167" s="88"/>
      <c r="BU167" s="23"/>
      <c r="BV167" s="23"/>
      <c r="BW167" s="23"/>
      <c r="BX167" s="89" t="str">
        <f aca="false">IF(AND(Tasks[[#This Row],[_IsLeaf]]=1,ISNUMBER(Tasks[[#This Row],[Optimistic]]),ISNUMBER(Tasks[[#This Row],[Pessimistic]])),ROUND((Tasks[[#This Row],[Optimistic]]+4*N(Tasks[[#This Row],[_Days]])+Tasks[[#This Row],[Pessimistic]])/6,1),"")</f>
        <v/>
      </c>
      <c r="BY167" s="87"/>
      <c r="BZ167" s="87"/>
      <c r="CA167" s="22"/>
      <c r="CB167" s="43" t="str">
        <f aca="false">IF(Tasks[[#This Row],[Task Name]]="","",MAX(1,N(Tasks[[#This Row],[Level]])))</f>
        <v/>
      </c>
      <c r="CC167" s="43" t="n">
        <f aca="false">ROW()-ROW(Tasks[[#Headers],[ID]])</f>
        <v>162</v>
      </c>
      <c r="CD167" s="43" t="n">
        <f aca="false">IF(OR(Tasks[[#This Row],[Task Name]]="",Tasks[[#This Row],[_Level]]&lt;=1),0,IFERROR(LOOKUP(2,1/(Tasks[[#Headers],[_Level]]:Tasks[[#This Row],[_Level]]=Tasks[[#This Row],[_Level]]-1),ROW(Tasks[[#Headers],[_Level]]:Tasks[[#This Row],[_Level]])),0))</f>
        <v>0</v>
      </c>
      <c r="CE167" s="43" t="n">
        <f aca="false">IFERROR(N(INDEX(Tasks[_Level],Tasks[[#This Row],[_Row]]+1)),0)</f>
        <v>0</v>
      </c>
      <c r="CF167" s="90" t="b">
        <f aca="false">AND(Tasks[[#This Row],[Task Name]]&lt;&gt;"",Tasks[[#This Row],[_NextLevel]]&gt;Tasks[[#This Row],[_Level]])</f>
        <v>0</v>
      </c>
      <c r="CG167" s="43" t="n">
        <f aca="false">IF(Tasks[[#This Row],[_IsSummary]],COUNTIF(Tasks[WBS],Tasks[[#This Row],[WBS]]&amp;".*"),0)</f>
        <v>0</v>
      </c>
      <c r="CH167" s="43" t="n">
        <f aca="false">IF(AND(Tasks[[#This Row],[Task Name]]&lt;&gt;"",NOT(Tasks[[#This Row],[_IsSummary]])),1,0)</f>
        <v>0</v>
      </c>
      <c r="CI167" s="43" t="n">
        <f aca="false">IF(N(Tasks[[#This Row],[_Pred1UID]])=0,0,IFERROR(MATCH(Tasks[[#This Row],[_Pred1UID]],Tasks[UID],0),-1))</f>
        <v>0</v>
      </c>
      <c r="CJ167" s="43" t="n">
        <f aca="false">IF(N(Tasks[[#This Row],[_Pred2UID]])=0,0,IFERROR(MATCH(Tasks[[#This Row],[_Pred2UID]],Tasks[UID],0),-1))</f>
        <v>0</v>
      </c>
      <c r="CK167" s="43" t="n">
        <f aca="false">IF(N(Tasks[[#This Row],[_Pred3UID]])=0,0,IFERROR(MATCH(Tasks[[#This Row],[_Pred3UID]],Tasks[UID],0),-1))</f>
        <v>0</v>
      </c>
      <c r="CL167" s="43" t="n">
        <f aca="false">IF(N(Tasks[[#This Row],[_Pred4UID]])=0,0,IFERROR(MATCH(Tasks[[#This Row],[_Pred4UID]],Tasks[UID],0),-1))</f>
        <v>0</v>
      </c>
      <c r="CM1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7" s="91" t="n">
        <f aca="false">IF(OR(Tasks[[#This Row],[_ConstraintCode]]=2,Tasks[[#This Row],[_ConstraintCode]]=3,Tasks[[#This Row],[_ConstraintCode]]=4,Tasks[[#This Row],[_ConstraintCode]]=6),Tasks[[#This Row],[_ConstraintStart]],0)</f>
        <v>0</v>
      </c>
      <c r="CP167" s="91" t="n">
        <f aca="false">IF(OR(Tasks[[#This Row],[_ConstraintCode]]=2,Tasks[[#This Row],[_ConstraintCode]]=3,Tasks[[#This Row],[_ConstraintCode]]=5,Tasks[[#This Row],[_ConstraintCode]]=7),Tasks[[#This Row],[_ConstraintStart]],2958465)</f>
        <v>2958465</v>
      </c>
      <c r="CQ1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7" s="91" t="str">
        <f aca="false">IF(NOT(Tasks[[#This Row],[_IsLeaf]]=1),"",IF(N(Tasks[[#This Row],[_Days]])&lt;=0,Tasks[[#This Row],[_LeafCalcStart]],WORKDAY.INTL(Tasks[[#This Row],[_LeafCalcStart]],Tasks[[#This Row],[_Days]]-1,WorkWeek,Holidays)))</f>
        <v/>
      </c>
      <c r="CS1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7" s="43" t="str">
        <f aca="false">IF(Tasks[[#This Row],[_Predecessors]]="","",TRIM(MID(SUBSTITUTE(SUBSTITUTE(SUBSTITUTE(UPPER(Tasks[[#This Row],[_Predecessors]]),";",",")," ",""),",",REPT(" ",99)),1,99)))</f>
        <v/>
      </c>
      <c r="CV167" s="43" t="str">
        <f aca="false">IF(Tasks[[#This Row],[_Pred1Text]]="","",IFERROR(VALUE(LEFT(Tasks[[#This Row],[_Pred1Text]],MIN(FIND("F",Tasks[[#This Row],[_Pred1Text]]&amp;"F"),FIND("S",Tasks[[#This Row],[_Pred1Text]]&amp;"S"),FIND("+",Tasks[[#This Row],[_Pred1Text]]&amp;"+"),FIND("-",Tasks[[#This Row],[_Pred1Text]]&amp;"-"))-1)),""))</f>
        <v/>
      </c>
      <c r="CW1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7" s="43" t="str">
        <f aca="false">IF(Tasks[[#This Row],[_Pred1Text]]="","",TRIM(MID(SUBSTITUTE(SUBSTITUTE(SUBSTITUTE(UPPER(Tasks[[#This Row],[_Predecessors]]),";",",")," ",""),",",REPT(" ",99)),100,99)))</f>
        <v/>
      </c>
      <c r="CZ167" s="43" t="str">
        <f aca="false">IF(Tasks[[#This Row],[_Pred2Text]]="","",IFERROR(VALUE(LEFT(Tasks[[#This Row],[_Pred2Text]],MIN(FIND("F",Tasks[[#This Row],[_Pred2Text]]&amp;"F"),FIND("S",Tasks[[#This Row],[_Pred2Text]]&amp;"S"),FIND("+",Tasks[[#This Row],[_Pred2Text]]&amp;"+"),FIND("-",Tasks[[#This Row],[_Pred2Text]]&amp;"-"))-1)),""))</f>
        <v/>
      </c>
      <c r="DA1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7" s="43" t="str">
        <f aca="false">IF(Tasks[[#This Row],[_Pred2Text]]="","",TRIM(MID(SUBSTITUTE(SUBSTITUTE(SUBSTITUTE(UPPER(Tasks[[#This Row],[_Predecessors]]),";",",")," ",""),",",REPT(" ",99)),199,99)))</f>
        <v/>
      </c>
      <c r="DD167" s="43" t="str">
        <f aca="false">IF(Tasks[[#This Row],[_Pred3Text]]="","",IFERROR(VALUE(LEFT(Tasks[[#This Row],[_Pred3Text]],MIN(FIND("F",Tasks[[#This Row],[_Pred3Text]]&amp;"F"),FIND("S",Tasks[[#This Row],[_Pred3Text]]&amp;"S"),FIND("+",Tasks[[#This Row],[_Pred3Text]]&amp;"+"),FIND("-",Tasks[[#This Row],[_Pred3Text]]&amp;"-"))-1)),""))</f>
        <v/>
      </c>
      <c r="DE1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7" s="43" t="str">
        <f aca="false">IF(Tasks[[#This Row],[_Pred3Text]]="","",TRIM(MID(SUBSTITUTE(SUBSTITUTE(SUBSTITUTE(UPPER(Tasks[[#This Row],[_Predecessors]]),";",",")," ",""),",",REPT(" ",99)),298,99)))</f>
        <v/>
      </c>
      <c r="DH167" s="43" t="str">
        <f aca="false">IF(Tasks[[#This Row],[_Pred4Text]]="","",IFERROR(VALUE(LEFT(Tasks[[#This Row],[_Pred4Text]],MIN(FIND("F",Tasks[[#This Row],[_Pred4Text]]&amp;"F"),FIND("S",Tasks[[#This Row],[_Pred4Text]]&amp;"S"),FIND("+",Tasks[[#This Row],[_Pred4Text]]&amp;"+"),FIND("-",Tasks[[#This Row],[_Pred4Text]]&amp;"-"))-1)),""))</f>
        <v/>
      </c>
      <c r="DI1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7" s="43" t="str">
        <f aca="false">IF(OR(Tasks[[#This Row],[Task Name]]="",Tasks[[#This Row],[_Resources]]=""),"",TRIM(MID(SUBSTITUTE(Tasks[[#This Row],[_Resources]],",",REPT(" ",99)),1,99)))</f>
        <v/>
      </c>
      <c r="DL167" s="43" t="str">
        <f aca="false">IF(Tasks[[#This Row],[_Res1Text]]="","",TRIM(MID(SUBSTITUTE(Tasks[[#This Row],[_Resources]],",",REPT(" ",99)),100,99)))</f>
        <v/>
      </c>
      <c r="DM167" s="43" t="str">
        <f aca="false">IF(Tasks[[#This Row],[_Res2Text]]="","",TRIM(MID(SUBSTITUTE(Tasks[[#This Row],[_Resources]],",",REPT(" ",99)),199,99)))</f>
        <v/>
      </c>
      <c r="DN167" s="43" t="str">
        <f aca="false">IF(Tasks[[#This Row],[_Res3Text]]="","",TRIM(MID(SUBSTITUTE(Tasks[[#This Row],[_Resources]],",",REPT(" ",99)),298,99)))</f>
        <v/>
      </c>
      <c r="DO167" s="43" t="n">
        <f aca="false">IF(Tasks[[#This Row],[_Res1Text]]="",0,IFERROR(MATCH(TRIM(LEFT(Tasks[[#This Row],[_Res1Text]],FIND("[",Tasks[[#This Row],[_Res1Text]]&amp;"[")-1)),res_Name,0),IFERROR(MATCH(TRIM(LEFT(Tasks[[#This Row],[_Res1Text]],FIND("[",Tasks[[#This Row],[_Res1Text]]&amp;"[")-1)),res_Initials,0),0)))</f>
        <v>0</v>
      </c>
      <c r="DP167" s="43" t="n">
        <f aca="false">IF(Tasks[[#This Row],[_Res2Text]]="",0,IFERROR(MATCH(TRIM(LEFT(Tasks[[#This Row],[_Res2Text]],FIND("[",Tasks[[#This Row],[_Res2Text]]&amp;"[")-1)),res_Name,0),IFERROR(MATCH(TRIM(LEFT(Tasks[[#This Row],[_Res2Text]],FIND("[",Tasks[[#This Row],[_Res2Text]]&amp;"[")-1)),res_Initials,0),0)))</f>
        <v>0</v>
      </c>
      <c r="DQ167" s="43" t="n">
        <f aca="false">IF(Tasks[[#This Row],[_Res3Text]]="",0,IFERROR(MATCH(TRIM(LEFT(Tasks[[#This Row],[_Res3Text]],FIND("[",Tasks[[#This Row],[_Res3Text]]&amp;"[")-1)),res_Name,0),IFERROR(MATCH(TRIM(LEFT(Tasks[[#This Row],[_Res3Text]],FIND("[",Tasks[[#This Row],[_Res3Text]]&amp;"[")-1)),res_Initials,0),0)))</f>
        <v>0</v>
      </c>
      <c r="DR167" s="43" t="n">
        <f aca="false">IF(Tasks[[#This Row],[_Res4Text]]="",0,IFERROR(MATCH(TRIM(LEFT(Tasks[[#This Row],[_Res4Text]],FIND("[",Tasks[[#This Row],[_Res4Text]]&amp;"[")-1)),res_Name,0),IFERROR(MATCH(TRIM(LEFT(Tasks[[#This Row],[_Res4Text]],FIND("[",Tasks[[#This Row],[_Res4Text]]&amp;"[")-1)),res_Initials,0),0)))</f>
        <v>0</v>
      </c>
      <c r="DS167" s="43" t="str">
        <f aca="false">IF(Tasks[[#This Row],[_Res1Text]]="","",IF(Tasks[[#This Row],[_Res1Row]]&gt;0,INDEX(res_Name,Tasks[[#This Row],[_Res1Row]]),TRIM(LEFT(Tasks[[#This Row],[_Res1Text]],FIND("[",Tasks[[#This Row],[_Res1Text]]&amp;"[")-1))))</f>
        <v/>
      </c>
      <c r="DT1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7" s="43" t="n">
        <f aca="false">IF(NOT(Tasks[[#This Row],[_IsLeaf]]=1),0,(Tasks[[#This Row],[_Resource1]]&lt;&gt;"")+(Tasks[[#This Row],[_Res2]]&lt;&gt;"")+(Tasks[[#This Row],[_Res3]]&lt;&gt;"")+(Tasks[[#This Row],[_Res4]]&lt;&gt;""))</f>
        <v>0</v>
      </c>
      <c r="DV167" s="43" t="str">
        <f aca="false">IF(Tasks[[#This Row],[_Res2Text]]="","",IF(Tasks[[#This Row],[_Res2Row]]&gt;0,INDEX(res_Name,Tasks[[#This Row],[_Res2Row]]),TRIM(LEFT(Tasks[[#This Row],[_Res2Text]],FIND("[",Tasks[[#This Row],[_Res2Text]]&amp;"[")-1))))</f>
        <v/>
      </c>
      <c r="DW1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7" s="43" t="n">
        <f aca="false">IF(OR(NOT(Tasks[[#This Row],[_IsLeaf]]=1),Tasks[[#This Row],[_Res2Row]]=0),0,N(Tasks[[#This Row],[_Days]])*HoursPerDay*IF(Tasks[[#This Row],[_Res2Units]]="",DefaultUnits,Tasks[[#This Row],[_Res2Units]]))</f>
        <v>0</v>
      </c>
      <c r="DY167" s="43" t="n">
        <f aca="false">IF(AND(AND(Tasks[[#This Row],[_IsLeaf]]=1,Tasks[[#This Row],[_LeafTotalWork]]&gt;0),Tasks[[#This Row],[_Res2Work]]&gt;0),Tasks[[#This Row],[_Res2Work]]/(Tasks[[#This Row],[_FinishWorkday]]-Tasks[[#This Row],[_StartWorkday]]+1),0)</f>
        <v>0</v>
      </c>
      <c r="DZ167" s="43" t="n">
        <f aca="false">Tasks[[#This Row],[_Res2WorkPerWD]]*MAX(0,Tasks[[#This Row],[_StartWorkday]]-1)</f>
        <v>0</v>
      </c>
      <c r="EA167" s="43" t="n">
        <f aca="false">Tasks[[#This Row],[_Res2Work]]*Tasks[[#This Row],[_LeafProgress]]</f>
        <v>0</v>
      </c>
      <c r="EB167" s="43" t="str">
        <f aca="false">IF(Tasks[[#This Row],[_Res3Text]]="","",IF(Tasks[[#This Row],[_Res3Row]]&gt;0,INDEX(res_Name,Tasks[[#This Row],[_Res3Row]]),TRIM(LEFT(Tasks[[#This Row],[_Res3Text]],FIND("[",Tasks[[#This Row],[_Res3Text]]&amp;"[")-1))))</f>
        <v/>
      </c>
      <c r="EC1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7" s="43" t="n">
        <f aca="false">IF(OR(NOT(Tasks[[#This Row],[_IsLeaf]]=1),Tasks[[#This Row],[_Res3Row]]=0),0,N(Tasks[[#This Row],[_Days]])*HoursPerDay*IF(Tasks[[#This Row],[_Res3Units]]="",DefaultUnits,Tasks[[#This Row],[_Res3Units]]))</f>
        <v>0</v>
      </c>
      <c r="EE167" s="43" t="n">
        <f aca="false">IF(AND(AND(Tasks[[#This Row],[_IsLeaf]]=1,Tasks[[#This Row],[_LeafTotalWork]]&gt;0),Tasks[[#This Row],[_Res3Work]]&gt;0),Tasks[[#This Row],[_Res3Work]]/(Tasks[[#This Row],[_FinishWorkday]]-Tasks[[#This Row],[_StartWorkday]]+1),0)</f>
        <v>0</v>
      </c>
      <c r="EF167" s="43" t="n">
        <f aca="false">Tasks[[#This Row],[_Res3WorkPerWD]]*MAX(0,Tasks[[#This Row],[_StartWorkday]]-1)</f>
        <v>0</v>
      </c>
      <c r="EG167" s="43" t="n">
        <f aca="false">Tasks[[#This Row],[_Res3Work]]*Tasks[[#This Row],[_LeafProgress]]</f>
        <v>0</v>
      </c>
      <c r="EH167" s="43" t="str">
        <f aca="false">IF(Tasks[[#This Row],[_Res4Text]]="","",IF(Tasks[[#This Row],[_Res4Row]]&gt;0,INDEX(res_Name,Tasks[[#This Row],[_Res4Row]]),TRIM(LEFT(Tasks[[#This Row],[_Res4Text]],FIND("[",Tasks[[#This Row],[_Res4Text]]&amp;"[")-1))))</f>
        <v/>
      </c>
      <c r="EI1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7" s="43" t="n">
        <f aca="false">IF(OR(NOT(Tasks[[#This Row],[_IsLeaf]]=1),Tasks[[#This Row],[_Res4Row]]=0),0,N(Tasks[[#This Row],[_Days]])*HoursPerDay*IF(Tasks[[#This Row],[_Res4Units]]="",DefaultUnits,Tasks[[#This Row],[_Res4Units]]))</f>
        <v>0</v>
      </c>
      <c r="EK167" s="43" t="n">
        <f aca="false">IF(AND(AND(Tasks[[#This Row],[_IsLeaf]]=1,Tasks[[#This Row],[_LeafTotalWork]]&gt;0),Tasks[[#This Row],[_Res4Work]]&gt;0),Tasks[[#This Row],[_Res4Work]]/(Tasks[[#This Row],[_FinishWorkday]]-Tasks[[#This Row],[_StartWorkday]]+1),0)</f>
        <v>0</v>
      </c>
      <c r="EL167" s="43" t="n">
        <f aca="false">Tasks[[#This Row],[_Res4WorkPerWD]]*MAX(0,Tasks[[#This Row],[_StartWorkday]]-1)</f>
        <v>0</v>
      </c>
      <c r="EM167" s="43" t="n">
        <f aca="false">Tasks[[#This Row],[_Res4Work]]*Tasks[[#This Row],[_LeafProgress]]</f>
        <v>0</v>
      </c>
      <c r="EN167" s="43" t="n">
        <f aca="false">IF(ISNUMBER(Tasks[[#This Row],[% Complete]]),Tasks[[#This Row],[% Complete]],IF(Tasks[[#This Row],[Stage]]="",0,IFERROR(INDEX(stg_Pct,MATCH(Tasks[[#This Row],[Stage]],stg_Name,0)),0)))</f>
        <v>0</v>
      </c>
      <c r="EO167" s="43" t="n">
        <f aca="false">IF(NOT(Tasks[[#This Row],[_IsLeaf]]=1),0,IF(N(Tasks[[#This Row],[Actual Finish]])&gt;0,1,MIN(1,Tasks[[#This Row],[_Pct]])))</f>
        <v>0</v>
      </c>
      <c r="EP167" s="43" t="n">
        <f aca="false">IF(OR(NOT(Tasks[[#This Row],[_IsLeaf]]=1),Tasks[[#This Row],[_Res1Row]]=0),0,N(Tasks[[#This Row],[_Days]])*HoursPerDay*IF(Tasks[[#This Row],[_Units1]]="",DefaultUnits,Tasks[[#This Row],[_Units1]]))</f>
        <v>0</v>
      </c>
      <c r="EQ167" s="43" t="n">
        <f aca="false">Tasks[[#This Row],[_LeafWork]]+Tasks[[#This Row],[_Res2Work]]+Tasks[[#This Row],[_Res3Work]]+Tasks[[#This Row],[_Res4Work]]</f>
        <v>0</v>
      </c>
      <c r="ER16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7" s="43" t="n">
        <f aca="false">IF(NOT(Tasks[[#This Row],[_IsLeaf]]=1),0,MAX(_xlfn.MAXIFS(Tasks[_Row],Tasks[_Pred1UID],Tasks[[#This Row],[UID]]),_xlfn.MAXIFS(Tasks[_Row],Tasks[_Pred2UID],Tasks[[#This Row],[UID]]),_xlfn.MAXIFS(Tasks[_Row],Tasks[_Pred3UID],Tasks[[#This Row],[UID]]),_xlfn.MAXIFS(Tasks[_Row],Tasks[_Pred4UID],Tasks[[#This Row],[UID]])))</f>
        <v>0</v>
      </c>
      <c r="FA1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7" s="91" t="str">
        <f aca="false">IF(NOT(Tasks[[#This Row],[_IsLeaf]]=1),"",IF(N(Tasks[[#This Row],[_Days]])&lt;=0,Tasks[[#This Row],[_LeafLateFinish]],WORKDAY.INTL(Tasks[[#This Row],[_LeafLateFinish]],-(Tasks[[#This Row],[_Days]]-1),WorkWeek,Holidays)))</f>
        <v/>
      </c>
      <c r="FD1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7" s="90" t="b">
        <f aca="false">AND(Tasks[[#This Row],[_IsLeaf]]=1,Tasks[[#This Row],[_LeafProgress]]&lt;1,N(Tasks[[#This Row],[_LeafTotalSlack]])&lt;=CriticalSlackDays)</f>
        <v>0</v>
      </c>
      <c r="FF167" s="43" t="n">
        <f aca="false">IF(AND(Tasks[[#This Row],[_IsLeaf]]=1,Tasks[[#This Row],[_ConstraintCode]]=1,Tasks[[#This Row],[Mode]]&lt;&gt;"Manual",N(Tasks[[#This Row],[Actual Start]])=0),MAX(0,N(Tasks[[#This Row],[Free Slack]])),0)</f>
        <v>0</v>
      </c>
      <c r="FG167" s="91" t="str">
        <f aca="false">IF(NOT(Tasks[[#This Row],[_IsLeaf]]=1),"",IF(Tasks[[#This Row],[_AlapShift]]=0,Tasks[[#This Row],[_LeafCalcStart]],WORKDAY.INTL(Tasks[[#This Row],[_LeafCalcStart]],Tasks[[#This Row],[_AlapShift]],WorkWeek,Holidays)))</f>
        <v/>
      </c>
      <c r="FH167" s="91" t="str">
        <f aca="false">IF(NOT(Tasks[[#This Row],[_IsLeaf]]=1),"",IF(Tasks[[#This Row],[_AlapShift]]=0,Tasks[[#This Row],[_LeafCalcFinish]],WORKDAY.INTL(Tasks[[#This Row],[_LeafCalcFinish]],Tasks[[#This Row],[_AlapShift]],WorkWeek,Holidays)))</f>
        <v/>
      </c>
      <c r="FI167" s="91" t="str">
        <f aca="false">IF(NOT(Tasks[[#This Row],[_IsLeaf]]=1),"",IF(Tasks[[#This Row],[_AlapShift]]=0,Tasks[[#This Row],[_LeafFcstStart]],WORKDAY.INTL(Tasks[[#This Row],[_LeafFcstStart]],Tasks[[#This Row],[_AlapShift]],WorkWeek,Holidays)))</f>
        <v/>
      </c>
      <c r="FJ167" s="91" t="str">
        <f aca="false">IF(NOT(Tasks[[#This Row],[_IsLeaf]]=1),"",IF(Tasks[[#This Row],[_AlapShift]]=0,Tasks[[#This Row],[_LeafFcstFinish]],WORKDAY.INTL(Tasks[[#This Row],[_LeafFcstFinish]],Tasks[[#This Row],[_AlapShift]],WorkWeek,Holidays)))</f>
        <v/>
      </c>
      <c r="FK167" s="91" t="str">
        <f aca="false">IF(Tasks[[#This Row],[Task Name]]="","",IF(Tasks[[#This Row],[_IsSummary]],MIN(INDEX(Tasks[_ShownCalcStart],Tasks[[#This Row],[_Row]]+1):INDEX(Tasks[_ShownCalcStart],Tasks[[#This Row],[_Row]]+Tasks[[#This Row],[_Descendants]])),Tasks[[#This Row],[_ShownCalcStart]]))</f>
        <v/>
      </c>
      <c r="FL167" s="91" t="str">
        <f aca="false">IF(Tasks[[#This Row],[Task Name]]="","",IF(Tasks[[#This Row],[_IsSummary]],MAX(INDEX(Tasks[_ShownCalcFinish],Tasks[[#This Row],[_Row]]+1):INDEX(Tasks[_ShownCalcFinish],Tasks[[#This Row],[_Row]]+Tasks[[#This Row],[_Descendants]])),Tasks[[#This Row],[_ShownCalcFinish]]))</f>
        <v/>
      </c>
      <c r="FM1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7" s="43" t="n">
        <f aca="false">IF(AND(Tasks[[#This Row],[_IsLeaf]]=1,Tasks[[#This Row],[_LeafTotalWork]]&gt;0),NETWORKDAYS.INTL(ProjectStart,Tasks[[#This Row],[_ShownFcstStart]],WorkWeek,Holidays),0)</f>
        <v>0</v>
      </c>
      <c r="FZ167" s="43" t="n">
        <f aca="false">IF(AND(Tasks[[#This Row],[_IsLeaf]]=1,Tasks[[#This Row],[_LeafTotalWork]]&gt;0),MAX(Tasks[[#This Row],[_StartWorkday]],NETWORKDAYS.INTL(ProjectStart,Tasks[[#This Row],[_ShownFcstFinish]],WorkWeek,Holidays)),0)</f>
        <v>0</v>
      </c>
      <c r="GA167" s="43" t="n">
        <f aca="false">IF(AND(Tasks[[#This Row],[_IsLeaf]]=1,Tasks[[#This Row],[_LeafTotalWork]]&gt;0),Tasks[[#This Row],[_LeafWork]]/(Tasks[[#This Row],[_FinishWorkday]]-Tasks[[#This Row],[_StartWorkday]]+1),0)</f>
        <v>0</v>
      </c>
      <c r="GB167" s="43" t="n">
        <f aca="false">Tasks[[#This Row],[_WorkPerWorkday]]*(Tasks[[#This Row],[_StartWorkday]]-1)</f>
        <v>-0</v>
      </c>
      <c r="GC167" s="43" t="n">
        <f aca="false">IF(Tasks[[#This Row],[_IsLeaf]]=1,MAX(N(Tasks[[#This Row],[_Days]]),0.1),0)</f>
        <v>0</v>
      </c>
      <c r="GD167" s="43" t="n">
        <f aca="false">Tasks[[#This Row],[_WeightDur]]*Tasks[[#This Row],[_LeafProgress]]</f>
        <v>0</v>
      </c>
      <c r="GE167" s="43" t="n">
        <f aca="false">Tasks[[#This Row],[_WeightDur]]*Tasks[[#This Row],[_PlannedPct]]</f>
        <v>0</v>
      </c>
      <c r="GF1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7" s="43" t="str">
        <f aca="false">IF(AND(Tasks[[#This Row],[_IsLeaf]]=1,N(Tasks[[#This Row],[_Days]])=0,Tasks[[#This Row],[_LeafProgress]]&lt;1),Tasks[[#This Row],[_ShownFcstFinish]]+Tasks[[#This Row],[_Row]]/100000,"")</f>
        <v/>
      </c>
      <c r="GH1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7" s="43" t="str">
        <f aca="false">IF(Tasks[[#This Row],[Task Name]]="","",LEFT(Tasks[[#This Row],[WBS]],FIND(".",Tasks[[#This Row],[WBS]]&amp;".")-1))</f>
        <v/>
      </c>
      <c r="GJ167" s="43" t="str">
        <f aca="false">IF(AND(Tasks[[#This Row],[Task Name]]&lt;&gt;"",Tasks[[#This Row],[_Level]]=1),Tasks[[#This Row],[_Row]],"")</f>
        <v/>
      </c>
      <c r="GK167" s="43" t="str">
        <f aca="false">IF(AND(Tasks[[#This Row],[_IsLeaf]]=1,N(Tasks[[#This Row],[_Days]])=0),Tasks[[#This Row],[Planned Finish]]+Tasks[[#This Row],[_Row]]/100000,"")</f>
        <v/>
      </c>
      <c r="GL167" s="43" t="str">
        <f aca="false">IF(AND(Tasks[[#This Row],[_IsLeaf]]=1,Tasks[[#This Row],[_LeafProgress]]&lt;1,OR(N(Tasks[[#This Row],[Finish Var]])&gt;0,Tasks[[#This Row],[Status]]="Late Start")),MAX(0,Tasks[[#This Row],[Finish Var]])+1-Tasks[[#This Row],[_Row]]/1000000,"")</f>
        <v/>
      </c>
      <c r="GM167" s="43" t="str">
        <f aca="false">IF(AND(Tasks[[#This Row],[_IsLeaf]]=1,N(Tasks[[#This Row],[Actual Start]])=0,Tasks[[#This Row],[_ShownFcstStart]]&gt;=StatusDate,Tasks[[#This Row],[_ShownFcstStart]]&lt;=LookaheadEnd),Tasks[[#This Row],[_ShownFcstStart]]+Tasks[[#This Row],[_Row]]/100000,"")</f>
        <v/>
      </c>
      <c r="GN167" s="43" t="str">
        <f aca="false">IF(AND(Tasks[[#This Row],[_IsLeaf]]=1,Tasks[[#This Row],[_LeafProgress]]&lt;1,Tasks[[#This Row],[_ShownFcstFinish]]&gt;=StatusDate,Tasks[[#This Row],[_ShownFcstFinish]]&lt;=LookaheadEnd),Tasks[[#This Row],[_ShownFcstFinish]]+Tasks[[#This Row],[_Row]]/100000,"")</f>
        <v/>
      </c>
      <c r="GO167" s="43" t="str">
        <f aca="false">IF(Tasks[[#This Row],[_LeafCritical]],Tasks[[#This Row],[_ShownFcstStart]]+Tasks[[#This Row],[_Row]]/100000,"")</f>
        <v/>
      </c>
      <c r="GP167" s="43" t="n">
        <f aca="false">Tasks[[#This Row],[_LeafWork]]*Tasks[[#This Row],[_LeafProgress]]</f>
        <v>0</v>
      </c>
      <c r="GQ167" s="91" t="str">
        <f aca="false">IF(AND(Tasks[[#This Row],[_IsLeaf]]=1,Tasks[[#This Row],[_LeafProgress]]&gt;=1),IF(N(Tasks[[#This Row],[Actual Finish]])&gt;0,Tasks[[#This Row],[Actual Finish]],Tasks[[#This Row],[_ShownFcstFinish]]),"")</f>
        <v/>
      </c>
      <c r="GR167" s="43" t="n">
        <f aca="false">IF(Tasks[[#This Row],[_IsLeaf]]=1,N(Tasks[[#This Row],[Story Points]]),0)</f>
        <v>0</v>
      </c>
      <c r="GS167" s="43" t="str">
        <f aca="false">""</f>
        <v/>
      </c>
      <c r="GT167" s="90" t="b">
        <f aca="false">IF(Tasks[[#This Row],[Task Name]]="",FALSE(),AND(Tasks[[#This Row],[_IsLeaf]]=1,N(Tasks[[#This Row],[_Days]])=0))</f>
        <v>0</v>
      </c>
      <c r="GU167" s="91" t="n">
        <f aca="false">IF(Tasks[[#This Row],[Task Name]]="",0,IF(AND(Tasks[[#This Row],[_IsLeaf]]=1,NOT(Tasks[[#This Row],[_IsMilestone]]),N(Tasks[[#This Row],[Progress]])&gt;0),Tasks[[#This Row],[Start]],0))</f>
        <v>0</v>
      </c>
      <c r="GV167" s="91" t="n">
        <f aca="false">IF(Tasks[[#This Row],[_DoneFrom]]=0,0,IF(Tasks[[#This Row],[Progress]]&gt;=1,Tasks[[#This Row],[Finish]],MAX(Tasks[[#This Row],[_DoneFrom]],Tasks[[#This Row],[Start]]+ROUND((Tasks[[#This Row],[Finish]]-Tasks[[#This Row],[Start]]+1)*Tasks[[#This Row],[Progress]],0)-1)))</f>
        <v>0</v>
      </c>
      <c r="GW167" s="91" t="n">
        <f aca="false">IF(Tasks[[#This Row],[Task Name]]="",0,IF(OR(NOT(Tasks[[#This Row],[_IsLeaf]]=1),Tasks[[#This Row],[_IsMilestone]],N(Tasks[[#This Row],[Progress]])&gt;=1),0,IF(Tasks[[#This Row],[_DoneTo]]&gt;0,Tasks[[#This Row],[_DoneTo]]+1,Tasks[[#This Row],[Start]])))</f>
        <v>0</v>
      </c>
      <c r="GX167" s="91" t="n">
        <f aca="false">IF(Tasks[[#This Row],[_RemFrom]]=0,0,Tasks[[#This Row],[Finish]])</f>
        <v>0</v>
      </c>
      <c r="GY167" s="90" t="b">
        <f aca="false">IF(Tasks[[#This Row],[Task Name]]="",FALSE(),OR(NOT(BaselineSet),N(Tasks[[#This Row],[Baseline Start]])&gt;0))</f>
        <v>0</v>
      </c>
      <c r="GZ16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7" s="92" t="str">
        <f aca="false">IF(Tasks[[#This Row],[_IsLeaf]]=1,Tasks[[#This Row],[_Row]],"")</f>
        <v/>
      </c>
      <c r="HD167" s="92" t="str">
        <f aca="false">IFERROR(INDEX(Tasks[UID],SMALL(Tasks[_PickKey],Tasks[[#This Row],[_Row]]))&amp;" "&amp;INDEX(Tasks[Task Name],SMALL(Tasks[_PickKey],Tasks[[#This Row],[_Row]])),"")</f>
        <v/>
      </c>
      <c r="HE167" s="43" t="str">
        <f aca="false">IF(Tasks[[#This Row],[Task Name]]="","",IF(Tasks[[#This Row],[_IsSummary]],NETWORKDAYS.INTL(Tasks[[#This Row],[Start]],Tasks[[#This Row],[Finish]],WorkWeek,Holidays),N(Tasks[[#This Row],[_Days]])))</f>
        <v/>
      </c>
      <c r="HF167" s="43" t="n">
        <f aca="false">IF(Tasks[[#This Row],[Expected]]="",0,((Tasks[[#This Row],[Pessimistic]]-Tasks[[#This Row],[Optimistic]])/6)^2)</f>
        <v>0</v>
      </c>
      <c r="HG167" s="43" t="n">
        <f aca="false">IF(Tasks[[#This Row],[Expected]]="",0,Tasks[[#This Row],[Expected]]-N(Tasks[[#This Row],[_Days]]))</f>
        <v>0</v>
      </c>
    </row>
    <row r="168" customFormat="false" ht="15" hidden="false" customHeight="false" outlineLevel="0" collapsed="false">
      <c r="A168" s="21" t="str">
        <f aca="false">IF(Tasks[[#This Row],[Task Name]]="","",COUNTA(Tasks[[#Headers],[Task Name]]:Tasks[[#This Row],[Task Name]])-1)</f>
        <v/>
      </c>
      <c r="B168" s="22" t="n">
        <v>176</v>
      </c>
      <c r="C168" s="22"/>
      <c r="D168" s="23"/>
      <c r="E168" s="22"/>
      <c r="F168" s="23"/>
      <c r="G168" s="22"/>
      <c r="H168" s="22"/>
      <c r="I168" s="23"/>
      <c r="J168" s="22"/>
      <c r="K168" s="22"/>
      <c r="L168" s="23"/>
      <c r="M168" s="22"/>
      <c r="N168" s="22"/>
      <c r="O168" s="23"/>
      <c r="P168" s="22"/>
      <c r="Q168" s="22"/>
      <c r="R168" s="23"/>
      <c r="S168" s="23"/>
      <c r="T168" s="84"/>
      <c r="U168" s="23"/>
      <c r="V168" s="84"/>
      <c r="W168" s="23"/>
      <c r="X168" s="84"/>
      <c r="Y168" s="23"/>
      <c r="Z168" s="84"/>
      <c r="AA168" s="23"/>
      <c r="AB168" s="23"/>
      <c r="AC168" s="7"/>
      <c r="AD168" s="7"/>
      <c r="AE168" s="63" t="str">
        <f aca="false">IF(Tasks[[#This Row],[Task Name]]="","",IF(Tasks[[#This Row],[_IsSummary]],MIN(INDEX(Tasks[_ShownFcstStart],Tasks[[#This Row],[_Row]]+1):INDEX(Tasks[_ShownFcstStart],Tasks[[#This Row],[_Row]]+Tasks[[#This Row],[_Descendants]])),Tasks[[#This Row],[_ShownFcstStart]]))</f>
        <v/>
      </c>
      <c r="AF168" s="63" t="str">
        <f aca="false">IF(Tasks[[#This Row],[Task Name]]="","",IF(Tasks[[#This Row],[_IsSummary]],MAX(INDEX(Tasks[_ShownFcstFinish],Tasks[[#This Row],[_Row]]+1):INDEX(Tasks[_ShownFcstFinish],Tasks[[#This Row],[_Row]]+Tasks[[#This Row],[_Descendants]])),Tasks[[#This Row],[_ShownFcstFinish]]))</f>
        <v/>
      </c>
      <c r="AG168" s="21" t="str">
        <f aca="false">""</f>
        <v/>
      </c>
      <c r="AH168" s="23"/>
      <c r="AI1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8" s="7"/>
      <c r="AK168" s="22"/>
      <c r="AL168" s="23"/>
      <c r="AM168" s="7"/>
      <c r="AN168" s="47" t="str">
        <f aca="false">IF(Tasks[[#This Row],[Task Name]]="","",IF(Tasks[[#This Row],[Finish]]&gt;=Tasks[[#This Row],[Planned Finish]],NETWORKDAYS.INTL(Tasks[[#This Row],[Planned Finish]],Tasks[[#This Row],[Finish]],WorkWeek,Holidays)-1,1-NETWORKDAYS.INTL(Tasks[[#This Row],[Finish]],Tasks[[#This Row],[Planned Finish]],WorkWeek,Holidays)))</f>
        <v/>
      </c>
      <c r="AO168" s="21" t="str">
        <f aca="false">IF(Tasks[[#This Row],[Task Name]]="","",IF(Tasks[[#This Row],[Progress]]&gt;=1,"Complete",IF(OR(N(Tasks[[#This Row],[Actual Start]])&gt;0,Tasks[[#This Row],[Progress]]&gt;0),IF(Tasks[[#This Row],[Finish Var]]&gt;0,"Behind","In Progress"),IF(Tasks[[#This Row],[Planned Start]]&lt;StatusDate,"Late Start","Not Started"))))</f>
        <v/>
      </c>
      <c r="AP168" s="21" t="str">
        <f aca="false">IF(Tasks[[#This Row],[Task Name]]="","",IF(IF(Tasks[[#This Row],[_IsSummary]],COUNTIF(INDEX(Tasks[_LeafCritical],Tasks[[#This Row],[_Row]]+1):INDEX(Tasks[_LeafCritical],Tasks[[#This Row],[_Row]]+Tasks[[#This Row],[_Descendants]]),TRUE())&gt;0,Tasks[[#This Row],[_LeafCritical]]),"Yes",""))</f>
        <v/>
      </c>
      <c r="AQ168" s="63" t="str">
        <f aca="false">IF(Tasks[[#This Row],[Task Name]]="","",IF(N(Tasks[[#This Row],[Baseline Start]])&gt;0,Tasks[[#This Row],[Baseline Start]],Tasks[[#This Row],[_CalcStart]]))</f>
        <v/>
      </c>
      <c r="AR168" s="63" t="str">
        <f aca="false">IF(Tasks[[#This Row],[Task Name]]="","",IF(N(Tasks[[#This Row],[Baseline Finish]])&gt;0,Tasks[[#This Row],[Baseline Finish]],Tasks[[#This Row],[_CalcFinish]]))</f>
        <v/>
      </c>
      <c r="AS168" s="47" t="str">
        <f aca="false">IF(Tasks[[#This Row],[Task Name]]="","",IF(Tasks[[#This Row],[Start]]&gt;=Tasks[[#This Row],[Planned Start]],NETWORKDAYS.INTL(Tasks[[#This Row],[Planned Start]],Tasks[[#This Row],[Start]],WorkWeek,Holidays)-1,1-NETWORKDAYS.INTL(Tasks[[#This Row],[Start]],Tasks[[#This Row],[Planned Start]],WorkWeek,Holidays)))</f>
        <v/>
      </c>
      <c r="AT168" s="63" t="str">
        <f aca="false">IF(Tasks[[#This Row],[Task Name]]="","",IF(Tasks[[#This Row],[_IsSummary]],MIN(INDEX(Tasks[_LeafLateStart],Tasks[[#This Row],[_Row]]+1):INDEX(Tasks[_LeafLateStart],Tasks[[#This Row],[_Row]]+Tasks[[#This Row],[_Descendants]])),Tasks[[#This Row],[_LeafLateStart]]))</f>
        <v/>
      </c>
      <c r="AU168" s="63" t="str">
        <f aca="false">IF(Tasks[[#This Row],[Task Name]]="","",IF(Tasks[[#This Row],[_IsSummary]],MAX(INDEX(Tasks[_LeafLateFinish],Tasks[[#This Row],[_Row]]+1):INDEX(Tasks[_LeafLateFinish],Tasks[[#This Row],[_Row]]+Tasks[[#This Row],[_Descendants]])),Tasks[[#This Row],[_LeafLateFinish]]))</f>
        <v/>
      </c>
      <c r="AV168" s="47" t="str">
        <f aca="false">IF(Tasks[[#This Row],[Task Name]]="","",IF(Tasks[[#This Row],[_IsSummary]],MIN(INDEX(Tasks[_LeafTotalSlack],Tasks[[#This Row],[_Row]]+1):INDEX(Tasks[_LeafTotalSlack],Tasks[[#This Row],[_Row]]+Tasks[[#This Row],[_Descendants]])),Tasks[[#This Row],[_LeafTotalSlack]]))</f>
        <v/>
      </c>
      <c r="AW1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5"/>
      <c r="BA16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t="str">
        <f aca="false">IF(Tasks[[#This Row],[Task Name]]="","",IF(Tasks[[#This Row],[_Level]]&lt;=OutlineShowLevel,"Yes","No"))</f>
        <v/>
      </c>
      <c r="BE168" s="86" t="str">
        <f aca="false">IF(Tasks[[#This Row],[Task Name]]="","",IF(Tasks[[#This Row],[_IsSummary]],SUM(INDEX(Tasks[_LeafTotalWork],Tasks[[#This Row],[_Row]]+1):INDEX(Tasks[_LeafTotalWork],Tasks[[#This Row],[_Row]]+Tasks[[#This Row],[_Descendants]])),Tasks[[#This Row],[_LeafTotalWork]]))</f>
        <v/>
      </c>
      <c r="BF168" s="23"/>
      <c r="BG1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t="str">
        <f aca="false">""</f>
        <v/>
      </c>
      <c r="BI168" s="87"/>
      <c r="BJ168" s="22"/>
      <c r="BK168" s="47" t="str">
        <f aca="false">IF(OR(Tasks[[#This Row],[Task Name]]="",Tasks[[#This Row],[Baseline Duration]]=""),"",Tasks[[#This Row],[_SpanDays]]-N(Tasks[[#This Row],[Baseline Duration]]))</f>
        <v/>
      </c>
      <c r="BL168" s="86" t="str">
        <f aca="false">IF(OR(Tasks[[#This Row],[Task Name]]="",Tasks[[#This Row],[Baseline Work]]=""),"",Tasks[[#This Row],[Work]]-N(Tasks[[#This Row],[Baseline Work]]))</f>
        <v/>
      </c>
      <c r="BM168" s="63" t="str">
        <f aca="false">IF(Tasks[[#This Row],[Task Name]]="","",IF(OR(TakeBaseline="Yes",N(Tasks[[#This Row],[Baseline Start]])=0),Tasks[[#This Row],[Start]],Tasks[[#This Row],[Baseline Start]]))</f>
        <v/>
      </c>
      <c r="BN168" s="63" t="str">
        <f aca="false">IF(Tasks[[#This Row],[Task Name]]="","",IF(OR(TakeBaseline="Yes",N(Tasks[[#This Row],[Baseline Finish]])=0),Tasks[[#This Row],[Finish]],Tasks[[#This Row],[Baseline Finish]]))</f>
        <v/>
      </c>
      <c r="BO168" s="21" t="str">
        <f aca="false">IF(Tasks[[#This Row],[Task Name]]="","",IF(OR(TakeBaseline="Yes",N(Tasks[[#This Row],[Baseline Duration]])=0),Tasks[[#This Row],[_SpanDays]],Tasks[[#This Row],[Baseline Duration]]))</f>
        <v/>
      </c>
      <c r="BP168" s="86" t="str">
        <f aca="false">IF(Tasks[[#This Row],[Task Name]]="","",IF(OR(TakeBaseline="Yes",N(Tasks[[#This Row],[Baseline Work]])=0),Tasks[[#This Row],[Work]],Tasks[[#This Row],[Baseline Work]]))</f>
        <v/>
      </c>
      <c r="BQ168" s="7"/>
      <c r="BR168" s="7"/>
      <c r="BS168" s="22"/>
      <c r="BT168" s="88"/>
      <c r="BU168" s="23"/>
      <c r="BV168" s="23"/>
      <c r="BW168" s="23"/>
      <c r="BX168" s="89" t="str">
        <f aca="false">IF(AND(Tasks[[#This Row],[_IsLeaf]]=1,ISNUMBER(Tasks[[#This Row],[Optimistic]]),ISNUMBER(Tasks[[#This Row],[Pessimistic]])),ROUND((Tasks[[#This Row],[Optimistic]]+4*N(Tasks[[#This Row],[_Days]])+Tasks[[#This Row],[Pessimistic]])/6,1),"")</f>
        <v/>
      </c>
      <c r="BY168" s="87"/>
      <c r="BZ168" s="87"/>
      <c r="CA168" s="22"/>
      <c r="CB168" s="43" t="str">
        <f aca="false">IF(Tasks[[#This Row],[Task Name]]="","",MAX(1,N(Tasks[[#This Row],[Level]])))</f>
        <v/>
      </c>
      <c r="CC168" s="43" t="n">
        <f aca="false">ROW()-ROW(Tasks[[#Headers],[ID]])</f>
        <v>163</v>
      </c>
      <c r="CD168" s="43" t="n">
        <f aca="false">IF(OR(Tasks[[#This Row],[Task Name]]="",Tasks[[#This Row],[_Level]]&lt;=1),0,IFERROR(LOOKUP(2,1/(Tasks[[#Headers],[_Level]]:Tasks[[#This Row],[_Level]]=Tasks[[#This Row],[_Level]]-1),ROW(Tasks[[#Headers],[_Level]]:Tasks[[#This Row],[_Level]])),0))</f>
        <v>0</v>
      </c>
      <c r="CE168" s="43" t="n">
        <f aca="false">IFERROR(N(INDEX(Tasks[_Level],Tasks[[#This Row],[_Row]]+1)),0)</f>
        <v>0</v>
      </c>
      <c r="CF168" s="90" t="b">
        <f aca="false">AND(Tasks[[#This Row],[Task Name]]&lt;&gt;"",Tasks[[#This Row],[_NextLevel]]&gt;Tasks[[#This Row],[_Level]])</f>
        <v>0</v>
      </c>
      <c r="CG168" s="43" t="n">
        <f aca="false">IF(Tasks[[#This Row],[_IsSummary]],COUNTIF(Tasks[WBS],Tasks[[#This Row],[WBS]]&amp;".*"),0)</f>
        <v>0</v>
      </c>
      <c r="CH168" s="43" t="n">
        <f aca="false">IF(AND(Tasks[[#This Row],[Task Name]]&lt;&gt;"",NOT(Tasks[[#This Row],[_IsSummary]])),1,0)</f>
        <v>0</v>
      </c>
      <c r="CI168" s="43" t="n">
        <f aca="false">IF(N(Tasks[[#This Row],[_Pred1UID]])=0,0,IFERROR(MATCH(Tasks[[#This Row],[_Pred1UID]],Tasks[UID],0),-1))</f>
        <v>0</v>
      </c>
      <c r="CJ168" s="43" t="n">
        <f aca="false">IF(N(Tasks[[#This Row],[_Pred2UID]])=0,0,IFERROR(MATCH(Tasks[[#This Row],[_Pred2UID]],Tasks[UID],0),-1))</f>
        <v>0</v>
      </c>
      <c r="CK168" s="43" t="n">
        <f aca="false">IF(N(Tasks[[#This Row],[_Pred3UID]])=0,0,IFERROR(MATCH(Tasks[[#This Row],[_Pred3UID]],Tasks[UID],0),-1))</f>
        <v>0</v>
      </c>
      <c r="CL168" s="43" t="n">
        <f aca="false">IF(N(Tasks[[#This Row],[_Pred4UID]])=0,0,IFERROR(MATCH(Tasks[[#This Row],[_Pred4UID]],Tasks[UID],0),-1))</f>
        <v>0</v>
      </c>
      <c r="CM1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8" s="91" t="n">
        <f aca="false">IF(OR(Tasks[[#This Row],[_ConstraintCode]]=2,Tasks[[#This Row],[_ConstraintCode]]=3,Tasks[[#This Row],[_ConstraintCode]]=4,Tasks[[#This Row],[_ConstraintCode]]=6),Tasks[[#This Row],[_ConstraintStart]],0)</f>
        <v>0</v>
      </c>
      <c r="CP168" s="91" t="n">
        <f aca="false">IF(OR(Tasks[[#This Row],[_ConstraintCode]]=2,Tasks[[#This Row],[_ConstraintCode]]=3,Tasks[[#This Row],[_ConstraintCode]]=5,Tasks[[#This Row],[_ConstraintCode]]=7),Tasks[[#This Row],[_ConstraintStart]],2958465)</f>
        <v>2958465</v>
      </c>
      <c r="CQ1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8" s="91" t="str">
        <f aca="false">IF(NOT(Tasks[[#This Row],[_IsLeaf]]=1),"",IF(N(Tasks[[#This Row],[_Days]])&lt;=0,Tasks[[#This Row],[_LeafCalcStart]],WORKDAY.INTL(Tasks[[#This Row],[_LeafCalcStart]],Tasks[[#This Row],[_Days]]-1,WorkWeek,Holidays)))</f>
        <v/>
      </c>
      <c r="CS1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8" s="43" t="str">
        <f aca="false">IF(Tasks[[#This Row],[_Predecessors]]="","",TRIM(MID(SUBSTITUTE(SUBSTITUTE(SUBSTITUTE(UPPER(Tasks[[#This Row],[_Predecessors]]),";",",")," ",""),",",REPT(" ",99)),1,99)))</f>
        <v/>
      </c>
      <c r="CV168" s="43" t="str">
        <f aca="false">IF(Tasks[[#This Row],[_Pred1Text]]="","",IFERROR(VALUE(LEFT(Tasks[[#This Row],[_Pred1Text]],MIN(FIND("F",Tasks[[#This Row],[_Pred1Text]]&amp;"F"),FIND("S",Tasks[[#This Row],[_Pred1Text]]&amp;"S"),FIND("+",Tasks[[#This Row],[_Pred1Text]]&amp;"+"),FIND("-",Tasks[[#This Row],[_Pred1Text]]&amp;"-"))-1)),""))</f>
        <v/>
      </c>
      <c r="CW1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8" s="43" t="str">
        <f aca="false">IF(Tasks[[#This Row],[_Pred1Text]]="","",TRIM(MID(SUBSTITUTE(SUBSTITUTE(SUBSTITUTE(UPPER(Tasks[[#This Row],[_Predecessors]]),";",",")," ",""),",",REPT(" ",99)),100,99)))</f>
        <v/>
      </c>
      <c r="CZ168" s="43" t="str">
        <f aca="false">IF(Tasks[[#This Row],[_Pred2Text]]="","",IFERROR(VALUE(LEFT(Tasks[[#This Row],[_Pred2Text]],MIN(FIND("F",Tasks[[#This Row],[_Pred2Text]]&amp;"F"),FIND("S",Tasks[[#This Row],[_Pred2Text]]&amp;"S"),FIND("+",Tasks[[#This Row],[_Pred2Text]]&amp;"+"),FIND("-",Tasks[[#This Row],[_Pred2Text]]&amp;"-"))-1)),""))</f>
        <v/>
      </c>
      <c r="DA1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8" s="43" t="str">
        <f aca="false">IF(Tasks[[#This Row],[_Pred2Text]]="","",TRIM(MID(SUBSTITUTE(SUBSTITUTE(SUBSTITUTE(UPPER(Tasks[[#This Row],[_Predecessors]]),";",",")," ",""),",",REPT(" ",99)),199,99)))</f>
        <v/>
      </c>
      <c r="DD168" s="43" t="str">
        <f aca="false">IF(Tasks[[#This Row],[_Pred3Text]]="","",IFERROR(VALUE(LEFT(Tasks[[#This Row],[_Pred3Text]],MIN(FIND("F",Tasks[[#This Row],[_Pred3Text]]&amp;"F"),FIND("S",Tasks[[#This Row],[_Pred3Text]]&amp;"S"),FIND("+",Tasks[[#This Row],[_Pred3Text]]&amp;"+"),FIND("-",Tasks[[#This Row],[_Pred3Text]]&amp;"-"))-1)),""))</f>
        <v/>
      </c>
      <c r="DE1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8" s="43" t="str">
        <f aca="false">IF(Tasks[[#This Row],[_Pred3Text]]="","",TRIM(MID(SUBSTITUTE(SUBSTITUTE(SUBSTITUTE(UPPER(Tasks[[#This Row],[_Predecessors]]),";",",")," ",""),",",REPT(" ",99)),298,99)))</f>
        <v/>
      </c>
      <c r="DH168" s="43" t="str">
        <f aca="false">IF(Tasks[[#This Row],[_Pred4Text]]="","",IFERROR(VALUE(LEFT(Tasks[[#This Row],[_Pred4Text]],MIN(FIND("F",Tasks[[#This Row],[_Pred4Text]]&amp;"F"),FIND("S",Tasks[[#This Row],[_Pred4Text]]&amp;"S"),FIND("+",Tasks[[#This Row],[_Pred4Text]]&amp;"+"),FIND("-",Tasks[[#This Row],[_Pred4Text]]&amp;"-"))-1)),""))</f>
        <v/>
      </c>
      <c r="DI1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8" s="43" t="str">
        <f aca="false">IF(OR(Tasks[[#This Row],[Task Name]]="",Tasks[[#This Row],[_Resources]]=""),"",TRIM(MID(SUBSTITUTE(Tasks[[#This Row],[_Resources]],",",REPT(" ",99)),1,99)))</f>
        <v/>
      </c>
      <c r="DL168" s="43" t="str">
        <f aca="false">IF(Tasks[[#This Row],[_Res1Text]]="","",TRIM(MID(SUBSTITUTE(Tasks[[#This Row],[_Resources]],",",REPT(" ",99)),100,99)))</f>
        <v/>
      </c>
      <c r="DM168" s="43" t="str">
        <f aca="false">IF(Tasks[[#This Row],[_Res2Text]]="","",TRIM(MID(SUBSTITUTE(Tasks[[#This Row],[_Resources]],",",REPT(" ",99)),199,99)))</f>
        <v/>
      </c>
      <c r="DN168" s="43" t="str">
        <f aca="false">IF(Tasks[[#This Row],[_Res3Text]]="","",TRIM(MID(SUBSTITUTE(Tasks[[#This Row],[_Resources]],",",REPT(" ",99)),298,99)))</f>
        <v/>
      </c>
      <c r="DO168" s="43" t="n">
        <f aca="false">IF(Tasks[[#This Row],[_Res1Text]]="",0,IFERROR(MATCH(TRIM(LEFT(Tasks[[#This Row],[_Res1Text]],FIND("[",Tasks[[#This Row],[_Res1Text]]&amp;"[")-1)),res_Name,0),IFERROR(MATCH(TRIM(LEFT(Tasks[[#This Row],[_Res1Text]],FIND("[",Tasks[[#This Row],[_Res1Text]]&amp;"[")-1)),res_Initials,0),0)))</f>
        <v>0</v>
      </c>
      <c r="DP168" s="43" t="n">
        <f aca="false">IF(Tasks[[#This Row],[_Res2Text]]="",0,IFERROR(MATCH(TRIM(LEFT(Tasks[[#This Row],[_Res2Text]],FIND("[",Tasks[[#This Row],[_Res2Text]]&amp;"[")-1)),res_Name,0),IFERROR(MATCH(TRIM(LEFT(Tasks[[#This Row],[_Res2Text]],FIND("[",Tasks[[#This Row],[_Res2Text]]&amp;"[")-1)),res_Initials,0),0)))</f>
        <v>0</v>
      </c>
      <c r="DQ168" s="43" t="n">
        <f aca="false">IF(Tasks[[#This Row],[_Res3Text]]="",0,IFERROR(MATCH(TRIM(LEFT(Tasks[[#This Row],[_Res3Text]],FIND("[",Tasks[[#This Row],[_Res3Text]]&amp;"[")-1)),res_Name,0),IFERROR(MATCH(TRIM(LEFT(Tasks[[#This Row],[_Res3Text]],FIND("[",Tasks[[#This Row],[_Res3Text]]&amp;"[")-1)),res_Initials,0),0)))</f>
        <v>0</v>
      </c>
      <c r="DR168" s="43" t="n">
        <f aca="false">IF(Tasks[[#This Row],[_Res4Text]]="",0,IFERROR(MATCH(TRIM(LEFT(Tasks[[#This Row],[_Res4Text]],FIND("[",Tasks[[#This Row],[_Res4Text]]&amp;"[")-1)),res_Name,0),IFERROR(MATCH(TRIM(LEFT(Tasks[[#This Row],[_Res4Text]],FIND("[",Tasks[[#This Row],[_Res4Text]]&amp;"[")-1)),res_Initials,0),0)))</f>
        <v>0</v>
      </c>
      <c r="DS168" s="43" t="str">
        <f aca="false">IF(Tasks[[#This Row],[_Res1Text]]="","",IF(Tasks[[#This Row],[_Res1Row]]&gt;0,INDEX(res_Name,Tasks[[#This Row],[_Res1Row]]),TRIM(LEFT(Tasks[[#This Row],[_Res1Text]],FIND("[",Tasks[[#This Row],[_Res1Text]]&amp;"[")-1))))</f>
        <v/>
      </c>
      <c r="DT1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8" s="43" t="n">
        <f aca="false">IF(NOT(Tasks[[#This Row],[_IsLeaf]]=1),0,(Tasks[[#This Row],[_Resource1]]&lt;&gt;"")+(Tasks[[#This Row],[_Res2]]&lt;&gt;"")+(Tasks[[#This Row],[_Res3]]&lt;&gt;"")+(Tasks[[#This Row],[_Res4]]&lt;&gt;""))</f>
        <v>0</v>
      </c>
      <c r="DV168" s="43" t="str">
        <f aca="false">IF(Tasks[[#This Row],[_Res2Text]]="","",IF(Tasks[[#This Row],[_Res2Row]]&gt;0,INDEX(res_Name,Tasks[[#This Row],[_Res2Row]]),TRIM(LEFT(Tasks[[#This Row],[_Res2Text]],FIND("[",Tasks[[#This Row],[_Res2Text]]&amp;"[")-1))))</f>
        <v/>
      </c>
      <c r="DW1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8" s="43" t="n">
        <f aca="false">IF(OR(NOT(Tasks[[#This Row],[_IsLeaf]]=1),Tasks[[#This Row],[_Res2Row]]=0),0,N(Tasks[[#This Row],[_Days]])*HoursPerDay*IF(Tasks[[#This Row],[_Res2Units]]="",DefaultUnits,Tasks[[#This Row],[_Res2Units]]))</f>
        <v>0</v>
      </c>
      <c r="DY168" s="43" t="n">
        <f aca="false">IF(AND(AND(Tasks[[#This Row],[_IsLeaf]]=1,Tasks[[#This Row],[_LeafTotalWork]]&gt;0),Tasks[[#This Row],[_Res2Work]]&gt;0),Tasks[[#This Row],[_Res2Work]]/(Tasks[[#This Row],[_FinishWorkday]]-Tasks[[#This Row],[_StartWorkday]]+1),0)</f>
        <v>0</v>
      </c>
      <c r="DZ168" s="43" t="n">
        <f aca="false">Tasks[[#This Row],[_Res2WorkPerWD]]*MAX(0,Tasks[[#This Row],[_StartWorkday]]-1)</f>
        <v>0</v>
      </c>
      <c r="EA168" s="43" t="n">
        <f aca="false">Tasks[[#This Row],[_Res2Work]]*Tasks[[#This Row],[_LeafProgress]]</f>
        <v>0</v>
      </c>
      <c r="EB168" s="43" t="str">
        <f aca="false">IF(Tasks[[#This Row],[_Res3Text]]="","",IF(Tasks[[#This Row],[_Res3Row]]&gt;0,INDEX(res_Name,Tasks[[#This Row],[_Res3Row]]),TRIM(LEFT(Tasks[[#This Row],[_Res3Text]],FIND("[",Tasks[[#This Row],[_Res3Text]]&amp;"[")-1))))</f>
        <v/>
      </c>
      <c r="EC1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8" s="43" t="n">
        <f aca="false">IF(OR(NOT(Tasks[[#This Row],[_IsLeaf]]=1),Tasks[[#This Row],[_Res3Row]]=0),0,N(Tasks[[#This Row],[_Days]])*HoursPerDay*IF(Tasks[[#This Row],[_Res3Units]]="",DefaultUnits,Tasks[[#This Row],[_Res3Units]]))</f>
        <v>0</v>
      </c>
      <c r="EE168" s="43" t="n">
        <f aca="false">IF(AND(AND(Tasks[[#This Row],[_IsLeaf]]=1,Tasks[[#This Row],[_LeafTotalWork]]&gt;0),Tasks[[#This Row],[_Res3Work]]&gt;0),Tasks[[#This Row],[_Res3Work]]/(Tasks[[#This Row],[_FinishWorkday]]-Tasks[[#This Row],[_StartWorkday]]+1),0)</f>
        <v>0</v>
      </c>
      <c r="EF168" s="43" t="n">
        <f aca="false">Tasks[[#This Row],[_Res3WorkPerWD]]*MAX(0,Tasks[[#This Row],[_StartWorkday]]-1)</f>
        <v>0</v>
      </c>
      <c r="EG168" s="43" t="n">
        <f aca="false">Tasks[[#This Row],[_Res3Work]]*Tasks[[#This Row],[_LeafProgress]]</f>
        <v>0</v>
      </c>
      <c r="EH168" s="43" t="str">
        <f aca="false">IF(Tasks[[#This Row],[_Res4Text]]="","",IF(Tasks[[#This Row],[_Res4Row]]&gt;0,INDEX(res_Name,Tasks[[#This Row],[_Res4Row]]),TRIM(LEFT(Tasks[[#This Row],[_Res4Text]],FIND("[",Tasks[[#This Row],[_Res4Text]]&amp;"[")-1))))</f>
        <v/>
      </c>
      <c r="EI1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8" s="43" t="n">
        <f aca="false">IF(OR(NOT(Tasks[[#This Row],[_IsLeaf]]=1),Tasks[[#This Row],[_Res4Row]]=0),0,N(Tasks[[#This Row],[_Days]])*HoursPerDay*IF(Tasks[[#This Row],[_Res4Units]]="",DefaultUnits,Tasks[[#This Row],[_Res4Units]]))</f>
        <v>0</v>
      </c>
      <c r="EK168" s="43" t="n">
        <f aca="false">IF(AND(AND(Tasks[[#This Row],[_IsLeaf]]=1,Tasks[[#This Row],[_LeafTotalWork]]&gt;0),Tasks[[#This Row],[_Res4Work]]&gt;0),Tasks[[#This Row],[_Res4Work]]/(Tasks[[#This Row],[_FinishWorkday]]-Tasks[[#This Row],[_StartWorkday]]+1),0)</f>
        <v>0</v>
      </c>
      <c r="EL168" s="43" t="n">
        <f aca="false">Tasks[[#This Row],[_Res4WorkPerWD]]*MAX(0,Tasks[[#This Row],[_StartWorkday]]-1)</f>
        <v>0</v>
      </c>
      <c r="EM168" s="43" t="n">
        <f aca="false">Tasks[[#This Row],[_Res4Work]]*Tasks[[#This Row],[_LeafProgress]]</f>
        <v>0</v>
      </c>
      <c r="EN168" s="43" t="n">
        <f aca="false">IF(ISNUMBER(Tasks[[#This Row],[% Complete]]),Tasks[[#This Row],[% Complete]],IF(Tasks[[#This Row],[Stage]]="",0,IFERROR(INDEX(stg_Pct,MATCH(Tasks[[#This Row],[Stage]],stg_Name,0)),0)))</f>
        <v>0</v>
      </c>
      <c r="EO168" s="43" t="n">
        <f aca="false">IF(NOT(Tasks[[#This Row],[_IsLeaf]]=1),0,IF(N(Tasks[[#This Row],[Actual Finish]])&gt;0,1,MIN(1,Tasks[[#This Row],[_Pct]])))</f>
        <v>0</v>
      </c>
      <c r="EP168" s="43" t="n">
        <f aca="false">IF(OR(NOT(Tasks[[#This Row],[_IsLeaf]]=1),Tasks[[#This Row],[_Res1Row]]=0),0,N(Tasks[[#This Row],[_Days]])*HoursPerDay*IF(Tasks[[#This Row],[_Units1]]="",DefaultUnits,Tasks[[#This Row],[_Units1]]))</f>
        <v>0</v>
      </c>
      <c r="EQ168" s="43" t="n">
        <f aca="false">Tasks[[#This Row],[_LeafWork]]+Tasks[[#This Row],[_Res2Work]]+Tasks[[#This Row],[_Res3Work]]+Tasks[[#This Row],[_Res4Work]]</f>
        <v>0</v>
      </c>
      <c r="ER16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8" s="43" t="n">
        <f aca="false">IF(NOT(Tasks[[#This Row],[_IsLeaf]]=1),0,MAX(_xlfn.MAXIFS(Tasks[_Row],Tasks[_Pred1UID],Tasks[[#This Row],[UID]]),_xlfn.MAXIFS(Tasks[_Row],Tasks[_Pred2UID],Tasks[[#This Row],[UID]]),_xlfn.MAXIFS(Tasks[_Row],Tasks[_Pred3UID],Tasks[[#This Row],[UID]]),_xlfn.MAXIFS(Tasks[_Row],Tasks[_Pred4UID],Tasks[[#This Row],[UID]])))</f>
        <v>0</v>
      </c>
      <c r="FA1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8" s="91" t="str">
        <f aca="false">IF(NOT(Tasks[[#This Row],[_IsLeaf]]=1),"",IF(N(Tasks[[#This Row],[_Days]])&lt;=0,Tasks[[#This Row],[_LeafLateFinish]],WORKDAY.INTL(Tasks[[#This Row],[_LeafLateFinish]],-(Tasks[[#This Row],[_Days]]-1),WorkWeek,Holidays)))</f>
        <v/>
      </c>
      <c r="FD1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8" s="90" t="b">
        <f aca="false">AND(Tasks[[#This Row],[_IsLeaf]]=1,Tasks[[#This Row],[_LeafProgress]]&lt;1,N(Tasks[[#This Row],[_LeafTotalSlack]])&lt;=CriticalSlackDays)</f>
        <v>0</v>
      </c>
      <c r="FF168" s="43" t="n">
        <f aca="false">IF(AND(Tasks[[#This Row],[_IsLeaf]]=1,Tasks[[#This Row],[_ConstraintCode]]=1,Tasks[[#This Row],[Mode]]&lt;&gt;"Manual",N(Tasks[[#This Row],[Actual Start]])=0),MAX(0,N(Tasks[[#This Row],[Free Slack]])),0)</f>
        <v>0</v>
      </c>
      <c r="FG168" s="91" t="str">
        <f aca="false">IF(NOT(Tasks[[#This Row],[_IsLeaf]]=1),"",IF(Tasks[[#This Row],[_AlapShift]]=0,Tasks[[#This Row],[_LeafCalcStart]],WORKDAY.INTL(Tasks[[#This Row],[_LeafCalcStart]],Tasks[[#This Row],[_AlapShift]],WorkWeek,Holidays)))</f>
        <v/>
      </c>
      <c r="FH168" s="91" t="str">
        <f aca="false">IF(NOT(Tasks[[#This Row],[_IsLeaf]]=1),"",IF(Tasks[[#This Row],[_AlapShift]]=0,Tasks[[#This Row],[_LeafCalcFinish]],WORKDAY.INTL(Tasks[[#This Row],[_LeafCalcFinish]],Tasks[[#This Row],[_AlapShift]],WorkWeek,Holidays)))</f>
        <v/>
      </c>
      <c r="FI168" s="91" t="str">
        <f aca="false">IF(NOT(Tasks[[#This Row],[_IsLeaf]]=1),"",IF(Tasks[[#This Row],[_AlapShift]]=0,Tasks[[#This Row],[_LeafFcstStart]],WORKDAY.INTL(Tasks[[#This Row],[_LeafFcstStart]],Tasks[[#This Row],[_AlapShift]],WorkWeek,Holidays)))</f>
        <v/>
      </c>
      <c r="FJ168" s="91" t="str">
        <f aca="false">IF(NOT(Tasks[[#This Row],[_IsLeaf]]=1),"",IF(Tasks[[#This Row],[_AlapShift]]=0,Tasks[[#This Row],[_LeafFcstFinish]],WORKDAY.INTL(Tasks[[#This Row],[_LeafFcstFinish]],Tasks[[#This Row],[_AlapShift]],WorkWeek,Holidays)))</f>
        <v/>
      </c>
      <c r="FK168" s="91" t="str">
        <f aca="false">IF(Tasks[[#This Row],[Task Name]]="","",IF(Tasks[[#This Row],[_IsSummary]],MIN(INDEX(Tasks[_ShownCalcStart],Tasks[[#This Row],[_Row]]+1):INDEX(Tasks[_ShownCalcStart],Tasks[[#This Row],[_Row]]+Tasks[[#This Row],[_Descendants]])),Tasks[[#This Row],[_ShownCalcStart]]))</f>
        <v/>
      </c>
      <c r="FL168" s="91" t="str">
        <f aca="false">IF(Tasks[[#This Row],[Task Name]]="","",IF(Tasks[[#This Row],[_IsSummary]],MAX(INDEX(Tasks[_ShownCalcFinish],Tasks[[#This Row],[_Row]]+1):INDEX(Tasks[_ShownCalcFinish],Tasks[[#This Row],[_Row]]+Tasks[[#This Row],[_Descendants]])),Tasks[[#This Row],[_ShownCalcFinish]]))</f>
        <v/>
      </c>
      <c r="FM1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8" s="43" t="n">
        <f aca="false">IF(AND(Tasks[[#This Row],[_IsLeaf]]=1,Tasks[[#This Row],[_LeafTotalWork]]&gt;0),NETWORKDAYS.INTL(ProjectStart,Tasks[[#This Row],[_ShownFcstStart]],WorkWeek,Holidays),0)</f>
        <v>0</v>
      </c>
      <c r="FZ168" s="43" t="n">
        <f aca="false">IF(AND(Tasks[[#This Row],[_IsLeaf]]=1,Tasks[[#This Row],[_LeafTotalWork]]&gt;0),MAX(Tasks[[#This Row],[_StartWorkday]],NETWORKDAYS.INTL(ProjectStart,Tasks[[#This Row],[_ShownFcstFinish]],WorkWeek,Holidays)),0)</f>
        <v>0</v>
      </c>
      <c r="GA168" s="43" t="n">
        <f aca="false">IF(AND(Tasks[[#This Row],[_IsLeaf]]=1,Tasks[[#This Row],[_LeafTotalWork]]&gt;0),Tasks[[#This Row],[_LeafWork]]/(Tasks[[#This Row],[_FinishWorkday]]-Tasks[[#This Row],[_StartWorkday]]+1),0)</f>
        <v>0</v>
      </c>
      <c r="GB168" s="43" t="n">
        <f aca="false">Tasks[[#This Row],[_WorkPerWorkday]]*(Tasks[[#This Row],[_StartWorkday]]-1)</f>
        <v>-0</v>
      </c>
      <c r="GC168" s="43" t="n">
        <f aca="false">IF(Tasks[[#This Row],[_IsLeaf]]=1,MAX(N(Tasks[[#This Row],[_Days]]),0.1),0)</f>
        <v>0</v>
      </c>
      <c r="GD168" s="43" t="n">
        <f aca="false">Tasks[[#This Row],[_WeightDur]]*Tasks[[#This Row],[_LeafProgress]]</f>
        <v>0</v>
      </c>
      <c r="GE168" s="43" t="n">
        <f aca="false">Tasks[[#This Row],[_WeightDur]]*Tasks[[#This Row],[_PlannedPct]]</f>
        <v>0</v>
      </c>
      <c r="GF1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8" s="43" t="str">
        <f aca="false">IF(AND(Tasks[[#This Row],[_IsLeaf]]=1,N(Tasks[[#This Row],[_Days]])=0,Tasks[[#This Row],[_LeafProgress]]&lt;1),Tasks[[#This Row],[_ShownFcstFinish]]+Tasks[[#This Row],[_Row]]/100000,"")</f>
        <v/>
      </c>
      <c r="GH1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8" s="43" t="str">
        <f aca="false">IF(Tasks[[#This Row],[Task Name]]="","",LEFT(Tasks[[#This Row],[WBS]],FIND(".",Tasks[[#This Row],[WBS]]&amp;".")-1))</f>
        <v/>
      </c>
      <c r="GJ168" s="43" t="str">
        <f aca="false">IF(AND(Tasks[[#This Row],[Task Name]]&lt;&gt;"",Tasks[[#This Row],[_Level]]=1),Tasks[[#This Row],[_Row]],"")</f>
        <v/>
      </c>
      <c r="GK168" s="43" t="str">
        <f aca="false">IF(AND(Tasks[[#This Row],[_IsLeaf]]=1,N(Tasks[[#This Row],[_Days]])=0),Tasks[[#This Row],[Planned Finish]]+Tasks[[#This Row],[_Row]]/100000,"")</f>
        <v/>
      </c>
      <c r="GL168" s="43" t="str">
        <f aca="false">IF(AND(Tasks[[#This Row],[_IsLeaf]]=1,Tasks[[#This Row],[_LeafProgress]]&lt;1,OR(N(Tasks[[#This Row],[Finish Var]])&gt;0,Tasks[[#This Row],[Status]]="Late Start")),MAX(0,Tasks[[#This Row],[Finish Var]])+1-Tasks[[#This Row],[_Row]]/1000000,"")</f>
        <v/>
      </c>
      <c r="GM168" s="43" t="str">
        <f aca="false">IF(AND(Tasks[[#This Row],[_IsLeaf]]=1,N(Tasks[[#This Row],[Actual Start]])=0,Tasks[[#This Row],[_ShownFcstStart]]&gt;=StatusDate,Tasks[[#This Row],[_ShownFcstStart]]&lt;=LookaheadEnd),Tasks[[#This Row],[_ShownFcstStart]]+Tasks[[#This Row],[_Row]]/100000,"")</f>
        <v/>
      </c>
      <c r="GN168" s="43" t="str">
        <f aca="false">IF(AND(Tasks[[#This Row],[_IsLeaf]]=1,Tasks[[#This Row],[_LeafProgress]]&lt;1,Tasks[[#This Row],[_ShownFcstFinish]]&gt;=StatusDate,Tasks[[#This Row],[_ShownFcstFinish]]&lt;=LookaheadEnd),Tasks[[#This Row],[_ShownFcstFinish]]+Tasks[[#This Row],[_Row]]/100000,"")</f>
        <v/>
      </c>
      <c r="GO168" s="43" t="str">
        <f aca="false">IF(Tasks[[#This Row],[_LeafCritical]],Tasks[[#This Row],[_ShownFcstStart]]+Tasks[[#This Row],[_Row]]/100000,"")</f>
        <v/>
      </c>
      <c r="GP168" s="43" t="n">
        <f aca="false">Tasks[[#This Row],[_LeafWork]]*Tasks[[#This Row],[_LeafProgress]]</f>
        <v>0</v>
      </c>
      <c r="GQ168" s="91" t="str">
        <f aca="false">IF(AND(Tasks[[#This Row],[_IsLeaf]]=1,Tasks[[#This Row],[_LeafProgress]]&gt;=1),IF(N(Tasks[[#This Row],[Actual Finish]])&gt;0,Tasks[[#This Row],[Actual Finish]],Tasks[[#This Row],[_ShownFcstFinish]]),"")</f>
        <v/>
      </c>
      <c r="GR168" s="43" t="n">
        <f aca="false">IF(Tasks[[#This Row],[_IsLeaf]]=1,N(Tasks[[#This Row],[Story Points]]),0)</f>
        <v>0</v>
      </c>
      <c r="GS168" s="43" t="str">
        <f aca="false">""</f>
        <v/>
      </c>
      <c r="GT168" s="90" t="b">
        <f aca="false">IF(Tasks[[#This Row],[Task Name]]="",FALSE(),AND(Tasks[[#This Row],[_IsLeaf]]=1,N(Tasks[[#This Row],[_Days]])=0))</f>
        <v>0</v>
      </c>
      <c r="GU168" s="91" t="n">
        <f aca="false">IF(Tasks[[#This Row],[Task Name]]="",0,IF(AND(Tasks[[#This Row],[_IsLeaf]]=1,NOT(Tasks[[#This Row],[_IsMilestone]]),N(Tasks[[#This Row],[Progress]])&gt;0),Tasks[[#This Row],[Start]],0))</f>
        <v>0</v>
      </c>
      <c r="GV168" s="91" t="n">
        <f aca="false">IF(Tasks[[#This Row],[_DoneFrom]]=0,0,IF(Tasks[[#This Row],[Progress]]&gt;=1,Tasks[[#This Row],[Finish]],MAX(Tasks[[#This Row],[_DoneFrom]],Tasks[[#This Row],[Start]]+ROUND((Tasks[[#This Row],[Finish]]-Tasks[[#This Row],[Start]]+1)*Tasks[[#This Row],[Progress]],0)-1)))</f>
        <v>0</v>
      </c>
      <c r="GW168" s="91" t="n">
        <f aca="false">IF(Tasks[[#This Row],[Task Name]]="",0,IF(OR(NOT(Tasks[[#This Row],[_IsLeaf]]=1),Tasks[[#This Row],[_IsMilestone]],N(Tasks[[#This Row],[Progress]])&gt;=1),0,IF(Tasks[[#This Row],[_DoneTo]]&gt;0,Tasks[[#This Row],[_DoneTo]]+1,Tasks[[#This Row],[Start]])))</f>
        <v>0</v>
      </c>
      <c r="GX168" s="91" t="n">
        <f aca="false">IF(Tasks[[#This Row],[_RemFrom]]=0,0,Tasks[[#This Row],[Finish]])</f>
        <v>0</v>
      </c>
      <c r="GY168" s="90" t="b">
        <f aca="false">IF(Tasks[[#This Row],[Task Name]]="",FALSE(),OR(NOT(BaselineSet),N(Tasks[[#This Row],[Baseline Start]])&gt;0))</f>
        <v>0</v>
      </c>
      <c r="GZ16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8" s="92" t="str">
        <f aca="false">IF(Tasks[[#This Row],[_IsLeaf]]=1,Tasks[[#This Row],[_Row]],"")</f>
        <v/>
      </c>
      <c r="HD168" s="92" t="str">
        <f aca="false">IFERROR(INDEX(Tasks[UID],SMALL(Tasks[_PickKey],Tasks[[#This Row],[_Row]]))&amp;" "&amp;INDEX(Tasks[Task Name],SMALL(Tasks[_PickKey],Tasks[[#This Row],[_Row]])),"")</f>
        <v/>
      </c>
      <c r="HE168" s="43" t="str">
        <f aca="false">IF(Tasks[[#This Row],[Task Name]]="","",IF(Tasks[[#This Row],[_IsSummary]],NETWORKDAYS.INTL(Tasks[[#This Row],[Start]],Tasks[[#This Row],[Finish]],WorkWeek,Holidays),N(Tasks[[#This Row],[_Days]])))</f>
        <v/>
      </c>
      <c r="HF168" s="43" t="n">
        <f aca="false">IF(Tasks[[#This Row],[Expected]]="",0,((Tasks[[#This Row],[Pessimistic]]-Tasks[[#This Row],[Optimistic]])/6)^2)</f>
        <v>0</v>
      </c>
      <c r="HG168" s="43" t="n">
        <f aca="false">IF(Tasks[[#This Row],[Expected]]="",0,Tasks[[#This Row],[Expected]]-N(Tasks[[#This Row],[_Days]]))</f>
        <v>0</v>
      </c>
    </row>
    <row r="169" customFormat="false" ht="15" hidden="false" customHeight="false" outlineLevel="0" collapsed="false">
      <c r="A169" s="21" t="str">
        <f aca="false">IF(Tasks[[#This Row],[Task Name]]="","",COUNTA(Tasks[[#Headers],[Task Name]]:Tasks[[#This Row],[Task Name]])-1)</f>
        <v/>
      </c>
      <c r="B169" s="22" t="n">
        <v>177</v>
      </c>
      <c r="C169" s="22"/>
      <c r="D169" s="23"/>
      <c r="E169" s="22"/>
      <c r="F169" s="23"/>
      <c r="G169" s="22"/>
      <c r="H169" s="22"/>
      <c r="I169" s="23"/>
      <c r="J169" s="22"/>
      <c r="K169" s="22"/>
      <c r="L169" s="23"/>
      <c r="M169" s="22"/>
      <c r="N169" s="22"/>
      <c r="O169" s="23"/>
      <c r="P169" s="22"/>
      <c r="Q169" s="22"/>
      <c r="R169" s="23"/>
      <c r="S169" s="23"/>
      <c r="T169" s="84"/>
      <c r="U169" s="23"/>
      <c r="V169" s="84"/>
      <c r="W169" s="23"/>
      <c r="X169" s="84"/>
      <c r="Y169" s="23"/>
      <c r="Z169" s="84"/>
      <c r="AA169" s="23"/>
      <c r="AB169" s="23"/>
      <c r="AC169" s="7"/>
      <c r="AD169" s="7"/>
      <c r="AE169" s="63" t="str">
        <f aca="false">IF(Tasks[[#This Row],[Task Name]]="","",IF(Tasks[[#This Row],[_IsSummary]],MIN(INDEX(Tasks[_ShownFcstStart],Tasks[[#This Row],[_Row]]+1):INDEX(Tasks[_ShownFcstStart],Tasks[[#This Row],[_Row]]+Tasks[[#This Row],[_Descendants]])),Tasks[[#This Row],[_ShownFcstStart]]))</f>
        <v/>
      </c>
      <c r="AF169" s="63" t="str">
        <f aca="false">IF(Tasks[[#This Row],[Task Name]]="","",IF(Tasks[[#This Row],[_IsSummary]],MAX(INDEX(Tasks[_ShownFcstFinish],Tasks[[#This Row],[_Row]]+1):INDEX(Tasks[_ShownFcstFinish],Tasks[[#This Row],[_Row]]+Tasks[[#This Row],[_Descendants]])),Tasks[[#This Row],[_ShownFcstFinish]]))</f>
        <v/>
      </c>
      <c r="AG169" s="21" t="str">
        <f aca="false">""</f>
        <v/>
      </c>
      <c r="AH169" s="23"/>
      <c r="AI1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9" s="7"/>
      <c r="AK169" s="22"/>
      <c r="AL169" s="23"/>
      <c r="AM169" s="7"/>
      <c r="AN169" s="47" t="str">
        <f aca="false">IF(Tasks[[#This Row],[Task Name]]="","",IF(Tasks[[#This Row],[Finish]]&gt;=Tasks[[#This Row],[Planned Finish]],NETWORKDAYS.INTL(Tasks[[#This Row],[Planned Finish]],Tasks[[#This Row],[Finish]],WorkWeek,Holidays)-1,1-NETWORKDAYS.INTL(Tasks[[#This Row],[Finish]],Tasks[[#This Row],[Planned Finish]],WorkWeek,Holidays)))</f>
        <v/>
      </c>
      <c r="AO169" s="21" t="str">
        <f aca="false">IF(Tasks[[#This Row],[Task Name]]="","",IF(Tasks[[#This Row],[Progress]]&gt;=1,"Complete",IF(OR(N(Tasks[[#This Row],[Actual Start]])&gt;0,Tasks[[#This Row],[Progress]]&gt;0),IF(Tasks[[#This Row],[Finish Var]]&gt;0,"Behind","In Progress"),IF(Tasks[[#This Row],[Planned Start]]&lt;StatusDate,"Late Start","Not Started"))))</f>
        <v/>
      </c>
      <c r="AP169" s="21" t="str">
        <f aca="false">IF(Tasks[[#This Row],[Task Name]]="","",IF(IF(Tasks[[#This Row],[_IsSummary]],COUNTIF(INDEX(Tasks[_LeafCritical],Tasks[[#This Row],[_Row]]+1):INDEX(Tasks[_LeafCritical],Tasks[[#This Row],[_Row]]+Tasks[[#This Row],[_Descendants]]),TRUE())&gt;0,Tasks[[#This Row],[_LeafCritical]]),"Yes",""))</f>
        <v/>
      </c>
      <c r="AQ169" s="63" t="str">
        <f aca="false">IF(Tasks[[#This Row],[Task Name]]="","",IF(N(Tasks[[#This Row],[Baseline Start]])&gt;0,Tasks[[#This Row],[Baseline Start]],Tasks[[#This Row],[_CalcStart]]))</f>
        <v/>
      </c>
      <c r="AR169" s="63" t="str">
        <f aca="false">IF(Tasks[[#This Row],[Task Name]]="","",IF(N(Tasks[[#This Row],[Baseline Finish]])&gt;0,Tasks[[#This Row],[Baseline Finish]],Tasks[[#This Row],[_CalcFinish]]))</f>
        <v/>
      </c>
      <c r="AS169" s="47" t="str">
        <f aca="false">IF(Tasks[[#This Row],[Task Name]]="","",IF(Tasks[[#This Row],[Start]]&gt;=Tasks[[#This Row],[Planned Start]],NETWORKDAYS.INTL(Tasks[[#This Row],[Planned Start]],Tasks[[#This Row],[Start]],WorkWeek,Holidays)-1,1-NETWORKDAYS.INTL(Tasks[[#This Row],[Start]],Tasks[[#This Row],[Planned Start]],WorkWeek,Holidays)))</f>
        <v/>
      </c>
      <c r="AT169" s="63" t="str">
        <f aca="false">IF(Tasks[[#This Row],[Task Name]]="","",IF(Tasks[[#This Row],[_IsSummary]],MIN(INDEX(Tasks[_LeafLateStart],Tasks[[#This Row],[_Row]]+1):INDEX(Tasks[_LeafLateStart],Tasks[[#This Row],[_Row]]+Tasks[[#This Row],[_Descendants]])),Tasks[[#This Row],[_LeafLateStart]]))</f>
        <v/>
      </c>
      <c r="AU169" s="63" t="str">
        <f aca="false">IF(Tasks[[#This Row],[Task Name]]="","",IF(Tasks[[#This Row],[_IsSummary]],MAX(INDEX(Tasks[_LeafLateFinish],Tasks[[#This Row],[_Row]]+1):INDEX(Tasks[_LeafLateFinish],Tasks[[#This Row],[_Row]]+Tasks[[#This Row],[_Descendants]])),Tasks[[#This Row],[_LeafLateFinish]]))</f>
        <v/>
      </c>
      <c r="AV169" s="47" t="str">
        <f aca="false">IF(Tasks[[#This Row],[Task Name]]="","",IF(Tasks[[#This Row],[_IsSummary]],MIN(INDEX(Tasks[_LeafTotalSlack],Tasks[[#This Row],[_Row]]+1):INDEX(Tasks[_LeafTotalSlack],Tasks[[#This Row],[_Row]]+Tasks[[#This Row],[_Descendants]])),Tasks[[#This Row],[_LeafTotalSlack]]))</f>
        <v/>
      </c>
      <c r="AW1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5"/>
      <c r="BA16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t="str">
        <f aca="false">IF(Tasks[[#This Row],[Task Name]]="","",IF(Tasks[[#This Row],[_Level]]&lt;=OutlineShowLevel,"Yes","No"))</f>
        <v/>
      </c>
      <c r="BE169" s="86" t="str">
        <f aca="false">IF(Tasks[[#This Row],[Task Name]]="","",IF(Tasks[[#This Row],[_IsSummary]],SUM(INDEX(Tasks[_LeafTotalWork],Tasks[[#This Row],[_Row]]+1):INDEX(Tasks[_LeafTotalWork],Tasks[[#This Row],[_Row]]+Tasks[[#This Row],[_Descendants]])),Tasks[[#This Row],[_LeafTotalWork]]))</f>
        <v/>
      </c>
      <c r="BF169" s="23"/>
      <c r="BG1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t="str">
        <f aca="false">""</f>
        <v/>
      </c>
      <c r="BI169" s="87"/>
      <c r="BJ169" s="22"/>
      <c r="BK169" s="47" t="str">
        <f aca="false">IF(OR(Tasks[[#This Row],[Task Name]]="",Tasks[[#This Row],[Baseline Duration]]=""),"",Tasks[[#This Row],[_SpanDays]]-N(Tasks[[#This Row],[Baseline Duration]]))</f>
        <v/>
      </c>
      <c r="BL169" s="86" t="str">
        <f aca="false">IF(OR(Tasks[[#This Row],[Task Name]]="",Tasks[[#This Row],[Baseline Work]]=""),"",Tasks[[#This Row],[Work]]-N(Tasks[[#This Row],[Baseline Work]]))</f>
        <v/>
      </c>
      <c r="BM169" s="63" t="str">
        <f aca="false">IF(Tasks[[#This Row],[Task Name]]="","",IF(OR(TakeBaseline="Yes",N(Tasks[[#This Row],[Baseline Start]])=0),Tasks[[#This Row],[Start]],Tasks[[#This Row],[Baseline Start]]))</f>
        <v/>
      </c>
      <c r="BN169" s="63" t="str">
        <f aca="false">IF(Tasks[[#This Row],[Task Name]]="","",IF(OR(TakeBaseline="Yes",N(Tasks[[#This Row],[Baseline Finish]])=0),Tasks[[#This Row],[Finish]],Tasks[[#This Row],[Baseline Finish]]))</f>
        <v/>
      </c>
      <c r="BO169" s="21" t="str">
        <f aca="false">IF(Tasks[[#This Row],[Task Name]]="","",IF(OR(TakeBaseline="Yes",N(Tasks[[#This Row],[Baseline Duration]])=0),Tasks[[#This Row],[_SpanDays]],Tasks[[#This Row],[Baseline Duration]]))</f>
        <v/>
      </c>
      <c r="BP169" s="86" t="str">
        <f aca="false">IF(Tasks[[#This Row],[Task Name]]="","",IF(OR(TakeBaseline="Yes",N(Tasks[[#This Row],[Baseline Work]])=0),Tasks[[#This Row],[Work]],Tasks[[#This Row],[Baseline Work]]))</f>
        <v/>
      </c>
      <c r="BQ169" s="7"/>
      <c r="BR169" s="7"/>
      <c r="BS169" s="22"/>
      <c r="BT169" s="88"/>
      <c r="BU169" s="23"/>
      <c r="BV169" s="23"/>
      <c r="BW169" s="23"/>
      <c r="BX169" s="89" t="str">
        <f aca="false">IF(AND(Tasks[[#This Row],[_IsLeaf]]=1,ISNUMBER(Tasks[[#This Row],[Optimistic]]),ISNUMBER(Tasks[[#This Row],[Pessimistic]])),ROUND((Tasks[[#This Row],[Optimistic]]+4*N(Tasks[[#This Row],[_Days]])+Tasks[[#This Row],[Pessimistic]])/6,1),"")</f>
        <v/>
      </c>
      <c r="BY169" s="87"/>
      <c r="BZ169" s="87"/>
      <c r="CA169" s="22"/>
      <c r="CB169" s="43" t="str">
        <f aca="false">IF(Tasks[[#This Row],[Task Name]]="","",MAX(1,N(Tasks[[#This Row],[Level]])))</f>
        <v/>
      </c>
      <c r="CC169" s="43" t="n">
        <f aca="false">ROW()-ROW(Tasks[[#Headers],[ID]])</f>
        <v>164</v>
      </c>
      <c r="CD169" s="43" t="n">
        <f aca="false">IF(OR(Tasks[[#This Row],[Task Name]]="",Tasks[[#This Row],[_Level]]&lt;=1),0,IFERROR(LOOKUP(2,1/(Tasks[[#Headers],[_Level]]:Tasks[[#This Row],[_Level]]=Tasks[[#This Row],[_Level]]-1),ROW(Tasks[[#Headers],[_Level]]:Tasks[[#This Row],[_Level]])),0))</f>
        <v>0</v>
      </c>
      <c r="CE169" s="43" t="n">
        <f aca="false">IFERROR(N(INDEX(Tasks[_Level],Tasks[[#This Row],[_Row]]+1)),0)</f>
        <v>0</v>
      </c>
      <c r="CF169" s="90" t="b">
        <f aca="false">AND(Tasks[[#This Row],[Task Name]]&lt;&gt;"",Tasks[[#This Row],[_NextLevel]]&gt;Tasks[[#This Row],[_Level]])</f>
        <v>0</v>
      </c>
      <c r="CG169" s="43" t="n">
        <f aca="false">IF(Tasks[[#This Row],[_IsSummary]],COUNTIF(Tasks[WBS],Tasks[[#This Row],[WBS]]&amp;".*"),0)</f>
        <v>0</v>
      </c>
      <c r="CH169" s="43" t="n">
        <f aca="false">IF(AND(Tasks[[#This Row],[Task Name]]&lt;&gt;"",NOT(Tasks[[#This Row],[_IsSummary]])),1,0)</f>
        <v>0</v>
      </c>
      <c r="CI169" s="43" t="n">
        <f aca="false">IF(N(Tasks[[#This Row],[_Pred1UID]])=0,0,IFERROR(MATCH(Tasks[[#This Row],[_Pred1UID]],Tasks[UID],0),-1))</f>
        <v>0</v>
      </c>
      <c r="CJ169" s="43" t="n">
        <f aca="false">IF(N(Tasks[[#This Row],[_Pred2UID]])=0,0,IFERROR(MATCH(Tasks[[#This Row],[_Pred2UID]],Tasks[UID],0),-1))</f>
        <v>0</v>
      </c>
      <c r="CK169" s="43" t="n">
        <f aca="false">IF(N(Tasks[[#This Row],[_Pred3UID]])=0,0,IFERROR(MATCH(Tasks[[#This Row],[_Pred3UID]],Tasks[UID],0),-1))</f>
        <v>0</v>
      </c>
      <c r="CL169" s="43" t="n">
        <f aca="false">IF(N(Tasks[[#This Row],[_Pred4UID]])=0,0,IFERROR(MATCH(Tasks[[#This Row],[_Pred4UID]],Tasks[UID],0),-1))</f>
        <v>0</v>
      </c>
      <c r="CM1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9" s="91" t="n">
        <f aca="false">IF(OR(Tasks[[#This Row],[_ConstraintCode]]=2,Tasks[[#This Row],[_ConstraintCode]]=3,Tasks[[#This Row],[_ConstraintCode]]=4,Tasks[[#This Row],[_ConstraintCode]]=6),Tasks[[#This Row],[_ConstraintStart]],0)</f>
        <v>0</v>
      </c>
      <c r="CP169" s="91" t="n">
        <f aca="false">IF(OR(Tasks[[#This Row],[_ConstraintCode]]=2,Tasks[[#This Row],[_ConstraintCode]]=3,Tasks[[#This Row],[_ConstraintCode]]=5,Tasks[[#This Row],[_ConstraintCode]]=7),Tasks[[#This Row],[_ConstraintStart]],2958465)</f>
        <v>2958465</v>
      </c>
      <c r="CQ1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9" s="91" t="str">
        <f aca="false">IF(NOT(Tasks[[#This Row],[_IsLeaf]]=1),"",IF(N(Tasks[[#This Row],[_Days]])&lt;=0,Tasks[[#This Row],[_LeafCalcStart]],WORKDAY.INTL(Tasks[[#This Row],[_LeafCalcStart]],Tasks[[#This Row],[_Days]]-1,WorkWeek,Holidays)))</f>
        <v/>
      </c>
      <c r="CS1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9" s="43" t="str">
        <f aca="false">IF(Tasks[[#This Row],[_Predecessors]]="","",TRIM(MID(SUBSTITUTE(SUBSTITUTE(SUBSTITUTE(UPPER(Tasks[[#This Row],[_Predecessors]]),";",",")," ",""),",",REPT(" ",99)),1,99)))</f>
        <v/>
      </c>
      <c r="CV169" s="43" t="str">
        <f aca="false">IF(Tasks[[#This Row],[_Pred1Text]]="","",IFERROR(VALUE(LEFT(Tasks[[#This Row],[_Pred1Text]],MIN(FIND("F",Tasks[[#This Row],[_Pred1Text]]&amp;"F"),FIND("S",Tasks[[#This Row],[_Pred1Text]]&amp;"S"),FIND("+",Tasks[[#This Row],[_Pred1Text]]&amp;"+"),FIND("-",Tasks[[#This Row],[_Pred1Text]]&amp;"-"))-1)),""))</f>
        <v/>
      </c>
      <c r="CW1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9" s="43" t="str">
        <f aca="false">IF(Tasks[[#This Row],[_Pred1Text]]="","",TRIM(MID(SUBSTITUTE(SUBSTITUTE(SUBSTITUTE(UPPER(Tasks[[#This Row],[_Predecessors]]),";",",")," ",""),",",REPT(" ",99)),100,99)))</f>
        <v/>
      </c>
      <c r="CZ169" s="43" t="str">
        <f aca="false">IF(Tasks[[#This Row],[_Pred2Text]]="","",IFERROR(VALUE(LEFT(Tasks[[#This Row],[_Pred2Text]],MIN(FIND("F",Tasks[[#This Row],[_Pred2Text]]&amp;"F"),FIND("S",Tasks[[#This Row],[_Pred2Text]]&amp;"S"),FIND("+",Tasks[[#This Row],[_Pred2Text]]&amp;"+"),FIND("-",Tasks[[#This Row],[_Pred2Text]]&amp;"-"))-1)),""))</f>
        <v/>
      </c>
      <c r="DA1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9" s="43" t="str">
        <f aca="false">IF(Tasks[[#This Row],[_Pred2Text]]="","",TRIM(MID(SUBSTITUTE(SUBSTITUTE(SUBSTITUTE(UPPER(Tasks[[#This Row],[_Predecessors]]),";",",")," ",""),",",REPT(" ",99)),199,99)))</f>
        <v/>
      </c>
      <c r="DD169" s="43" t="str">
        <f aca="false">IF(Tasks[[#This Row],[_Pred3Text]]="","",IFERROR(VALUE(LEFT(Tasks[[#This Row],[_Pred3Text]],MIN(FIND("F",Tasks[[#This Row],[_Pred3Text]]&amp;"F"),FIND("S",Tasks[[#This Row],[_Pred3Text]]&amp;"S"),FIND("+",Tasks[[#This Row],[_Pred3Text]]&amp;"+"),FIND("-",Tasks[[#This Row],[_Pred3Text]]&amp;"-"))-1)),""))</f>
        <v/>
      </c>
      <c r="DE1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9" s="43" t="str">
        <f aca="false">IF(Tasks[[#This Row],[_Pred3Text]]="","",TRIM(MID(SUBSTITUTE(SUBSTITUTE(SUBSTITUTE(UPPER(Tasks[[#This Row],[_Predecessors]]),";",",")," ",""),",",REPT(" ",99)),298,99)))</f>
        <v/>
      </c>
      <c r="DH169" s="43" t="str">
        <f aca="false">IF(Tasks[[#This Row],[_Pred4Text]]="","",IFERROR(VALUE(LEFT(Tasks[[#This Row],[_Pred4Text]],MIN(FIND("F",Tasks[[#This Row],[_Pred4Text]]&amp;"F"),FIND("S",Tasks[[#This Row],[_Pred4Text]]&amp;"S"),FIND("+",Tasks[[#This Row],[_Pred4Text]]&amp;"+"),FIND("-",Tasks[[#This Row],[_Pred4Text]]&amp;"-"))-1)),""))</f>
        <v/>
      </c>
      <c r="DI1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9" s="43" t="str">
        <f aca="false">IF(OR(Tasks[[#This Row],[Task Name]]="",Tasks[[#This Row],[_Resources]]=""),"",TRIM(MID(SUBSTITUTE(Tasks[[#This Row],[_Resources]],",",REPT(" ",99)),1,99)))</f>
        <v/>
      </c>
      <c r="DL169" s="43" t="str">
        <f aca="false">IF(Tasks[[#This Row],[_Res1Text]]="","",TRIM(MID(SUBSTITUTE(Tasks[[#This Row],[_Resources]],",",REPT(" ",99)),100,99)))</f>
        <v/>
      </c>
      <c r="DM169" s="43" t="str">
        <f aca="false">IF(Tasks[[#This Row],[_Res2Text]]="","",TRIM(MID(SUBSTITUTE(Tasks[[#This Row],[_Resources]],",",REPT(" ",99)),199,99)))</f>
        <v/>
      </c>
      <c r="DN169" s="43" t="str">
        <f aca="false">IF(Tasks[[#This Row],[_Res3Text]]="","",TRIM(MID(SUBSTITUTE(Tasks[[#This Row],[_Resources]],",",REPT(" ",99)),298,99)))</f>
        <v/>
      </c>
      <c r="DO169" s="43" t="n">
        <f aca="false">IF(Tasks[[#This Row],[_Res1Text]]="",0,IFERROR(MATCH(TRIM(LEFT(Tasks[[#This Row],[_Res1Text]],FIND("[",Tasks[[#This Row],[_Res1Text]]&amp;"[")-1)),res_Name,0),IFERROR(MATCH(TRIM(LEFT(Tasks[[#This Row],[_Res1Text]],FIND("[",Tasks[[#This Row],[_Res1Text]]&amp;"[")-1)),res_Initials,0),0)))</f>
        <v>0</v>
      </c>
      <c r="DP169" s="43" t="n">
        <f aca="false">IF(Tasks[[#This Row],[_Res2Text]]="",0,IFERROR(MATCH(TRIM(LEFT(Tasks[[#This Row],[_Res2Text]],FIND("[",Tasks[[#This Row],[_Res2Text]]&amp;"[")-1)),res_Name,0),IFERROR(MATCH(TRIM(LEFT(Tasks[[#This Row],[_Res2Text]],FIND("[",Tasks[[#This Row],[_Res2Text]]&amp;"[")-1)),res_Initials,0),0)))</f>
        <v>0</v>
      </c>
      <c r="DQ169" s="43" t="n">
        <f aca="false">IF(Tasks[[#This Row],[_Res3Text]]="",0,IFERROR(MATCH(TRIM(LEFT(Tasks[[#This Row],[_Res3Text]],FIND("[",Tasks[[#This Row],[_Res3Text]]&amp;"[")-1)),res_Name,0),IFERROR(MATCH(TRIM(LEFT(Tasks[[#This Row],[_Res3Text]],FIND("[",Tasks[[#This Row],[_Res3Text]]&amp;"[")-1)),res_Initials,0),0)))</f>
        <v>0</v>
      </c>
      <c r="DR169" s="43" t="n">
        <f aca="false">IF(Tasks[[#This Row],[_Res4Text]]="",0,IFERROR(MATCH(TRIM(LEFT(Tasks[[#This Row],[_Res4Text]],FIND("[",Tasks[[#This Row],[_Res4Text]]&amp;"[")-1)),res_Name,0),IFERROR(MATCH(TRIM(LEFT(Tasks[[#This Row],[_Res4Text]],FIND("[",Tasks[[#This Row],[_Res4Text]]&amp;"[")-1)),res_Initials,0),0)))</f>
        <v>0</v>
      </c>
      <c r="DS169" s="43" t="str">
        <f aca="false">IF(Tasks[[#This Row],[_Res1Text]]="","",IF(Tasks[[#This Row],[_Res1Row]]&gt;0,INDEX(res_Name,Tasks[[#This Row],[_Res1Row]]),TRIM(LEFT(Tasks[[#This Row],[_Res1Text]],FIND("[",Tasks[[#This Row],[_Res1Text]]&amp;"[")-1))))</f>
        <v/>
      </c>
      <c r="DT1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9" s="43" t="n">
        <f aca="false">IF(NOT(Tasks[[#This Row],[_IsLeaf]]=1),0,(Tasks[[#This Row],[_Resource1]]&lt;&gt;"")+(Tasks[[#This Row],[_Res2]]&lt;&gt;"")+(Tasks[[#This Row],[_Res3]]&lt;&gt;"")+(Tasks[[#This Row],[_Res4]]&lt;&gt;""))</f>
        <v>0</v>
      </c>
      <c r="DV169" s="43" t="str">
        <f aca="false">IF(Tasks[[#This Row],[_Res2Text]]="","",IF(Tasks[[#This Row],[_Res2Row]]&gt;0,INDEX(res_Name,Tasks[[#This Row],[_Res2Row]]),TRIM(LEFT(Tasks[[#This Row],[_Res2Text]],FIND("[",Tasks[[#This Row],[_Res2Text]]&amp;"[")-1))))</f>
        <v/>
      </c>
      <c r="DW1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9" s="43" t="n">
        <f aca="false">IF(OR(NOT(Tasks[[#This Row],[_IsLeaf]]=1),Tasks[[#This Row],[_Res2Row]]=0),0,N(Tasks[[#This Row],[_Days]])*HoursPerDay*IF(Tasks[[#This Row],[_Res2Units]]="",DefaultUnits,Tasks[[#This Row],[_Res2Units]]))</f>
        <v>0</v>
      </c>
      <c r="DY169" s="43" t="n">
        <f aca="false">IF(AND(AND(Tasks[[#This Row],[_IsLeaf]]=1,Tasks[[#This Row],[_LeafTotalWork]]&gt;0),Tasks[[#This Row],[_Res2Work]]&gt;0),Tasks[[#This Row],[_Res2Work]]/(Tasks[[#This Row],[_FinishWorkday]]-Tasks[[#This Row],[_StartWorkday]]+1),0)</f>
        <v>0</v>
      </c>
      <c r="DZ169" s="43" t="n">
        <f aca="false">Tasks[[#This Row],[_Res2WorkPerWD]]*MAX(0,Tasks[[#This Row],[_StartWorkday]]-1)</f>
        <v>0</v>
      </c>
      <c r="EA169" s="43" t="n">
        <f aca="false">Tasks[[#This Row],[_Res2Work]]*Tasks[[#This Row],[_LeafProgress]]</f>
        <v>0</v>
      </c>
      <c r="EB169" s="43" t="str">
        <f aca="false">IF(Tasks[[#This Row],[_Res3Text]]="","",IF(Tasks[[#This Row],[_Res3Row]]&gt;0,INDEX(res_Name,Tasks[[#This Row],[_Res3Row]]),TRIM(LEFT(Tasks[[#This Row],[_Res3Text]],FIND("[",Tasks[[#This Row],[_Res3Text]]&amp;"[")-1))))</f>
        <v/>
      </c>
      <c r="EC1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9" s="43" t="n">
        <f aca="false">IF(OR(NOT(Tasks[[#This Row],[_IsLeaf]]=1),Tasks[[#This Row],[_Res3Row]]=0),0,N(Tasks[[#This Row],[_Days]])*HoursPerDay*IF(Tasks[[#This Row],[_Res3Units]]="",DefaultUnits,Tasks[[#This Row],[_Res3Units]]))</f>
        <v>0</v>
      </c>
      <c r="EE169" s="43" t="n">
        <f aca="false">IF(AND(AND(Tasks[[#This Row],[_IsLeaf]]=1,Tasks[[#This Row],[_LeafTotalWork]]&gt;0),Tasks[[#This Row],[_Res3Work]]&gt;0),Tasks[[#This Row],[_Res3Work]]/(Tasks[[#This Row],[_FinishWorkday]]-Tasks[[#This Row],[_StartWorkday]]+1),0)</f>
        <v>0</v>
      </c>
      <c r="EF169" s="43" t="n">
        <f aca="false">Tasks[[#This Row],[_Res3WorkPerWD]]*MAX(0,Tasks[[#This Row],[_StartWorkday]]-1)</f>
        <v>0</v>
      </c>
      <c r="EG169" s="43" t="n">
        <f aca="false">Tasks[[#This Row],[_Res3Work]]*Tasks[[#This Row],[_LeafProgress]]</f>
        <v>0</v>
      </c>
      <c r="EH169" s="43" t="str">
        <f aca="false">IF(Tasks[[#This Row],[_Res4Text]]="","",IF(Tasks[[#This Row],[_Res4Row]]&gt;0,INDEX(res_Name,Tasks[[#This Row],[_Res4Row]]),TRIM(LEFT(Tasks[[#This Row],[_Res4Text]],FIND("[",Tasks[[#This Row],[_Res4Text]]&amp;"[")-1))))</f>
        <v/>
      </c>
      <c r="EI1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9" s="43" t="n">
        <f aca="false">IF(OR(NOT(Tasks[[#This Row],[_IsLeaf]]=1),Tasks[[#This Row],[_Res4Row]]=0),0,N(Tasks[[#This Row],[_Days]])*HoursPerDay*IF(Tasks[[#This Row],[_Res4Units]]="",DefaultUnits,Tasks[[#This Row],[_Res4Units]]))</f>
        <v>0</v>
      </c>
      <c r="EK169" s="43" t="n">
        <f aca="false">IF(AND(AND(Tasks[[#This Row],[_IsLeaf]]=1,Tasks[[#This Row],[_LeafTotalWork]]&gt;0),Tasks[[#This Row],[_Res4Work]]&gt;0),Tasks[[#This Row],[_Res4Work]]/(Tasks[[#This Row],[_FinishWorkday]]-Tasks[[#This Row],[_StartWorkday]]+1),0)</f>
        <v>0</v>
      </c>
      <c r="EL169" s="43" t="n">
        <f aca="false">Tasks[[#This Row],[_Res4WorkPerWD]]*MAX(0,Tasks[[#This Row],[_StartWorkday]]-1)</f>
        <v>0</v>
      </c>
      <c r="EM169" s="43" t="n">
        <f aca="false">Tasks[[#This Row],[_Res4Work]]*Tasks[[#This Row],[_LeafProgress]]</f>
        <v>0</v>
      </c>
      <c r="EN169" s="43" t="n">
        <f aca="false">IF(ISNUMBER(Tasks[[#This Row],[% Complete]]),Tasks[[#This Row],[% Complete]],IF(Tasks[[#This Row],[Stage]]="",0,IFERROR(INDEX(stg_Pct,MATCH(Tasks[[#This Row],[Stage]],stg_Name,0)),0)))</f>
        <v>0</v>
      </c>
      <c r="EO169" s="43" t="n">
        <f aca="false">IF(NOT(Tasks[[#This Row],[_IsLeaf]]=1),0,IF(N(Tasks[[#This Row],[Actual Finish]])&gt;0,1,MIN(1,Tasks[[#This Row],[_Pct]])))</f>
        <v>0</v>
      </c>
      <c r="EP169" s="43" t="n">
        <f aca="false">IF(OR(NOT(Tasks[[#This Row],[_IsLeaf]]=1),Tasks[[#This Row],[_Res1Row]]=0),0,N(Tasks[[#This Row],[_Days]])*HoursPerDay*IF(Tasks[[#This Row],[_Units1]]="",DefaultUnits,Tasks[[#This Row],[_Units1]]))</f>
        <v>0</v>
      </c>
      <c r="EQ169" s="43" t="n">
        <f aca="false">Tasks[[#This Row],[_LeafWork]]+Tasks[[#This Row],[_Res2Work]]+Tasks[[#This Row],[_Res3Work]]+Tasks[[#This Row],[_Res4Work]]</f>
        <v>0</v>
      </c>
      <c r="ER16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9" s="43" t="n">
        <f aca="false">IF(NOT(Tasks[[#This Row],[_IsLeaf]]=1),0,MAX(_xlfn.MAXIFS(Tasks[_Row],Tasks[_Pred1UID],Tasks[[#This Row],[UID]]),_xlfn.MAXIFS(Tasks[_Row],Tasks[_Pred2UID],Tasks[[#This Row],[UID]]),_xlfn.MAXIFS(Tasks[_Row],Tasks[_Pred3UID],Tasks[[#This Row],[UID]]),_xlfn.MAXIFS(Tasks[_Row],Tasks[_Pred4UID],Tasks[[#This Row],[UID]])))</f>
        <v>0</v>
      </c>
      <c r="FA1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9" s="91" t="str">
        <f aca="false">IF(NOT(Tasks[[#This Row],[_IsLeaf]]=1),"",IF(N(Tasks[[#This Row],[_Days]])&lt;=0,Tasks[[#This Row],[_LeafLateFinish]],WORKDAY.INTL(Tasks[[#This Row],[_LeafLateFinish]],-(Tasks[[#This Row],[_Days]]-1),WorkWeek,Holidays)))</f>
        <v/>
      </c>
      <c r="FD1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9" s="90" t="b">
        <f aca="false">AND(Tasks[[#This Row],[_IsLeaf]]=1,Tasks[[#This Row],[_LeafProgress]]&lt;1,N(Tasks[[#This Row],[_LeafTotalSlack]])&lt;=CriticalSlackDays)</f>
        <v>0</v>
      </c>
      <c r="FF169" s="43" t="n">
        <f aca="false">IF(AND(Tasks[[#This Row],[_IsLeaf]]=1,Tasks[[#This Row],[_ConstraintCode]]=1,Tasks[[#This Row],[Mode]]&lt;&gt;"Manual",N(Tasks[[#This Row],[Actual Start]])=0),MAX(0,N(Tasks[[#This Row],[Free Slack]])),0)</f>
        <v>0</v>
      </c>
      <c r="FG169" s="91" t="str">
        <f aca="false">IF(NOT(Tasks[[#This Row],[_IsLeaf]]=1),"",IF(Tasks[[#This Row],[_AlapShift]]=0,Tasks[[#This Row],[_LeafCalcStart]],WORKDAY.INTL(Tasks[[#This Row],[_LeafCalcStart]],Tasks[[#This Row],[_AlapShift]],WorkWeek,Holidays)))</f>
        <v/>
      </c>
      <c r="FH169" s="91" t="str">
        <f aca="false">IF(NOT(Tasks[[#This Row],[_IsLeaf]]=1),"",IF(Tasks[[#This Row],[_AlapShift]]=0,Tasks[[#This Row],[_LeafCalcFinish]],WORKDAY.INTL(Tasks[[#This Row],[_LeafCalcFinish]],Tasks[[#This Row],[_AlapShift]],WorkWeek,Holidays)))</f>
        <v/>
      </c>
      <c r="FI169" s="91" t="str">
        <f aca="false">IF(NOT(Tasks[[#This Row],[_IsLeaf]]=1),"",IF(Tasks[[#This Row],[_AlapShift]]=0,Tasks[[#This Row],[_LeafFcstStart]],WORKDAY.INTL(Tasks[[#This Row],[_LeafFcstStart]],Tasks[[#This Row],[_AlapShift]],WorkWeek,Holidays)))</f>
        <v/>
      </c>
      <c r="FJ169" s="91" t="str">
        <f aca="false">IF(NOT(Tasks[[#This Row],[_IsLeaf]]=1),"",IF(Tasks[[#This Row],[_AlapShift]]=0,Tasks[[#This Row],[_LeafFcstFinish]],WORKDAY.INTL(Tasks[[#This Row],[_LeafFcstFinish]],Tasks[[#This Row],[_AlapShift]],WorkWeek,Holidays)))</f>
        <v/>
      </c>
      <c r="FK169" s="91" t="str">
        <f aca="false">IF(Tasks[[#This Row],[Task Name]]="","",IF(Tasks[[#This Row],[_IsSummary]],MIN(INDEX(Tasks[_ShownCalcStart],Tasks[[#This Row],[_Row]]+1):INDEX(Tasks[_ShownCalcStart],Tasks[[#This Row],[_Row]]+Tasks[[#This Row],[_Descendants]])),Tasks[[#This Row],[_ShownCalcStart]]))</f>
        <v/>
      </c>
      <c r="FL169" s="91" t="str">
        <f aca="false">IF(Tasks[[#This Row],[Task Name]]="","",IF(Tasks[[#This Row],[_IsSummary]],MAX(INDEX(Tasks[_ShownCalcFinish],Tasks[[#This Row],[_Row]]+1):INDEX(Tasks[_ShownCalcFinish],Tasks[[#This Row],[_Row]]+Tasks[[#This Row],[_Descendants]])),Tasks[[#This Row],[_ShownCalcFinish]]))</f>
        <v/>
      </c>
      <c r="FM1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9" s="43" t="n">
        <f aca="false">IF(AND(Tasks[[#This Row],[_IsLeaf]]=1,Tasks[[#This Row],[_LeafTotalWork]]&gt;0),NETWORKDAYS.INTL(ProjectStart,Tasks[[#This Row],[_ShownFcstStart]],WorkWeek,Holidays),0)</f>
        <v>0</v>
      </c>
      <c r="FZ169" s="43" t="n">
        <f aca="false">IF(AND(Tasks[[#This Row],[_IsLeaf]]=1,Tasks[[#This Row],[_LeafTotalWork]]&gt;0),MAX(Tasks[[#This Row],[_StartWorkday]],NETWORKDAYS.INTL(ProjectStart,Tasks[[#This Row],[_ShownFcstFinish]],WorkWeek,Holidays)),0)</f>
        <v>0</v>
      </c>
      <c r="GA169" s="43" t="n">
        <f aca="false">IF(AND(Tasks[[#This Row],[_IsLeaf]]=1,Tasks[[#This Row],[_LeafTotalWork]]&gt;0),Tasks[[#This Row],[_LeafWork]]/(Tasks[[#This Row],[_FinishWorkday]]-Tasks[[#This Row],[_StartWorkday]]+1),0)</f>
        <v>0</v>
      </c>
      <c r="GB169" s="43" t="n">
        <f aca="false">Tasks[[#This Row],[_WorkPerWorkday]]*(Tasks[[#This Row],[_StartWorkday]]-1)</f>
        <v>-0</v>
      </c>
      <c r="GC169" s="43" t="n">
        <f aca="false">IF(Tasks[[#This Row],[_IsLeaf]]=1,MAX(N(Tasks[[#This Row],[_Days]]),0.1),0)</f>
        <v>0</v>
      </c>
      <c r="GD169" s="43" t="n">
        <f aca="false">Tasks[[#This Row],[_WeightDur]]*Tasks[[#This Row],[_LeafProgress]]</f>
        <v>0</v>
      </c>
      <c r="GE169" s="43" t="n">
        <f aca="false">Tasks[[#This Row],[_WeightDur]]*Tasks[[#This Row],[_PlannedPct]]</f>
        <v>0</v>
      </c>
      <c r="GF1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9" s="43" t="str">
        <f aca="false">IF(AND(Tasks[[#This Row],[_IsLeaf]]=1,N(Tasks[[#This Row],[_Days]])=0,Tasks[[#This Row],[_LeafProgress]]&lt;1),Tasks[[#This Row],[_ShownFcstFinish]]+Tasks[[#This Row],[_Row]]/100000,"")</f>
        <v/>
      </c>
      <c r="GH1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9" s="43" t="str">
        <f aca="false">IF(Tasks[[#This Row],[Task Name]]="","",LEFT(Tasks[[#This Row],[WBS]],FIND(".",Tasks[[#This Row],[WBS]]&amp;".")-1))</f>
        <v/>
      </c>
      <c r="GJ169" s="43" t="str">
        <f aca="false">IF(AND(Tasks[[#This Row],[Task Name]]&lt;&gt;"",Tasks[[#This Row],[_Level]]=1),Tasks[[#This Row],[_Row]],"")</f>
        <v/>
      </c>
      <c r="GK169" s="43" t="str">
        <f aca="false">IF(AND(Tasks[[#This Row],[_IsLeaf]]=1,N(Tasks[[#This Row],[_Days]])=0),Tasks[[#This Row],[Planned Finish]]+Tasks[[#This Row],[_Row]]/100000,"")</f>
        <v/>
      </c>
      <c r="GL169" s="43" t="str">
        <f aca="false">IF(AND(Tasks[[#This Row],[_IsLeaf]]=1,Tasks[[#This Row],[_LeafProgress]]&lt;1,OR(N(Tasks[[#This Row],[Finish Var]])&gt;0,Tasks[[#This Row],[Status]]="Late Start")),MAX(0,Tasks[[#This Row],[Finish Var]])+1-Tasks[[#This Row],[_Row]]/1000000,"")</f>
        <v/>
      </c>
      <c r="GM169" s="43" t="str">
        <f aca="false">IF(AND(Tasks[[#This Row],[_IsLeaf]]=1,N(Tasks[[#This Row],[Actual Start]])=0,Tasks[[#This Row],[_ShownFcstStart]]&gt;=StatusDate,Tasks[[#This Row],[_ShownFcstStart]]&lt;=LookaheadEnd),Tasks[[#This Row],[_ShownFcstStart]]+Tasks[[#This Row],[_Row]]/100000,"")</f>
        <v/>
      </c>
      <c r="GN169" s="43" t="str">
        <f aca="false">IF(AND(Tasks[[#This Row],[_IsLeaf]]=1,Tasks[[#This Row],[_LeafProgress]]&lt;1,Tasks[[#This Row],[_ShownFcstFinish]]&gt;=StatusDate,Tasks[[#This Row],[_ShownFcstFinish]]&lt;=LookaheadEnd),Tasks[[#This Row],[_ShownFcstFinish]]+Tasks[[#This Row],[_Row]]/100000,"")</f>
        <v/>
      </c>
      <c r="GO169" s="43" t="str">
        <f aca="false">IF(Tasks[[#This Row],[_LeafCritical]],Tasks[[#This Row],[_ShownFcstStart]]+Tasks[[#This Row],[_Row]]/100000,"")</f>
        <v/>
      </c>
      <c r="GP169" s="43" t="n">
        <f aca="false">Tasks[[#This Row],[_LeafWork]]*Tasks[[#This Row],[_LeafProgress]]</f>
        <v>0</v>
      </c>
      <c r="GQ169" s="91" t="str">
        <f aca="false">IF(AND(Tasks[[#This Row],[_IsLeaf]]=1,Tasks[[#This Row],[_LeafProgress]]&gt;=1),IF(N(Tasks[[#This Row],[Actual Finish]])&gt;0,Tasks[[#This Row],[Actual Finish]],Tasks[[#This Row],[_ShownFcstFinish]]),"")</f>
        <v/>
      </c>
      <c r="GR169" s="43" t="n">
        <f aca="false">IF(Tasks[[#This Row],[_IsLeaf]]=1,N(Tasks[[#This Row],[Story Points]]),0)</f>
        <v>0</v>
      </c>
      <c r="GS169" s="43" t="str">
        <f aca="false">""</f>
        <v/>
      </c>
      <c r="GT169" s="90" t="b">
        <f aca="false">IF(Tasks[[#This Row],[Task Name]]="",FALSE(),AND(Tasks[[#This Row],[_IsLeaf]]=1,N(Tasks[[#This Row],[_Days]])=0))</f>
        <v>0</v>
      </c>
      <c r="GU169" s="91" t="n">
        <f aca="false">IF(Tasks[[#This Row],[Task Name]]="",0,IF(AND(Tasks[[#This Row],[_IsLeaf]]=1,NOT(Tasks[[#This Row],[_IsMilestone]]),N(Tasks[[#This Row],[Progress]])&gt;0),Tasks[[#This Row],[Start]],0))</f>
        <v>0</v>
      </c>
      <c r="GV169" s="91" t="n">
        <f aca="false">IF(Tasks[[#This Row],[_DoneFrom]]=0,0,IF(Tasks[[#This Row],[Progress]]&gt;=1,Tasks[[#This Row],[Finish]],MAX(Tasks[[#This Row],[_DoneFrom]],Tasks[[#This Row],[Start]]+ROUND((Tasks[[#This Row],[Finish]]-Tasks[[#This Row],[Start]]+1)*Tasks[[#This Row],[Progress]],0)-1)))</f>
        <v>0</v>
      </c>
      <c r="GW169" s="91" t="n">
        <f aca="false">IF(Tasks[[#This Row],[Task Name]]="",0,IF(OR(NOT(Tasks[[#This Row],[_IsLeaf]]=1),Tasks[[#This Row],[_IsMilestone]],N(Tasks[[#This Row],[Progress]])&gt;=1),0,IF(Tasks[[#This Row],[_DoneTo]]&gt;0,Tasks[[#This Row],[_DoneTo]]+1,Tasks[[#This Row],[Start]])))</f>
        <v>0</v>
      </c>
      <c r="GX169" s="91" t="n">
        <f aca="false">IF(Tasks[[#This Row],[_RemFrom]]=0,0,Tasks[[#This Row],[Finish]])</f>
        <v>0</v>
      </c>
      <c r="GY169" s="90" t="b">
        <f aca="false">IF(Tasks[[#This Row],[Task Name]]="",FALSE(),OR(NOT(BaselineSet),N(Tasks[[#This Row],[Baseline Start]])&gt;0))</f>
        <v>0</v>
      </c>
      <c r="GZ16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9" s="92" t="str">
        <f aca="false">IF(Tasks[[#This Row],[_IsLeaf]]=1,Tasks[[#This Row],[_Row]],"")</f>
        <v/>
      </c>
      <c r="HD169" s="92" t="str">
        <f aca="false">IFERROR(INDEX(Tasks[UID],SMALL(Tasks[_PickKey],Tasks[[#This Row],[_Row]]))&amp;" "&amp;INDEX(Tasks[Task Name],SMALL(Tasks[_PickKey],Tasks[[#This Row],[_Row]])),"")</f>
        <v/>
      </c>
      <c r="HE169" s="43" t="str">
        <f aca="false">IF(Tasks[[#This Row],[Task Name]]="","",IF(Tasks[[#This Row],[_IsSummary]],NETWORKDAYS.INTL(Tasks[[#This Row],[Start]],Tasks[[#This Row],[Finish]],WorkWeek,Holidays),N(Tasks[[#This Row],[_Days]])))</f>
        <v/>
      </c>
      <c r="HF169" s="43" t="n">
        <f aca="false">IF(Tasks[[#This Row],[Expected]]="",0,((Tasks[[#This Row],[Pessimistic]]-Tasks[[#This Row],[Optimistic]])/6)^2)</f>
        <v>0</v>
      </c>
      <c r="HG169" s="43" t="n">
        <f aca="false">IF(Tasks[[#This Row],[Expected]]="",0,Tasks[[#This Row],[Expected]]-N(Tasks[[#This Row],[_Days]]))</f>
        <v>0</v>
      </c>
    </row>
    <row r="170" customFormat="false" ht="15" hidden="false" customHeight="false" outlineLevel="0" collapsed="false">
      <c r="A170" s="21" t="str">
        <f aca="false">IF(Tasks[[#This Row],[Task Name]]="","",COUNTA(Tasks[[#Headers],[Task Name]]:Tasks[[#This Row],[Task Name]])-1)</f>
        <v/>
      </c>
      <c r="B170" s="22" t="n">
        <v>178</v>
      </c>
      <c r="C170" s="22"/>
      <c r="D170" s="23"/>
      <c r="E170" s="22"/>
      <c r="F170" s="23"/>
      <c r="G170" s="22"/>
      <c r="H170" s="22"/>
      <c r="I170" s="23"/>
      <c r="J170" s="22"/>
      <c r="K170" s="22"/>
      <c r="L170" s="23"/>
      <c r="M170" s="22"/>
      <c r="N170" s="22"/>
      <c r="O170" s="23"/>
      <c r="P170" s="22"/>
      <c r="Q170" s="22"/>
      <c r="R170" s="23"/>
      <c r="S170" s="23"/>
      <c r="T170" s="84"/>
      <c r="U170" s="23"/>
      <c r="V170" s="84"/>
      <c r="W170" s="23"/>
      <c r="X170" s="84"/>
      <c r="Y170" s="23"/>
      <c r="Z170" s="84"/>
      <c r="AA170" s="23"/>
      <c r="AB170" s="23"/>
      <c r="AC170" s="7"/>
      <c r="AD170" s="7"/>
      <c r="AE170" s="63" t="str">
        <f aca="false">IF(Tasks[[#This Row],[Task Name]]="","",IF(Tasks[[#This Row],[_IsSummary]],MIN(INDEX(Tasks[_ShownFcstStart],Tasks[[#This Row],[_Row]]+1):INDEX(Tasks[_ShownFcstStart],Tasks[[#This Row],[_Row]]+Tasks[[#This Row],[_Descendants]])),Tasks[[#This Row],[_ShownFcstStart]]))</f>
        <v/>
      </c>
      <c r="AF170" s="63" t="str">
        <f aca="false">IF(Tasks[[#This Row],[Task Name]]="","",IF(Tasks[[#This Row],[_IsSummary]],MAX(INDEX(Tasks[_ShownFcstFinish],Tasks[[#This Row],[_Row]]+1):INDEX(Tasks[_ShownFcstFinish],Tasks[[#This Row],[_Row]]+Tasks[[#This Row],[_Descendants]])),Tasks[[#This Row],[_ShownFcstFinish]]))</f>
        <v/>
      </c>
      <c r="AG170" s="21" t="str">
        <f aca="false">""</f>
        <v/>
      </c>
      <c r="AH170" s="23"/>
      <c r="AI1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0" s="7"/>
      <c r="AK170" s="22"/>
      <c r="AL170" s="23"/>
      <c r="AM170" s="7"/>
      <c r="AN170" s="47" t="str">
        <f aca="false">IF(Tasks[[#This Row],[Task Name]]="","",IF(Tasks[[#This Row],[Finish]]&gt;=Tasks[[#This Row],[Planned Finish]],NETWORKDAYS.INTL(Tasks[[#This Row],[Planned Finish]],Tasks[[#This Row],[Finish]],WorkWeek,Holidays)-1,1-NETWORKDAYS.INTL(Tasks[[#This Row],[Finish]],Tasks[[#This Row],[Planned Finish]],WorkWeek,Holidays)))</f>
        <v/>
      </c>
      <c r="AO170" s="21" t="str">
        <f aca="false">IF(Tasks[[#This Row],[Task Name]]="","",IF(Tasks[[#This Row],[Progress]]&gt;=1,"Complete",IF(OR(N(Tasks[[#This Row],[Actual Start]])&gt;0,Tasks[[#This Row],[Progress]]&gt;0),IF(Tasks[[#This Row],[Finish Var]]&gt;0,"Behind","In Progress"),IF(Tasks[[#This Row],[Planned Start]]&lt;StatusDate,"Late Start","Not Started"))))</f>
        <v/>
      </c>
      <c r="AP170" s="21" t="str">
        <f aca="false">IF(Tasks[[#This Row],[Task Name]]="","",IF(IF(Tasks[[#This Row],[_IsSummary]],COUNTIF(INDEX(Tasks[_LeafCritical],Tasks[[#This Row],[_Row]]+1):INDEX(Tasks[_LeafCritical],Tasks[[#This Row],[_Row]]+Tasks[[#This Row],[_Descendants]]),TRUE())&gt;0,Tasks[[#This Row],[_LeafCritical]]),"Yes",""))</f>
        <v/>
      </c>
      <c r="AQ170" s="63" t="str">
        <f aca="false">IF(Tasks[[#This Row],[Task Name]]="","",IF(N(Tasks[[#This Row],[Baseline Start]])&gt;0,Tasks[[#This Row],[Baseline Start]],Tasks[[#This Row],[_CalcStart]]))</f>
        <v/>
      </c>
      <c r="AR170" s="63" t="str">
        <f aca="false">IF(Tasks[[#This Row],[Task Name]]="","",IF(N(Tasks[[#This Row],[Baseline Finish]])&gt;0,Tasks[[#This Row],[Baseline Finish]],Tasks[[#This Row],[_CalcFinish]]))</f>
        <v/>
      </c>
      <c r="AS170" s="47" t="str">
        <f aca="false">IF(Tasks[[#This Row],[Task Name]]="","",IF(Tasks[[#This Row],[Start]]&gt;=Tasks[[#This Row],[Planned Start]],NETWORKDAYS.INTL(Tasks[[#This Row],[Planned Start]],Tasks[[#This Row],[Start]],WorkWeek,Holidays)-1,1-NETWORKDAYS.INTL(Tasks[[#This Row],[Start]],Tasks[[#This Row],[Planned Start]],WorkWeek,Holidays)))</f>
        <v/>
      </c>
      <c r="AT170" s="63" t="str">
        <f aca="false">IF(Tasks[[#This Row],[Task Name]]="","",IF(Tasks[[#This Row],[_IsSummary]],MIN(INDEX(Tasks[_LeafLateStart],Tasks[[#This Row],[_Row]]+1):INDEX(Tasks[_LeafLateStart],Tasks[[#This Row],[_Row]]+Tasks[[#This Row],[_Descendants]])),Tasks[[#This Row],[_LeafLateStart]]))</f>
        <v/>
      </c>
      <c r="AU170" s="63" t="str">
        <f aca="false">IF(Tasks[[#This Row],[Task Name]]="","",IF(Tasks[[#This Row],[_IsSummary]],MAX(INDEX(Tasks[_LeafLateFinish],Tasks[[#This Row],[_Row]]+1):INDEX(Tasks[_LeafLateFinish],Tasks[[#This Row],[_Row]]+Tasks[[#This Row],[_Descendants]])),Tasks[[#This Row],[_LeafLateFinish]]))</f>
        <v/>
      </c>
      <c r="AV170" s="47" t="str">
        <f aca="false">IF(Tasks[[#This Row],[Task Name]]="","",IF(Tasks[[#This Row],[_IsSummary]],MIN(INDEX(Tasks[_LeafTotalSlack],Tasks[[#This Row],[_Row]]+1):INDEX(Tasks[_LeafTotalSlack],Tasks[[#This Row],[_Row]]+Tasks[[#This Row],[_Descendants]])),Tasks[[#This Row],[_LeafTotalSlack]]))</f>
        <v/>
      </c>
      <c r="AW1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5"/>
      <c r="BA17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t="str">
        <f aca="false">IF(Tasks[[#This Row],[Task Name]]="","",IF(Tasks[[#This Row],[_Level]]&lt;=OutlineShowLevel,"Yes","No"))</f>
        <v/>
      </c>
      <c r="BE170" s="86" t="str">
        <f aca="false">IF(Tasks[[#This Row],[Task Name]]="","",IF(Tasks[[#This Row],[_IsSummary]],SUM(INDEX(Tasks[_LeafTotalWork],Tasks[[#This Row],[_Row]]+1):INDEX(Tasks[_LeafTotalWork],Tasks[[#This Row],[_Row]]+Tasks[[#This Row],[_Descendants]])),Tasks[[#This Row],[_LeafTotalWork]]))</f>
        <v/>
      </c>
      <c r="BF170" s="23"/>
      <c r="BG1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t="str">
        <f aca="false">""</f>
        <v/>
      </c>
      <c r="BI170" s="87"/>
      <c r="BJ170" s="22"/>
      <c r="BK170" s="47" t="str">
        <f aca="false">IF(OR(Tasks[[#This Row],[Task Name]]="",Tasks[[#This Row],[Baseline Duration]]=""),"",Tasks[[#This Row],[_SpanDays]]-N(Tasks[[#This Row],[Baseline Duration]]))</f>
        <v/>
      </c>
      <c r="BL170" s="86" t="str">
        <f aca="false">IF(OR(Tasks[[#This Row],[Task Name]]="",Tasks[[#This Row],[Baseline Work]]=""),"",Tasks[[#This Row],[Work]]-N(Tasks[[#This Row],[Baseline Work]]))</f>
        <v/>
      </c>
      <c r="BM170" s="63" t="str">
        <f aca="false">IF(Tasks[[#This Row],[Task Name]]="","",IF(OR(TakeBaseline="Yes",N(Tasks[[#This Row],[Baseline Start]])=0),Tasks[[#This Row],[Start]],Tasks[[#This Row],[Baseline Start]]))</f>
        <v/>
      </c>
      <c r="BN170" s="63" t="str">
        <f aca="false">IF(Tasks[[#This Row],[Task Name]]="","",IF(OR(TakeBaseline="Yes",N(Tasks[[#This Row],[Baseline Finish]])=0),Tasks[[#This Row],[Finish]],Tasks[[#This Row],[Baseline Finish]]))</f>
        <v/>
      </c>
      <c r="BO170" s="21" t="str">
        <f aca="false">IF(Tasks[[#This Row],[Task Name]]="","",IF(OR(TakeBaseline="Yes",N(Tasks[[#This Row],[Baseline Duration]])=0),Tasks[[#This Row],[_SpanDays]],Tasks[[#This Row],[Baseline Duration]]))</f>
        <v/>
      </c>
      <c r="BP170" s="86" t="str">
        <f aca="false">IF(Tasks[[#This Row],[Task Name]]="","",IF(OR(TakeBaseline="Yes",N(Tasks[[#This Row],[Baseline Work]])=0),Tasks[[#This Row],[Work]],Tasks[[#This Row],[Baseline Work]]))</f>
        <v/>
      </c>
      <c r="BQ170" s="7"/>
      <c r="BR170" s="7"/>
      <c r="BS170" s="22"/>
      <c r="BT170" s="88"/>
      <c r="BU170" s="23"/>
      <c r="BV170" s="23"/>
      <c r="BW170" s="23"/>
      <c r="BX170" s="89" t="str">
        <f aca="false">IF(AND(Tasks[[#This Row],[_IsLeaf]]=1,ISNUMBER(Tasks[[#This Row],[Optimistic]]),ISNUMBER(Tasks[[#This Row],[Pessimistic]])),ROUND((Tasks[[#This Row],[Optimistic]]+4*N(Tasks[[#This Row],[_Days]])+Tasks[[#This Row],[Pessimistic]])/6,1),"")</f>
        <v/>
      </c>
      <c r="BY170" s="87"/>
      <c r="BZ170" s="87"/>
      <c r="CA170" s="22"/>
      <c r="CB170" s="43" t="str">
        <f aca="false">IF(Tasks[[#This Row],[Task Name]]="","",MAX(1,N(Tasks[[#This Row],[Level]])))</f>
        <v/>
      </c>
      <c r="CC170" s="43" t="n">
        <f aca="false">ROW()-ROW(Tasks[[#Headers],[ID]])</f>
        <v>165</v>
      </c>
      <c r="CD170" s="43" t="n">
        <f aca="false">IF(OR(Tasks[[#This Row],[Task Name]]="",Tasks[[#This Row],[_Level]]&lt;=1),0,IFERROR(LOOKUP(2,1/(Tasks[[#Headers],[_Level]]:Tasks[[#This Row],[_Level]]=Tasks[[#This Row],[_Level]]-1),ROW(Tasks[[#Headers],[_Level]]:Tasks[[#This Row],[_Level]])),0))</f>
        <v>0</v>
      </c>
      <c r="CE170" s="43" t="n">
        <f aca="false">IFERROR(N(INDEX(Tasks[_Level],Tasks[[#This Row],[_Row]]+1)),0)</f>
        <v>0</v>
      </c>
      <c r="CF170" s="90" t="b">
        <f aca="false">AND(Tasks[[#This Row],[Task Name]]&lt;&gt;"",Tasks[[#This Row],[_NextLevel]]&gt;Tasks[[#This Row],[_Level]])</f>
        <v>0</v>
      </c>
      <c r="CG170" s="43" t="n">
        <f aca="false">IF(Tasks[[#This Row],[_IsSummary]],COUNTIF(Tasks[WBS],Tasks[[#This Row],[WBS]]&amp;".*"),0)</f>
        <v>0</v>
      </c>
      <c r="CH170" s="43" t="n">
        <f aca="false">IF(AND(Tasks[[#This Row],[Task Name]]&lt;&gt;"",NOT(Tasks[[#This Row],[_IsSummary]])),1,0)</f>
        <v>0</v>
      </c>
      <c r="CI170" s="43" t="n">
        <f aca="false">IF(N(Tasks[[#This Row],[_Pred1UID]])=0,0,IFERROR(MATCH(Tasks[[#This Row],[_Pred1UID]],Tasks[UID],0),-1))</f>
        <v>0</v>
      </c>
      <c r="CJ170" s="43" t="n">
        <f aca="false">IF(N(Tasks[[#This Row],[_Pred2UID]])=0,0,IFERROR(MATCH(Tasks[[#This Row],[_Pred2UID]],Tasks[UID],0),-1))</f>
        <v>0</v>
      </c>
      <c r="CK170" s="43" t="n">
        <f aca="false">IF(N(Tasks[[#This Row],[_Pred3UID]])=0,0,IFERROR(MATCH(Tasks[[#This Row],[_Pred3UID]],Tasks[UID],0),-1))</f>
        <v>0</v>
      </c>
      <c r="CL170" s="43" t="n">
        <f aca="false">IF(N(Tasks[[#This Row],[_Pred4UID]])=0,0,IFERROR(MATCH(Tasks[[#This Row],[_Pred4UID]],Tasks[UID],0),-1))</f>
        <v>0</v>
      </c>
      <c r="CM1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0" s="91" t="n">
        <f aca="false">IF(OR(Tasks[[#This Row],[_ConstraintCode]]=2,Tasks[[#This Row],[_ConstraintCode]]=3,Tasks[[#This Row],[_ConstraintCode]]=4,Tasks[[#This Row],[_ConstraintCode]]=6),Tasks[[#This Row],[_ConstraintStart]],0)</f>
        <v>0</v>
      </c>
      <c r="CP170" s="91" t="n">
        <f aca="false">IF(OR(Tasks[[#This Row],[_ConstraintCode]]=2,Tasks[[#This Row],[_ConstraintCode]]=3,Tasks[[#This Row],[_ConstraintCode]]=5,Tasks[[#This Row],[_ConstraintCode]]=7),Tasks[[#This Row],[_ConstraintStart]],2958465)</f>
        <v>2958465</v>
      </c>
      <c r="CQ1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0" s="91" t="str">
        <f aca="false">IF(NOT(Tasks[[#This Row],[_IsLeaf]]=1),"",IF(N(Tasks[[#This Row],[_Days]])&lt;=0,Tasks[[#This Row],[_LeafCalcStart]],WORKDAY.INTL(Tasks[[#This Row],[_LeafCalcStart]],Tasks[[#This Row],[_Days]]-1,WorkWeek,Holidays)))</f>
        <v/>
      </c>
      <c r="CS1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0" s="43" t="str">
        <f aca="false">IF(Tasks[[#This Row],[_Predecessors]]="","",TRIM(MID(SUBSTITUTE(SUBSTITUTE(SUBSTITUTE(UPPER(Tasks[[#This Row],[_Predecessors]]),";",",")," ",""),",",REPT(" ",99)),1,99)))</f>
        <v/>
      </c>
      <c r="CV170" s="43" t="str">
        <f aca="false">IF(Tasks[[#This Row],[_Pred1Text]]="","",IFERROR(VALUE(LEFT(Tasks[[#This Row],[_Pred1Text]],MIN(FIND("F",Tasks[[#This Row],[_Pred1Text]]&amp;"F"),FIND("S",Tasks[[#This Row],[_Pred1Text]]&amp;"S"),FIND("+",Tasks[[#This Row],[_Pred1Text]]&amp;"+"),FIND("-",Tasks[[#This Row],[_Pred1Text]]&amp;"-"))-1)),""))</f>
        <v/>
      </c>
      <c r="CW1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0" s="43" t="str">
        <f aca="false">IF(Tasks[[#This Row],[_Pred1Text]]="","",TRIM(MID(SUBSTITUTE(SUBSTITUTE(SUBSTITUTE(UPPER(Tasks[[#This Row],[_Predecessors]]),";",",")," ",""),",",REPT(" ",99)),100,99)))</f>
        <v/>
      </c>
      <c r="CZ170" s="43" t="str">
        <f aca="false">IF(Tasks[[#This Row],[_Pred2Text]]="","",IFERROR(VALUE(LEFT(Tasks[[#This Row],[_Pred2Text]],MIN(FIND("F",Tasks[[#This Row],[_Pred2Text]]&amp;"F"),FIND("S",Tasks[[#This Row],[_Pred2Text]]&amp;"S"),FIND("+",Tasks[[#This Row],[_Pred2Text]]&amp;"+"),FIND("-",Tasks[[#This Row],[_Pred2Text]]&amp;"-"))-1)),""))</f>
        <v/>
      </c>
      <c r="DA1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0" s="43" t="str">
        <f aca="false">IF(Tasks[[#This Row],[_Pred2Text]]="","",TRIM(MID(SUBSTITUTE(SUBSTITUTE(SUBSTITUTE(UPPER(Tasks[[#This Row],[_Predecessors]]),";",",")," ",""),",",REPT(" ",99)),199,99)))</f>
        <v/>
      </c>
      <c r="DD170" s="43" t="str">
        <f aca="false">IF(Tasks[[#This Row],[_Pred3Text]]="","",IFERROR(VALUE(LEFT(Tasks[[#This Row],[_Pred3Text]],MIN(FIND("F",Tasks[[#This Row],[_Pred3Text]]&amp;"F"),FIND("S",Tasks[[#This Row],[_Pred3Text]]&amp;"S"),FIND("+",Tasks[[#This Row],[_Pred3Text]]&amp;"+"),FIND("-",Tasks[[#This Row],[_Pred3Text]]&amp;"-"))-1)),""))</f>
        <v/>
      </c>
      <c r="DE1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0" s="43" t="str">
        <f aca="false">IF(Tasks[[#This Row],[_Pred3Text]]="","",TRIM(MID(SUBSTITUTE(SUBSTITUTE(SUBSTITUTE(UPPER(Tasks[[#This Row],[_Predecessors]]),";",",")," ",""),",",REPT(" ",99)),298,99)))</f>
        <v/>
      </c>
      <c r="DH170" s="43" t="str">
        <f aca="false">IF(Tasks[[#This Row],[_Pred4Text]]="","",IFERROR(VALUE(LEFT(Tasks[[#This Row],[_Pred4Text]],MIN(FIND("F",Tasks[[#This Row],[_Pred4Text]]&amp;"F"),FIND("S",Tasks[[#This Row],[_Pred4Text]]&amp;"S"),FIND("+",Tasks[[#This Row],[_Pred4Text]]&amp;"+"),FIND("-",Tasks[[#This Row],[_Pred4Text]]&amp;"-"))-1)),""))</f>
        <v/>
      </c>
      <c r="DI1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0" s="43" t="str">
        <f aca="false">IF(OR(Tasks[[#This Row],[Task Name]]="",Tasks[[#This Row],[_Resources]]=""),"",TRIM(MID(SUBSTITUTE(Tasks[[#This Row],[_Resources]],",",REPT(" ",99)),1,99)))</f>
        <v/>
      </c>
      <c r="DL170" s="43" t="str">
        <f aca="false">IF(Tasks[[#This Row],[_Res1Text]]="","",TRIM(MID(SUBSTITUTE(Tasks[[#This Row],[_Resources]],",",REPT(" ",99)),100,99)))</f>
        <v/>
      </c>
      <c r="DM170" s="43" t="str">
        <f aca="false">IF(Tasks[[#This Row],[_Res2Text]]="","",TRIM(MID(SUBSTITUTE(Tasks[[#This Row],[_Resources]],",",REPT(" ",99)),199,99)))</f>
        <v/>
      </c>
      <c r="DN170" s="43" t="str">
        <f aca="false">IF(Tasks[[#This Row],[_Res3Text]]="","",TRIM(MID(SUBSTITUTE(Tasks[[#This Row],[_Resources]],",",REPT(" ",99)),298,99)))</f>
        <v/>
      </c>
      <c r="DO170" s="43" t="n">
        <f aca="false">IF(Tasks[[#This Row],[_Res1Text]]="",0,IFERROR(MATCH(TRIM(LEFT(Tasks[[#This Row],[_Res1Text]],FIND("[",Tasks[[#This Row],[_Res1Text]]&amp;"[")-1)),res_Name,0),IFERROR(MATCH(TRIM(LEFT(Tasks[[#This Row],[_Res1Text]],FIND("[",Tasks[[#This Row],[_Res1Text]]&amp;"[")-1)),res_Initials,0),0)))</f>
        <v>0</v>
      </c>
      <c r="DP170" s="43" t="n">
        <f aca="false">IF(Tasks[[#This Row],[_Res2Text]]="",0,IFERROR(MATCH(TRIM(LEFT(Tasks[[#This Row],[_Res2Text]],FIND("[",Tasks[[#This Row],[_Res2Text]]&amp;"[")-1)),res_Name,0),IFERROR(MATCH(TRIM(LEFT(Tasks[[#This Row],[_Res2Text]],FIND("[",Tasks[[#This Row],[_Res2Text]]&amp;"[")-1)),res_Initials,0),0)))</f>
        <v>0</v>
      </c>
      <c r="DQ170" s="43" t="n">
        <f aca="false">IF(Tasks[[#This Row],[_Res3Text]]="",0,IFERROR(MATCH(TRIM(LEFT(Tasks[[#This Row],[_Res3Text]],FIND("[",Tasks[[#This Row],[_Res3Text]]&amp;"[")-1)),res_Name,0),IFERROR(MATCH(TRIM(LEFT(Tasks[[#This Row],[_Res3Text]],FIND("[",Tasks[[#This Row],[_Res3Text]]&amp;"[")-1)),res_Initials,0),0)))</f>
        <v>0</v>
      </c>
      <c r="DR170" s="43" t="n">
        <f aca="false">IF(Tasks[[#This Row],[_Res4Text]]="",0,IFERROR(MATCH(TRIM(LEFT(Tasks[[#This Row],[_Res4Text]],FIND("[",Tasks[[#This Row],[_Res4Text]]&amp;"[")-1)),res_Name,0),IFERROR(MATCH(TRIM(LEFT(Tasks[[#This Row],[_Res4Text]],FIND("[",Tasks[[#This Row],[_Res4Text]]&amp;"[")-1)),res_Initials,0),0)))</f>
        <v>0</v>
      </c>
      <c r="DS170" s="43" t="str">
        <f aca="false">IF(Tasks[[#This Row],[_Res1Text]]="","",IF(Tasks[[#This Row],[_Res1Row]]&gt;0,INDEX(res_Name,Tasks[[#This Row],[_Res1Row]]),TRIM(LEFT(Tasks[[#This Row],[_Res1Text]],FIND("[",Tasks[[#This Row],[_Res1Text]]&amp;"[")-1))))</f>
        <v/>
      </c>
      <c r="DT1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0" s="43" t="n">
        <f aca="false">IF(NOT(Tasks[[#This Row],[_IsLeaf]]=1),0,(Tasks[[#This Row],[_Resource1]]&lt;&gt;"")+(Tasks[[#This Row],[_Res2]]&lt;&gt;"")+(Tasks[[#This Row],[_Res3]]&lt;&gt;"")+(Tasks[[#This Row],[_Res4]]&lt;&gt;""))</f>
        <v>0</v>
      </c>
      <c r="DV170" s="43" t="str">
        <f aca="false">IF(Tasks[[#This Row],[_Res2Text]]="","",IF(Tasks[[#This Row],[_Res2Row]]&gt;0,INDEX(res_Name,Tasks[[#This Row],[_Res2Row]]),TRIM(LEFT(Tasks[[#This Row],[_Res2Text]],FIND("[",Tasks[[#This Row],[_Res2Text]]&amp;"[")-1))))</f>
        <v/>
      </c>
      <c r="DW1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0" s="43" t="n">
        <f aca="false">IF(OR(NOT(Tasks[[#This Row],[_IsLeaf]]=1),Tasks[[#This Row],[_Res2Row]]=0),0,N(Tasks[[#This Row],[_Days]])*HoursPerDay*IF(Tasks[[#This Row],[_Res2Units]]="",DefaultUnits,Tasks[[#This Row],[_Res2Units]]))</f>
        <v>0</v>
      </c>
      <c r="DY170" s="43" t="n">
        <f aca="false">IF(AND(AND(Tasks[[#This Row],[_IsLeaf]]=1,Tasks[[#This Row],[_LeafTotalWork]]&gt;0),Tasks[[#This Row],[_Res2Work]]&gt;0),Tasks[[#This Row],[_Res2Work]]/(Tasks[[#This Row],[_FinishWorkday]]-Tasks[[#This Row],[_StartWorkday]]+1),0)</f>
        <v>0</v>
      </c>
      <c r="DZ170" s="43" t="n">
        <f aca="false">Tasks[[#This Row],[_Res2WorkPerWD]]*MAX(0,Tasks[[#This Row],[_StartWorkday]]-1)</f>
        <v>0</v>
      </c>
      <c r="EA170" s="43" t="n">
        <f aca="false">Tasks[[#This Row],[_Res2Work]]*Tasks[[#This Row],[_LeafProgress]]</f>
        <v>0</v>
      </c>
      <c r="EB170" s="43" t="str">
        <f aca="false">IF(Tasks[[#This Row],[_Res3Text]]="","",IF(Tasks[[#This Row],[_Res3Row]]&gt;0,INDEX(res_Name,Tasks[[#This Row],[_Res3Row]]),TRIM(LEFT(Tasks[[#This Row],[_Res3Text]],FIND("[",Tasks[[#This Row],[_Res3Text]]&amp;"[")-1))))</f>
        <v/>
      </c>
      <c r="EC1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0" s="43" t="n">
        <f aca="false">IF(OR(NOT(Tasks[[#This Row],[_IsLeaf]]=1),Tasks[[#This Row],[_Res3Row]]=0),0,N(Tasks[[#This Row],[_Days]])*HoursPerDay*IF(Tasks[[#This Row],[_Res3Units]]="",DefaultUnits,Tasks[[#This Row],[_Res3Units]]))</f>
        <v>0</v>
      </c>
      <c r="EE170" s="43" t="n">
        <f aca="false">IF(AND(AND(Tasks[[#This Row],[_IsLeaf]]=1,Tasks[[#This Row],[_LeafTotalWork]]&gt;0),Tasks[[#This Row],[_Res3Work]]&gt;0),Tasks[[#This Row],[_Res3Work]]/(Tasks[[#This Row],[_FinishWorkday]]-Tasks[[#This Row],[_StartWorkday]]+1),0)</f>
        <v>0</v>
      </c>
      <c r="EF170" s="43" t="n">
        <f aca="false">Tasks[[#This Row],[_Res3WorkPerWD]]*MAX(0,Tasks[[#This Row],[_StartWorkday]]-1)</f>
        <v>0</v>
      </c>
      <c r="EG170" s="43" t="n">
        <f aca="false">Tasks[[#This Row],[_Res3Work]]*Tasks[[#This Row],[_LeafProgress]]</f>
        <v>0</v>
      </c>
      <c r="EH170" s="43" t="str">
        <f aca="false">IF(Tasks[[#This Row],[_Res4Text]]="","",IF(Tasks[[#This Row],[_Res4Row]]&gt;0,INDEX(res_Name,Tasks[[#This Row],[_Res4Row]]),TRIM(LEFT(Tasks[[#This Row],[_Res4Text]],FIND("[",Tasks[[#This Row],[_Res4Text]]&amp;"[")-1))))</f>
        <v/>
      </c>
      <c r="EI1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0" s="43" t="n">
        <f aca="false">IF(OR(NOT(Tasks[[#This Row],[_IsLeaf]]=1),Tasks[[#This Row],[_Res4Row]]=0),0,N(Tasks[[#This Row],[_Days]])*HoursPerDay*IF(Tasks[[#This Row],[_Res4Units]]="",DefaultUnits,Tasks[[#This Row],[_Res4Units]]))</f>
        <v>0</v>
      </c>
      <c r="EK170" s="43" t="n">
        <f aca="false">IF(AND(AND(Tasks[[#This Row],[_IsLeaf]]=1,Tasks[[#This Row],[_LeafTotalWork]]&gt;0),Tasks[[#This Row],[_Res4Work]]&gt;0),Tasks[[#This Row],[_Res4Work]]/(Tasks[[#This Row],[_FinishWorkday]]-Tasks[[#This Row],[_StartWorkday]]+1),0)</f>
        <v>0</v>
      </c>
      <c r="EL170" s="43" t="n">
        <f aca="false">Tasks[[#This Row],[_Res4WorkPerWD]]*MAX(0,Tasks[[#This Row],[_StartWorkday]]-1)</f>
        <v>0</v>
      </c>
      <c r="EM170" s="43" t="n">
        <f aca="false">Tasks[[#This Row],[_Res4Work]]*Tasks[[#This Row],[_LeafProgress]]</f>
        <v>0</v>
      </c>
      <c r="EN170" s="43" t="n">
        <f aca="false">IF(ISNUMBER(Tasks[[#This Row],[% Complete]]),Tasks[[#This Row],[% Complete]],IF(Tasks[[#This Row],[Stage]]="",0,IFERROR(INDEX(stg_Pct,MATCH(Tasks[[#This Row],[Stage]],stg_Name,0)),0)))</f>
        <v>0</v>
      </c>
      <c r="EO170" s="43" t="n">
        <f aca="false">IF(NOT(Tasks[[#This Row],[_IsLeaf]]=1),0,IF(N(Tasks[[#This Row],[Actual Finish]])&gt;0,1,MIN(1,Tasks[[#This Row],[_Pct]])))</f>
        <v>0</v>
      </c>
      <c r="EP170" s="43" t="n">
        <f aca="false">IF(OR(NOT(Tasks[[#This Row],[_IsLeaf]]=1),Tasks[[#This Row],[_Res1Row]]=0),0,N(Tasks[[#This Row],[_Days]])*HoursPerDay*IF(Tasks[[#This Row],[_Units1]]="",DefaultUnits,Tasks[[#This Row],[_Units1]]))</f>
        <v>0</v>
      </c>
      <c r="EQ170" s="43" t="n">
        <f aca="false">Tasks[[#This Row],[_LeafWork]]+Tasks[[#This Row],[_Res2Work]]+Tasks[[#This Row],[_Res3Work]]+Tasks[[#This Row],[_Res4Work]]</f>
        <v>0</v>
      </c>
      <c r="ER17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0" s="43" t="n">
        <f aca="false">IF(NOT(Tasks[[#This Row],[_IsLeaf]]=1),0,MAX(_xlfn.MAXIFS(Tasks[_Row],Tasks[_Pred1UID],Tasks[[#This Row],[UID]]),_xlfn.MAXIFS(Tasks[_Row],Tasks[_Pred2UID],Tasks[[#This Row],[UID]]),_xlfn.MAXIFS(Tasks[_Row],Tasks[_Pred3UID],Tasks[[#This Row],[UID]]),_xlfn.MAXIFS(Tasks[_Row],Tasks[_Pred4UID],Tasks[[#This Row],[UID]])))</f>
        <v>0</v>
      </c>
      <c r="FA1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0" s="91" t="str">
        <f aca="false">IF(NOT(Tasks[[#This Row],[_IsLeaf]]=1),"",IF(N(Tasks[[#This Row],[_Days]])&lt;=0,Tasks[[#This Row],[_LeafLateFinish]],WORKDAY.INTL(Tasks[[#This Row],[_LeafLateFinish]],-(Tasks[[#This Row],[_Days]]-1),WorkWeek,Holidays)))</f>
        <v/>
      </c>
      <c r="FD1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0" s="90" t="b">
        <f aca="false">AND(Tasks[[#This Row],[_IsLeaf]]=1,Tasks[[#This Row],[_LeafProgress]]&lt;1,N(Tasks[[#This Row],[_LeafTotalSlack]])&lt;=CriticalSlackDays)</f>
        <v>0</v>
      </c>
      <c r="FF170" s="43" t="n">
        <f aca="false">IF(AND(Tasks[[#This Row],[_IsLeaf]]=1,Tasks[[#This Row],[_ConstraintCode]]=1,Tasks[[#This Row],[Mode]]&lt;&gt;"Manual",N(Tasks[[#This Row],[Actual Start]])=0),MAX(0,N(Tasks[[#This Row],[Free Slack]])),0)</f>
        <v>0</v>
      </c>
      <c r="FG170" s="91" t="str">
        <f aca="false">IF(NOT(Tasks[[#This Row],[_IsLeaf]]=1),"",IF(Tasks[[#This Row],[_AlapShift]]=0,Tasks[[#This Row],[_LeafCalcStart]],WORKDAY.INTL(Tasks[[#This Row],[_LeafCalcStart]],Tasks[[#This Row],[_AlapShift]],WorkWeek,Holidays)))</f>
        <v/>
      </c>
      <c r="FH170" s="91" t="str">
        <f aca="false">IF(NOT(Tasks[[#This Row],[_IsLeaf]]=1),"",IF(Tasks[[#This Row],[_AlapShift]]=0,Tasks[[#This Row],[_LeafCalcFinish]],WORKDAY.INTL(Tasks[[#This Row],[_LeafCalcFinish]],Tasks[[#This Row],[_AlapShift]],WorkWeek,Holidays)))</f>
        <v/>
      </c>
      <c r="FI170" s="91" t="str">
        <f aca="false">IF(NOT(Tasks[[#This Row],[_IsLeaf]]=1),"",IF(Tasks[[#This Row],[_AlapShift]]=0,Tasks[[#This Row],[_LeafFcstStart]],WORKDAY.INTL(Tasks[[#This Row],[_LeafFcstStart]],Tasks[[#This Row],[_AlapShift]],WorkWeek,Holidays)))</f>
        <v/>
      </c>
      <c r="FJ170" s="91" t="str">
        <f aca="false">IF(NOT(Tasks[[#This Row],[_IsLeaf]]=1),"",IF(Tasks[[#This Row],[_AlapShift]]=0,Tasks[[#This Row],[_LeafFcstFinish]],WORKDAY.INTL(Tasks[[#This Row],[_LeafFcstFinish]],Tasks[[#This Row],[_AlapShift]],WorkWeek,Holidays)))</f>
        <v/>
      </c>
      <c r="FK170" s="91" t="str">
        <f aca="false">IF(Tasks[[#This Row],[Task Name]]="","",IF(Tasks[[#This Row],[_IsSummary]],MIN(INDEX(Tasks[_ShownCalcStart],Tasks[[#This Row],[_Row]]+1):INDEX(Tasks[_ShownCalcStart],Tasks[[#This Row],[_Row]]+Tasks[[#This Row],[_Descendants]])),Tasks[[#This Row],[_ShownCalcStart]]))</f>
        <v/>
      </c>
      <c r="FL170" s="91" t="str">
        <f aca="false">IF(Tasks[[#This Row],[Task Name]]="","",IF(Tasks[[#This Row],[_IsSummary]],MAX(INDEX(Tasks[_ShownCalcFinish],Tasks[[#This Row],[_Row]]+1):INDEX(Tasks[_ShownCalcFinish],Tasks[[#This Row],[_Row]]+Tasks[[#This Row],[_Descendants]])),Tasks[[#This Row],[_ShownCalcFinish]]))</f>
        <v/>
      </c>
      <c r="FM1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0" s="43" t="n">
        <f aca="false">IF(AND(Tasks[[#This Row],[_IsLeaf]]=1,Tasks[[#This Row],[_LeafTotalWork]]&gt;0),NETWORKDAYS.INTL(ProjectStart,Tasks[[#This Row],[_ShownFcstStart]],WorkWeek,Holidays),0)</f>
        <v>0</v>
      </c>
      <c r="FZ170" s="43" t="n">
        <f aca="false">IF(AND(Tasks[[#This Row],[_IsLeaf]]=1,Tasks[[#This Row],[_LeafTotalWork]]&gt;0),MAX(Tasks[[#This Row],[_StartWorkday]],NETWORKDAYS.INTL(ProjectStart,Tasks[[#This Row],[_ShownFcstFinish]],WorkWeek,Holidays)),0)</f>
        <v>0</v>
      </c>
      <c r="GA170" s="43" t="n">
        <f aca="false">IF(AND(Tasks[[#This Row],[_IsLeaf]]=1,Tasks[[#This Row],[_LeafTotalWork]]&gt;0),Tasks[[#This Row],[_LeafWork]]/(Tasks[[#This Row],[_FinishWorkday]]-Tasks[[#This Row],[_StartWorkday]]+1),0)</f>
        <v>0</v>
      </c>
      <c r="GB170" s="43" t="n">
        <f aca="false">Tasks[[#This Row],[_WorkPerWorkday]]*(Tasks[[#This Row],[_StartWorkday]]-1)</f>
        <v>-0</v>
      </c>
      <c r="GC170" s="43" t="n">
        <f aca="false">IF(Tasks[[#This Row],[_IsLeaf]]=1,MAX(N(Tasks[[#This Row],[_Days]]),0.1),0)</f>
        <v>0</v>
      </c>
      <c r="GD170" s="43" t="n">
        <f aca="false">Tasks[[#This Row],[_WeightDur]]*Tasks[[#This Row],[_LeafProgress]]</f>
        <v>0</v>
      </c>
      <c r="GE170" s="43" t="n">
        <f aca="false">Tasks[[#This Row],[_WeightDur]]*Tasks[[#This Row],[_PlannedPct]]</f>
        <v>0</v>
      </c>
      <c r="GF1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0" s="43" t="str">
        <f aca="false">IF(AND(Tasks[[#This Row],[_IsLeaf]]=1,N(Tasks[[#This Row],[_Days]])=0,Tasks[[#This Row],[_LeafProgress]]&lt;1),Tasks[[#This Row],[_ShownFcstFinish]]+Tasks[[#This Row],[_Row]]/100000,"")</f>
        <v/>
      </c>
      <c r="GH1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0" s="43" t="str">
        <f aca="false">IF(Tasks[[#This Row],[Task Name]]="","",LEFT(Tasks[[#This Row],[WBS]],FIND(".",Tasks[[#This Row],[WBS]]&amp;".")-1))</f>
        <v/>
      </c>
      <c r="GJ170" s="43" t="str">
        <f aca="false">IF(AND(Tasks[[#This Row],[Task Name]]&lt;&gt;"",Tasks[[#This Row],[_Level]]=1),Tasks[[#This Row],[_Row]],"")</f>
        <v/>
      </c>
      <c r="GK170" s="43" t="str">
        <f aca="false">IF(AND(Tasks[[#This Row],[_IsLeaf]]=1,N(Tasks[[#This Row],[_Days]])=0),Tasks[[#This Row],[Planned Finish]]+Tasks[[#This Row],[_Row]]/100000,"")</f>
        <v/>
      </c>
      <c r="GL170" s="43" t="str">
        <f aca="false">IF(AND(Tasks[[#This Row],[_IsLeaf]]=1,Tasks[[#This Row],[_LeafProgress]]&lt;1,OR(N(Tasks[[#This Row],[Finish Var]])&gt;0,Tasks[[#This Row],[Status]]="Late Start")),MAX(0,Tasks[[#This Row],[Finish Var]])+1-Tasks[[#This Row],[_Row]]/1000000,"")</f>
        <v/>
      </c>
      <c r="GM170" s="43" t="str">
        <f aca="false">IF(AND(Tasks[[#This Row],[_IsLeaf]]=1,N(Tasks[[#This Row],[Actual Start]])=0,Tasks[[#This Row],[_ShownFcstStart]]&gt;=StatusDate,Tasks[[#This Row],[_ShownFcstStart]]&lt;=LookaheadEnd),Tasks[[#This Row],[_ShownFcstStart]]+Tasks[[#This Row],[_Row]]/100000,"")</f>
        <v/>
      </c>
      <c r="GN170" s="43" t="str">
        <f aca="false">IF(AND(Tasks[[#This Row],[_IsLeaf]]=1,Tasks[[#This Row],[_LeafProgress]]&lt;1,Tasks[[#This Row],[_ShownFcstFinish]]&gt;=StatusDate,Tasks[[#This Row],[_ShownFcstFinish]]&lt;=LookaheadEnd),Tasks[[#This Row],[_ShownFcstFinish]]+Tasks[[#This Row],[_Row]]/100000,"")</f>
        <v/>
      </c>
      <c r="GO170" s="43" t="str">
        <f aca="false">IF(Tasks[[#This Row],[_LeafCritical]],Tasks[[#This Row],[_ShownFcstStart]]+Tasks[[#This Row],[_Row]]/100000,"")</f>
        <v/>
      </c>
      <c r="GP170" s="43" t="n">
        <f aca="false">Tasks[[#This Row],[_LeafWork]]*Tasks[[#This Row],[_LeafProgress]]</f>
        <v>0</v>
      </c>
      <c r="GQ170" s="91" t="str">
        <f aca="false">IF(AND(Tasks[[#This Row],[_IsLeaf]]=1,Tasks[[#This Row],[_LeafProgress]]&gt;=1),IF(N(Tasks[[#This Row],[Actual Finish]])&gt;0,Tasks[[#This Row],[Actual Finish]],Tasks[[#This Row],[_ShownFcstFinish]]),"")</f>
        <v/>
      </c>
      <c r="GR170" s="43" t="n">
        <f aca="false">IF(Tasks[[#This Row],[_IsLeaf]]=1,N(Tasks[[#This Row],[Story Points]]),0)</f>
        <v>0</v>
      </c>
      <c r="GS170" s="43" t="str">
        <f aca="false">""</f>
        <v/>
      </c>
      <c r="GT170" s="90" t="b">
        <f aca="false">IF(Tasks[[#This Row],[Task Name]]="",FALSE(),AND(Tasks[[#This Row],[_IsLeaf]]=1,N(Tasks[[#This Row],[_Days]])=0))</f>
        <v>0</v>
      </c>
      <c r="GU170" s="91" t="n">
        <f aca="false">IF(Tasks[[#This Row],[Task Name]]="",0,IF(AND(Tasks[[#This Row],[_IsLeaf]]=1,NOT(Tasks[[#This Row],[_IsMilestone]]),N(Tasks[[#This Row],[Progress]])&gt;0),Tasks[[#This Row],[Start]],0))</f>
        <v>0</v>
      </c>
      <c r="GV170" s="91" t="n">
        <f aca="false">IF(Tasks[[#This Row],[_DoneFrom]]=0,0,IF(Tasks[[#This Row],[Progress]]&gt;=1,Tasks[[#This Row],[Finish]],MAX(Tasks[[#This Row],[_DoneFrom]],Tasks[[#This Row],[Start]]+ROUND((Tasks[[#This Row],[Finish]]-Tasks[[#This Row],[Start]]+1)*Tasks[[#This Row],[Progress]],0)-1)))</f>
        <v>0</v>
      </c>
      <c r="GW170" s="91" t="n">
        <f aca="false">IF(Tasks[[#This Row],[Task Name]]="",0,IF(OR(NOT(Tasks[[#This Row],[_IsLeaf]]=1),Tasks[[#This Row],[_IsMilestone]],N(Tasks[[#This Row],[Progress]])&gt;=1),0,IF(Tasks[[#This Row],[_DoneTo]]&gt;0,Tasks[[#This Row],[_DoneTo]]+1,Tasks[[#This Row],[Start]])))</f>
        <v>0</v>
      </c>
      <c r="GX170" s="91" t="n">
        <f aca="false">IF(Tasks[[#This Row],[_RemFrom]]=0,0,Tasks[[#This Row],[Finish]])</f>
        <v>0</v>
      </c>
      <c r="GY170" s="90" t="b">
        <f aca="false">IF(Tasks[[#This Row],[Task Name]]="",FALSE(),OR(NOT(BaselineSet),N(Tasks[[#This Row],[Baseline Start]])&gt;0))</f>
        <v>0</v>
      </c>
      <c r="GZ17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0" s="92" t="str">
        <f aca="false">IF(Tasks[[#This Row],[_IsLeaf]]=1,Tasks[[#This Row],[_Row]],"")</f>
        <v/>
      </c>
      <c r="HD170" s="92" t="str">
        <f aca="false">IFERROR(INDEX(Tasks[UID],SMALL(Tasks[_PickKey],Tasks[[#This Row],[_Row]]))&amp;" "&amp;INDEX(Tasks[Task Name],SMALL(Tasks[_PickKey],Tasks[[#This Row],[_Row]])),"")</f>
        <v/>
      </c>
      <c r="HE170" s="43" t="str">
        <f aca="false">IF(Tasks[[#This Row],[Task Name]]="","",IF(Tasks[[#This Row],[_IsSummary]],NETWORKDAYS.INTL(Tasks[[#This Row],[Start]],Tasks[[#This Row],[Finish]],WorkWeek,Holidays),N(Tasks[[#This Row],[_Days]])))</f>
        <v/>
      </c>
      <c r="HF170" s="43" t="n">
        <f aca="false">IF(Tasks[[#This Row],[Expected]]="",0,((Tasks[[#This Row],[Pessimistic]]-Tasks[[#This Row],[Optimistic]])/6)^2)</f>
        <v>0</v>
      </c>
      <c r="HG170" s="43" t="n">
        <f aca="false">IF(Tasks[[#This Row],[Expected]]="",0,Tasks[[#This Row],[Expected]]-N(Tasks[[#This Row],[_Days]]))</f>
        <v>0</v>
      </c>
    </row>
    <row r="171" customFormat="false" ht="15" hidden="false" customHeight="false" outlineLevel="0" collapsed="false">
      <c r="A171" s="21" t="str">
        <f aca="false">IF(Tasks[[#This Row],[Task Name]]="","",COUNTA(Tasks[[#Headers],[Task Name]]:Tasks[[#This Row],[Task Name]])-1)</f>
        <v/>
      </c>
      <c r="B171" s="22" t="n">
        <v>179</v>
      </c>
      <c r="C171" s="22"/>
      <c r="D171" s="23"/>
      <c r="E171" s="22"/>
      <c r="F171" s="23"/>
      <c r="G171" s="22"/>
      <c r="H171" s="22"/>
      <c r="I171" s="23"/>
      <c r="J171" s="22"/>
      <c r="K171" s="22"/>
      <c r="L171" s="23"/>
      <c r="M171" s="22"/>
      <c r="N171" s="22"/>
      <c r="O171" s="23"/>
      <c r="P171" s="22"/>
      <c r="Q171" s="22"/>
      <c r="R171" s="23"/>
      <c r="S171" s="23"/>
      <c r="T171" s="84"/>
      <c r="U171" s="23"/>
      <c r="V171" s="84"/>
      <c r="W171" s="23"/>
      <c r="X171" s="84"/>
      <c r="Y171" s="23"/>
      <c r="Z171" s="84"/>
      <c r="AA171" s="23"/>
      <c r="AB171" s="23"/>
      <c r="AC171" s="7"/>
      <c r="AD171" s="7"/>
      <c r="AE171" s="63" t="str">
        <f aca="false">IF(Tasks[[#This Row],[Task Name]]="","",IF(Tasks[[#This Row],[_IsSummary]],MIN(INDEX(Tasks[_ShownFcstStart],Tasks[[#This Row],[_Row]]+1):INDEX(Tasks[_ShownFcstStart],Tasks[[#This Row],[_Row]]+Tasks[[#This Row],[_Descendants]])),Tasks[[#This Row],[_ShownFcstStart]]))</f>
        <v/>
      </c>
      <c r="AF171" s="63" t="str">
        <f aca="false">IF(Tasks[[#This Row],[Task Name]]="","",IF(Tasks[[#This Row],[_IsSummary]],MAX(INDEX(Tasks[_ShownFcstFinish],Tasks[[#This Row],[_Row]]+1):INDEX(Tasks[_ShownFcstFinish],Tasks[[#This Row],[_Row]]+Tasks[[#This Row],[_Descendants]])),Tasks[[#This Row],[_ShownFcstFinish]]))</f>
        <v/>
      </c>
      <c r="AG171" s="21" t="str">
        <f aca="false">""</f>
        <v/>
      </c>
      <c r="AH171" s="23"/>
      <c r="AI1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1" s="7"/>
      <c r="AK171" s="22"/>
      <c r="AL171" s="23"/>
      <c r="AM171" s="7"/>
      <c r="AN171" s="47" t="str">
        <f aca="false">IF(Tasks[[#This Row],[Task Name]]="","",IF(Tasks[[#This Row],[Finish]]&gt;=Tasks[[#This Row],[Planned Finish]],NETWORKDAYS.INTL(Tasks[[#This Row],[Planned Finish]],Tasks[[#This Row],[Finish]],WorkWeek,Holidays)-1,1-NETWORKDAYS.INTL(Tasks[[#This Row],[Finish]],Tasks[[#This Row],[Planned Finish]],WorkWeek,Holidays)))</f>
        <v/>
      </c>
      <c r="AO171" s="21" t="str">
        <f aca="false">IF(Tasks[[#This Row],[Task Name]]="","",IF(Tasks[[#This Row],[Progress]]&gt;=1,"Complete",IF(OR(N(Tasks[[#This Row],[Actual Start]])&gt;0,Tasks[[#This Row],[Progress]]&gt;0),IF(Tasks[[#This Row],[Finish Var]]&gt;0,"Behind","In Progress"),IF(Tasks[[#This Row],[Planned Start]]&lt;StatusDate,"Late Start","Not Started"))))</f>
        <v/>
      </c>
      <c r="AP171" s="21" t="str">
        <f aca="false">IF(Tasks[[#This Row],[Task Name]]="","",IF(IF(Tasks[[#This Row],[_IsSummary]],COUNTIF(INDEX(Tasks[_LeafCritical],Tasks[[#This Row],[_Row]]+1):INDEX(Tasks[_LeafCritical],Tasks[[#This Row],[_Row]]+Tasks[[#This Row],[_Descendants]]),TRUE())&gt;0,Tasks[[#This Row],[_LeafCritical]]),"Yes",""))</f>
        <v/>
      </c>
      <c r="AQ171" s="63" t="str">
        <f aca="false">IF(Tasks[[#This Row],[Task Name]]="","",IF(N(Tasks[[#This Row],[Baseline Start]])&gt;0,Tasks[[#This Row],[Baseline Start]],Tasks[[#This Row],[_CalcStart]]))</f>
        <v/>
      </c>
      <c r="AR171" s="63" t="str">
        <f aca="false">IF(Tasks[[#This Row],[Task Name]]="","",IF(N(Tasks[[#This Row],[Baseline Finish]])&gt;0,Tasks[[#This Row],[Baseline Finish]],Tasks[[#This Row],[_CalcFinish]]))</f>
        <v/>
      </c>
      <c r="AS171" s="47" t="str">
        <f aca="false">IF(Tasks[[#This Row],[Task Name]]="","",IF(Tasks[[#This Row],[Start]]&gt;=Tasks[[#This Row],[Planned Start]],NETWORKDAYS.INTL(Tasks[[#This Row],[Planned Start]],Tasks[[#This Row],[Start]],WorkWeek,Holidays)-1,1-NETWORKDAYS.INTL(Tasks[[#This Row],[Start]],Tasks[[#This Row],[Planned Start]],WorkWeek,Holidays)))</f>
        <v/>
      </c>
      <c r="AT171" s="63" t="str">
        <f aca="false">IF(Tasks[[#This Row],[Task Name]]="","",IF(Tasks[[#This Row],[_IsSummary]],MIN(INDEX(Tasks[_LeafLateStart],Tasks[[#This Row],[_Row]]+1):INDEX(Tasks[_LeafLateStart],Tasks[[#This Row],[_Row]]+Tasks[[#This Row],[_Descendants]])),Tasks[[#This Row],[_LeafLateStart]]))</f>
        <v/>
      </c>
      <c r="AU171" s="63" t="str">
        <f aca="false">IF(Tasks[[#This Row],[Task Name]]="","",IF(Tasks[[#This Row],[_IsSummary]],MAX(INDEX(Tasks[_LeafLateFinish],Tasks[[#This Row],[_Row]]+1):INDEX(Tasks[_LeafLateFinish],Tasks[[#This Row],[_Row]]+Tasks[[#This Row],[_Descendants]])),Tasks[[#This Row],[_LeafLateFinish]]))</f>
        <v/>
      </c>
      <c r="AV171" s="47" t="str">
        <f aca="false">IF(Tasks[[#This Row],[Task Name]]="","",IF(Tasks[[#This Row],[_IsSummary]],MIN(INDEX(Tasks[_LeafTotalSlack],Tasks[[#This Row],[_Row]]+1):INDEX(Tasks[_LeafTotalSlack],Tasks[[#This Row],[_Row]]+Tasks[[#This Row],[_Descendants]])),Tasks[[#This Row],[_LeafTotalSlack]]))</f>
        <v/>
      </c>
      <c r="AW1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5"/>
      <c r="BA17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t="str">
        <f aca="false">IF(Tasks[[#This Row],[Task Name]]="","",IF(Tasks[[#This Row],[_Level]]&lt;=OutlineShowLevel,"Yes","No"))</f>
        <v/>
      </c>
      <c r="BE171" s="86" t="str">
        <f aca="false">IF(Tasks[[#This Row],[Task Name]]="","",IF(Tasks[[#This Row],[_IsSummary]],SUM(INDEX(Tasks[_LeafTotalWork],Tasks[[#This Row],[_Row]]+1):INDEX(Tasks[_LeafTotalWork],Tasks[[#This Row],[_Row]]+Tasks[[#This Row],[_Descendants]])),Tasks[[#This Row],[_LeafTotalWork]]))</f>
        <v/>
      </c>
      <c r="BF171" s="23"/>
      <c r="BG1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t="str">
        <f aca="false">""</f>
        <v/>
      </c>
      <c r="BI171" s="87"/>
      <c r="BJ171" s="22"/>
      <c r="BK171" s="47" t="str">
        <f aca="false">IF(OR(Tasks[[#This Row],[Task Name]]="",Tasks[[#This Row],[Baseline Duration]]=""),"",Tasks[[#This Row],[_SpanDays]]-N(Tasks[[#This Row],[Baseline Duration]]))</f>
        <v/>
      </c>
      <c r="BL171" s="86" t="str">
        <f aca="false">IF(OR(Tasks[[#This Row],[Task Name]]="",Tasks[[#This Row],[Baseline Work]]=""),"",Tasks[[#This Row],[Work]]-N(Tasks[[#This Row],[Baseline Work]]))</f>
        <v/>
      </c>
      <c r="BM171" s="63" t="str">
        <f aca="false">IF(Tasks[[#This Row],[Task Name]]="","",IF(OR(TakeBaseline="Yes",N(Tasks[[#This Row],[Baseline Start]])=0),Tasks[[#This Row],[Start]],Tasks[[#This Row],[Baseline Start]]))</f>
        <v/>
      </c>
      <c r="BN171" s="63" t="str">
        <f aca="false">IF(Tasks[[#This Row],[Task Name]]="","",IF(OR(TakeBaseline="Yes",N(Tasks[[#This Row],[Baseline Finish]])=0),Tasks[[#This Row],[Finish]],Tasks[[#This Row],[Baseline Finish]]))</f>
        <v/>
      </c>
      <c r="BO171" s="21" t="str">
        <f aca="false">IF(Tasks[[#This Row],[Task Name]]="","",IF(OR(TakeBaseline="Yes",N(Tasks[[#This Row],[Baseline Duration]])=0),Tasks[[#This Row],[_SpanDays]],Tasks[[#This Row],[Baseline Duration]]))</f>
        <v/>
      </c>
      <c r="BP171" s="86" t="str">
        <f aca="false">IF(Tasks[[#This Row],[Task Name]]="","",IF(OR(TakeBaseline="Yes",N(Tasks[[#This Row],[Baseline Work]])=0),Tasks[[#This Row],[Work]],Tasks[[#This Row],[Baseline Work]]))</f>
        <v/>
      </c>
      <c r="BQ171" s="7"/>
      <c r="BR171" s="7"/>
      <c r="BS171" s="22"/>
      <c r="BT171" s="88"/>
      <c r="BU171" s="23"/>
      <c r="BV171" s="23"/>
      <c r="BW171" s="23"/>
      <c r="BX171" s="89" t="str">
        <f aca="false">IF(AND(Tasks[[#This Row],[_IsLeaf]]=1,ISNUMBER(Tasks[[#This Row],[Optimistic]]),ISNUMBER(Tasks[[#This Row],[Pessimistic]])),ROUND((Tasks[[#This Row],[Optimistic]]+4*N(Tasks[[#This Row],[_Days]])+Tasks[[#This Row],[Pessimistic]])/6,1),"")</f>
        <v/>
      </c>
      <c r="BY171" s="87"/>
      <c r="BZ171" s="87"/>
      <c r="CA171" s="22"/>
      <c r="CB171" s="43" t="str">
        <f aca="false">IF(Tasks[[#This Row],[Task Name]]="","",MAX(1,N(Tasks[[#This Row],[Level]])))</f>
        <v/>
      </c>
      <c r="CC171" s="43" t="n">
        <f aca="false">ROW()-ROW(Tasks[[#Headers],[ID]])</f>
        <v>166</v>
      </c>
      <c r="CD171" s="43" t="n">
        <f aca="false">IF(OR(Tasks[[#This Row],[Task Name]]="",Tasks[[#This Row],[_Level]]&lt;=1),0,IFERROR(LOOKUP(2,1/(Tasks[[#Headers],[_Level]]:Tasks[[#This Row],[_Level]]=Tasks[[#This Row],[_Level]]-1),ROW(Tasks[[#Headers],[_Level]]:Tasks[[#This Row],[_Level]])),0))</f>
        <v>0</v>
      </c>
      <c r="CE171" s="43" t="n">
        <f aca="false">IFERROR(N(INDEX(Tasks[_Level],Tasks[[#This Row],[_Row]]+1)),0)</f>
        <v>0</v>
      </c>
      <c r="CF171" s="90" t="b">
        <f aca="false">AND(Tasks[[#This Row],[Task Name]]&lt;&gt;"",Tasks[[#This Row],[_NextLevel]]&gt;Tasks[[#This Row],[_Level]])</f>
        <v>0</v>
      </c>
      <c r="CG171" s="43" t="n">
        <f aca="false">IF(Tasks[[#This Row],[_IsSummary]],COUNTIF(Tasks[WBS],Tasks[[#This Row],[WBS]]&amp;".*"),0)</f>
        <v>0</v>
      </c>
      <c r="CH171" s="43" t="n">
        <f aca="false">IF(AND(Tasks[[#This Row],[Task Name]]&lt;&gt;"",NOT(Tasks[[#This Row],[_IsSummary]])),1,0)</f>
        <v>0</v>
      </c>
      <c r="CI171" s="43" t="n">
        <f aca="false">IF(N(Tasks[[#This Row],[_Pred1UID]])=0,0,IFERROR(MATCH(Tasks[[#This Row],[_Pred1UID]],Tasks[UID],0),-1))</f>
        <v>0</v>
      </c>
      <c r="CJ171" s="43" t="n">
        <f aca="false">IF(N(Tasks[[#This Row],[_Pred2UID]])=0,0,IFERROR(MATCH(Tasks[[#This Row],[_Pred2UID]],Tasks[UID],0),-1))</f>
        <v>0</v>
      </c>
      <c r="CK171" s="43" t="n">
        <f aca="false">IF(N(Tasks[[#This Row],[_Pred3UID]])=0,0,IFERROR(MATCH(Tasks[[#This Row],[_Pred3UID]],Tasks[UID],0),-1))</f>
        <v>0</v>
      </c>
      <c r="CL171" s="43" t="n">
        <f aca="false">IF(N(Tasks[[#This Row],[_Pred4UID]])=0,0,IFERROR(MATCH(Tasks[[#This Row],[_Pred4UID]],Tasks[UID],0),-1))</f>
        <v>0</v>
      </c>
      <c r="CM1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1" s="91" t="n">
        <f aca="false">IF(OR(Tasks[[#This Row],[_ConstraintCode]]=2,Tasks[[#This Row],[_ConstraintCode]]=3,Tasks[[#This Row],[_ConstraintCode]]=4,Tasks[[#This Row],[_ConstraintCode]]=6),Tasks[[#This Row],[_ConstraintStart]],0)</f>
        <v>0</v>
      </c>
      <c r="CP171" s="91" t="n">
        <f aca="false">IF(OR(Tasks[[#This Row],[_ConstraintCode]]=2,Tasks[[#This Row],[_ConstraintCode]]=3,Tasks[[#This Row],[_ConstraintCode]]=5,Tasks[[#This Row],[_ConstraintCode]]=7),Tasks[[#This Row],[_ConstraintStart]],2958465)</f>
        <v>2958465</v>
      </c>
      <c r="CQ1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1" s="91" t="str">
        <f aca="false">IF(NOT(Tasks[[#This Row],[_IsLeaf]]=1),"",IF(N(Tasks[[#This Row],[_Days]])&lt;=0,Tasks[[#This Row],[_LeafCalcStart]],WORKDAY.INTL(Tasks[[#This Row],[_LeafCalcStart]],Tasks[[#This Row],[_Days]]-1,WorkWeek,Holidays)))</f>
        <v/>
      </c>
      <c r="CS1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1" s="43" t="str">
        <f aca="false">IF(Tasks[[#This Row],[_Predecessors]]="","",TRIM(MID(SUBSTITUTE(SUBSTITUTE(SUBSTITUTE(UPPER(Tasks[[#This Row],[_Predecessors]]),";",",")," ",""),",",REPT(" ",99)),1,99)))</f>
        <v/>
      </c>
      <c r="CV171" s="43" t="str">
        <f aca="false">IF(Tasks[[#This Row],[_Pred1Text]]="","",IFERROR(VALUE(LEFT(Tasks[[#This Row],[_Pred1Text]],MIN(FIND("F",Tasks[[#This Row],[_Pred1Text]]&amp;"F"),FIND("S",Tasks[[#This Row],[_Pred1Text]]&amp;"S"),FIND("+",Tasks[[#This Row],[_Pred1Text]]&amp;"+"),FIND("-",Tasks[[#This Row],[_Pred1Text]]&amp;"-"))-1)),""))</f>
        <v/>
      </c>
      <c r="CW1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1" s="43" t="str">
        <f aca="false">IF(Tasks[[#This Row],[_Pred1Text]]="","",TRIM(MID(SUBSTITUTE(SUBSTITUTE(SUBSTITUTE(UPPER(Tasks[[#This Row],[_Predecessors]]),";",",")," ",""),",",REPT(" ",99)),100,99)))</f>
        <v/>
      </c>
      <c r="CZ171" s="43" t="str">
        <f aca="false">IF(Tasks[[#This Row],[_Pred2Text]]="","",IFERROR(VALUE(LEFT(Tasks[[#This Row],[_Pred2Text]],MIN(FIND("F",Tasks[[#This Row],[_Pred2Text]]&amp;"F"),FIND("S",Tasks[[#This Row],[_Pred2Text]]&amp;"S"),FIND("+",Tasks[[#This Row],[_Pred2Text]]&amp;"+"),FIND("-",Tasks[[#This Row],[_Pred2Text]]&amp;"-"))-1)),""))</f>
        <v/>
      </c>
      <c r="DA1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1" s="43" t="str">
        <f aca="false">IF(Tasks[[#This Row],[_Pred2Text]]="","",TRIM(MID(SUBSTITUTE(SUBSTITUTE(SUBSTITUTE(UPPER(Tasks[[#This Row],[_Predecessors]]),";",",")," ",""),",",REPT(" ",99)),199,99)))</f>
        <v/>
      </c>
      <c r="DD171" s="43" t="str">
        <f aca="false">IF(Tasks[[#This Row],[_Pred3Text]]="","",IFERROR(VALUE(LEFT(Tasks[[#This Row],[_Pred3Text]],MIN(FIND("F",Tasks[[#This Row],[_Pred3Text]]&amp;"F"),FIND("S",Tasks[[#This Row],[_Pred3Text]]&amp;"S"),FIND("+",Tasks[[#This Row],[_Pred3Text]]&amp;"+"),FIND("-",Tasks[[#This Row],[_Pred3Text]]&amp;"-"))-1)),""))</f>
        <v/>
      </c>
      <c r="DE1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1" s="43" t="str">
        <f aca="false">IF(Tasks[[#This Row],[_Pred3Text]]="","",TRIM(MID(SUBSTITUTE(SUBSTITUTE(SUBSTITUTE(UPPER(Tasks[[#This Row],[_Predecessors]]),";",",")," ",""),",",REPT(" ",99)),298,99)))</f>
        <v/>
      </c>
      <c r="DH171" s="43" t="str">
        <f aca="false">IF(Tasks[[#This Row],[_Pred4Text]]="","",IFERROR(VALUE(LEFT(Tasks[[#This Row],[_Pred4Text]],MIN(FIND("F",Tasks[[#This Row],[_Pred4Text]]&amp;"F"),FIND("S",Tasks[[#This Row],[_Pred4Text]]&amp;"S"),FIND("+",Tasks[[#This Row],[_Pred4Text]]&amp;"+"),FIND("-",Tasks[[#This Row],[_Pred4Text]]&amp;"-"))-1)),""))</f>
        <v/>
      </c>
      <c r="DI1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1" s="43" t="str">
        <f aca="false">IF(OR(Tasks[[#This Row],[Task Name]]="",Tasks[[#This Row],[_Resources]]=""),"",TRIM(MID(SUBSTITUTE(Tasks[[#This Row],[_Resources]],",",REPT(" ",99)),1,99)))</f>
        <v/>
      </c>
      <c r="DL171" s="43" t="str">
        <f aca="false">IF(Tasks[[#This Row],[_Res1Text]]="","",TRIM(MID(SUBSTITUTE(Tasks[[#This Row],[_Resources]],",",REPT(" ",99)),100,99)))</f>
        <v/>
      </c>
      <c r="DM171" s="43" t="str">
        <f aca="false">IF(Tasks[[#This Row],[_Res2Text]]="","",TRIM(MID(SUBSTITUTE(Tasks[[#This Row],[_Resources]],",",REPT(" ",99)),199,99)))</f>
        <v/>
      </c>
      <c r="DN171" s="43" t="str">
        <f aca="false">IF(Tasks[[#This Row],[_Res3Text]]="","",TRIM(MID(SUBSTITUTE(Tasks[[#This Row],[_Resources]],",",REPT(" ",99)),298,99)))</f>
        <v/>
      </c>
      <c r="DO171" s="43" t="n">
        <f aca="false">IF(Tasks[[#This Row],[_Res1Text]]="",0,IFERROR(MATCH(TRIM(LEFT(Tasks[[#This Row],[_Res1Text]],FIND("[",Tasks[[#This Row],[_Res1Text]]&amp;"[")-1)),res_Name,0),IFERROR(MATCH(TRIM(LEFT(Tasks[[#This Row],[_Res1Text]],FIND("[",Tasks[[#This Row],[_Res1Text]]&amp;"[")-1)),res_Initials,0),0)))</f>
        <v>0</v>
      </c>
      <c r="DP171" s="43" t="n">
        <f aca="false">IF(Tasks[[#This Row],[_Res2Text]]="",0,IFERROR(MATCH(TRIM(LEFT(Tasks[[#This Row],[_Res2Text]],FIND("[",Tasks[[#This Row],[_Res2Text]]&amp;"[")-1)),res_Name,0),IFERROR(MATCH(TRIM(LEFT(Tasks[[#This Row],[_Res2Text]],FIND("[",Tasks[[#This Row],[_Res2Text]]&amp;"[")-1)),res_Initials,0),0)))</f>
        <v>0</v>
      </c>
      <c r="DQ171" s="43" t="n">
        <f aca="false">IF(Tasks[[#This Row],[_Res3Text]]="",0,IFERROR(MATCH(TRIM(LEFT(Tasks[[#This Row],[_Res3Text]],FIND("[",Tasks[[#This Row],[_Res3Text]]&amp;"[")-1)),res_Name,0),IFERROR(MATCH(TRIM(LEFT(Tasks[[#This Row],[_Res3Text]],FIND("[",Tasks[[#This Row],[_Res3Text]]&amp;"[")-1)),res_Initials,0),0)))</f>
        <v>0</v>
      </c>
      <c r="DR171" s="43" t="n">
        <f aca="false">IF(Tasks[[#This Row],[_Res4Text]]="",0,IFERROR(MATCH(TRIM(LEFT(Tasks[[#This Row],[_Res4Text]],FIND("[",Tasks[[#This Row],[_Res4Text]]&amp;"[")-1)),res_Name,0),IFERROR(MATCH(TRIM(LEFT(Tasks[[#This Row],[_Res4Text]],FIND("[",Tasks[[#This Row],[_Res4Text]]&amp;"[")-1)),res_Initials,0),0)))</f>
        <v>0</v>
      </c>
      <c r="DS171" s="43" t="str">
        <f aca="false">IF(Tasks[[#This Row],[_Res1Text]]="","",IF(Tasks[[#This Row],[_Res1Row]]&gt;0,INDEX(res_Name,Tasks[[#This Row],[_Res1Row]]),TRIM(LEFT(Tasks[[#This Row],[_Res1Text]],FIND("[",Tasks[[#This Row],[_Res1Text]]&amp;"[")-1))))</f>
        <v/>
      </c>
      <c r="DT1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1" s="43" t="n">
        <f aca="false">IF(NOT(Tasks[[#This Row],[_IsLeaf]]=1),0,(Tasks[[#This Row],[_Resource1]]&lt;&gt;"")+(Tasks[[#This Row],[_Res2]]&lt;&gt;"")+(Tasks[[#This Row],[_Res3]]&lt;&gt;"")+(Tasks[[#This Row],[_Res4]]&lt;&gt;""))</f>
        <v>0</v>
      </c>
      <c r="DV171" s="43" t="str">
        <f aca="false">IF(Tasks[[#This Row],[_Res2Text]]="","",IF(Tasks[[#This Row],[_Res2Row]]&gt;0,INDEX(res_Name,Tasks[[#This Row],[_Res2Row]]),TRIM(LEFT(Tasks[[#This Row],[_Res2Text]],FIND("[",Tasks[[#This Row],[_Res2Text]]&amp;"[")-1))))</f>
        <v/>
      </c>
      <c r="DW1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1" s="43" t="n">
        <f aca="false">IF(OR(NOT(Tasks[[#This Row],[_IsLeaf]]=1),Tasks[[#This Row],[_Res2Row]]=0),0,N(Tasks[[#This Row],[_Days]])*HoursPerDay*IF(Tasks[[#This Row],[_Res2Units]]="",DefaultUnits,Tasks[[#This Row],[_Res2Units]]))</f>
        <v>0</v>
      </c>
      <c r="DY171" s="43" t="n">
        <f aca="false">IF(AND(AND(Tasks[[#This Row],[_IsLeaf]]=1,Tasks[[#This Row],[_LeafTotalWork]]&gt;0),Tasks[[#This Row],[_Res2Work]]&gt;0),Tasks[[#This Row],[_Res2Work]]/(Tasks[[#This Row],[_FinishWorkday]]-Tasks[[#This Row],[_StartWorkday]]+1),0)</f>
        <v>0</v>
      </c>
      <c r="DZ171" s="43" t="n">
        <f aca="false">Tasks[[#This Row],[_Res2WorkPerWD]]*MAX(0,Tasks[[#This Row],[_StartWorkday]]-1)</f>
        <v>0</v>
      </c>
      <c r="EA171" s="43" t="n">
        <f aca="false">Tasks[[#This Row],[_Res2Work]]*Tasks[[#This Row],[_LeafProgress]]</f>
        <v>0</v>
      </c>
      <c r="EB171" s="43" t="str">
        <f aca="false">IF(Tasks[[#This Row],[_Res3Text]]="","",IF(Tasks[[#This Row],[_Res3Row]]&gt;0,INDEX(res_Name,Tasks[[#This Row],[_Res3Row]]),TRIM(LEFT(Tasks[[#This Row],[_Res3Text]],FIND("[",Tasks[[#This Row],[_Res3Text]]&amp;"[")-1))))</f>
        <v/>
      </c>
      <c r="EC1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1" s="43" t="n">
        <f aca="false">IF(OR(NOT(Tasks[[#This Row],[_IsLeaf]]=1),Tasks[[#This Row],[_Res3Row]]=0),0,N(Tasks[[#This Row],[_Days]])*HoursPerDay*IF(Tasks[[#This Row],[_Res3Units]]="",DefaultUnits,Tasks[[#This Row],[_Res3Units]]))</f>
        <v>0</v>
      </c>
      <c r="EE171" s="43" t="n">
        <f aca="false">IF(AND(AND(Tasks[[#This Row],[_IsLeaf]]=1,Tasks[[#This Row],[_LeafTotalWork]]&gt;0),Tasks[[#This Row],[_Res3Work]]&gt;0),Tasks[[#This Row],[_Res3Work]]/(Tasks[[#This Row],[_FinishWorkday]]-Tasks[[#This Row],[_StartWorkday]]+1),0)</f>
        <v>0</v>
      </c>
      <c r="EF171" s="43" t="n">
        <f aca="false">Tasks[[#This Row],[_Res3WorkPerWD]]*MAX(0,Tasks[[#This Row],[_StartWorkday]]-1)</f>
        <v>0</v>
      </c>
      <c r="EG171" s="43" t="n">
        <f aca="false">Tasks[[#This Row],[_Res3Work]]*Tasks[[#This Row],[_LeafProgress]]</f>
        <v>0</v>
      </c>
      <c r="EH171" s="43" t="str">
        <f aca="false">IF(Tasks[[#This Row],[_Res4Text]]="","",IF(Tasks[[#This Row],[_Res4Row]]&gt;0,INDEX(res_Name,Tasks[[#This Row],[_Res4Row]]),TRIM(LEFT(Tasks[[#This Row],[_Res4Text]],FIND("[",Tasks[[#This Row],[_Res4Text]]&amp;"[")-1))))</f>
        <v/>
      </c>
      <c r="EI1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1" s="43" t="n">
        <f aca="false">IF(OR(NOT(Tasks[[#This Row],[_IsLeaf]]=1),Tasks[[#This Row],[_Res4Row]]=0),0,N(Tasks[[#This Row],[_Days]])*HoursPerDay*IF(Tasks[[#This Row],[_Res4Units]]="",DefaultUnits,Tasks[[#This Row],[_Res4Units]]))</f>
        <v>0</v>
      </c>
      <c r="EK171" s="43" t="n">
        <f aca="false">IF(AND(AND(Tasks[[#This Row],[_IsLeaf]]=1,Tasks[[#This Row],[_LeafTotalWork]]&gt;0),Tasks[[#This Row],[_Res4Work]]&gt;0),Tasks[[#This Row],[_Res4Work]]/(Tasks[[#This Row],[_FinishWorkday]]-Tasks[[#This Row],[_StartWorkday]]+1),0)</f>
        <v>0</v>
      </c>
      <c r="EL171" s="43" t="n">
        <f aca="false">Tasks[[#This Row],[_Res4WorkPerWD]]*MAX(0,Tasks[[#This Row],[_StartWorkday]]-1)</f>
        <v>0</v>
      </c>
      <c r="EM171" s="43" t="n">
        <f aca="false">Tasks[[#This Row],[_Res4Work]]*Tasks[[#This Row],[_LeafProgress]]</f>
        <v>0</v>
      </c>
      <c r="EN171" s="43" t="n">
        <f aca="false">IF(ISNUMBER(Tasks[[#This Row],[% Complete]]),Tasks[[#This Row],[% Complete]],IF(Tasks[[#This Row],[Stage]]="",0,IFERROR(INDEX(stg_Pct,MATCH(Tasks[[#This Row],[Stage]],stg_Name,0)),0)))</f>
        <v>0</v>
      </c>
      <c r="EO171" s="43" t="n">
        <f aca="false">IF(NOT(Tasks[[#This Row],[_IsLeaf]]=1),0,IF(N(Tasks[[#This Row],[Actual Finish]])&gt;0,1,MIN(1,Tasks[[#This Row],[_Pct]])))</f>
        <v>0</v>
      </c>
      <c r="EP171" s="43" t="n">
        <f aca="false">IF(OR(NOT(Tasks[[#This Row],[_IsLeaf]]=1),Tasks[[#This Row],[_Res1Row]]=0),0,N(Tasks[[#This Row],[_Days]])*HoursPerDay*IF(Tasks[[#This Row],[_Units1]]="",DefaultUnits,Tasks[[#This Row],[_Units1]]))</f>
        <v>0</v>
      </c>
      <c r="EQ171" s="43" t="n">
        <f aca="false">Tasks[[#This Row],[_LeafWork]]+Tasks[[#This Row],[_Res2Work]]+Tasks[[#This Row],[_Res3Work]]+Tasks[[#This Row],[_Res4Work]]</f>
        <v>0</v>
      </c>
      <c r="ER17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1" s="43" t="n">
        <f aca="false">IF(NOT(Tasks[[#This Row],[_IsLeaf]]=1),0,MAX(_xlfn.MAXIFS(Tasks[_Row],Tasks[_Pred1UID],Tasks[[#This Row],[UID]]),_xlfn.MAXIFS(Tasks[_Row],Tasks[_Pred2UID],Tasks[[#This Row],[UID]]),_xlfn.MAXIFS(Tasks[_Row],Tasks[_Pred3UID],Tasks[[#This Row],[UID]]),_xlfn.MAXIFS(Tasks[_Row],Tasks[_Pred4UID],Tasks[[#This Row],[UID]])))</f>
        <v>0</v>
      </c>
      <c r="FA1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1" s="91" t="str">
        <f aca="false">IF(NOT(Tasks[[#This Row],[_IsLeaf]]=1),"",IF(N(Tasks[[#This Row],[_Days]])&lt;=0,Tasks[[#This Row],[_LeafLateFinish]],WORKDAY.INTL(Tasks[[#This Row],[_LeafLateFinish]],-(Tasks[[#This Row],[_Days]]-1),WorkWeek,Holidays)))</f>
        <v/>
      </c>
      <c r="FD1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1" s="90" t="b">
        <f aca="false">AND(Tasks[[#This Row],[_IsLeaf]]=1,Tasks[[#This Row],[_LeafProgress]]&lt;1,N(Tasks[[#This Row],[_LeafTotalSlack]])&lt;=CriticalSlackDays)</f>
        <v>0</v>
      </c>
      <c r="FF171" s="43" t="n">
        <f aca="false">IF(AND(Tasks[[#This Row],[_IsLeaf]]=1,Tasks[[#This Row],[_ConstraintCode]]=1,Tasks[[#This Row],[Mode]]&lt;&gt;"Manual",N(Tasks[[#This Row],[Actual Start]])=0),MAX(0,N(Tasks[[#This Row],[Free Slack]])),0)</f>
        <v>0</v>
      </c>
      <c r="FG171" s="91" t="str">
        <f aca="false">IF(NOT(Tasks[[#This Row],[_IsLeaf]]=1),"",IF(Tasks[[#This Row],[_AlapShift]]=0,Tasks[[#This Row],[_LeafCalcStart]],WORKDAY.INTL(Tasks[[#This Row],[_LeafCalcStart]],Tasks[[#This Row],[_AlapShift]],WorkWeek,Holidays)))</f>
        <v/>
      </c>
      <c r="FH171" s="91" t="str">
        <f aca="false">IF(NOT(Tasks[[#This Row],[_IsLeaf]]=1),"",IF(Tasks[[#This Row],[_AlapShift]]=0,Tasks[[#This Row],[_LeafCalcFinish]],WORKDAY.INTL(Tasks[[#This Row],[_LeafCalcFinish]],Tasks[[#This Row],[_AlapShift]],WorkWeek,Holidays)))</f>
        <v/>
      </c>
      <c r="FI171" s="91" t="str">
        <f aca="false">IF(NOT(Tasks[[#This Row],[_IsLeaf]]=1),"",IF(Tasks[[#This Row],[_AlapShift]]=0,Tasks[[#This Row],[_LeafFcstStart]],WORKDAY.INTL(Tasks[[#This Row],[_LeafFcstStart]],Tasks[[#This Row],[_AlapShift]],WorkWeek,Holidays)))</f>
        <v/>
      </c>
      <c r="FJ171" s="91" t="str">
        <f aca="false">IF(NOT(Tasks[[#This Row],[_IsLeaf]]=1),"",IF(Tasks[[#This Row],[_AlapShift]]=0,Tasks[[#This Row],[_LeafFcstFinish]],WORKDAY.INTL(Tasks[[#This Row],[_LeafFcstFinish]],Tasks[[#This Row],[_AlapShift]],WorkWeek,Holidays)))</f>
        <v/>
      </c>
      <c r="FK171" s="91" t="str">
        <f aca="false">IF(Tasks[[#This Row],[Task Name]]="","",IF(Tasks[[#This Row],[_IsSummary]],MIN(INDEX(Tasks[_ShownCalcStart],Tasks[[#This Row],[_Row]]+1):INDEX(Tasks[_ShownCalcStart],Tasks[[#This Row],[_Row]]+Tasks[[#This Row],[_Descendants]])),Tasks[[#This Row],[_ShownCalcStart]]))</f>
        <v/>
      </c>
      <c r="FL171" s="91" t="str">
        <f aca="false">IF(Tasks[[#This Row],[Task Name]]="","",IF(Tasks[[#This Row],[_IsSummary]],MAX(INDEX(Tasks[_ShownCalcFinish],Tasks[[#This Row],[_Row]]+1):INDEX(Tasks[_ShownCalcFinish],Tasks[[#This Row],[_Row]]+Tasks[[#This Row],[_Descendants]])),Tasks[[#This Row],[_ShownCalcFinish]]))</f>
        <v/>
      </c>
      <c r="FM1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1" s="43" t="n">
        <f aca="false">IF(AND(Tasks[[#This Row],[_IsLeaf]]=1,Tasks[[#This Row],[_LeafTotalWork]]&gt;0),NETWORKDAYS.INTL(ProjectStart,Tasks[[#This Row],[_ShownFcstStart]],WorkWeek,Holidays),0)</f>
        <v>0</v>
      </c>
      <c r="FZ171" s="43" t="n">
        <f aca="false">IF(AND(Tasks[[#This Row],[_IsLeaf]]=1,Tasks[[#This Row],[_LeafTotalWork]]&gt;0),MAX(Tasks[[#This Row],[_StartWorkday]],NETWORKDAYS.INTL(ProjectStart,Tasks[[#This Row],[_ShownFcstFinish]],WorkWeek,Holidays)),0)</f>
        <v>0</v>
      </c>
      <c r="GA171" s="43" t="n">
        <f aca="false">IF(AND(Tasks[[#This Row],[_IsLeaf]]=1,Tasks[[#This Row],[_LeafTotalWork]]&gt;0),Tasks[[#This Row],[_LeafWork]]/(Tasks[[#This Row],[_FinishWorkday]]-Tasks[[#This Row],[_StartWorkday]]+1),0)</f>
        <v>0</v>
      </c>
      <c r="GB171" s="43" t="n">
        <f aca="false">Tasks[[#This Row],[_WorkPerWorkday]]*(Tasks[[#This Row],[_StartWorkday]]-1)</f>
        <v>-0</v>
      </c>
      <c r="GC171" s="43" t="n">
        <f aca="false">IF(Tasks[[#This Row],[_IsLeaf]]=1,MAX(N(Tasks[[#This Row],[_Days]]),0.1),0)</f>
        <v>0</v>
      </c>
      <c r="GD171" s="43" t="n">
        <f aca="false">Tasks[[#This Row],[_WeightDur]]*Tasks[[#This Row],[_LeafProgress]]</f>
        <v>0</v>
      </c>
      <c r="GE171" s="43" t="n">
        <f aca="false">Tasks[[#This Row],[_WeightDur]]*Tasks[[#This Row],[_PlannedPct]]</f>
        <v>0</v>
      </c>
      <c r="GF1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1" s="43" t="str">
        <f aca="false">IF(AND(Tasks[[#This Row],[_IsLeaf]]=1,N(Tasks[[#This Row],[_Days]])=0,Tasks[[#This Row],[_LeafProgress]]&lt;1),Tasks[[#This Row],[_ShownFcstFinish]]+Tasks[[#This Row],[_Row]]/100000,"")</f>
        <v/>
      </c>
      <c r="GH1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1" s="43" t="str">
        <f aca="false">IF(Tasks[[#This Row],[Task Name]]="","",LEFT(Tasks[[#This Row],[WBS]],FIND(".",Tasks[[#This Row],[WBS]]&amp;".")-1))</f>
        <v/>
      </c>
      <c r="GJ171" s="43" t="str">
        <f aca="false">IF(AND(Tasks[[#This Row],[Task Name]]&lt;&gt;"",Tasks[[#This Row],[_Level]]=1),Tasks[[#This Row],[_Row]],"")</f>
        <v/>
      </c>
      <c r="GK171" s="43" t="str">
        <f aca="false">IF(AND(Tasks[[#This Row],[_IsLeaf]]=1,N(Tasks[[#This Row],[_Days]])=0),Tasks[[#This Row],[Planned Finish]]+Tasks[[#This Row],[_Row]]/100000,"")</f>
        <v/>
      </c>
      <c r="GL171" s="43" t="str">
        <f aca="false">IF(AND(Tasks[[#This Row],[_IsLeaf]]=1,Tasks[[#This Row],[_LeafProgress]]&lt;1,OR(N(Tasks[[#This Row],[Finish Var]])&gt;0,Tasks[[#This Row],[Status]]="Late Start")),MAX(0,Tasks[[#This Row],[Finish Var]])+1-Tasks[[#This Row],[_Row]]/1000000,"")</f>
        <v/>
      </c>
      <c r="GM171" s="43" t="str">
        <f aca="false">IF(AND(Tasks[[#This Row],[_IsLeaf]]=1,N(Tasks[[#This Row],[Actual Start]])=0,Tasks[[#This Row],[_ShownFcstStart]]&gt;=StatusDate,Tasks[[#This Row],[_ShownFcstStart]]&lt;=LookaheadEnd),Tasks[[#This Row],[_ShownFcstStart]]+Tasks[[#This Row],[_Row]]/100000,"")</f>
        <v/>
      </c>
      <c r="GN171" s="43" t="str">
        <f aca="false">IF(AND(Tasks[[#This Row],[_IsLeaf]]=1,Tasks[[#This Row],[_LeafProgress]]&lt;1,Tasks[[#This Row],[_ShownFcstFinish]]&gt;=StatusDate,Tasks[[#This Row],[_ShownFcstFinish]]&lt;=LookaheadEnd),Tasks[[#This Row],[_ShownFcstFinish]]+Tasks[[#This Row],[_Row]]/100000,"")</f>
        <v/>
      </c>
      <c r="GO171" s="43" t="str">
        <f aca="false">IF(Tasks[[#This Row],[_LeafCritical]],Tasks[[#This Row],[_ShownFcstStart]]+Tasks[[#This Row],[_Row]]/100000,"")</f>
        <v/>
      </c>
      <c r="GP171" s="43" t="n">
        <f aca="false">Tasks[[#This Row],[_LeafWork]]*Tasks[[#This Row],[_LeafProgress]]</f>
        <v>0</v>
      </c>
      <c r="GQ171" s="91" t="str">
        <f aca="false">IF(AND(Tasks[[#This Row],[_IsLeaf]]=1,Tasks[[#This Row],[_LeafProgress]]&gt;=1),IF(N(Tasks[[#This Row],[Actual Finish]])&gt;0,Tasks[[#This Row],[Actual Finish]],Tasks[[#This Row],[_ShownFcstFinish]]),"")</f>
        <v/>
      </c>
      <c r="GR171" s="43" t="n">
        <f aca="false">IF(Tasks[[#This Row],[_IsLeaf]]=1,N(Tasks[[#This Row],[Story Points]]),0)</f>
        <v>0</v>
      </c>
      <c r="GS171" s="43" t="str">
        <f aca="false">""</f>
        <v/>
      </c>
      <c r="GT171" s="90" t="b">
        <f aca="false">IF(Tasks[[#This Row],[Task Name]]="",FALSE(),AND(Tasks[[#This Row],[_IsLeaf]]=1,N(Tasks[[#This Row],[_Days]])=0))</f>
        <v>0</v>
      </c>
      <c r="GU171" s="91" t="n">
        <f aca="false">IF(Tasks[[#This Row],[Task Name]]="",0,IF(AND(Tasks[[#This Row],[_IsLeaf]]=1,NOT(Tasks[[#This Row],[_IsMilestone]]),N(Tasks[[#This Row],[Progress]])&gt;0),Tasks[[#This Row],[Start]],0))</f>
        <v>0</v>
      </c>
      <c r="GV171" s="91" t="n">
        <f aca="false">IF(Tasks[[#This Row],[_DoneFrom]]=0,0,IF(Tasks[[#This Row],[Progress]]&gt;=1,Tasks[[#This Row],[Finish]],MAX(Tasks[[#This Row],[_DoneFrom]],Tasks[[#This Row],[Start]]+ROUND((Tasks[[#This Row],[Finish]]-Tasks[[#This Row],[Start]]+1)*Tasks[[#This Row],[Progress]],0)-1)))</f>
        <v>0</v>
      </c>
      <c r="GW171" s="91" t="n">
        <f aca="false">IF(Tasks[[#This Row],[Task Name]]="",0,IF(OR(NOT(Tasks[[#This Row],[_IsLeaf]]=1),Tasks[[#This Row],[_IsMilestone]],N(Tasks[[#This Row],[Progress]])&gt;=1),0,IF(Tasks[[#This Row],[_DoneTo]]&gt;0,Tasks[[#This Row],[_DoneTo]]+1,Tasks[[#This Row],[Start]])))</f>
        <v>0</v>
      </c>
      <c r="GX171" s="91" t="n">
        <f aca="false">IF(Tasks[[#This Row],[_RemFrom]]=0,0,Tasks[[#This Row],[Finish]])</f>
        <v>0</v>
      </c>
      <c r="GY171" s="90" t="b">
        <f aca="false">IF(Tasks[[#This Row],[Task Name]]="",FALSE(),OR(NOT(BaselineSet),N(Tasks[[#This Row],[Baseline Start]])&gt;0))</f>
        <v>0</v>
      </c>
      <c r="GZ17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1" s="92" t="str">
        <f aca="false">IF(Tasks[[#This Row],[_IsLeaf]]=1,Tasks[[#This Row],[_Row]],"")</f>
        <v/>
      </c>
      <c r="HD171" s="92" t="str">
        <f aca="false">IFERROR(INDEX(Tasks[UID],SMALL(Tasks[_PickKey],Tasks[[#This Row],[_Row]]))&amp;" "&amp;INDEX(Tasks[Task Name],SMALL(Tasks[_PickKey],Tasks[[#This Row],[_Row]])),"")</f>
        <v/>
      </c>
      <c r="HE171" s="43" t="str">
        <f aca="false">IF(Tasks[[#This Row],[Task Name]]="","",IF(Tasks[[#This Row],[_IsSummary]],NETWORKDAYS.INTL(Tasks[[#This Row],[Start]],Tasks[[#This Row],[Finish]],WorkWeek,Holidays),N(Tasks[[#This Row],[_Days]])))</f>
        <v/>
      </c>
      <c r="HF171" s="43" t="n">
        <f aca="false">IF(Tasks[[#This Row],[Expected]]="",0,((Tasks[[#This Row],[Pessimistic]]-Tasks[[#This Row],[Optimistic]])/6)^2)</f>
        <v>0</v>
      </c>
      <c r="HG171" s="43" t="n">
        <f aca="false">IF(Tasks[[#This Row],[Expected]]="",0,Tasks[[#This Row],[Expected]]-N(Tasks[[#This Row],[_Days]]))</f>
        <v>0</v>
      </c>
    </row>
    <row r="172" customFormat="false" ht="15" hidden="false" customHeight="false" outlineLevel="0" collapsed="false">
      <c r="A172" s="21" t="str">
        <f aca="false">IF(Tasks[[#This Row],[Task Name]]="","",COUNTA(Tasks[[#Headers],[Task Name]]:Tasks[[#This Row],[Task Name]])-1)</f>
        <v/>
      </c>
      <c r="B172" s="22" t="n">
        <v>180</v>
      </c>
      <c r="C172" s="22"/>
      <c r="D172" s="23"/>
      <c r="E172" s="22"/>
      <c r="F172" s="23"/>
      <c r="G172" s="22"/>
      <c r="H172" s="22"/>
      <c r="I172" s="23"/>
      <c r="J172" s="22"/>
      <c r="K172" s="22"/>
      <c r="L172" s="23"/>
      <c r="M172" s="22"/>
      <c r="N172" s="22"/>
      <c r="O172" s="23"/>
      <c r="P172" s="22"/>
      <c r="Q172" s="22"/>
      <c r="R172" s="23"/>
      <c r="S172" s="23"/>
      <c r="T172" s="84"/>
      <c r="U172" s="23"/>
      <c r="V172" s="84"/>
      <c r="W172" s="23"/>
      <c r="X172" s="84"/>
      <c r="Y172" s="23"/>
      <c r="Z172" s="84"/>
      <c r="AA172" s="23"/>
      <c r="AB172" s="23"/>
      <c r="AC172" s="7"/>
      <c r="AD172" s="7"/>
      <c r="AE172" s="63" t="str">
        <f aca="false">IF(Tasks[[#This Row],[Task Name]]="","",IF(Tasks[[#This Row],[_IsSummary]],MIN(INDEX(Tasks[_ShownFcstStart],Tasks[[#This Row],[_Row]]+1):INDEX(Tasks[_ShownFcstStart],Tasks[[#This Row],[_Row]]+Tasks[[#This Row],[_Descendants]])),Tasks[[#This Row],[_ShownFcstStart]]))</f>
        <v/>
      </c>
      <c r="AF172" s="63" t="str">
        <f aca="false">IF(Tasks[[#This Row],[Task Name]]="","",IF(Tasks[[#This Row],[_IsSummary]],MAX(INDEX(Tasks[_ShownFcstFinish],Tasks[[#This Row],[_Row]]+1):INDEX(Tasks[_ShownFcstFinish],Tasks[[#This Row],[_Row]]+Tasks[[#This Row],[_Descendants]])),Tasks[[#This Row],[_ShownFcstFinish]]))</f>
        <v/>
      </c>
      <c r="AG172" s="21" t="str">
        <f aca="false">""</f>
        <v/>
      </c>
      <c r="AH172" s="23"/>
      <c r="AI1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2" s="7"/>
      <c r="AK172" s="22"/>
      <c r="AL172" s="23"/>
      <c r="AM172" s="7"/>
      <c r="AN172" s="47" t="str">
        <f aca="false">IF(Tasks[[#This Row],[Task Name]]="","",IF(Tasks[[#This Row],[Finish]]&gt;=Tasks[[#This Row],[Planned Finish]],NETWORKDAYS.INTL(Tasks[[#This Row],[Planned Finish]],Tasks[[#This Row],[Finish]],WorkWeek,Holidays)-1,1-NETWORKDAYS.INTL(Tasks[[#This Row],[Finish]],Tasks[[#This Row],[Planned Finish]],WorkWeek,Holidays)))</f>
        <v/>
      </c>
      <c r="AO172" s="21" t="str">
        <f aca="false">IF(Tasks[[#This Row],[Task Name]]="","",IF(Tasks[[#This Row],[Progress]]&gt;=1,"Complete",IF(OR(N(Tasks[[#This Row],[Actual Start]])&gt;0,Tasks[[#This Row],[Progress]]&gt;0),IF(Tasks[[#This Row],[Finish Var]]&gt;0,"Behind","In Progress"),IF(Tasks[[#This Row],[Planned Start]]&lt;StatusDate,"Late Start","Not Started"))))</f>
        <v/>
      </c>
      <c r="AP172" s="21" t="str">
        <f aca="false">IF(Tasks[[#This Row],[Task Name]]="","",IF(IF(Tasks[[#This Row],[_IsSummary]],COUNTIF(INDEX(Tasks[_LeafCritical],Tasks[[#This Row],[_Row]]+1):INDEX(Tasks[_LeafCritical],Tasks[[#This Row],[_Row]]+Tasks[[#This Row],[_Descendants]]),TRUE())&gt;0,Tasks[[#This Row],[_LeafCritical]]),"Yes",""))</f>
        <v/>
      </c>
      <c r="AQ172" s="63" t="str">
        <f aca="false">IF(Tasks[[#This Row],[Task Name]]="","",IF(N(Tasks[[#This Row],[Baseline Start]])&gt;0,Tasks[[#This Row],[Baseline Start]],Tasks[[#This Row],[_CalcStart]]))</f>
        <v/>
      </c>
      <c r="AR172" s="63" t="str">
        <f aca="false">IF(Tasks[[#This Row],[Task Name]]="","",IF(N(Tasks[[#This Row],[Baseline Finish]])&gt;0,Tasks[[#This Row],[Baseline Finish]],Tasks[[#This Row],[_CalcFinish]]))</f>
        <v/>
      </c>
      <c r="AS172" s="47" t="str">
        <f aca="false">IF(Tasks[[#This Row],[Task Name]]="","",IF(Tasks[[#This Row],[Start]]&gt;=Tasks[[#This Row],[Planned Start]],NETWORKDAYS.INTL(Tasks[[#This Row],[Planned Start]],Tasks[[#This Row],[Start]],WorkWeek,Holidays)-1,1-NETWORKDAYS.INTL(Tasks[[#This Row],[Start]],Tasks[[#This Row],[Planned Start]],WorkWeek,Holidays)))</f>
        <v/>
      </c>
      <c r="AT172" s="63" t="str">
        <f aca="false">IF(Tasks[[#This Row],[Task Name]]="","",IF(Tasks[[#This Row],[_IsSummary]],MIN(INDEX(Tasks[_LeafLateStart],Tasks[[#This Row],[_Row]]+1):INDEX(Tasks[_LeafLateStart],Tasks[[#This Row],[_Row]]+Tasks[[#This Row],[_Descendants]])),Tasks[[#This Row],[_LeafLateStart]]))</f>
        <v/>
      </c>
      <c r="AU172" s="63" t="str">
        <f aca="false">IF(Tasks[[#This Row],[Task Name]]="","",IF(Tasks[[#This Row],[_IsSummary]],MAX(INDEX(Tasks[_LeafLateFinish],Tasks[[#This Row],[_Row]]+1):INDEX(Tasks[_LeafLateFinish],Tasks[[#This Row],[_Row]]+Tasks[[#This Row],[_Descendants]])),Tasks[[#This Row],[_LeafLateFinish]]))</f>
        <v/>
      </c>
      <c r="AV172" s="47" t="str">
        <f aca="false">IF(Tasks[[#This Row],[Task Name]]="","",IF(Tasks[[#This Row],[_IsSummary]],MIN(INDEX(Tasks[_LeafTotalSlack],Tasks[[#This Row],[_Row]]+1):INDEX(Tasks[_LeafTotalSlack],Tasks[[#This Row],[_Row]]+Tasks[[#This Row],[_Descendants]])),Tasks[[#This Row],[_LeafTotalSlack]]))</f>
        <v/>
      </c>
      <c r="AW1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5"/>
      <c r="BA17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t="str">
        <f aca="false">IF(Tasks[[#This Row],[Task Name]]="","",IF(Tasks[[#This Row],[_Level]]&lt;=OutlineShowLevel,"Yes","No"))</f>
        <v/>
      </c>
      <c r="BE172" s="86" t="str">
        <f aca="false">IF(Tasks[[#This Row],[Task Name]]="","",IF(Tasks[[#This Row],[_IsSummary]],SUM(INDEX(Tasks[_LeafTotalWork],Tasks[[#This Row],[_Row]]+1):INDEX(Tasks[_LeafTotalWork],Tasks[[#This Row],[_Row]]+Tasks[[#This Row],[_Descendants]])),Tasks[[#This Row],[_LeafTotalWork]]))</f>
        <v/>
      </c>
      <c r="BF172" s="23"/>
      <c r="BG1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t="str">
        <f aca="false">""</f>
        <v/>
      </c>
      <c r="BI172" s="87"/>
      <c r="BJ172" s="22"/>
      <c r="BK172" s="47" t="str">
        <f aca="false">IF(OR(Tasks[[#This Row],[Task Name]]="",Tasks[[#This Row],[Baseline Duration]]=""),"",Tasks[[#This Row],[_SpanDays]]-N(Tasks[[#This Row],[Baseline Duration]]))</f>
        <v/>
      </c>
      <c r="BL172" s="86" t="str">
        <f aca="false">IF(OR(Tasks[[#This Row],[Task Name]]="",Tasks[[#This Row],[Baseline Work]]=""),"",Tasks[[#This Row],[Work]]-N(Tasks[[#This Row],[Baseline Work]]))</f>
        <v/>
      </c>
      <c r="BM172" s="63" t="str">
        <f aca="false">IF(Tasks[[#This Row],[Task Name]]="","",IF(OR(TakeBaseline="Yes",N(Tasks[[#This Row],[Baseline Start]])=0),Tasks[[#This Row],[Start]],Tasks[[#This Row],[Baseline Start]]))</f>
        <v/>
      </c>
      <c r="BN172" s="63" t="str">
        <f aca="false">IF(Tasks[[#This Row],[Task Name]]="","",IF(OR(TakeBaseline="Yes",N(Tasks[[#This Row],[Baseline Finish]])=0),Tasks[[#This Row],[Finish]],Tasks[[#This Row],[Baseline Finish]]))</f>
        <v/>
      </c>
      <c r="BO172" s="21" t="str">
        <f aca="false">IF(Tasks[[#This Row],[Task Name]]="","",IF(OR(TakeBaseline="Yes",N(Tasks[[#This Row],[Baseline Duration]])=0),Tasks[[#This Row],[_SpanDays]],Tasks[[#This Row],[Baseline Duration]]))</f>
        <v/>
      </c>
      <c r="BP172" s="86" t="str">
        <f aca="false">IF(Tasks[[#This Row],[Task Name]]="","",IF(OR(TakeBaseline="Yes",N(Tasks[[#This Row],[Baseline Work]])=0),Tasks[[#This Row],[Work]],Tasks[[#This Row],[Baseline Work]]))</f>
        <v/>
      </c>
      <c r="BQ172" s="7"/>
      <c r="BR172" s="7"/>
      <c r="BS172" s="22"/>
      <c r="BT172" s="88"/>
      <c r="BU172" s="23"/>
      <c r="BV172" s="23"/>
      <c r="BW172" s="23"/>
      <c r="BX172" s="89" t="str">
        <f aca="false">IF(AND(Tasks[[#This Row],[_IsLeaf]]=1,ISNUMBER(Tasks[[#This Row],[Optimistic]]),ISNUMBER(Tasks[[#This Row],[Pessimistic]])),ROUND((Tasks[[#This Row],[Optimistic]]+4*N(Tasks[[#This Row],[_Days]])+Tasks[[#This Row],[Pessimistic]])/6,1),"")</f>
        <v/>
      </c>
      <c r="BY172" s="87"/>
      <c r="BZ172" s="87"/>
      <c r="CA172" s="22"/>
      <c r="CB172" s="43" t="str">
        <f aca="false">IF(Tasks[[#This Row],[Task Name]]="","",MAX(1,N(Tasks[[#This Row],[Level]])))</f>
        <v/>
      </c>
      <c r="CC172" s="43" t="n">
        <f aca="false">ROW()-ROW(Tasks[[#Headers],[ID]])</f>
        <v>167</v>
      </c>
      <c r="CD172" s="43" t="n">
        <f aca="false">IF(OR(Tasks[[#This Row],[Task Name]]="",Tasks[[#This Row],[_Level]]&lt;=1),0,IFERROR(LOOKUP(2,1/(Tasks[[#Headers],[_Level]]:Tasks[[#This Row],[_Level]]=Tasks[[#This Row],[_Level]]-1),ROW(Tasks[[#Headers],[_Level]]:Tasks[[#This Row],[_Level]])),0))</f>
        <v>0</v>
      </c>
      <c r="CE172" s="43" t="n">
        <f aca="false">IFERROR(N(INDEX(Tasks[_Level],Tasks[[#This Row],[_Row]]+1)),0)</f>
        <v>0</v>
      </c>
      <c r="CF172" s="90" t="b">
        <f aca="false">AND(Tasks[[#This Row],[Task Name]]&lt;&gt;"",Tasks[[#This Row],[_NextLevel]]&gt;Tasks[[#This Row],[_Level]])</f>
        <v>0</v>
      </c>
      <c r="CG172" s="43" t="n">
        <f aca="false">IF(Tasks[[#This Row],[_IsSummary]],COUNTIF(Tasks[WBS],Tasks[[#This Row],[WBS]]&amp;".*"),0)</f>
        <v>0</v>
      </c>
      <c r="CH172" s="43" t="n">
        <f aca="false">IF(AND(Tasks[[#This Row],[Task Name]]&lt;&gt;"",NOT(Tasks[[#This Row],[_IsSummary]])),1,0)</f>
        <v>0</v>
      </c>
      <c r="CI172" s="43" t="n">
        <f aca="false">IF(N(Tasks[[#This Row],[_Pred1UID]])=0,0,IFERROR(MATCH(Tasks[[#This Row],[_Pred1UID]],Tasks[UID],0),-1))</f>
        <v>0</v>
      </c>
      <c r="CJ172" s="43" t="n">
        <f aca="false">IF(N(Tasks[[#This Row],[_Pred2UID]])=0,0,IFERROR(MATCH(Tasks[[#This Row],[_Pred2UID]],Tasks[UID],0),-1))</f>
        <v>0</v>
      </c>
      <c r="CK172" s="43" t="n">
        <f aca="false">IF(N(Tasks[[#This Row],[_Pred3UID]])=0,0,IFERROR(MATCH(Tasks[[#This Row],[_Pred3UID]],Tasks[UID],0),-1))</f>
        <v>0</v>
      </c>
      <c r="CL172" s="43" t="n">
        <f aca="false">IF(N(Tasks[[#This Row],[_Pred4UID]])=0,0,IFERROR(MATCH(Tasks[[#This Row],[_Pred4UID]],Tasks[UID],0),-1))</f>
        <v>0</v>
      </c>
      <c r="CM1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2" s="91" t="n">
        <f aca="false">IF(OR(Tasks[[#This Row],[_ConstraintCode]]=2,Tasks[[#This Row],[_ConstraintCode]]=3,Tasks[[#This Row],[_ConstraintCode]]=4,Tasks[[#This Row],[_ConstraintCode]]=6),Tasks[[#This Row],[_ConstraintStart]],0)</f>
        <v>0</v>
      </c>
      <c r="CP172" s="91" t="n">
        <f aca="false">IF(OR(Tasks[[#This Row],[_ConstraintCode]]=2,Tasks[[#This Row],[_ConstraintCode]]=3,Tasks[[#This Row],[_ConstraintCode]]=5,Tasks[[#This Row],[_ConstraintCode]]=7),Tasks[[#This Row],[_ConstraintStart]],2958465)</f>
        <v>2958465</v>
      </c>
      <c r="CQ1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2" s="91" t="str">
        <f aca="false">IF(NOT(Tasks[[#This Row],[_IsLeaf]]=1),"",IF(N(Tasks[[#This Row],[_Days]])&lt;=0,Tasks[[#This Row],[_LeafCalcStart]],WORKDAY.INTL(Tasks[[#This Row],[_LeafCalcStart]],Tasks[[#This Row],[_Days]]-1,WorkWeek,Holidays)))</f>
        <v/>
      </c>
      <c r="CS1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2" s="43" t="str">
        <f aca="false">IF(Tasks[[#This Row],[_Predecessors]]="","",TRIM(MID(SUBSTITUTE(SUBSTITUTE(SUBSTITUTE(UPPER(Tasks[[#This Row],[_Predecessors]]),";",",")," ",""),",",REPT(" ",99)),1,99)))</f>
        <v/>
      </c>
      <c r="CV172" s="43" t="str">
        <f aca="false">IF(Tasks[[#This Row],[_Pred1Text]]="","",IFERROR(VALUE(LEFT(Tasks[[#This Row],[_Pred1Text]],MIN(FIND("F",Tasks[[#This Row],[_Pred1Text]]&amp;"F"),FIND("S",Tasks[[#This Row],[_Pred1Text]]&amp;"S"),FIND("+",Tasks[[#This Row],[_Pred1Text]]&amp;"+"),FIND("-",Tasks[[#This Row],[_Pred1Text]]&amp;"-"))-1)),""))</f>
        <v/>
      </c>
      <c r="CW1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2" s="43" t="str">
        <f aca="false">IF(Tasks[[#This Row],[_Pred1Text]]="","",TRIM(MID(SUBSTITUTE(SUBSTITUTE(SUBSTITUTE(UPPER(Tasks[[#This Row],[_Predecessors]]),";",",")," ",""),",",REPT(" ",99)),100,99)))</f>
        <v/>
      </c>
      <c r="CZ172" s="43" t="str">
        <f aca="false">IF(Tasks[[#This Row],[_Pred2Text]]="","",IFERROR(VALUE(LEFT(Tasks[[#This Row],[_Pred2Text]],MIN(FIND("F",Tasks[[#This Row],[_Pred2Text]]&amp;"F"),FIND("S",Tasks[[#This Row],[_Pred2Text]]&amp;"S"),FIND("+",Tasks[[#This Row],[_Pred2Text]]&amp;"+"),FIND("-",Tasks[[#This Row],[_Pred2Text]]&amp;"-"))-1)),""))</f>
        <v/>
      </c>
      <c r="DA1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2" s="43" t="str">
        <f aca="false">IF(Tasks[[#This Row],[_Pred2Text]]="","",TRIM(MID(SUBSTITUTE(SUBSTITUTE(SUBSTITUTE(UPPER(Tasks[[#This Row],[_Predecessors]]),";",",")," ",""),",",REPT(" ",99)),199,99)))</f>
        <v/>
      </c>
      <c r="DD172" s="43" t="str">
        <f aca="false">IF(Tasks[[#This Row],[_Pred3Text]]="","",IFERROR(VALUE(LEFT(Tasks[[#This Row],[_Pred3Text]],MIN(FIND("F",Tasks[[#This Row],[_Pred3Text]]&amp;"F"),FIND("S",Tasks[[#This Row],[_Pred3Text]]&amp;"S"),FIND("+",Tasks[[#This Row],[_Pred3Text]]&amp;"+"),FIND("-",Tasks[[#This Row],[_Pred3Text]]&amp;"-"))-1)),""))</f>
        <v/>
      </c>
      <c r="DE1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2" s="43" t="str">
        <f aca="false">IF(Tasks[[#This Row],[_Pred3Text]]="","",TRIM(MID(SUBSTITUTE(SUBSTITUTE(SUBSTITUTE(UPPER(Tasks[[#This Row],[_Predecessors]]),";",",")," ",""),",",REPT(" ",99)),298,99)))</f>
        <v/>
      </c>
      <c r="DH172" s="43" t="str">
        <f aca="false">IF(Tasks[[#This Row],[_Pred4Text]]="","",IFERROR(VALUE(LEFT(Tasks[[#This Row],[_Pred4Text]],MIN(FIND("F",Tasks[[#This Row],[_Pred4Text]]&amp;"F"),FIND("S",Tasks[[#This Row],[_Pred4Text]]&amp;"S"),FIND("+",Tasks[[#This Row],[_Pred4Text]]&amp;"+"),FIND("-",Tasks[[#This Row],[_Pred4Text]]&amp;"-"))-1)),""))</f>
        <v/>
      </c>
      <c r="DI1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2" s="43" t="str">
        <f aca="false">IF(OR(Tasks[[#This Row],[Task Name]]="",Tasks[[#This Row],[_Resources]]=""),"",TRIM(MID(SUBSTITUTE(Tasks[[#This Row],[_Resources]],",",REPT(" ",99)),1,99)))</f>
        <v/>
      </c>
      <c r="DL172" s="43" t="str">
        <f aca="false">IF(Tasks[[#This Row],[_Res1Text]]="","",TRIM(MID(SUBSTITUTE(Tasks[[#This Row],[_Resources]],",",REPT(" ",99)),100,99)))</f>
        <v/>
      </c>
      <c r="DM172" s="43" t="str">
        <f aca="false">IF(Tasks[[#This Row],[_Res2Text]]="","",TRIM(MID(SUBSTITUTE(Tasks[[#This Row],[_Resources]],",",REPT(" ",99)),199,99)))</f>
        <v/>
      </c>
      <c r="DN172" s="43" t="str">
        <f aca="false">IF(Tasks[[#This Row],[_Res3Text]]="","",TRIM(MID(SUBSTITUTE(Tasks[[#This Row],[_Resources]],",",REPT(" ",99)),298,99)))</f>
        <v/>
      </c>
      <c r="DO172" s="43" t="n">
        <f aca="false">IF(Tasks[[#This Row],[_Res1Text]]="",0,IFERROR(MATCH(TRIM(LEFT(Tasks[[#This Row],[_Res1Text]],FIND("[",Tasks[[#This Row],[_Res1Text]]&amp;"[")-1)),res_Name,0),IFERROR(MATCH(TRIM(LEFT(Tasks[[#This Row],[_Res1Text]],FIND("[",Tasks[[#This Row],[_Res1Text]]&amp;"[")-1)),res_Initials,0),0)))</f>
        <v>0</v>
      </c>
      <c r="DP172" s="43" t="n">
        <f aca="false">IF(Tasks[[#This Row],[_Res2Text]]="",0,IFERROR(MATCH(TRIM(LEFT(Tasks[[#This Row],[_Res2Text]],FIND("[",Tasks[[#This Row],[_Res2Text]]&amp;"[")-1)),res_Name,0),IFERROR(MATCH(TRIM(LEFT(Tasks[[#This Row],[_Res2Text]],FIND("[",Tasks[[#This Row],[_Res2Text]]&amp;"[")-1)),res_Initials,0),0)))</f>
        <v>0</v>
      </c>
      <c r="DQ172" s="43" t="n">
        <f aca="false">IF(Tasks[[#This Row],[_Res3Text]]="",0,IFERROR(MATCH(TRIM(LEFT(Tasks[[#This Row],[_Res3Text]],FIND("[",Tasks[[#This Row],[_Res3Text]]&amp;"[")-1)),res_Name,0),IFERROR(MATCH(TRIM(LEFT(Tasks[[#This Row],[_Res3Text]],FIND("[",Tasks[[#This Row],[_Res3Text]]&amp;"[")-1)),res_Initials,0),0)))</f>
        <v>0</v>
      </c>
      <c r="DR172" s="43" t="n">
        <f aca="false">IF(Tasks[[#This Row],[_Res4Text]]="",0,IFERROR(MATCH(TRIM(LEFT(Tasks[[#This Row],[_Res4Text]],FIND("[",Tasks[[#This Row],[_Res4Text]]&amp;"[")-1)),res_Name,0),IFERROR(MATCH(TRIM(LEFT(Tasks[[#This Row],[_Res4Text]],FIND("[",Tasks[[#This Row],[_Res4Text]]&amp;"[")-1)),res_Initials,0),0)))</f>
        <v>0</v>
      </c>
      <c r="DS172" s="43" t="str">
        <f aca="false">IF(Tasks[[#This Row],[_Res1Text]]="","",IF(Tasks[[#This Row],[_Res1Row]]&gt;0,INDEX(res_Name,Tasks[[#This Row],[_Res1Row]]),TRIM(LEFT(Tasks[[#This Row],[_Res1Text]],FIND("[",Tasks[[#This Row],[_Res1Text]]&amp;"[")-1))))</f>
        <v/>
      </c>
      <c r="DT1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2" s="43" t="n">
        <f aca="false">IF(NOT(Tasks[[#This Row],[_IsLeaf]]=1),0,(Tasks[[#This Row],[_Resource1]]&lt;&gt;"")+(Tasks[[#This Row],[_Res2]]&lt;&gt;"")+(Tasks[[#This Row],[_Res3]]&lt;&gt;"")+(Tasks[[#This Row],[_Res4]]&lt;&gt;""))</f>
        <v>0</v>
      </c>
      <c r="DV172" s="43" t="str">
        <f aca="false">IF(Tasks[[#This Row],[_Res2Text]]="","",IF(Tasks[[#This Row],[_Res2Row]]&gt;0,INDEX(res_Name,Tasks[[#This Row],[_Res2Row]]),TRIM(LEFT(Tasks[[#This Row],[_Res2Text]],FIND("[",Tasks[[#This Row],[_Res2Text]]&amp;"[")-1))))</f>
        <v/>
      </c>
      <c r="DW1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2" s="43" t="n">
        <f aca="false">IF(OR(NOT(Tasks[[#This Row],[_IsLeaf]]=1),Tasks[[#This Row],[_Res2Row]]=0),0,N(Tasks[[#This Row],[_Days]])*HoursPerDay*IF(Tasks[[#This Row],[_Res2Units]]="",DefaultUnits,Tasks[[#This Row],[_Res2Units]]))</f>
        <v>0</v>
      </c>
      <c r="DY172" s="43" t="n">
        <f aca="false">IF(AND(AND(Tasks[[#This Row],[_IsLeaf]]=1,Tasks[[#This Row],[_LeafTotalWork]]&gt;0),Tasks[[#This Row],[_Res2Work]]&gt;0),Tasks[[#This Row],[_Res2Work]]/(Tasks[[#This Row],[_FinishWorkday]]-Tasks[[#This Row],[_StartWorkday]]+1),0)</f>
        <v>0</v>
      </c>
      <c r="DZ172" s="43" t="n">
        <f aca="false">Tasks[[#This Row],[_Res2WorkPerWD]]*MAX(0,Tasks[[#This Row],[_StartWorkday]]-1)</f>
        <v>0</v>
      </c>
      <c r="EA172" s="43" t="n">
        <f aca="false">Tasks[[#This Row],[_Res2Work]]*Tasks[[#This Row],[_LeafProgress]]</f>
        <v>0</v>
      </c>
      <c r="EB172" s="43" t="str">
        <f aca="false">IF(Tasks[[#This Row],[_Res3Text]]="","",IF(Tasks[[#This Row],[_Res3Row]]&gt;0,INDEX(res_Name,Tasks[[#This Row],[_Res3Row]]),TRIM(LEFT(Tasks[[#This Row],[_Res3Text]],FIND("[",Tasks[[#This Row],[_Res3Text]]&amp;"[")-1))))</f>
        <v/>
      </c>
      <c r="EC1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2" s="43" t="n">
        <f aca="false">IF(OR(NOT(Tasks[[#This Row],[_IsLeaf]]=1),Tasks[[#This Row],[_Res3Row]]=0),0,N(Tasks[[#This Row],[_Days]])*HoursPerDay*IF(Tasks[[#This Row],[_Res3Units]]="",DefaultUnits,Tasks[[#This Row],[_Res3Units]]))</f>
        <v>0</v>
      </c>
      <c r="EE172" s="43" t="n">
        <f aca="false">IF(AND(AND(Tasks[[#This Row],[_IsLeaf]]=1,Tasks[[#This Row],[_LeafTotalWork]]&gt;0),Tasks[[#This Row],[_Res3Work]]&gt;0),Tasks[[#This Row],[_Res3Work]]/(Tasks[[#This Row],[_FinishWorkday]]-Tasks[[#This Row],[_StartWorkday]]+1),0)</f>
        <v>0</v>
      </c>
      <c r="EF172" s="43" t="n">
        <f aca="false">Tasks[[#This Row],[_Res3WorkPerWD]]*MAX(0,Tasks[[#This Row],[_StartWorkday]]-1)</f>
        <v>0</v>
      </c>
      <c r="EG172" s="43" t="n">
        <f aca="false">Tasks[[#This Row],[_Res3Work]]*Tasks[[#This Row],[_LeafProgress]]</f>
        <v>0</v>
      </c>
      <c r="EH172" s="43" t="str">
        <f aca="false">IF(Tasks[[#This Row],[_Res4Text]]="","",IF(Tasks[[#This Row],[_Res4Row]]&gt;0,INDEX(res_Name,Tasks[[#This Row],[_Res4Row]]),TRIM(LEFT(Tasks[[#This Row],[_Res4Text]],FIND("[",Tasks[[#This Row],[_Res4Text]]&amp;"[")-1))))</f>
        <v/>
      </c>
      <c r="EI1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2" s="43" t="n">
        <f aca="false">IF(OR(NOT(Tasks[[#This Row],[_IsLeaf]]=1),Tasks[[#This Row],[_Res4Row]]=0),0,N(Tasks[[#This Row],[_Days]])*HoursPerDay*IF(Tasks[[#This Row],[_Res4Units]]="",DefaultUnits,Tasks[[#This Row],[_Res4Units]]))</f>
        <v>0</v>
      </c>
      <c r="EK172" s="43" t="n">
        <f aca="false">IF(AND(AND(Tasks[[#This Row],[_IsLeaf]]=1,Tasks[[#This Row],[_LeafTotalWork]]&gt;0),Tasks[[#This Row],[_Res4Work]]&gt;0),Tasks[[#This Row],[_Res4Work]]/(Tasks[[#This Row],[_FinishWorkday]]-Tasks[[#This Row],[_StartWorkday]]+1),0)</f>
        <v>0</v>
      </c>
      <c r="EL172" s="43" t="n">
        <f aca="false">Tasks[[#This Row],[_Res4WorkPerWD]]*MAX(0,Tasks[[#This Row],[_StartWorkday]]-1)</f>
        <v>0</v>
      </c>
      <c r="EM172" s="43" t="n">
        <f aca="false">Tasks[[#This Row],[_Res4Work]]*Tasks[[#This Row],[_LeafProgress]]</f>
        <v>0</v>
      </c>
      <c r="EN172" s="43" t="n">
        <f aca="false">IF(ISNUMBER(Tasks[[#This Row],[% Complete]]),Tasks[[#This Row],[% Complete]],IF(Tasks[[#This Row],[Stage]]="",0,IFERROR(INDEX(stg_Pct,MATCH(Tasks[[#This Row],[Stage]],stg_Name,0)),0)))</f>
        <v>0</v>
      </c>
      <c r="EO172" s="43" t="n">
        <f aca="false">IF(NOT(Tasks[[#This Row],[_IsLeaf]]=1),0,IF(N(Tasks[[#This Row],[Actual Finish]])&gt;0,1,MIN(1,Tasks[[#This Row],[_Pct]])))</f>
        <v>0</v>
      </c>
      <c r="EP172" s="43" t="n">
        <f aca="false">IF(OR(NOT(Tasks[[#This Row],[_IsLeaf]]=1),Tasks[[#This Row],[_Res1Row]]=0),0,N(Tasks[[#This Row],[_Days]])*HoursPerDay*IF(Tasks[[#This Row],[_Units1]]="",DefaultUnits,Tasks[[#This Row],[_Units1]]))</f>
        <v>0</v>
      </c>
      <c r="EQ172" s="43" t="n">
        <f aca="false">Tasks[[#This Row],[_LeafWork]]+Tasks[[#This Row],[_Res2Work]]+Tasks[[#This Row],[_Res3Work]]+Tasks[[#This Row],[_Res4Work]]</f>
        <v>0</v>
      </c>
      <c r="ER17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2" s="43" t="n">
        <f aca="false">IF(NOT(Tasks[[#This Row],[_IsLeaf]]=1),0,MAX(_xlfn.MAXIFS(Tasks[_Row],Tasks[_Pred1UID],Tasks[[#This Row],[UID]]),_xlfn.MAXIFS(Tasks[_Row],Tasks[_Pred2UID],Tasks[[#This Row],[UID]]),_xlfn.MAXIFS(Tasks[_Row],Tasks[_Pred3UID],Tasks[[#This Row],[UID]]),_xlfn.MAXIFS(Tasks[_Row],Tasks[_Pred4UID],Tasks[[#This Row],[UID]])))</f>
        <v>0</v>
      </c>
      <c r="FA1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2" s="91" t="str">
        <f aca="false">IF(NOT(Tasks[[#This Row],[_IsLeaf]]=1),"",IF(N(Tasks[[#This Row],[_Days]])&lt;=0,Tasks[[#This Row],[_LeafLateFinish]],WORKDAY.INTL(Tasks[[#This Row],[_LeafLateFinish]],-(Tasks[[#This Row],[_Days]]-1),WorkWeek,Holidays)))</f>
        <v/>
      </c>
      <c r="FD1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2" s="90" t="b">
        <f aca="false">AND(Tasks[[#This Row],[_IsLeaf]]=1,Tasks[[#This Row],[_LeafProgress]]&lt;1,N(Tasks[[#This Row],[_LeafTotalSlack]])&lt;=CriticalSlackDays)</f>
        <v>0</v>
      </c>
      <c r="FF172" s="43" t="n">
        <f aca="false">IF(AND(Tasks[[#This Row],[_IsLeaf]]=1,Tasks[[#This Row],[_ConstraintCode]]=1,Tasks[[#This Row],[Mode]]&lt;&gt;"Manual",N(Tasks[[#This Row],[Actual Start]])=0),MAX(0,N(Tasks[[#This Row],[Free Slack]])),0)</f>
        <v>0</v>
      </c>
      <c r="FG172" s="91" t="str">
        <f aca="false">IF(NOT(Tasks[[#This Row],[_IsLeaf]]=1),"",IF(Tasks[[#This Row],[_AlapShift]]=0,Tasks[[#This Row],[_LeafCalcStart]],WORKDAY.INTL(Tasks[[#This Row],[_LeafCalcStart]],Tasks[[#This Row],[_AlapShift]],WorkWeek,Holidays)))</f>
        <v/>
      </c>
      <c r="FH172" s="91" t="str">
        <f aca="false">IF(NOT(Tasks[[#This Row],[_IsLeaf]]=1),"",IF(Tasks[[#This Row],[_AlapShift]]=0,Tasks[[#This Row],[_LeafCalcFinish]],WORKDAY.INTL(Tasks[[#This Row],[_LeafCalcFinish]],Tasks[[#This Row],[_AlapShift]],WorkWeek,Holidays)))</f>
        <v/>
      </c>
      <c r="FI172" s="91" t="str">
        <f aca="false">IF(NOT(Tasks[[#This Row],[_IsLeaf]]=1),"",IF(Tasks[[#This Row],[_AlapShift]]=0,Tasks[[#This Row],[_LeafFcstStart]],WORKDAY.INTL(Tasks[[#This Row],[_LeafFcstStart]],Tasks[[#This Row],[_AlapShift]],WorkWeek,Holidays)))</f>
        <v/>
      </c>
      <c r="FJ172" s="91" t="str">
        <f aca="false">IF(NOT(Tasks[[#This Row],[_IsLeaf]]=1),"",IF(Tasks[[#This Row],[_AlapShift]]=0,Tasks[[#This Row],[_LeafFcstFinish]],WORKDAY.INTL(Tasks[[#This Row],[_LeafFcstFinish]],Tasks[[#This Row],[_AlapShift]],WorkWeek,Holidays)))</f>
        <v/>
      </c>
      <c r="FK172" s="91" t="str">
        <f aca="false">IF(Tasks[[#This Row],[Task Name]]="","",IF(Tasks[[#This Row],[_IsSummary]],MIN(INDEX(Tasks[_ShownCalcStart],Tasks[[#This Row],[_Row]]+1):INDEX(Tasks[_ShownCalcStart],Tasks[[#This Row],[_Row]]+Tasks[[#This Row],[_Descendants]])),Tasks[[#This Row],[_ShownCalcStart]]))</f>
        <v/>
      </c>
      <c r="FL172" s="91" t="str">
        <f aca="false">IF(Tasks[[#This Row],[Task Name]]="","",IF(Tasks[[#This Row],[_IsSummary]],MAX(INDEX(Tasks[_ShownCalcFinish],Tasks[[#This Row],[_Row]]+1):INDEX(Tasks[_ShownCalcFinish],Tasks[[#This Row],[_Row]]+Tasks[[#This Row],[_Descendants]])),Tasks[[#This Row],[_ShownCalcFinish]]))</f>
        <v/>
      </c>
      <c r="FM1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2" s="43" t="n">
        <f aca="false">IF(AND(Tasks[[#This Row],[_IsLeaf]]=1,Tasks[[#This Row],[_LeafTotalWork]]&gt;0),NETWORKDAYS.INTL(ProjectStart,Tasks[[#This Row],[_ShownFcstStart]],WorkWeek,Holidays),0)</f>
        <v>0</v>
      </c>
      <c r="FZ172" s="43" t="n">
        <f aca="false">IF(AND(Tasks[[#This Row],[_IsLeaf]]=1,Tasks[[#This Row],[_LeafTotalWork]]&gt;0),MAX(Tasks[[#This Row],[_StartWorkday]],NETWORKDAYS.INTL(ProjectStart,Tasks[[#This Row],[_ShownFcstFinish]],WorkWeek,Holidays)),0)</f>
        <v>0</v>
      </c>
      <c r="GA172" s="43" t="n">
        <f aca="false">IF(AND(Tasks[[#This Row],[_IsLeaf]]=1,Tasks[[#This Row],[_LeafTotalWork]]&gt;0),Tasks[[#This Row],[_LeafWork]]/(Tasks[[#This Row],[_FinishWorkday]]-Tasks[[#This Row],[_StartWorkday]]+1),0)</f>
        <v>0</v>
      </c>
      <c r="GB172" s="43" t="n">
        <f aca="false">Tasks[[#This Row],[_WorkPerWorkday]]*(Tasks[[#This Row],[_StartWorkday]]-1)</f>
        <v>-0</v>
      </c>
      <c r="GC172" s="43" t="n">
        <f aca="false">IF(Tasks[[#This Row],[_IsLeaf]]=1,MAX(N(Tasks[[#This Row],[_Days]]),0.1),0)</f>
        <v>0</v>
      </c>
      <c r="GD172" s="43" t="n">
        <f aca="false">Tasks[[#This Row],[_WeightDur]]*Tasks[[#This Row],[_LeafProgress]]</f>
        <v>0</v>
      </c>
      <c r="GE172" s="43" t="n">
        <f aca="false">Tasks[[#This Row],[_WeightDur]]*Tasks[[#This Row],[_PlannedPct]]</f>
        <v>0</v>
      </c>
      <c r="GF1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2" s="43" t="str">
        <f aca="false">IF(AND(Tasks[[#This Row],[_IsLeaf]]=1,N(Tasks[[#This Row],[_Days]])=0,Tasks[[#This Row],[_LeafProgress]]&lt;1),Tasks[[#This Row],[_ShownFcstFinish]]+Tasks[[#This Row],[_Row]]/100000,"")</f>
        <v/>
      </c>
      <c r="GH1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2" s="43" t="str">
        <f aca="false">IF(Tasks[[#This Row],[Task Name]]="","",LEFT(Tasks[[#This Row],[WBS]],FIND(".",Tasks[[#This Row],[WBS]]&amp;".")-1))</f>
        <v/>
      </c>
      <c r="GJ172" s="43" t="str">
        <f aca="false">IF(AND(Tasks[[#This Row],[Task Name]]&lt;&gt;"",Tasks[[#This Row],[_Level]]=1),Tasks[[#This Row],[_Row]],"")</f>
        <v/>
      </c>
      <c r="GK172" s="43" t="str">
        <f aca="false">IF(AND(Tasks[[#This Row],[_IsLeaf]]=1,N(Tasks[[#This Row],[_Days]])=0),Tasks[[#This Row],[Planned Finish]]+Tasks[[#This Row],[_Row]]/100000,"")</f>
        <v/>
      </c>
      <c r="GL172" s="43" t="str">
        <f aca="false">IF(AND(Tasks[[#This Row],[_IsLeaf]]=1,Tasks[[#This Row],[_LeafProgress]]&lt;1,OR(N(Tasks[[#This Row],[Finish Var]])&gt;0,Tasks[[#This Row],[Status]]="Late Start")),MAX(0,Tasks[[#This Row],[Finish Var]])+1-Tasks[[#This Row],[_Row]]/1000000,"")</f>
        <v/>
      </c>
      <c r="GM172" s="43" t="str">
        <f aca="false">IF(AND(Tasks[[#This Row],[_IsLeaf]]=1,N(Tasks[[#This Row],[Actual Start]])=0,Tasks[[#This Row],[_ShownFcstStart]]&gt;=StatusDate,Tasks[[#This Row],[_ShownFcstStart]]&lt;=LookaheadEnd),Tasks[[#This Row],[_ShownFcstStart]]+Tasks[[#This Row],[_Row]]/100000,"")</f>
        <v/>
      </c>
      <c r="GN172" s="43" t="str">
        <f aca="false">IF(AND(Tasks[[#This Row],[_IsLeaf]]=1,Tasks[[#This Row],[_LeafProgress]]&lt;1,Tasks[[#This Row],[_ShownFcstFinish]]&gt;=StatusDate,Tasks[[#This Row],[_ShownFcstFinish]]&lt;=LookaheadEnd),Tasks[[#This Row],[_ShownFcstFinish]]+Tasks[[#This Row],[_Row]]/100000,"")</f>
        <v/>
      </c>
      <c r="GO172" s="43" t="str">
        <f aca="false">IF(Tasks[[#This Row],[_LeafCritical]],Tasks[[#This Row],[_ShownFcstStart]]+Tasks[[#This Row],[_Row]]/100000,"")</f>
        <v/>
      </c>
      <c r="GP172" s="43" t="n">
        <f aca="false">Tasks[[#This Row],[_LeafWork]]*Tasks[[#This Row],[_LeafProgress]]</f>
        <v>0</v>
      </c>
      <c r="GQ172" s="91" t="str">
        <f aca="false">IF(AND(Tasks[[#This Row],[_IsLeaf]]=1,Tasks[[#This Row],[_LeafProgress]]&gt;=1),IF(N(Tasks[[#This Row],[Actual Finish]])&gt;0,Tasks[[#This Row],[Actual Finish]],Tasks[[#This Row],[_ShownFcstFinish]]),"")</f>
        <v/>
      </c>
      <c r="GR172" s="43" t="n">
        <f aca="false">IF(Tasks[[#This Row],[_IsLeaf]]=1,N(Tasks[[#This Row],[Story Points]]),0)</f>
        <v>0</v>
      </c>
      <c r="GS172" s="43" t="str">
        <f aca="false">""</f>
        <v/>
      </c>
      <c r="GT172" s="90" t="b">
        <f aca="false">IF(Tasks[[#This Row],[Task Name]]="",FALSE(),AND(Tasks[[#This Row],[_IsLeaf]]=1,N(Tasks[[#This Row],[_Days]])=0))</f>
        <v>0</v>
      </c>
      <c r="GU172" s="91" t="n">
        <f aca="false">IF(Tasks[[#This Row],[Task Name]]="",0,IF(AND(Tasks[[#This Row],[_IsLeaf]]=1,NOT(Tasks[[#This Row],[_IsMilestone]]),N(Tasks[[#This Row],[Progress]])&gt;0),Tasks[[#This Row],[Start]],0))</f>
        <v>0</v>
      </c>
      <c r="GV172" s="91" t="n">
        <f aca="false">IF(Tasks[[#This Row],[_DoneFrom]]=0,0,IF(Tasks[[#This Row],[Progress]]&gt;=1,Tasks[[#This Row],[Finish]],MAX(Tasks[[#This Row],[_DoneFrom]],Tasks[[#This Row],[Start]]+ROUND((Tasks[[#This Row],[Finish]]-Tasks[[#This Row],[Start]]+1)*Tasks[[#This Row],[Progress]],0)-1)))</f>
        <v>0</v>
      </c>
      <c r="GW172" s="91" t="n">
        <f aca="false">IF(Tasks[[#This Row],[Task Name]]="",0,IF(OR(NOT(Tasks[[#This Row],[_IsLeaf]]=1),Tasks[[#This Row],[_IsMilestone]],N(Tasks[[#This Row],[Progress]])&gt;=1),0,IF(Tasks[[#This Row],[_DoneTo]]&gt;0,Tasks[[#This Row],[_DoneTo]]+1,Tasks[[#This Row],[Start]])))</f>
        <v>0</v>
      </c>
      <c r="GX172" s="91" t="n">
        <f aca="false">IF(Tasks[[#This Row],[_RemFrom]]=0,0,Tasks[[#This Row],[Finish]])</f>
        <v>0</v>
      </c>
      <c r="GY172" s="90" t="b">
        <f aca="false">IF(Tasks[[#This Row],[Task Name]]="",FALSE(),OR(NOT(BaselineSet),N(Tasks[[#This Row],[Baseline Start]])&gt;0))</f>
        <v>0</v>
      </c>
      <c r="GZ17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2" s="92" t="str">
        <f aca="false">IF(Tasks[[#This Row],[_IsLeaf]]=1,Tasks[[#This Row],[_Row]],"")</f>
        <v/>
      </c>
      <c r="HD172" s="92" t="str">
        <f aca="false">IFERROR(INDEX(Tasks[UID],SMALL(Tasks[_PickKey],Tasks[[#This Row],[_Row]]))&amp;" "&amp;INDEX(Tasks[Task Name],SMALL(Tasks[_PickKey],Tasks[[#This Row],[_Row]])),"")</f>
        <v/>
      </c>
      <c r="HE172" s="43" t="str">
        <f aca="false">IF(Tasks[[#This Row],[Task Name]]="","",IF(Tasks[[#This Row],[_IsSummary]],NETWORKDAYS.INTL(Tasks[[#This Row],[Start]],Tasks[[#This Row],[Finish]],WorkWeek,Holidays),N(Tasks[[#This Row],[_Days]])))</f>
        <v/>
      </c>
      <c r="HF172" s="43" t="n">
        <f aca="false">IF(Tasks[[#This Row],[Expected]]="",0,((Tasks[[#This Row],[Pessimistic]]-Tasks[[#This Row],[Optimistic]])/6)^2)</f>
        <v>0</v>
      </c>
      <c r="HG172" s="43" t="n">
        <f aca="false">IF(Tasks[[#This Row],[Expected]]="",0,Tasks[[#This Row],[Expected]]-N(Tasks[[#This Row],[_Days]]))</f>
        <v>0</v>
      </c>
    </row>
    <row r="173" customFormat="false" ht="15" hidden="false" customHeight="false" outlineLevel="0" collapsed="false">
      <c r="A173" s="21" t="str">
        <f aca="false">IF(Tasks[[#This Row],[Task Name]]="","",COUNTA(Tasks[[#Headers],[Task Name]]:Tasks[[#This Row],[Task Name]])-1)</f>
        <v/>
      </c>
      <c r="B173" s="22" t="n">
        <v>181</v>
      </c>
      <c r="C173" s="22"/>
      <c r="D173" s="23"/>
      <c r="E173" s="22"/>
      <c r="F173" s="23"/>
      <c r="G173" s="22"/>
      <c r="H173" s="22"/>
      <c r="I173" s="23"/>
      <c r="J173" s="22"/>
      <c r="K173" s="22"/>
      <c r="L173" s="23"/>
      <c r="M173" s="22"/>
      <c r="N173" s="22"/>
      <c r="O173" s="23"/>
      <c r="P173" s="22"/>
      <c r="Q173" s="22"/>
      <c r="R173" s="23"/>
      <c r="S173" s="23"/>
      <c r="T173" s="84"/>
      <c r="U173" s="23"/>
      <c r="V173" s="84"/>
      <c r="W173" s="23"/>
      <c r="X173" s="84"/>
      <c r="Y173" s="23"/>
      <c r="Z173" s="84"/>
      <c r="AA173" s="23"/>
      <c r="AB173" s="23"/>
      <c r="AC173" s="7"/>
      <c r="AD173" s="7"/>
      <c r="AE173" s="63" t="str">
        <f aca="false">IF(Tasks[[#This Row],[Task Name]]="","",IF(Tasks[[#This Row],[_IsSummary]],MIN(INDEX(Tasks[_ShownFcstStart],Tasks[[#This Row],[_Row]]+1):INDEX(Tasks[_ShownFcstStart],Tasks[[#This Row],[_Row]]+Tasks[[#This Row],[_Descendants]])),Tasks[[#This Row],[_ShownFcstStart]]))</f>
        <v/>
      </c>
      <c r="AF173" s="63" t="str">
        <f aca="false">IF(Tasks[[#This Row],[Task Name]]="","",IF(Tasks[[#This Row],[_IsSummary]],MAX(INDEX(Tasks[_ShownFcstFinish],Tasks[[#This Row],[_Row]]+1):INDEX(Tasks[_ShownFcstFinish],Tasks[[#This Row],[_Row]]+Tasks[[#This Row],[_Descendants]])),Tasks[[#This Row],[_ShownFcstFinish]]))</f>
        <v/>
      </c>
      <c r="AG173" s="21" t="str">
        <f aca="false">""</f>
        <v/>
      </c>
      <c r="AH173" s="23"/>
      <c r="AI1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3" s="7"/>
      <c r="AK173" s="22"/>
      <c r="AL173" s="23"/>
      <c r="AM173" s="7"/>
      <c r="AN173" s="47" t="str">
        <f aca="false">IF(Tasks[[#This Row],[Task Name]]="","",IF(Tasks[[#This Row],[Finish]]&gt;=Tasks[[#This Row],[Planned Finish]],NETWORKDAYS.INTL(Tasks[[#This Row],[Planned Finish]],Tasks[[#This Row],[Finish]],WorkWeek,Holidays)-1,1-NETWORKDAYS.INTL(Tasks[[#This Row],[Finish]],Tasks[[#This Row],[Planned Finish]],WorkWeek,Holidays)))</f>
        <v/>
      </c>
      <c r="AO173" s="21" t="str">
        <f aca="false">IF(Tasks[[#This Row],[Task Name]]="","",IF(Tasks[[#This Row],[Progress]]&gt;=1,"Complete",IF(OR(N(Tasks[[#This Row],[Actual Start]])&gt;0,Tasks[[#This Row],[Progress]]&gt;0),IF(Tasks[[#This Row],[Finish Var]]&gt;0,"Behind","In Progress"),IF(Tasks[[#This Row],[Planned Start]]&lt;StatusDate,"Late Start","Not Started"))))</f>
        <v/>
      </c>
      <c r="AP173" s="21" t="str">
        <f aca="false">IF(Tasks[[#This Row],[Task Name]]="","",IF(IF(Tasks[[#This Row],[_IsSummary]],COUNTIF(INDEX(Tasks[_LeafCritical],Tasks[[#This Row],[_Row]]+1):INDEX(Tasks[_LeafCritical],Tasks[[#This Row],[_Row]]+Tasks[[#This Row],[_Descendants]]),TRUE())&gt;0,Tasks[[#This Row],[_LeafCritical]]),"Yes",""))</f>
        <v/>
      </c>
      <c r="AQ173" s="63" t="str">
        <f aca="false">IF(Tasks[[#This Row],[Task Name]]="","",IF(N(Tasks[[#This Row],[Baseline Start]])&gt;0,Tasks[[#This Row],[Baseline Start]],Tasks[[#This Row],[_CalcStart]]))</f>
        <v/>
      </c>
      <c r="AR173" s="63" t="str">
        <f aca="false">IF(Tasks[[#This Row],[Task Name]]="","",IF(N(Tasks[[#This Row],[Baseline Finish]])&gt;0,Tasks[[#This Row],[Baseline Finish]],Tasks[[#This Row],[_CalcFinish]]))</f>
        <v/>
      </c>
      <c r="AS173" s="47" t="str">
        <f aca="false">IF(Tasks[[#This Row],[Task Name]]="","",IF(Tasks[[#This Row],[Start]]&gt;=Tasks[[#This Row],[Planned Start]],NETWORKDAYS.INTL(Tasks[[#This Row],[Planned Start]],Tasks[[#This Row],[Start]],WorkWeek,Holidays)-1,1-NETWORKDAYS.INTL(Tasks[[#This Row],[Start]],Tasks[[#This Row],[Planned Start]],WorkWeek,Holidays)))</f>
        <v/>
      </c>
      <c r="AT173" s="63" t="str">
        <f aca="false">IF(Tasks[[#This Row],[Task Name]]="","",IF(Tasks[[#This Row],[_IsSummary]],MIN(INDEX(Tasks[_LeafLateStart],Tasks[[#This Row],[_Row]]+1):INDEX(Tasks[_LeafLateStart],Tasks[[#This Row],[_Row]]+Tasks[[#This Row],[_Descendants]])),Tasks[[#This Row],[_LeafLateStart]]))</f>
        <v/>
      </c>
      <c r="AU173" s="63" t="str">
        <f aca="false">IF(Tasks[[#This Row],[Task Name]]="","",IF(Tasks[[#This Row],[_IsSummary]],MAX(INDEX(Tasks[_LeafLateFinish],Tasks[[#This Row],[_Row]]+1):INDEX(Tasks[_LeafLateFinish],Tasks[[#This Row],[_Row]]+Tasks[[#This Row],[_Descendants]])),Tasks[[#This Row],[_LeafLateFinish]]))</f>
        <v/>
      </c>
      <c r="AV173" s="47" t="str">
        <f aca="false">IF(Tasks[[#This Row],[Task Name]]="","",IF(Tasks[[#This Row],[_IsSummary]],MIN(INDEX(Tasks[_LeafTotalSlack],Tasks[[#This Row],[_Row]]+1):INDEX(Tasks[_LeafTotalSlack],Tasks[[#This Row],[_Row]]+Tasks[[#This Row],[_Descendants]])),Tasks[[#This Row],[_LeafTotalSlack]]))</f>
        <v/>
      </c>
      <c r="AW1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5"/>
      <c r="BA17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t="str">
        <f aca="false">IF(Tasks[[#This Row],[Task Name]]="","",IF(Tasks[[#This Row],[_Level]]&lt;=OutlineShowLevel,"Yes","No"))</f>
        <v/>
      </c>
      <c r="BE173" s="86" t="str">
        <f aca="false">IF(Tasks[[#This Row],[Task Name]]="","",IF(Tasks[[#This Row],[_IsSummary]],SUM(INDEX(Tasks[_LeafTotalWork],Tasks[[#This Row],[_Row]]+1):INDEX(Tasks[_LeafTotalWork],Tasks[[#This Row],[_Row]]+Tasks[[#This Row],[_Descendants]])),Tasks[[#This Row],[_LeafTotalWork]]))</f>
        <v/>
      </c>
      <c r="BF173" s="23"/>
      <c r="BG1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t="str">
        <f aca="false">""</f>
        <v/>
      </c>
      <c r="BI173" s="87"/>
      <c r="BJ173" s="22"/>
      <c r="BK173" s="47" t="str">
        <f aca="false">IF(OR(Tasks[[#This Row],[Task Name]]="",Tasks[[#This Row],[Baseline Duration]]=""),"",Tasks[[#This Row],[_SpanDays]]-N(Tasks[[#This Row],[Baseline Duration]]))</f>
        <v/>
      </c>
      <c r="BL173" s="86" t="str">
        <f aca="false">IF(OR(Tasks[[#This Row],[Task Name]]="",Tasks[[#This Row],[Baseline Work]]=""),"",Tasks[[#This Row],[Work]]-N(Tasks[[#This Row],[Baseline Work]]))</f>
        <v/>
      </c>
      <c r="BM173" s="63" t="str">
        <f aca="false">IF(Tasks[[#This Row],[Task Name]]="","",IF(OR(TakeBaseline="Yes",N(Tasks[[#This Row],[Baseline Start]])=0),Tasks[[#This Row],[Start]],Tasks[[#This Row],[Baseline Start]]))</f>
        <v/>
      </c>
      <c r="BN173" s="63" t="str">
        <f aca="false">IF(Tasks[[#This Row],[Task Name]]="","",IF(OR(TakeBaseline="Yes",N(Tasks[[#This Row],[Baseline Finish]])=0),Tasks[[#This Row],[Finish]],Tasks[[#This Row],[Baseline Finish]]))</f>
        <v/>
      </c>
      <c r="BO173" s="21" t="str">
        <f aca="false">IF(Tasks[[#This Row],[Task Name]]="","",IF(OR(TakeBaseline="Yes",N(Tasks[[#This Row],[Baseline Duration]])=0),Tasks[[#This Row],[_SpanDays]],Tasks[[#This Row],[Baseline Duration]]))</f>
        <v/>
      </c>
      <c r="BP173" s="86" t="str">
        <f aca="false">IF(Tasks[[#This Row],[Task Name]]="","",IF(OR(TakeBaseline="Yes",N(Tasks[[#This Row],[Baseline Work]])=0),Tasks[[#This Row],[Work]],Tasks[[#This Row],[Baseline Work]]))</f>
        <v/>
      </c>
      <c r="BQ173" s="7"/>
      <c r="BR173" s="7"/>
      <c r="BS173" s="22"/>
      <c r="BT173" s="88"/>
      <c r="BU173" s="23"/>
      <c r="BV173" s="23"/>
      <c r="BW173" s="23"/>
      <c r="BX173" s="89" t="str">
        <f aca="false">IF(AND(Tasks[[#This Row],[_IsLeaf]]=1,ISNUMBER(Tasks[[#This Row],[Optimistic]]),ISNUMBER(Tasks[[#This Row],[Pessimistic]])),ROUND((Tasks[[#This Row],[Optimistic]]+4*N(Tasks[[#This Row],[_Days]])+Tasks[[#This Row],[Pessimistic]])/6,1),"")</f>
        <v/>
      </c>
      <c r="BY173" s="87"/>
      <c r="BZ173" s="87"/>
      <c r="CA173" s="22"/>
      <c r="CB173" s="43" t="str">
        <f aca="false">IF(Tasks[[#This Row],[Task Name]]="","",MAX(1,N(Tasks[[#This Row],[Level]])))</f>
        <v/>
      </c>
      <c r="CC173" s="43" t="n">
        <f aca="false">ROW()-ROW(Tasks[[#Headers],[ID]])</f>
        <v>168</v>
      </c>
      <c r="CD173" s="43" t="n">
        <f aca="false">IF(OR(Tasks[[#This Row],[Task Name]]="",Tasks[[#This Row],[_Level]]&lt;=1),0,IFERROR(LOOKUP(2,1/(Tasks[[#Headers],[_Level]]:Tasks[[#This Row],[_Level]]=Tasks[[#This Row],[_Level]]-1),ROW(Tasks[[#Headers],[_Level]]:Tasks[[#This Row],[_Level]])),0))</f>
        <v>0</v>
      </c>
      <c r="CE173" s="43" t="n">
        <f aca="false">IFERROR(N(INDEX(Tasks[_Level],Tasks[[#This Row],[_Row]]+1)),0)</f>
        <v>0</v>
      </c>
      <c r="CF173" s="90" t="b">
        <f aca="false">AND(Tasks[[#This Row],[Task Name]]&lt;&gt;"",Tasks[[#This Row],[_NextLevel]]&gt;Tasks[[#This Row],[_Level]])</f>
        <v>0</v>
      </c>
      <c r="CG173" s="43" t="n">
        <f aca="false">IF(Tasks[[#This Row],[_IsSummary]],COUNTIF(Tasks[WBS],Tasks[[#This Row],[WBS]]&amp;".*"),0)</f>
        <v>0</v>
      </c>
      <c r="CH173" s="43" t="n">
        <f aca="false">IF(AND(Tasks[[#This Row],[Task Name]]&lt;&gt;"",NOT(Tasks[[#This Row],[_IsSummary]])),1,0)</f>
        <v>0</v>
      </c>
      <c r="CI173" s="43" t="n">
        <f aca="false">IF(N(Tasks[[#This Row],[_Pred1UID]])=0,0,IFERROR(MATCH(Tasks[[#This Row],[_Pred1UID]],Tasks[UID],0),-1))</f>
        <v>0</v>
      </c>
      <c r="CJ173" s="43" t="n">
        <f aca="false">IF(N(Tasks[[#This Row],[_Pred2UID]])=0,0,IFERROR(MATCH(Tasks[[#This Row],[_Pred2UID]],Tasks[UID],0),-1))</f>
        <v>0</v>
      </c>
      <c r="CK173" s="43" t="n">
        <f aca="false">IF(N(Tasks[[#This Row],[_Pred3UID]])=0,0,IFERROR(MATCH(Tasks[[#This Row],[_Pred3UID]],Tasks[UID],0),-1))</f>
        <v>0</v>
      </c>
      <c r="CL173" s="43" t="n">
        <f aca="false">IF(N(Tasks[[#This Row],[_Pred4UID]])=0,0,IFERROR(MATCH(Tasks[[#This Row],[_Pred4UID]],Tasks[UID],0),-1))</f>
        <v>0</v>
      </c>
      <c r="CM1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3" s="91" t="n">
        <f aca="false">IF(OR(Tasks[[#This Row],[_ConstraintCode]]=2,Tasks[[#This Row],[_ConstraintCode]]=3,Tasks[[#This Row],[_ConstraintCode]]=4,Tasks[[#This Row],[_ConstraintCode]]=6),Tasks[[#This Row],[_ConstraintStart]],0)</f>
        <v>0</v>
      </c>
      <c r="CP173" s="91" t="n">
        <f aca="false">IF(OR(Tasks[[#This Row],[_ConstraintCode]]=2,Tasks[[#This Row],[_ConstraintCode]]=3,Tasks[[#This Row],[_ConstraintCode]]=5,Tasks[[#This Row],[_ConstraintCode]]=7),Tasks[[#This Row],[_ConstraintStart]],2958465)</f>
        <v>2958465</v>
      </c>
      <c r="CQ1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3" s="91" t="str">
        <f aca="false">IF(NOT(Tasks[[#This Row],[_IsLeaf]]=1),"",IF(N(Tasks[[#This Row],[_Days]])&lt;=0,Tasks[[#This Row],[_LeafCalcStart]],WORKDAY.INTL(Tasks[[#This Row],[_LeafCalcStart]],Tasks[[#This Row],[_Days]]-1,WorkWeek,Holidays)))</f>
        <v/>
      </c>
      <c r="CS1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3" s="43" t="str">
        <f aca="false">IF(Tasks[[#This Row],[_Predecessors]]="","",TRIM(MID(SUBSTITUTE(SUBSTITUTE(SUBSTITUTE(UPPER(Tasks[[#This Row],[_Predecessors]]),";",",")," ",""),",",REPT(" ",99)),1,99)))</f>
        <v/>
      </c>
      <c r="CV173" s="43" t="str">
        <f aca="false">IF(Tasks[[#This Row],[_Pred1Text]]="","",IFERROR(VALUE(LEFT(Tasks[[#This Row],[_Pred1Text]],MIN(FIND("F",Tasks[[#This Row],[_Pred1Text]]&amp;"F"),FIND("S",Tasks[[#This Row],[_Pred1Text]]&amp;"S"),FIND("+",Tasks[[#This Row],[_Pred1Text]]&amp;"+"),FIND("-",Tasks[[#This Row],[_Pred1Text]]&amp;"-"))-1)),""))</f>
        <v/>
      </c>
      <c r="CW1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3" s="43" t="str">
        <f aca="false">IF(Tasks[[#This Row],[_Pred1Text]]="","",TRIM(MID(SUBSTITUTE(SUBSTITUTE(SUBSTITUTE(UPPER(Tasks[[#This Row],[_Predecessors]]),";",",")," ",""),",",REPT(" ",99)),100,99)))</f>
        <v/>
      </c>
      <c r="CZ173" s="43" t="str">
        <f aca="false">IF(Tasks[[#This Row],[_Pred2Text]]="","",IFERROR(VALUE(LEFT(Tasks[[#This Row],[_Pred2Text]],MIN(FIND("F",Tasks[[#This Row],[_Pred2Text]]&amp;"F"),FIND("S",Tasks[[#This Row],[_Pred2Text]]&amp;"S"),FIND("+",Tasks[[#This Row],[_Pred2Text]]&amp;"+"),FIND("-",Tasks[[#This Row],[_Pred2Text]]&amp;"-"))-1)),""))</f>
        <v/>
      </c>
      <c r="DA1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3" s="43" t="str">
        <f aca="false">IF(Tasks[[#This Row],[_Pred2Text]]="","",TRIM(MID(SUBSTITUTE(SUBSTITUTE(SUBSTITUTE(UPPER(Tasks[[#This Row],[_Predecessors]]),";",",")," ",""),",",REPT(" ",99)),199,99)))</f>
        <v/>
      </c>
      <c r="DD173" s="43" t="str">
        <f aca="false">IF(Tasks[[#This Row],[_Pred3Text]]="","",IFERROR(VALUE(LEFT(Tasks[[#This Row],[_Pred3Text]],MIN(FIND("F",Tasks[[#This Row],[_Pred3Text]]&amp;"F"),FIND("S",Tasks[[#This Row],[_Pred3Text]]&amp;"S"),FIND("+",Tasks[[#This Row],[_Pred3Text]]&amp;"+"),FIND("-",Tasks[[#This Row],[_Pred3Text]]&amp;"-"))-1)),""))</f>
        <v/>
      </c>
      <c r="DE1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3" s="43" t="str">
        <f aca="false">IF(Tasks[[#This Row],[_Pred3Text]]="","",TRIM(MID(SUBSTITUTE(SUBSTITUTE(SUBSTITUTE(UPPER(Tasks[[#This Row],[_Predecessors]]),";",",")," ",""),",",REPT(" ",99)),298,99)))</f>
        <v/>
      </c>
      <c r="DH173" s="43" t="str">
        <f aca="false">IF(Tasks[[#This Row],[_Pred4Text]]="","",IFERROR(VALUE(LEFT(Tasks[[#This Row],[_Pred4Text]],MIN(FIND("F",Tasks[[#This Row],[_Pred4Text]]&amp;"F"),FIND("S",Tasks[[#This Row],[_Pred4Text]]&amp;"S"),FIND("+",Tasks[[#This Row],[_Pred4Text]]&amp;"+"),FIND("-",Tasks[[#This Row],[_Pred4Text]]&amp;"-"))-1)),""))</f>
        <v/>
      </c>
      <c r="DI1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3" s="43" t="str">
        <f aca="false">IF(OR(Tasks[[#This Row],[Task Name]]="",Tasks[[#This Row],[_Resources]]=""),"",TRIM(MID(SUBSTITUTE(Tasks[[#This Row],[_Resources]],",",REPT(" ",99)),1,99)))</f>
        <v/>
      </c>
      <c r="DL173" s="43" t="str">
        <f aca="false">IF(Tasks[[#This Row],[_Res1Text]]="","",TRIM(MID(SUBSTITUTE(Tasks[[#This Row],[_Resources]],",",REPT(" ",99)),100,99)))</f>
        <v/>
      </c>
      <c r="DM173" s="43" t="str">
        <f aca="false">IF(Tasks[[#This Row],[_Res2Text]]="","",TRIM(MID(SUBSTITUTE(Tasks[[#This Row],[_Resources]],",",REPT(" ",99)),199,99)))</f>
        <v/>
      </c>
      <c r="DN173" s="43" t="str">
        <f aca="false">IF(Tasks[[#This Row],[_Res3Text]]="","",TRIM(MID(SUBSTITUTE(Tasks[[#This Row],[_Resources]],",",REPT(" ",99)),298,99)))</f>
        <v/>
      </c>
      <c r="DO173" s="43" t="n">
        <f aca="false">IF(Tasks[[#This Row],[_Res1Text]]="",0,IFERROR(MATCH(TRIM(LEFT(Tasks[[#This Row],[_Res1Text]],FIND("[",Tasks[[#This Row],[_Res1Text]]&amp;"[")-1)),res_Name,0),IFERROR(MATCH(TRIM(LEFT(Tasks[[#This Row],[_Res1Text]],FIND("[",Tasks[[#This Row],[_Res1Text]]&amp;"[")-1)),res_Initials,0),0)))</f>
        <v>0</v>
      </c>
      <c r="DP173" s="43" t="n">
        <f aca="false">IF(Tasks[[#This Row],[_Res2Text]]="",0,IFERROR(MATCH(TRIM(LEFT(Tasks[[#This Row],[_Res2Text]],FIND("[",Tasks[[#This Row],[_Res2Text]]&amp;"[")-1)),res_Name,0),IFERROR(MATCH(TRIM(LEFT(Tasks[[#This Row],[_Res2Text]],FIND("[",Tasks[[#This Row],[_Res2Text]]&amp;"[")-1)),res_Initials,0),0)))</f>
        <v>0</v>
      </c>
      <c r="DQ173" s="43" t="n">
        <f aca="false">IF(Tasks[[#This Row],[_Res3Text]]="",0,IFERROR(MATCH(TRIM(LEFT(Tasks[[#This Row],[_Res3Text]],FIND("[",Tasks[[#This Row],[_Res3Text]]&amp;"[")-1)),res_Name,0),IFERROR(MATCH(TRIM(LEFT(Tasks[[#This Row],[_Res3Text]],FIND("[",Tasks[[#This Row],[_Res3Text]]&amp;"[")-1)),res_Initials,0),0)))</f>
        <v>0</v>
      </c>
      <c r="DR173" s="43" t="n">
        <f aca="false">IF(Tasks[[#This Row],[_Res4Text]]="",0,IFERROR(MATCH(TRIM(LEFT(Tasks[[#This Row],[_Res4Text]],FIND("[",Tasks[[#This Row],[_Res4Text]]&amp;"[")-1)),res_Name,0),IFERROR(MATCH(TRIM(LEFT(Tasks[[#This Row],[_Res4Text]],FIND("[",Tasks[[#This Row],[_Res4Text]]&amp;"[")-1)),res_Initials,0),0)))</f>
        <v>0</v>
      </c>
      <c r="DS173" s="43" t="str">
        <f aca="false">IF(Tasks[[#This Row],[_Res1Text]]="","",IF(Tasks[[#This Row],[_Res1Row]]&gt;0,INDEX(res_Name,Tasks[[#This Row],[_Res1Row]]),TRIM(LEFT(Tasks[[#This Row],[_Res1Text]],FIND("[",Tasks[[#This Row],[_Res1Text]]&amp;"[")-1))))</f>
        <v/>
      </c>
      <c r="DT1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3" s="43" t="n">
        <f aca="false">IF(NOT(Tasks[[#This Row],[_IsLeaf]]=1),0,(Tasks[[#This Row],[_Resource1]]&lt;&gt;"")+(Tasks[[#This Row],[_Res2]]&lt;&gt;"")+(Tasks[[#This Row],[_Res3]]&lt;&gt;"")+(Tasks[[#This Row],[_Res4]]&lt;&gt;""))</f>
        <v>0</v>
      </c>
      <c r="DV173" s="43" t="str">
        <f aca="false">IF(Tasks[[#This Row],[_Res2Text]]="","",IF(Tasks[[#This Row],[_Res2Row]]&gt;0,INDEX(res_Name,Tasks[[#This Row],[_Res2Row]]),TRIM(LEFT(Tasks[[#This Row],[_Res2Text]],FIND("[",Tasks[[#This Row],[_Res2Text]]&amp;"[")-1))))</f>
        <v/>
      </c>
      <c r="DW1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3" s="43" t="n">
        <f aca="false">IF(OR(NOT(Tasks[[#This Row],[_IsLeaf]]=1),Tasks[[#This Row],[_Res2Row]]=0),0,N(Tasks[[#This Row],[_Days]])*HoursPerDay*IF(Tasks[[#This Row],[_Res2Units]]="",DefaultUnits,Tasks[[#This Row],[_Res2Units]]))</f>
        <v>0</v>
      </c>
      <c r="DY173" s="43" t="n">
        <f aca="false">IF(AND(AND(Tasks[[#This Row],[_IsLeaf]]=1,Tasks[[#This Row],[_LeafTotalWork]]&gt;0),Tasks[[#This Row],[_Res2Work]]&gt;0),Tasks[[#This Row],[_Res2Work]]/(Tasks[[#This Row],[_FinishWorkday]]-Tasks[[#This Row],[_StartWorkday]]+1),0)</f>
        <v>0</v>
      </c>
      <c r="DZ173" s="43" t="n">
        <f aca="false">Tasks[[#This Row],[_Res2WorkPerWD]]*MAX(0,Tasks[[#This Row],[_StartWorkday]]-1)</f>
        <v>0</v>
      </c>
      <c r="EA173" s="43" t="n">
        <f aca="false">Tasks[[#This Row],[_Res2Work]]*Tasks[[#This Row],[_LeafProgress]]</f>
        <v>0</v>
      </c>
      <c r="EB173" s="43" t="str">
        <f aca="false">IF(Tasks[[#This Row],[_Res3Text]]="","",IF(Tasks[[#This Row],[_Res3Row]]&gt;0,INDEX(res_Name,Tasks[[#This Row],[_Res3Row]]),TRIM(LEFT(Tasks[[#This Row],[_Res3Text]],FIND("[",Tasks[[#This Row],[_Res3Text]]&amp;"[")-1))))</f>
        <v/>
      </c>
      <c r="EC1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3" s="43" t="n">
        <f aca="false">IF(OR(NOT(Tasks[[#This Row],[_IsLeaf]]=1),Tasks[[#This Row],[_Res3Row]]=0),0,N(Tasks[[#This Row],[_Days]])*HoursPerDay*IF(Tasks[[#This Row],[_Res3Units]]="",DefaultUnits,Tasks[[#This Row],[_Res3Units]]))</f>
        <v>0</v>
      </c>
      <c r="EE173" s="43" t="n">
        <f aca="false">IF(AND(AND(Tasks[[#This Row],[_IsLeaf]]=1,Tasks[[#This Row],[_LeafTotalWork]]&gt;0),Tasks[[#This Row],[_Res3Work]]&gt;0),Tasks[[#This Row],[_Res3Work]]/(Tasks[[#This Row],[_FinishWorkday]]-Tasks[[#This Row],[_StartWorkday]]+1),0)</f>
        <v>0</v>
      </c>
      <c r="EF173" s="43" t="n">
        <f aca="false">Tasks[[#This Row],[_Res3WorkPerWD]]*MAX(0,Tasks[[#This Row],[_StartWorkday]]-1)</f>
        <v>0</v>
      </c>
      <c r="EG173" s="43" t="n">
        <f aca="false">Tasks[[#This Row],[_Res3Work]]*Tasks[[#This Row],[_LeafProgress]]</f>
        <v>0</v>
      </c>
      <c r="EH173" s="43" t="str">
        <f aca="false">IF(Tasks[[#This Row],[_Res4Text]]="","",IF(Tasks[[#This Row],[_Res4Row]]&gt;0,INDEX(res_Name,Tasks[[#This Row],[_Res4Row]]),TRIM(LEFT(Tasks[[#This Row],[_Res4Text]],FIND("[",Tasks[[#This Row],[_Res4Text]]&amp;"[")-1))))</f>
        <v/>
      </c>
      <c r="EI1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3" s="43" t="n">
        <f aca="false">IF(OR(NOT(Tasks[[#This Row],[_IsLeaf]]=1),Tasks[[#This Row],[_Res4Row]]=0),0,N(Tasks[[#This Row],[_Days]])*HoursPerDay*IF(Tasks[[#This Row],[_Res4Units]]="",DefaultUnits,Tasks[[#This Row],[_Res4Units]]))</f>
        <v>0</v>
      </c>
      <c r="EK173" s="43" t="n">
        <f aca="false">IF(AND(AND(Tasks[[#This Row],[_IsLeaf]]=1,Tasks[[#This Row],[_LeafTotalWork]]&gt;0),Tasks[[#This Row],[_Res4Work]]&gt;0),Tasks[[#This Row],[_Res4Work]]/(Tasks[[#This Row],[_FinishWorkday]]-Tasks[[#This Row],[_StartWorkday]]+1),0)</f>
        <v>0</v>
      </c>
      <c r="EL173" s="43" t="n">
        <f aca="false">Tasks[[#This Row],[_Res4WorkPerWD]]*MAX(0,Tasks[[#This Row],[_StartWorkday]]-1)</f>
        <v>0</v>
      </c>
      <c r="EM173" s="43" t="n">
        <f aca="false">Tasks[[#This Row],[_Res4Work]]*Tasks[[#This Row],[_LeafProgress]]</f>
        <v>0</v>
      </c>
      <c r="EN173" s="43" t="n">
        <f aca="false">IF(ISNUMBER(Tasks[[#This Row],[% Complete]]),Tasks[[#This Row],[% Complete]],IF(Tasks[[#This Row],[Stage]]="",0,IFERROR(INDEX(stg_Pct,MATCH(Tasks[[#This Row],[Stage]],stg_Name,0)),0)))</f>
        <v>0</v>
      </c>
      <c r="EO173" s="43" t="n">
        <f aca="false">IF(NOT(Tasks[[#This Row],[_IsLeaf]]=1),0,IF(N(Tasks[[#This Row],[Actual Finish]])&gt;0,1,MIN(1,Tasks[[#This Row],[_Pct]])))</f>
        <v>0</v>
      </c>
      <c r="EP173" s="43" t="n">
        <f aca="false">IF(OR(NOT(Tasks[[#This Row],[_IsLeaf]]=1),Tasks[[#This Row],[_Res1Row]]=0),0,N(Tasks[[#This Row],[_Days]])*HoursPerDay*IF(Tasks[[#This Row],[_Units1]]="",DefaultUnits,Tasks[[#This Row],[_Units1]]))</f>
        <v>0</v>
      </c>
      <c r="EQ173" s="43" t="n">
        <f aca="false">Tasks[[#This Row],[_LeafWork]]+Tasks[[#This Row],[_Res2Work]]+Tasks[[#This Row],[_Res3Work]]+Tasks[[#This Row],[_Res4Work]]</f>
        <v>0</v>
      </c>
      <c r="ER17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3" s="43" t="n">
        <f aca="false">IF(NOT(Tasks[[#This Row],[_IsLeaf]]=1),0,MAX(_xlfn.MAXIFS(Tasks[_Row],Tasks[_Pred1UID],Tasks[[#This Row],[UID]]),_xlfn.MAXIFS(Tasks[_Row],Tasks[_Pred2UID],Tasks[[#This Row],[UID]]),_xlfn.MAXIFS(Tasks[_Row],Tasks[_Pred3UID],Tasks[[#This Row],[UID]]),_xlfn.MAXIFS(Tasks[_Row],Tasks[_Pred4UID],Tasks[[#This Row],[UID]])))</f>
        <v>0</v>
      </c>
      <c r="FA1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3" s="91" t="str">
        <f aca="false">IF(NOT(Tasks[[#This Row],[_IsLeaf]]=1),"",IF(N(Tasks[[#This Row],[_Days]])&lt;=0,Tasks[[#This Row],[_LeafLateFinish]],WORKDAY.INTL(Tasks[[#This Row],[_LeafLateFinish]],-(Tasks[[#This Row],[_Days]]-1),WorkWeek,Holidays)))</f>
        <v/>
      </c>
      <c r="FD1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3" s="90" t="b">
        <f aca="false">AND(Tasks[[#This Row],[_IsLeaf]]=1,Tasks[[#This Row],[_LeafProgress]]&lt;1,N(Tasks[[#This Row],[_LeafTotalSlack]])&lt;=CriticalSlackDays)</f>
        <v>0</v>
      </c>
      <c r="FF173" s="43" t="n">
        <f aca="false">IF(AND(Tasks[[#This Row],[_IsLeaf]]=1,Tasks[[#This Row],[_ConstraintCode]]=1,Tasks[[#This Row],[Mode]]&lt;&gt;"Manual",N(Tasks[[#This Row],[Actual Start]])=0),MAX(0,N(Tasks[[#This Row],[Free Slack]])),0)</f>
        <v>0</v>
      </c>
      <c r="FG173" s="91" t="str">
        <f aca="false">IF(NOT(Tasks[[#This Row],[_IsLeaf]]=1),"",IF(Tasks[[#This Row],[_AlapShift]]=0,Tasks[[#This Row],[_LeafCalcStart]],WORKDAY.INTL(Tasks[[#This Row],[_LeafCalcStart]],Tasks[[#This Row],[_AlapShift]],WorkWeek,Holidays)))</f>
        <v/>
      </c>
      <c r="FH173" s="91" t="str">
        <f aca="false">IF(NOT(Tasks[[#This Row],[_IsLeaf]]=1),"",IF(Tasks[[#This Row],[_AlapShift]]=0,Tasks[[#This Row],[_LeafCalcFinish]],WORKDAY.INTL(Tasks[[#This Row],[_LeafCalcFinish]],Tasks[[#This Row],[_AlapShift]],WorkWeek,Holidays)))</f>
        <v/>
      </c>
      <c r="FI173" s="91" t="str">
        <f aca="false">IF(NOT(Tasks[[#This Row],[_IsLeaf]]=1),"",IF(Tasks[[#This Row],[_AlapShift]]=0,Tasks[[#This Row],[_LeafFcstStart]],WORKDAY.INTL(Tasks[[#This Row],[_LeafFcstStart]],Tasks[[#This Row],[_AlapShift]],WorkWeek,Holidays)))</f>
        <v/>
      </c>
      <c r="FJ173" s="91" t="str">
        <f aca="false">IF(NOT(Tasks[[#This Row],[_IsLeaf]]=1),"",IF(Tasks[[#This Row],[_AlapShift]]=0,Tasks[[#This Row],[_LeafFcstFinish]],WORKDAY.INTL(Tasks[[#This Row],[_LeafFcstFinish]],Tasks[[#This Row],[_AlapShift]],WorkWeek,Holidays)))</f>
        <v/>
      </c>
      <c r="FK173" s="91" t="str">
        <f aca="false">IF(Tasks[[#This Row],[Task Name]]="","",IF(Tasks[[#This Row],[_IsSummary]],MIN(INDEX(Tasks[_ShownCalcStart],Tasks[[#This Row],[_Row]]+1):INDEX(Tasks[_ShownCalcStart],Tasks[[#This Row],[_Row]]+Tasks[[#This Row],[_Descendants]])),Tasks[[#This Row],[_ShownCalcStart]]))</f>
        <v/>
      </c>
      <c r="FL173" s="91" t="str">
        <f aca="false">IF(Tasks[[#This Row],[Task Name]]="","",IF(Tasks[[#This Row],[_IsSummary]],MAX(INDEX(Tasks[_ShownCalcFinish],Tasks[[#This Row],[_Row]]+1):INDEX(Tasks[_ShownCalcFinish],Tasks[[#This Row],[_Row]]+Tasks[[#This Row],[_Descendants]])),Tasks[[#This Row],[_ShownCalcFinish]]))</f>
        <v/>
      </c>
      <c r="FM1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3" s="43" t="n">
        <f aca="false">IF(AND(Tasks[[#This Row],[_IsLeaf]]=1,Tasks[[#This Row],[_LeafTotalWork]]&gt;0),NETWORKDAYS.INTL(ProjectStart,Tasks[[#This Row],[_ShownFcstStart]],WorkWeek,Holidays),0)</f>
        <v>0</v>
      </c>
      <c r="FZ173" s="43" t="n">
        <f aca="false">IF(AND(Tasks[[#This Row],[_IsLeaf]]=1,Tasks[[#This Row],[_LeafTotalWork]]&gt;0),MAX(Tasks[[#This Row],[_StartWorkday]],NETWORKDAYS.INTL(ProjectStart,Tasks[[#This Row],[_ShownFcstFinish]],WorkWeek,Holidays)),0)</f>
        <v>0</v>
      </c>
      <c r="GA173" s="43" t="n">
        <f aca="false">IF(AND(Tasks[[#This Row],[_IsLeaf]]=1,Tasks[[#This Row],[_LeafTotalWork]]&gt;0),Tasks[[#This Row],[_LeafWork]]/(Tasks[[#This Row],[_FinishWorkday]]-Tasks[[#This Row],[_StartWorkday]]+1),0)</f>
        <v>0</v>
      </c>
      <c r="GB173" s="43" t="n">
        <f aca="false">Tasks[[#This Row],[_WorkPerWorkday]]*(Tasks[[#This Row],[_StartWorkday]]-1)</f>
        <v>-0</v>
      </c>
      <c r="GC173" s="43" t="n">
        <f aca="false">IF(Tasks[[#This Row],[_IsLeaf]]=1,MAX(N(Tasks[[#This Row],[_Days]]),0.1),0)</f>
        <v>0</v>
      </c>
      <c r="GD173" s="43" t="n">
        <f aca="false">Tasks[[#This Row],[_WeightDur]]*Tasks[[#This Row],[_LeafProgress]]</f>
        <v>0</v>
      </c>
      <c r="GE173" s="43" t="n">
        <f aca="false">Tasks[[#This Row],[_WeightDur]]*Tasks[[#This Row],[_PlannedPct]]</f>
        <v>0</v>
      </c>
      <c r="GF1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3" s="43" t="str">
        <f aca="false">IF(AND(Tasks[[#This Row],[_IsLeaf]]=1,N(Tasks[[#This Row],[_Days]])=0,Tasks[[#This Row],[_LeafProgress]]&lt;1),Tasks[[#This Row],[_ShownFcstFinish]]+Tasks[[#This Row],[_Row]]/100000,"")</f>
        <v/>
      </c>
      <c r="GH1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3" s="43" t="str">
        <f aca="false">IF(Tasks[[#This Row],[Task Name]]="","",LEFT(Tasks[[#This Row],[WBS]],FIND(".",Tasks[[#This Row],[WBS]]&amp;".")-1))</f>
        <v/>
      </c>
      <c r="GJ173" s="43" t="str">
        <f aca="false">IF(AND(Tasks[[#This Row],[Task Name]]&lt;&gt;"",Tasks[[#This Row],[_Level]]=1),Tasks[[#This Row],[_Row]],"")</f>
        <v/>
      </c>
      <c r="GK173" s="43" t="str">
        <f aca="false">IF(AND(Tasks[[#This Row],[_IsLeaf]]=1,N(Tasks[[#This Row],[_Days]])=0),Tasks[[#This Row],[Planned Finish]]+Tasks[[#This Row],[_Row]]/100000,"")</f>
        <v/>
      </c>
      <c r="GL173" s="43" t="str">
        <f aca="false">IF(AND(Tasks[[#This Row],[_IsLeaf]]=1,Tasks[[#This Row],[_LeafProgress]]&lt;1,OR(N(Tasks[[#This Row],[Finish Var]])&gt;0,Tasks[[#This Row],[Status]]="Late Start")),MAX(0,Tasks[[#This Row],[Finish Var]])+1-Tasks[[#This Row],[_Row]]/1000000,"")</f>
        <v/>
      </c>
      <c r="GM173" s="43" t="str">
        <f aca="false">IF(AND(Tasks[[#This Row],[_IsLeaf]]=1,N(Tasks[[#This Row],[Actual Start]])=0,Tasks[[#This Row],[_ShownFcstStart]]&gt;=StatusDate,Tasks[[#This Row],[_ShownFcstStart]]&lt;=LookaheadEnd),Tasks[[#This Row],[_ShownFcstStart]]+Tasks[[#This Row],[_Row]]/100000,"")</f>
        <v/>
      </c>
      <c r="GN173" s="43" t="str">
        <f aca="false">IF(AND(Tasks[[#This Row],[_IsLeaf]]=1,Tasks[[#This Row],[_LeafProgress]]&lt;1,Tasks[[#This Row],[_ShownFcstFinish]]&gt;=StatusDate,Tasks[[#This Row],[_ShownFcstFinish]]&lt;=LookaheadEnd),Tasks[[#This Row],[_ShownFcstFinish]]+Tasks[[#This Row],[_Row]]/100000,"")</f>
        <v/>
      </c>
      <c r="GO173" s="43" t="str">
        <f aca="false">IF(Tasks[[#This Row],[_LeafCritical]],Tasks[[#This Row],[_ShownFcstStart]]+Tasks[[#This Row],[_Row]]/100000,"")</f>
        <v/>
      </c>
      <c r="GP173" s="43" t="n">
        <f aca="false">Tasks[[#This Row],[_LeafWork]]*Tasks[[#This Row],[_LeafProgress]]</f>
        <v>0</v>
      </c>
      <c r="GQ173" s="91" t="str">
        <f aca="false">IF(AND(Tasks[[#This Row],[_IsLeaf]]=1,Tasks[[#This Row],[_LeafProgress]]&gt;=1),IF(N(Tasks[[#This Row],[Actual Finish]])&gt;0,Tasks[[#This Row],[Actual Finish]],Tasks[[#This Row],[_ShownFcstFinish]]),"")</f>
        <v/>
      </c>
      <c r="GR173" s="43" t="n">
        <f aca="false">IF(Tasks[[#This Row],[_IsLeaf]]=1,N(Tasks[[#This Row],[Story Points]]),0)</f>
        <v>0</v>
      </c>
      <c r="GS173" s="43" t="str">
        <f aca="false">""</f>
        <v/>
      </c>
      <c r="GT173" s="90" t="b">
        <f aca="false">IF(Tasks[[#This Row],[Task Name]]="",FALSE(),AND(Tasks[[#This Row],[_IsLeaf]]=1,N(Tasks[[#This Row],[_Days]])=0))</f>
        <v>0</v>
      </c>
      <c r="GU173" s="91" t="n">
        <f aca="false">IF(Tasks[[#This Row],[Task Name]]="",0,IF(AND(Tasks[[#This Row],[_IsLeaf]]=1,NOT(Tasks[[#This Row],[_IsMilestone]]),N(Tasks[[#This Row],[Progress]])&gt;0),Tasks[[#This Row],[Start]],0))</f>
        <v>0</v>
      </c>
      <c r="GV173" s="91" t="n">
        <f aca="false">IF(Tasks[[#This Row],[_DoneFrom]]=0,0,IF(Tasks[[#This Row],[Progress]]&gt;=1,Tasks[[#This Row],[Finish]],MAX(Tasks[[#This Row],[_DoneFrom]],Tasks[[#This Row],[Start]]+ROUND((Tasks[[#This Row],[Finish]]-Tasks[[#This Row],[Start]]+1)*Tasks[[#This Row],[Progress]],0)-1)))</f>
        <v>0</v>
      </c>
      <c r="GW173" s="91" t="n">
        <f aca="false">IF(Tasks[[#This Row],[Task Name]]="",0,IF(OR(NOT(Tasks[[#This Row],[_IsLeaf]]=1),Tasks[[#This Row],[_IsMilestone]],N(Tasks[[#This Row],[Progress]])&gt;=1),0,IF(Tasks[[#This Row],[_DoneTo]]&gt;0,Tasks[[#This Row],[_DoneTo]]+1,Tasks[[#This Row],[Start]])))</f>
        <v>0</v>
      </c>
      <c r="GX173" s="91" t="n">
        <f aca="false">IF(Tasks[[#This Row],[_RemFrom]]=0,0,Tasks[[#This Row],[Finish]])</f>
        <v>0</v>
      </c>
      <c r="GY173" s="90" t="b">
        <f aca="false">IF(Tasks[[#This Row],[Task Name]]="",FALSE(),OR(NOT(BaselineSet),N(Tasks[[#This Row],[Baseline Start]])&gt;0))</f>
        <v>0</v>
      </c>
      <c r="GZ17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3" s="92" t="str">
        <f aca="false">IF(Tasks[[#This Row],[_IsLeaf]]=1,Tasks[[#This Row],[_Row]],"")</f>
        <v/>
      </c>
      <c r="HD173" s="92" t="str">
        <f aca="false">IFERROR(INDEX(Tasks[UID],SMALL(Tasks[_PickKey],Tasks[[#This Row],[_Row]]))&amp;" "&amp;INDEX(Tasks[Task Name],SMALL(Tasks[_PickKey],Tasks[[#This Row],[_Row]])),"")</f>
        <v/>
      </c>
      <c r="HE173" s="43" t="str">
        <f aca="false">IF(Tasks[[#This Row],[Task Name]]="","",IF(Tasks[[#This Row],[_IsSummary]],NETWORKDAYS.INTL(Tasks[[#This Row],[Start]],Tasks[[#This Row],[Finish]],WorkWeek,Holidays),N(Tasks[[#This Row],[_Days]])))</f>
        <v/>
      </c>
      <c r="HF173" s="43" t="n">
        <f aca="false">IF(Tasks[[#This Row],[Expected]]="",0,((Tasks[[#This Row],[Pessimistic]]-Tasks[[#This Row],[Optimistic]])/6)^2)</f>
        <v>0</v>
      </c>
      <c r="HG173" s="43" t="n">
        <f aca="false">IF(Tasks[[#This Row],[Expected]]="",0,Tasks[[#This Row],[Expected]]-N(Tasks[[#This Row],[_Days]]))</f>
        <v>0</v>
      </c>
    </row>
    <row r="174" customFormat="false" ht="15" hidden="false" customHeight="false" outlineLevel="0" collapsed="false">
      <c r="A174" s="21" t="str">
        <f aca="false">IF(Tasks[[#This Row],[Task Name]]="","",COUNTA(Tasks[[#Headers],[Task Name]]:Tasks[[#This Row],[Task Name]])-1)</f>
        <v/>
      </c>
      <c r="B174" s="22" t="n">
        <v>182</v>
      </c>
      <c r="C174" s="22"/>
      <c r="D174" s="23"/>
      <c r="E174" s="22"/>
      <c r="F174" s="23"/>
      <c r="G174" s="22"/>
      <c r="H174" s="22"/>
      <c r="I174" s="23"/>
      <c r="J174" s="22"/>
      <c r="K174" s="22"/>
      <c r="L174" s="23"/>
      <c r="M174" s="22"/>
      <c r="N174" s="22"/>
      <c r="O174" s="23"/>
      <c r="P174" s="22"/>
      <c r="Q174" s="22"/>
      <c r="R174" s="23"/>
      <c r="S174" s="23"/>
      <c r="T174" s="84"/>
      <c r="U174" s="23"/>
      <c r="V174" s="84"/>
      <c r="W174" s="23"/>
      <c r="X174" s="84"/>
      <c r="Y174" s="23"/>
      <c r="Z174" s="84"/>
      <c r="AA174" s="23"/>
      <c r="AB174" s="23"/>
      <c r="AC174" s="7"/>
      <c r="AD174" s="7"/>
      <c r="AE174" s="63" t="str">
        <f aca="false">IF(Tasks[[#This Row],[Task Name]]="","",IF(Tasks[[#This Row],[_IsSummary]],MIN(INDEX(Tasks[_ShownFcstStart],Tasks[[#This Row],[_Row]]+1):INDEX(Tasks[_ShownFcstStart],Tasks[[#This Row],[_Row]]+Tasks[[#This Row],[_Descendants]])),Tasks[[#This Row],[_ShownFcstStart]]))</f>
        <v/>
      </c>
      <c r="AF174" s="63" t="str">
        <f aca="false">IF(Tasks[[#This Row],[Task Name]]="","",IF(Tasks[[#This Row],[_IsSummary]],MAX(INDEX(Tasks[_ShownFcstFinish],Tasks[[#This Row],[_Row]]+1):INDEX(Tasks[_ShownFcstFinish],Tasks[[#This Row],[_Row]]+Tasks[[#This Row],[_Descendants]])),Tasks[[#This Row],[_ShownFcstFinish]]))</f>
        <v/>
      </c>
      <c r="AG174" s="21" t="str">
        <f aca="false">""</f>
        <v/>
      </c>
      <c r="AH174" s="23"/>
      <c r="AI1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4" s="7"/>
      <c r="AK174" s="22"/>
      <c r="AL174" s="23"/>
      <c r="AM174" s="7"/>
      <c r="AN174" s="47" t="str">
        <f aca="false">IF(Tasks[[#This Row],[Task Name]]="","",IF(Tasks[[#This Row],[Finish]]&gt;=Tasks[[#This Row],[Planned Finish]],NETWORKDAYS.INTL(Tasks[[#This Row],[Planned Finish]],Tasks[[#This Row],[Finish]],WorkWeek,Holidays)-1,1-NETWORKDAYS.INTL(Tasks[[#This Row],[Finish]],Tasks[[#This Row],[Planned Finish]],WorkWeek,Holidays)))</f>
        <v/>
      </c>
      <c r="AO174" s="21" t="str">
        <f aca="false">IF(Tasks[[#This Row],[Task Name]]="","",IF(Tasks[[#This Row],[Progress]]&gt;=1,"Complete",IF(OR(N(Tasks[[#This Row],[Actual Start]])&gt;0,Tasks[[#This Row],[Progress]]&gt;0),IF(Tasks[[#This Row],[Finish Var]]&gt;0,"Behind","In Progress"),IF(Tasks[[#This Row],[Planned Start]]&lt;StatusDate,"Late Start","Not Started"))))</f>
        <v/>
      </c>
      <c r="AP174" s="21" t="str">
        <f aca="false">IF(Tasks[[#This Row],[Task Name]]="","",IF(IF(Tasks[[#This Row],[_IsSummary]],COUNTIF(INDEX(Tasks[_LeafCritical],Tasks[[#This Row],[_Row]]+1):INDEX(Tasks[_LeafCritical],Tasks[[#This Row],[_Row]]+Tasks[[#This Row],[_Descendants]]),TRUE())&gt;0,Tasks[[#This Row],[_LeafCritical]]),"Yes",""))</f>
        <v/>
      </c>
      <c r="AQ174" s="63" t="str">
        <f aca="false">IF(Tasks[[#This Row],[Task Name]]="","",IF(N(Tasks[[#This Row],[Baseline Start]])&gt;0,Tasks[[#This Row],[Baseline Start]],Tasks[[#This Row],[_CalcStart]]))</f>
        <v/>
      </c>
      <c r="AR174" s="63" t="str">
        <f aca="false">IF(Tasks[[#This Row],[Task Name]]="","",IF(N(Tasks[[#This Row],[Baseline Finish]])&gt;0,Tasks[[#This Row],[Baseline Finish]],Tasks[[#This Row],[_CalcFinish]]))</f>
        <v/>
      </c>
      <c r="AS174" s="47" t="str">
        <f aca="false">IF(Tasks[[#This Row],[Task Name]]="","",IF(Tasks[[#This Row],[Start]]&gt;=Tasks[[#This Row],[Planned Start]],NETWORKDAYS.INTL(Tasks[[#This Row],[Planned Start]],Tasks[[#This Row],[Start]],WorkWeek,Holidays)-1,1-NETWORKDAYS.INTL(Tasks[[#This Row],[Start]],Tasks[[#This Row],[Planned Start]],WorkWeek,Holidays)))</f>
        <v/>
      </c>
      <c r="AT174" s="63" t="str">
        <f aca="false">IF(Tasks[[#This Row],[Task Name]]="","",IF(Tasks[[#This Row],[_IsSummary]],MIN(INDEX(Tasks[_LeafLateStart],Tasks[[#This Row],[_Row]]+1):INDEX(Tasks[_LeafLateStart],Tasks[[#This Row],[_Row]]+Tasks[[#This Row],[_Descendants]])),Tasks[[#This Row],[_LeafLateStart]]))</f>
        <v/>
      </c>
      <c r="AU174" s="63" t="str">
        <f aca="false">IF(Tasks[[#This Row],[Task Name]]="","",IF(Tasks[[#This Row],[_IsSummary]],MAX(INDEX(Tasks[_LeafLateFinish],Tasks[[#This Row],[_Row]]+1):INDEX(Tasks[_LeafLateFinish],Tasks[[#This Row],[_Row]]+Tasks[[#This Row],[_Descendants]])),Tasks[[#This Row],[_LeafLateFinish]]))</f>
        <v/>
      </c>
      <c r="AV174" s="47" t="str">
        <f aca="false">IF(Tasks[[#This Row],[Task Name]]="","",IF(Tasks[[#This Row],[_IsSummary]],MIN(INDEX(Tasks[_LeafTotalSlack],Tasks[[#This Row],[_Row]]+1):INDEX(Tasks[_LeafTotalSlack],Tasks[[#This Row],[_Row]]+Tasks[[#This Row],[_Descendants]])),Tasks[[#This Row],[_LeafTotalSlack]]))</f>
        <v/>
      </c>
      <c r="AW1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5"/>
      <c r="BA17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t="str">
        <f aca="false">IF(Tasks[[#This Row],[Task Name]]="","",IF(Tasks[[#This Row],[_Level]]&lt;=OutlineShowLevel,"Yes","No"))</f>
        <v/>
      </c>
      <c r="BE174" s="86" t="str">
        <f aca="false">IF(Tasks[[#This Row],[Task Name]]="","",IF(Tasks[[#This Row],[_IsSummary]],SUM(INDEX(Tasks[_LeafTotalWork],Tasks[[#This Row],[_Row]]+1):INDEX(Tasks[_LeafTotalWork],Tasks[[#This Row],[_Row]]+Tasks[[#This Row],[_Descendants]])),Tasks[[#This Row],[_LeafTotalWork]]))</f>
        <v/>
      </c>
      <c r="BF174" s="23"/>
      <c r="BG1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t="str">
        <f aca="false">""</f>
        <v/>
      </c>
      <c r="BI174" s="87"/>
      <c r="BJ174" s="22"/>
      <c r="BK174" s="47" t="str">
        <f aca="false">IF(OR(Tasks[[#This Row],[Task Name]]="",Tasks[[#This Row],[Baseline Duration]]=""),"",Tasks[[#This Row],[_SpanDays]]-N(Tasks[[#This Row],[Baseline Duration]]))</f>
        <v/>
      </c>
      <c r="BL174" s="86" t="str">
        <f aca="false">IF(OR(Tasks[[#This Row],[Task Name]]="",Tasks[[#This Row],[Baseline Work]]=""),"",Tasks[[#This Row],[Work]]-N(Tasks[[#This Row],[Baseline Work]]))</f>
        <v/>
      </c>
      <c r="BM174" s="63" t="str">
        <f aca="false">IF(Tasks[[#This Row],[Task Name]]="","",IF(OR(TakeBaseline="Yes",N(Tasks[[#This Row],[Baseline Start]])=0),Tasks[[#This Row],[Start]],Tasks[[#This Row],[Baseline Start]]))</f>
        <v/>
      </c>
      <c r="BN174" s="63" t="str">
        <f aca="false">IF(Tasks[[#This Row],[Task Name]]="","",IF(OR(TakeBaseline="Yes",N(Tasks[[#This Row],[Baseline Finish]])=0),Tasks[[#This Row],[Finish]],Tasks[[#This Row],[Baseline Finish]]))</f>
        <v/>
      </c>
      <c r="BO174" s="21" t="str">
        <f aca="false">IF(Tasks[[#This Row],[Task Name]]="","",IF(OR(TakeBaseline="Yes",N(Tasks[[#This Row],[Baseline Duration]])=0),Tasks[[#This Row],[_SpanDays]],Tasks[[#This Row],[Baseline Duration]]))</f>
        <v/>
      </c>
      <c r="BP174" s="86" t="str">
        <f aca="false">IF(Tasks[[#This Row],[Task Name]]="","",IF(OR(TakeBaseline="Yes",N(Tasks[[#This Row],[Baseline Work]])=0),Tasks[[#This Row],[Work]],Tasks[[#This Row],[Baseline Work]]))</f>
        <v/>
      </c>
      <c r="BQ174" s="7"/>
      <c r="BR174" s="7"/>
      <c r="BS174" s="22"/>
      <c r="BT174" s="88"/>
      <c r="BU174" s="23"/>
      <c r="BV174" s="23"/>
      <c r="BW174" s="23"/>
      <c r="BX174" s="89" t="str">
        <f aca="false">IF(AND(Tasks[[#This Row],[_IsLeaf]]=1,ISNUMBER(Tasks[[#This Row],[Optimistic]]),ISNUMBER(Tasks[[#This Row],[Pessimistic]])),ROUND((Tasks[[#This Row],[Optimistic]]+4*N(Tasks[[#This Row],[_Days]])+Tasks[[#This Row],[Pessimistic]])/6,1),"")</f>
        <v/>
      </c>
      <c r="BY174" s="87"/>
      <c r="BZ174" s="87"/>
      <c r="CA174" s="22"/>
      <c r="CB174" s="43" t="str">
        <f aca="false">IF(Tasks[[#This Row],[Task Name]]="","",MAX(1,N(Tasks[[#This Row],[Level]])))</f>
        <v/>
      </c>
      <c r="CC174" s="43" t="n">
        <f aca="false">ROW()-ROW(Tasks[[#Headers],[ID]])</f>
        <v>169</v>
      </c>
      <c r="CD174" s="43" t="n">
        <f aca="false">IF(OR(Tasks[[#This Row],[Task Name]]="",Tasks[[#This Row],[_Level]]&lt;=1),0,IFERROR(LOOKUP(2,1/(Tasks[[#Headers],[_Level]]:Tasks[[#This Row],[_Level]]=Tasks[[#This Row],[_Level]]-1),ROW(Tasks[[#Headers],[_Level]]:Tasks[[#This Row],[_Level]])),0))</f>
        <v>0</v>
      </c>
      <c r="CE174" s="43" t="n">
        <f aca="false">IFERROR(N(INDEX(Tasks[_Level],Tasks[[#This Row],[_Row]]+1)),0)</f>
        <v>0</v>
      </c>
      <c r="CF174" s="90" t="b">
        <f aca="false">AND(Tasks[[#This Row],[Task Name]]&lt;&gt;"",Tasks[[#This Row],[_NextLevel]]&gt;Tasks[[#This Row],[_Level]])</f>
        <v>0</v>
      </c>
      <c r="CG174" s="43" t="n">
        <f aca="false">IF(Tasks[[#This Row],[_IsSummary]],COUNTIF(Tasks[WBS],Tasks[[#This Row],[WBS]]&amp;".*"),0)</f>
        <v>0</v>
      </c>
      <c r="CH174" s="43" t="n">
        <f aca="false">IF(AND(Tasks[[#This Row],[Task Name]]&lt;&gt;"",NOT(Tasks[[#This Row],[_IsSummary]])),1,0)</f>
        <v>0</v>
      </c>
      <c r="CI174" s="43" t="n">
        <f aca="false">IF(N(Tasks[[#This Row],[_Pred1UID]])=0,0,IFERROR(MATCH(Tasks[[#This Row],[_Pred1UID]],Tasks[UID],0),-1))</f>
        <v>0</v>
      </c>
      <c r="CJ174" s="43" t="n">
        <f aca="false">IF(N(Tasks[[#This Row],[_Pred2UID]])=0,0,IFERROR(MATCH(Tasks[[#This Row],[_Pred2UID]],Tasks[UID],0),-1))</f>
        <v>0</v>
      </c>
      <c r="CK174" s="43" t="n">
        <f aca="false">IF(N(Tasks[[#This Row],[_Pred3UID]])=0,0,IFERROR(MATCH(Tasks[[#This Row],[_Pred3UID]],Tasks[UID],0),-1))</f>
        <v>0</v>
      </c>
      <c r="CL174" s="43" t="n">
        <f aca="false">IF(N(Tasks[[#This Row],[_Pred4UID]])=0,0,IFERROR(MATCH(Tasks[[#This Row],[_Pred4UID]],Tasks[UID],0),-1))</f>
        <v>0</v>
      </c>
      <c r="CM1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4" s="91" t="n">
        <f aca="false">IF(OR(Tasks[[#This Row],[_ConstraintCode]]=2,Tasks[[#This Row],[_ConstraintCode]]=3,Tasks[[#This Row],[_ConstraintCode]]=4,Tasks[[#This Row],[_ConstraintCode]]=6),Tasks[[#This Row],[_ConstraintStart]],0)</f>
        <v>0</v>
      </c>
      <c r="CP174" s="91" t="n">
        <f aca="false">IF(OR(Tasks[[#This Row],[_ConstraintCode]]=2,Tasks[[#This Row],[_ConstraintCode]]=3,Tasks[[#This Row],[_ConstraintCode]]=5,Tasks[[#This Row],[_ConstraintCode]]=7),Tasks[[#This Row],[_ConstraintStart]],2958465)</f>
        <v>2958465</v>
      </c>
      <c r="CQ1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4" s="91" t="str">
        <f aca="false">IF(NOT(Tasks[[#This Row],[_IsLeaf]]=1),"",IF(N(Tasks[[#This Row],[_Days]])&lt;=0,Tasks[[#This Row],[_LeafCalcStart]],WORKDAY.INTL(Tasks[[#This Row],[_LeafCalcStart]],Tasks[[#This Row],[_Days]]-1,WorkWeek,Holidays)))</f>
        <v/>
      </c>
      <c r="CS1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4" s="43" t="str">
        <f aca="false">IF(Tasks[[#This Row],[_Predecessors]]="","",TRIM(MID(SUBSTITUTE(SUBSTITUTE(SUBSTITUTE(UPPER(Tasks[[#This Row],[_Predecessors]]),";",",")," ",""),",",REPT(" ",99)),1,99)))</f>
        <v/>
      </c>
      <c r="CV174" s="43" t="str">
        <f aca="false">IF(Tasks[[#This Row],[_Pred1Text]]="","",IFERROR(VALUE(LEFT(Tasks[[#This Row],[_Pred1Text]],MIN(FIND("F",Tasks[[#This Row],[_Pred1Text]]&amp;"F"),FIND("S",Tasks[[#This Row],[_Pred1Text]]&amp;"S"),FIND("+",Tasks[[#This Row],[_Pred1Text]]&amp;"+"),FIND("-",Tasks[[#This Row],[_Pred1Text]]&amp;"-"))-1)),""))</f>
        <v/>
      </c>
      <c r="CW1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4" s="43" t="str">
        <f aca="false">IF(Tasks[[#This Row],[_Pred1Text]]="","",TRIM(MID(SUBSTITUTE(SUBSTITUTE(SUBSTITUTE(UPPER(Tasks[[#This Row],[_Predecessors]]),";",",")," ",""),",",REPT(" ",99)),100,99)))</f>
        <v/>
      </c>
      <c r="CZ174" s="43" t="str">
        <f aca="false">IF(Tasks[[#This Row],[_Pred2Text]]="","",IFERROR(VALUE(LEFT(Tasks[[#This Row],[_Pred2Text]],MIN(FIND("F",Tasks[[#This Row],[_Pred2Text]]&amp;"F"),FIND("S",Tasks[[#This Row],[_Pred2Text]]&amp;"S"),FIND("+",Tasks[[#This Row],[_Pred2Text]]&amp;"+"),FIND("-",Tasks[[#This Row],[_Pred2Text]]&amp;"-"))-1)),""))</f>
        <v/>
      </c>
      <c r="DA1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4" s="43" t="str">
        <f aca="false">IF(Tasks[[#This Row],[_Pred2Text]]="","",TRIM(MID(SUBSTITUTE(SUBSTITUTE(SUBSTITUTE(UPPER(Tasks[[#This Row],[_Predecessors]]),";",",")," ",""),",",REPT(" ",99)),199,99)))</f>
        <v/>
      </c>
      <c r="DD174" s="43" t="str">
        <f aca="false">IF(Tasks[[#This Row],[_Pred3Text]]="","",IFERROR(VALUE(LEFT(Tasks[[#This Row],[_Pred3Text]],MIN(FIND("F",Tasks[[#This Row],[_Pred3Text]]&amp;"F"),FIND("S",Tasks[[#This Row],[_Pred3Text]]&amp;"S"),FIND("+",Tasks[[#This Row],[_Pred3Text]]&amp;"+"),FIND("-",Tasks[[#This Row],[_Pred3Text]]&amp;"-"))-1)),""))</f>
        <v/>
      </c>
      <c r="DE1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4" s="43" t="str">
        <f aca="false">IF(Tasks[[#This Row],[_Pred3Text]]="","",TRIM(MID(SUBSTITUTE(SUBSTITUTE(SUBSTITUTE(UPPER(Tasks[[#This Row],[_Predecessors]]),";",",")," ",""),",",REPT(" ",99)),298,99)))</f>
        <v/>
      </c>
      <c r="DH174" s="43" t="str">
        <f aca="false">IF(Tasks[[#This Row],[_Pred4Text]]="","",IFERROR(VALUE(LEFT(Tasks[[#This Row],[_Pred4Text]],MIN(FIND("F",Tasks[[#This Row],[_Pred4Text]]&amp;"F"),FIND("S",Tasks[[#This Row],[_Pred4Text]]&amp;"S"),FIND("+",Tasks[[#This Row],[_Pred4Text]]&amp;"+"),FIND("-",Tasks[[#This Row],[_Pred4Text]]&amp;"-"))-1)),""))</f>
        <v/>
      </c>
      <c r="DI1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4" s="43" t="str">
        <f aca="false">IF(OR(Tasks[[#This Row],[Task Name]]="",Tasks[[#This Row],[_Resources]]=""),"",TRIM(MID(SUBSTITUTE(Tasks[[#This Row],[_Resources]],",",REPT(" ",99)),1,99)))</f>
        <v/>
      </c>
      <c r="DL174" s="43" t="str">
        <f aca="false">IF(Tasks[[#This Row],[_Res1Text]]="","",TRIM(MID(SUBSTITUTE(Tasks[[#This Row],[_Resources]],",",REPT(" ",99)),100,99)))</f>
        <v/>
      </c>
      <c r="DM174" s="43" t="str">
        <f aca="false">IF(Tasks[[#This Row],[_Res2Text]]="","",TRIM(MID(SUBSTITUTE(Tasks[[#This Row],[_Resources]],",",REPT(" ",99)),199,99)))</f>
        <v/>
      </c>
      <c r="DN174" s="43" t="str">
        <f aca="false">IF(Tasks[[#This Row],[_Res3Text]]="","",TRIM(MID(SUBSTITUTE(Tasks[[#This Row],[_Resources]],",",REPT(" ",99)),298,99)))</f>
        <v/>
      </c>
      <c r="DO174" s="43" t="n">
        <f aca="false">IF(Tasks[[#This Row],[_Res1Text]]="",0,IFERROR(MATCH(TRIM(LEFT(Tasks[[#This Row],[_Res1Text]],FIND("[",Tasks[[#This Row],[_Res1Text]]&amp;"[")-1)),res_Name,0),IFERROR(MATCH(TRIM(LEFT(Tasks[[#This Row],[_Res1Text]],FIND("[",Tasks[[#This Row],[_Res1Text]]&amp;"[")-1)),res_Initials,0),0)))</f>
        <v>0</v>
      </c>
      <c r="DP174" s="43" t="n">
        <f aca="false">IF(Tasks[[#This Row],[_Res2Text]]="",0,IFERROR(MATCH(TRIM(LEFT(Tasks[[#This Row],[_Res2Text]],FIND("[",Tasks[[#This Row],[_Res2Text]]&amp;"[")-1)),res_Name,0),IFERROR(MATCH(TRIM(LEFT(Tasks[[#This Row],[_Res2Text]],FIND("[",Tasks[[#This Row],[_Res2Text]]&amp;"[")-1)),res_Initials,0),0)))</f>
        <v>0</v>
      </c>
      <c r="DQ174" s="43" t="n">
        <f aca="false">IF(Tasks[[#This Row],[_Res3Text]]="",0,IFERROR(MATCH(TRIM(LEFT(Tasks[[#This Row],[_Res3Text]],FIND("[",Tasks[[#This Row],[_Res3Text]]&amp;"[")-1)),res_Name,0),IFERROR(MATCH(TRIM(LEFT(Tasks[[#This Row],[_Res3Text]],FIND("[",Tasks[[#This Row],[_Res3Text]]&amp;"[")-1)),res_Initials,0),0)))</f>
        <v>0</v>
      </c>
      <c r="DR174" s="43" t="n">
        <f aca="false">IF(Tasks[[#This Row],[_Res4Text]]="",0,IFERROR(MATCH(TRIM(LEFT(Tasks[[#This Row],[_Res4Text]],FIND("[",Tasks[[#This Row],[_Res4Text]]&amp;"[")-1)),res_Name,0),IFERROR(MATCH(TRIM(LEFT(Tasks[[#This Row],[_Res4Text]],FIND("[",Tasks[[#This Row],[_Res4Text]]&amp;"[")-1)),res_Initials,0),0)))</f>
        <v>0</v>
      </c>
      <c r="DS174" s="43" t="str">
        <f aca="false">IF(Tasks[[#This Row],[_Res1Text]]="","",IF(Tasks[[#This Row],[_Res1Row]]&gt;0,INDEX(res_Name,Tasks[[#This Row],[_Res1Row]]),TRIM(LEFT(Tasks[[#This Row],[_Res1Text]],FIND("[",Tasks[[#This Row],[_Res1Text]]&amp;"[")-1))))</f>
        <v/>
      </c>
      <c r="DT1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4" s="43" t="n">
        <f aca="false">IF(NOT(Tasks[[#This Row],[_IsLeaf]]=1),0,(Tasks[[#This Row],[_Resource1]]&lt;&gt;"")+(Tasks[[#This Row],[_Res2]]&lt;&gt;"")+(Tasks[[#This Row],[_Res3]]&lt;&gt;"")+(Tasks[[#This Row],[_Res4]]&lt;&gt;""))</f>
        <v>0</v>
      </c>
      <c r="DV174" s="43" t="str">
        <f aca="false">IF(Tasks[[#This Row],[_Res2Text]]="","",IF(Tasks[[#This Row],[_Res2Row]]&gt;0,INDEX(res_Name,Tasks[[#This Row],[_Res2Row]]),TRIM(LEFT(Tasks[[#This Row],[_Res2Text]],FIND("[",Tasks[[#This Row],[_Res2Text]]&amp;"[")-1))))</f>
        <v/>
      </c>
      <c r="DW1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4" s="43" t="n">
        <f aca="false">IF(OR(NOT(Tasks[[#This Row],[_IsLeaf]]=1),Tasks[[#This Row],[_Res2Row]]=0),0,N(Tasks[[#This Row],[_Days]])*HoursPerDay*IF(Tasks[[#This Row],[_Res2Units]]="",DefaultUnits,Tasks[[#This Row],[_Res2Units]]))</f>
        <v>0</v>
      </c>
      <c r="DY174" s="43" t="n">
        <f aca="false">IF(AND(AND(Tasks[[#This Row],[_IsLeaf]]=1,Tasks[[#This Row],[_LeafTotalWork]]&gt;0),Tasks[[#This Row],[_Res2Work]]&gt;0),Tasks[[#This Row],[_Res2Work]]/(Tasks[[#This Row],[_FinishWorkday]]-Tasks[[#This Row],[_StartWorkday]]+1),0)</f>
        <v>0</v>
      </c>
      <c r="DZ174" s="43" t="n">
        <f aca="false">Tasks[[#This Row],[_Res2WorkPerWD]]*MAX(0,Tasks[[#This Row],[_StartWorkday]]-1)</f>
        <v>0</v>
      </c>
      <c r="EA174" s="43" t="n">
        <f aca="false">Tasks[[#This Row],[_Res2Work]]*Tasks[[#This Row],[_LeafProgress]]</f>
        <v>0</v>
      </c>
      <c r="EB174" s="43" t="str">
        <f aca="false">IF(Tasks[[#This Row],[_Res3Text]]="","",IF(Tasks[[#This Row],[_Res3Row]]&gt;0,INDEX(res_Name,Tasks[[#This Row],[_Res3Row]]),TRIM(LEFT(Tasks[[#This Row],[_Res3Text]],FIND("[",Tasks[[#This Row],[_Res3Text]]&amp;"[")-1))))</f>
        <v/>
      </c>
      <c r="EC1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4" s="43" t="n">
        <f aca="false">IF(OR(NOT(Tasks[[#This Row],[_IsLeaf]]=1),Tasks[[#This Row],[_Res3Row]]=0),0,N(Tasks[[#This Row],[_Days]])*HoursPerDay*IF(Tasks[[#This Row],[_Res3Units]]="",DefaultUnits,Tasks[[#This Row],[_Res3Units]]))</f>
        <v>0</v>
      </c>
      <c r="EE174" s="43" t="n">
        <f aca="false">IF(AND(AND(Tasks[[#This Row],[_IsLeaf]]=1,Tasks[[#This Row],[_LeafTotalWork]]&gt;0),Tasks[[#This Row],[_Res3Work]]&gt;0),Tasks[[#This Row],[_Res3Work]]/(Tasks[[#This Row],[_FinishWorkday]]-Tasks[[#This Row],[_StartWorkday]]+1),0)</f>
        <v>0</v>
      </c>
      <c r="EF174" s="43" t="n">
        <f aca="false">Tasks[[#This Row],[_Res3WorkPerWD]]*MAX(0,Tasks[[#This Row],[_StartWorkday]]-1)</f>
        <v>0</v>
      </c>
      <c r="EG174" s="43" t="n">
        <f aca="false">Tasks[[#This Row],[_Res3Work]]*Tasks[[#This Row],[_LeafProgress]]</f>
        <v>0</v>
      </c>
      <c r="EH174" s="43" t="str">
        <f aca="false">IF(Tasks[[#This Row],[_Res4Text]]="","",IF(Tasks[[#This Row],[_Res4Row]]&gt;0,INDEX(res_Name,Tasks[[#This Row],[_Res4Row]]),TRIM(LEFT(Tasks[[#This Row],[_Res4Text]],FIND("[",Tasks[[#This Row],[_Res4Text]]&amp;"[")-1))))</f>
        <v/>
      </c>
      <c r="EI1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4" s="43" t="n">
        <f aca="false">IF(OR(NOT(Tasks[[#This Row],[_IsLeaf]]=1),Tasks[[#This Row],[_Res4Row]]=0),0,N(Tasks[[#This Row],[_Days]])*HoursPerDay*IF(Tasks[[#This Row],[_Res4Units]]="",DefaultUnits,Tasks[[#This Row],[_Res4Units]]))</f>
        <v>0</v>
      </c>
      <c r="EK174" s="43" t="n">
        <f aca="false">IF(AND(AND(Tasks[[#This Row],[_IsLeaf]]=1,Tasks[[#This Row],[_LeafTotalWork]]&gt;0),Tasks[[#This Row],[_Res4Work]]&gt;0),Tasks[[#This Row],[_Res4Work]]/(Tasks[[#This Row],[_FinishWorkday]]-Tasks[[#This Row],[_StartWorkday]]+1),0)</f>
        <v>0</v>
      </c>
      <c r="EL174" s="43" t="n">
        <f aca="false">Tasks[[#This Row],[_Res4WorkPerWD]]*MAX(0,Tasks[[#This Row],[_StartWorkday]]-1)</f>
        <v>0</v>
      </c>
      <c r="EM174" s="43" t="n">
        <f aca="false">Tasks[[#This Row],[_Res4Work]]*Tasks[[#This Row],[_LeafProgress]]</f>
        <v>0</v>
      </c>
      <c r="EN174" s="43" t="n">
        <f aca="false">IF(ISNUMBER(Tasks[[#This Row],[% Complete]]),Tasks[[#This Row],[% Complete]],IF(Tasks[[#This Row],[Stage]]="",0,IFERROR(INDEX(stg_Pct,MATCH(Tasks[[#This Row],[Stage]],stg_Name,0)),0)))</f>
        <v>0</v>
      </c>
      <c r="EO174" s="43" t="n">
        <f aca="false">IF(NOT(Tasks[[#This Row],[_IsLeaf]]=1),0,IF(N(Tasks[[#This Row],[Actual Finish]])&gt;0,1,MIN(1,Tasks[[#This Row],[_Pct]])))</f>
        <v>0</v>
      </c>
      <c r="EP174" s="43" t="n">
        <f aca="false">IF(OR(NOT(Tasks[[#This Row],[_IsLeaf]]=1),Tasks[[#This Row],[_Res1Row]]=0),0,N(Tasks[[#This Row],[_Days]])*HoursPerDay*IF(Tasks[[#This Row],[_Units1]]="",DefaultUnits,Tasks[[#This Row],[_Units1]]))</f>
        <v>0</v>
      </c>
      <c r="EQ174" s="43" t="n">
        <f aca="false">Tasks[[#This Row],[_LeafWork]]+Tasks[[#This Row],[_Res2Work]]+Tasks[[#This Row],[_Res3Work]]+Tasks[[#This Row],[_Res4Work]]</f>
        <v>0</v>
      </c>
      <c r="ER17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4" s="43" t="n">
        <f aca="false">IF(NOT(Tasks[[#This Row],[_IsLeaf]]=1),0,MAX(_xlfn.MAXIFS(Tasks[_Row],Tasks[_Pred1UID],Tasks[[#This Row],[UID]]),_xlfn.MAXIFS(Tasks[_Row],Tasks[_Pred2UID],Tasks[[#This Row],[UID]]),_xlfn.MAXIFS(Tasks[_Row],Tasks[_Pred3UID],Tasks[[#This Row],[UID]]),_xlfn.MAXIFS(Tasks[_Row],Tasks[_Pred4UID],Tasks[[#This Row],[UID]])))</f>
        <v>0</v>
      </c>
      <c r="FA1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4" s="91" t="str">
        <f aca="false">IF(NOT(Tasks[[#This Row],[_IsLeaf]]=1),"",IF(N(Tasks[[#This Row],[_Days]])&lt;=0,Tasks[[#This Row],[_LeafLateFinish]],WORKDAY.INTL(Tasks[[#This Row],[_LeafLateFinish]],-(Tasks[[#This Row],[_Days]]-1),WorkWeek,Holidays)))</f>
        <v/>
      </c>
      <c r="FD1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4" s="90" t="b">
        <f aca="false">AND(Tasks[[#This Row],[_IsLeaf]]=1,Tasks[[#This Row],[_LeafProgress]]&lt;1,N(Tasks[[#This Row],[_LeafTotalSlack]])&lt;=CriticalSlackDays)</f>
        <v>0</v>
      </c>
      <c r="FF174" s="43" t="n">
        <f aca="false">IF(AND(Tasks[[#This Row],[_IsLeaf]]=1,Tasks[[#This Row],[_ConstraintCode]]=1,Tasks[[#This Row],[Mode]]&lt;&gt;"Manual",N(Tasks[[#This Row],[Actual Start]])=0),MAX(0,N(Tasks[[#This Row],[Free Slack]])),0)</f>
        <v>0</v>
      </c>
      <c r="FG174" s="91" t="str">
        <f aca="false">IF(NOT(Tasks[[#This Row],[_IsLeaf]]=1),"",IF(Tasks[[#This Row],[_AlapShift]]=0,Tasks[[#This Row],[_LeafCalcStart]],WORKDAY.INTL(Tasks[[#This Row],[_LeafCalcStart]],Tasks[[#This Row],[_AlapShift]],WorkWeek,Holidays)))</f>
        <v/>
      </c>
      <c r="FH174" s="91" t="str">
        <f aca="false">IF(NOT(Tasks[[#This Row],[_IsLeaf]]=1),"",IF(Tasks[[#This Row],[_AlapShift]]=0,Tasks[[#This Row],[_LeafCalcFinish]],WORKDAY.INTL(Tasks[[#This Row],[_LeafCalcFinish]],Tasks[[#This Row],[_AlapShift]],WorkWeek,Holidays)))</f>
        <v/>
      </c>
      <c r="FI174" s="91" t="str">
        <f aca="false">IF(NOT(Tasks[[#This Row],[_IsLeaf]]=1),"",IF(Tasks[[#This Row],[_AlapShift]]=0,Tasks[[#This Row],[_LeafFcstStart]],WORKDAY.INTL(Tasks[[#This Row],[_LeafFcstStart]],Tasks[[#This Row],[_AlapShift]],WorkWeek,Holidays)))</f>
        <v/>
      </c>
      <c r="FJ174" s="91" t="str">
        <f aca="false">IF(NOT(Tasks[[#This Row],[_IsLeaf]]=1),"",IF(Tasks[[#This Row],[_AlapShift]]=0,Tasks[[#This Row],[_LeafFcstFinish]],WORKDAY.INTL(Tasks[[#This Row],[_LeafFcstFinish]],Tasks[[#This Row],[_AlapShift]],WorkWeek,Holidays)))</f>
        <v/>
      </c>
      <c r="FK174" s="91" t="str">
        <f aca="false">IF(Tasks[[#This Row],[Task Name]]="","",IF(Tasks[[#This Row],[_IsSummary]],MIN(INDEX(Tasks[_ShownCalcStart],Tasks[[#This Row],[_Row]]+1):INDEX(Tasks[_ShownCalcStart],Tasks[[#This Row],[_Row]]+Tasks[[#This Row],[_Descendants]])),Tasks[[#This Row],[_ShownCalcStart]]))</f>
        <v/>
      </c>
      <c r="FL174" s="91" t="str">
        <f aca="false">IF(Tasks[[#This Row],[Task Name]]="","",IF(Tasks[[#This Row],[_IsSummary]],MAX(INDEX(Tasks[_ShownCalcFinish],Tasks[[#This Row],[_Row]]+1):INDEX(Tasks[_ShownCalcFinish],Tasks[[#This Row],[_Row]]+Tasks[[#This Row],[_Descendants]])),Tasks[[#This Row],[_ShownCalcFinish]]))</f>
        <v/>
      </c>
      <c r="FM1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4" s="43" t="n">
        <f aca="false">IF(AND(Tasks[[#This Row],[_IsLeaf]]=1,Tasks[[#This Row],[_LeafTotalWork]]&gt;0),NETWORKDAYS.INTL(ProjectStart,Tasks[[#This Row],[_ShownFcstStart]],WorkWeek,Holidays),0)</f>
        <v>0</v>
      </c>
      <c r="FZ174" s="43" t="n">
        <f aca="false">IF(AND(Tasks[[#This Row],[_IsLeaf]]=1,Tasks[[#This Row],[_LeafTotalWork]]&gt;0),MAX(Tasks[[#This Row],[_StartWorkday]],NETWORKDAYS.INTL(ProjectStart,Tasks[[#This Row],[_ShownFcstFinish]],WorkWeek,Holidays)),0)</f>
        <v>0</v>
      </c>
      <c r="GA174" s="43" t="n">
        <f aca="false">IF(AND(Tasks[[#This Row],[_IsLeaf]]=1,Tasks[[#This Row],[_LeafTotalWork]]&gt;0),Tasks[[#This Row],[_LeafWork]]/(Tasks[[#This Row],[_FinishWorkday]]-Tasks[[#This Row],[_StartWorkday]]+1),0)</f>
        <v>0</v>
      </c>
      <c r="GB174" s="43" t="n">
        <f aca="false">Tasks[[#This Row],[_WorkPerWorkday]]*(Tasks[[#This Row],[_StartWorkday]]-1)</f>
        <v>-0</v>
      </c>
      <c r="GC174" s="43" t="n">
        <f aca="false">IF(Tasks[[#This Row],[_IsLeaf]]=1,MAX(N(Tasks[[#This Row],[_Days]]),0.1),0)</f>
        <v>0</v>
      </c>
      <c r="GD174" s="43" t="n">
        <f aca="false">Tasks[[#This Row],[_WeightDur]]*Tasks[[#This Row],[_LeafProgress]]</f>
        <v>0</v>
      </c>
      <c r="GE174" s="43" t="n">
        <f aca="false">Tasks[[#This Row],[_WeightDur]]*Tasks[[#This Row],[_PlannedPct]]</f>
        <v>0</v>
      </c>
      <c r="GF1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4" s="43" t="str">
        <f aca="false">IF(AND(Tasks[[#This Row],[_IsLeaf]]=1,N(Tasks[[#This Row],[_Days]])=0,Tasks[[#This Row],[_LeafProgress]]&lt;1),Tasks[[#This Row],[_ShownFcstFinish]]+Tasks[[#This Row],[_Row]]/100000,"")</f>
        <v/>
      </c>
      <c r="GH1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4" s="43" t="str">
        <f aca="false">IF(Tasks[[#This Row],[Task Name]]="","",LEFT(Tasks[[#This Row],[WBS]],FIND(".",Tasks[[#This Row],[WBS]]&amp;".")-1))</f>
        <v/>
      </c>
      <c r="GJ174" s="43" t="str">
        <f aca="false">IF(AND(Tasks[[#This Row],[Task Name]]&lt;&gt;"",Tasks[[#This Row],[_Level]]=1),Tasks[[#This Row],[_Row]],"")</f>
        <v/>
      </c>
      <c r="GK174" s="43" t="str">
        <f aca="false">IF(AND(Tasks[[#This Row],[_IsLeaf]]=1,N(Tasks[[#This Row],[_Days]])=0),Tasks[[#This Row],[Planned Finish]]+Tasks[[#This Row],[_Row]]/100000,"")</f>
        <v/>
      </c>
      <c r="GL174" s="43" t="str">
        <f aca="false">IF(AND(Tasks[[#This Row],[_IsLeaf]]=1,Tasks[[#This Row],[_LeafProgress]]&lt;1,OR(N(Tasks[[#This Row],[Finish Var]])&gt;0,Tasks[[#This Row],[Status]]="Late Start")),MAX(0,Tasks[[#This Row],[Finish Var]])+1-Tasks[[#This Row],[_Row]]/1000000,"")</f>
        <v/>
      </c>
      <c r="GM174" s="43" t="str">
        <f aca="false">IF(AND(Tasks[[#This Row],[_IsLeaf]]=1,N(Tasks[[#This Row],[Actual Start]])=0,Tasks[[#This Row],[_ShownFcstStart]]&gt;=StatusDate,Tasks[[#This Row],[_ShownFcstStart]]&lt;=LookaheadEnd),Tasks[[#This Row],[_ShownFcstStart]]+Tasks[[#This Row],[_Row]]/100000,"")</f>
        <v/>
      </c>
      <c r="GN174" s="43" t="str">
        <f aca="false">IF(AND(Tasks[[#This Row],[_IsLeaf]]=1,Tasks[[#This Row],[_LeafProgress]]&lt;1,Tasks[[#This Row],[_ShownFcstFinish]]&gt;=StatusDate,Tasks[[#This Row],[_ShownFcstFinish]]&lt;=LookaheadEnd),Tasks[[#This Row],[_ShownFcstFinish]]+Tasks[[#This Row],[_Row]]/100000,"")</f>
        <v/>
      </c>
      <c r="GO174" s="43" t="str">
        <f aca="false">IF(Tasks[[#This Row],[_LeafCritical]],Tasks[[#This Row],[_ShownFcstStart]]+Tasks[[#This Row],[_Row]]/100000,"")</f>
        <v/>
      </c>
      <c r="GP174" s="43" t="n">
        <f aca="false">Tasks[[#This Row],[_LeafWork]]*Tasks[[#This Row],[_LeafProgress]]</f>
        <v>0</v>
      </c>
      <c r="GQ174" s="91" t="str">
        <f aca="false">IF(AND(Tasks[[#This Row],[_IsLeaf]]=1,Tasks[[#This Row],[_LeafProgress]]&gt;=1),IF(N(Tasks[[#This Row],[Actual Finish]])&gt;0,Tasks[[#This Row],[Actual Finish]],Tasks[[#This Row],[_ShownFcstFinish]]),"")</f>
        <v/>
      </c>
      <c r="GR174" s="43" t="n">
        <f aca="false">IF(Tasks[[#This Row],[_IsLeaf]]=1,N(Tasks[[#This Row],[Story Points]]),0)</f>
        <v>0</v>
      </c>
      <c r="GS174" s="43" t="str">
        <f aca="false">""</f>
        <v/>
      </c>
      <c r="GT174" s="90" t="b">
        <f aca="false">IF(Tasks[[#This Row],[Task Name]]="",FALSE(),AND(Tasks[[#This Row],[_IsLeaf]]=1,N(Tasks[[#This Row],[_Days]])=0))</f>
        <v>0</v>
      </c>
      <c r="GU174" s="91" t="n">
        <f aca="false">IF(Tasks[[#This Row],[Task Name]]="",0,IF(AND(Tasks[[#This Row],[_IsLeaf]]=1,NOT(Tasks[[#This Row],[_IsMilestone]]),N(Tasks[[#This Row],[Progress]])&gt;0),Tasks[[#This Row],[Start]],0))</f>
        <v>0</v>
      </c>
      <c r="GV174" s="91" t="n">
        <f aca="false">IF(Tasks[[#This Row],[_DoneFrom]]=0,0,IF(Tasks[[#This Row],[Progress]]&gt;=1,Tasks[[#This Row],[Finish]],MAX(Tasks[[#This Row],[_DoneFrom]],Tasks[[#This Row],[Start]]+ROUND((Tasks[[#This Row],[Finish]]-Tasks[[#This Row],[Start]]+1)*Tasks[[#This Row],[Progress]],0)-1)))</f>
        <v>0</v>
      </c>
      <c r="GW174" s="91" t="n">
        <f aca="false">IF(Tasks[[#This Row],[Task Name]]="",0,IF(OR(NOT(Tasks[[#This Row],[_IsLeaf]]=1),Tasks[[#This Row],[_IsMilestone]],N(Tasks[[#This Row],[Progress]])&gt;=1),0,IF(Tasks[[#This Row],[_DoneTo]]&gt;0,Tasks[[#This Row],[_DoneTo]]+1,Tasks[[#This Row],[Start]])))</f>
        <v>0</v>
      </c>
      <c r="GX174" s="91" t="n">
        <f aca="false">IF(Tasks[[#This Row],[_RemFrom]]=0,0,Tasks[[#This Row],[Finish]])</f>
        <v>0</v>
      </c>
      <c r="GY174" s="90" t="b">
        <f aca="false">IF(Tasks[[#This Row],[Task Name]]="",FALSE(),OR(NOT(BaselineSet),N(Tasks[[#This Row],[Baseline Start]])&gt;0))</f>
        <v>0</v>
      </c>
      <c r="GZ17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4" s="92" t="str">
        <f aca="false">IF(Tasks[[#This Row],[_IsLeaf]]=1,Tasks[[#This Row],[_Row]],"")</f>
        <v/>
      </c>
      <c r="HD174" s="92" t="str">
        <f aca="false">IFERROR(INDEX(Tasks[UID],SMALL(Tasks[_PickKey],Tasks[[#This Row],[_Row]]))&amp;" "&amp;INDEX(Tasks[Task Name],SMALL(Tasks[_PickKey],Tasks[[#This Row],[_Row]])),"")</f>
        <v/>
      </c>
      <c r="HE174" s="43" t="str">
        <f aca="false">IF(Tasks[[#This Row],[Task Name]]="","",IF(Tasks[[#This Row],[_IsSummary]],NETWORKDAYS.INTL(Tasks[[#This Row],[Start]],Tasks[[#This Row],[Finish]],WorkWeek,Holidays),N(Tasks[[#This Row],[_Days]])))</f>
        <v/>
      </c>
      <c r="HF174" s="43" t="n">
        <f aca="false">IF(Tasks[[#This Row],[Expected]]="",0,((Tasks[[#This Row],[Pessimistic]]-Tasks[[#This Row],[Optimistic]])/6)^2)</f>
        <v>0</v>
      </c>
      <c r="HG174" s="43" t="n">
        <f aca="false">IF(Tasks[[#This Row],[Expected]]="",0,Tasks[[#This Row],[Expected]]-N(Tasks[[#This Row],[_Days]]))</f>
        <v>0</v>
      </c>
    </row>
    <row r="175" customFormat="false" ht="15" hidden="false" customHeight="false" outlineLevel="0" collapsed="false">
      <c r="A175" s="21" t="str">
        <f aca="false">IF(Tasks[[#This Row],[Task Name]]="","",COUNTA(Tasks[[#Headers],[Task Name]]:Tasks[[#This Row],[Task Name]])-1)</f>
        <v/>
      </c>
      <c r="B175" s="22" t="n">
        <v>183</v>
      </c>
      <c r="C175" s="22"/>
      <c r="D175" s="23"/>
      <c r="E175" s="22"/>
      <c r="F175" s="23"/>
      <c r="G175" s="22"/>
      <c r="H175" s="22"/>
      <c r="I175" s="23"/>
      <c r="J175" s="22"/>
      <c r="K175" s="22"/>
      <c r="L175" s="23"/>
      <c r="M175" s="22"/>
      <c r="N175" s="22"/>
      <c r="O175" s="23"/>
      <c r="P175" s="22"/>
      <c r="Q175" s="22"/>
      <c r="R175" s="23"/>
      <c r="S175" s="23"/>
      <c r="T175" s="84"/>
      <c r="U175" s="23"/>
      <c r="V175" s="84"/>
      <c r="W175" s="23"/>
      <c r="X175" s="84"/>
      <c r="Y175" s="23"/>
      <c r="Z175" s="84"/>
      <c r="AA175" s="23"/>
      <c r="AB175" s="23"/>
      <c r="AC175" s="7"/>
      <c r="AD175" s="7"/>
      <c r="AE175" s="63" t="str">
        <f aca="false">IF(Tasks[[#This Row],[Task Name]]="","",IF(Tasks[[#This Row],[_IsSummary]],MIN(INDEX(Tasks[_ShownFcstStart],Tasks[[#This Row],[_Row]]+1):INDEX(Tasks[_ShownFcstStart],Tasks[[#This Row],[_Row]]+Tasks[[#This Row],[_Descendants]])),Tasks[[#This Row],[_ShownFcstStart]]))</f>
        <v/>
      </c>
      <c r="AF175" s="63" t="str">
        <f aca="false">IF(Tasks[[#This Row],[Task Name]]="","",IF(Tasks[[#This Row],[_IsSummary]],MAX(INDEX(Tasks[_ShownFcstFinish],Tasks[[#This Row],[_Row]]+1):INDEX(Tasks[_ShownFcstFinish],Tasks[[#This Row],[_Row]]+Tasks[[#This Row],[_Descendants]])),Tasks[[#This Row],[_ShownFcstFinish]]))</f>
        <v/>
      </c>
      <c r="AG175" s="21" t="str">
        <f aca="false">""</f>
        <v/>
      </c>
      <c r="AH175" s="23"/>
      <c r="AI1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5" s="7"/>
      <c r="AK175" s="22"/>
      <c r="AL175" s="23"/>
      <c r="AM175" s="7"/>
      <c r="AN175" s="47" t="str">
        <f aca="false">IF(Tasks[[#This Row],[Task Name]]="","",IF(Tasks[[#This Row],[Finish]]&gt;=Tasks[[#This Row],[Planned Finish]],NETWORKDAYS.INTL(Tasks[[#This Row],[Planned Finish]],Tasks[[#This Row],[Finish]],WorkWeek,Holidays)-1,1-NETWORKDAYS.INTL(Tasks[[#This Row],[Finish]],Tasks[[#This Row],[Planned Finish]],WorkWeek,Holidays)))</f>
        <v/>
      </c>
      <c r="AO175" s="21" t="str">
        <f aca="false">IF(Tasks[[#This Row],[Task Name]]="","",IF(Tasks[[#This Row],[Progress]]&gt;=1,"Complete",IF(OR(N(Tasks[[#This Row],[Actual Start]])&gt;0,Tasks[[#This Row],[Progress]]&gt;0),IF(Tasks[[#This Row],[Finish Var]]&gt;0,"Behind","In Progress"),IF(Tasks[[#This Row],[Planned Start]]&lt;StatusDate,"Late Start","Not Started"))))</f>
        <v/>
      </c>
      <c r="AP175" s="21" t="str">
        <f aca="false">IF(Tasks[[#This Row],[Task Name]]="","",IF(IF(Tasks[[#This Row],[_IsSummary]],COUNTIF(INDEX(Tasks[_LeafCritical],Tasks[[#This Row],[_Row]]+1):INDEX(Tasks[_LeafCritical],Tasks[[#This Row],[_Row]]+Tasks[[#This Row],[_Descendants]]),TRUE())&gt;0,Tasks[[#This Row],[_LeafCritical]]),"Yes",""))</f>
        <v/>
      </c>
      <c r="AQ175" s="63" t="str">
        <f aca="false">IF(Tasks[[#This Row],[Task Name]]="","",IF(N(Tasks[[#This Row],[Baseline Start]])&gt;0,Tasks[[#This Row],[Baseline Start]],Tasks[[#This Row],[_CalcStart]]))</f>
        <v/>
      </c>
      <c r="AR175" s="63" t="str">
        <f aca="false">IF(Tasks[[#This Row],[Task Name]]="","",IF(N(Tasks[[#This Row],[Baseline Finish]])&gt;0,Tasks[[#This Row],[Baseline Finish]],Tasks[[#This Row],[_CalcFinish]]))</f>
        <v/>
      </c>
      <c r="AS175" s="47" t="str">
        <f aca="false">IF(Tasks[[#This Row],[Task Name]]="","",IF(Tasks[[#This Row],[Start]]&gt;=Tasks[[#This Row],[Planned Start]],NETWORKDAYS.INTL(Tasks[[#This Row],[Planned Start]],Tasks[[#This Row],[Start]],WorkWeek,Holidays)-1,1-NETWORKDAYS.INTL(Tasks[[#This Row],[Start]],Tasks[[#This Row],[Planned Start]],WorkWeek,Holidays)))</f>
        <v/>
      </c>
      <c r="AT175" s="63" t="str">
        <f aca="false">IF(Tasks[[#This Row],[Task Name]]="","",IF(Tasks[[#This Row],[_IsSummary]],MIN(INDEX(Tasks[_LeafLateStart],Tasks[[#This Row],[_Row]]+1):INDEX(Tasks[_LeafLateStart],Tasks[[#This Row],[_Row]]+Tasks[[#This Row],[_Descendants]])),Tasks[[#This Row],[_LeafLateStart]]))</f>
        <v/>
      </c>
      <c r="AU175" s="63" t="str">
        <f aca="false">IF(Tasks[[#This Row],[Task Name]]="","",IF(Tasks[[#This Row],[_IsSummary]],MAX(INDEX(Tasks[_LeafLateFinish],Tasks[[#This Row],[_Row]]+1):INDEX(Tasks[_LeafLateFinish],Tasks[[#This Row],[_Row]]+Tasks[[#This Row],[_Descendants]])),Tasks[[#This Row],[_LeafLateFinish]]))</f>
        <v/>
      </c>
      <c r="AV175" s="47" t="str">
        <f aca="false">IF(Tasks[[#This Row],[Task Name]]="","",IF(Tasks[[#This Row],[_IsSummary]],MIN(INDEX(Tasks[_LeafTotalSlack],Tasks[[#This Row],[_Row]]+1):INDEX(Tasks[_LeafTotalSlack],Tasks[[#This Row],[_Row]]+Tasks[[#This Row],[_Descendants]])),Tasks[[#This Row],[_LeafTotalSlack]]))</f>
        <v/>
      </c>
      <c r="AW1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5"/>
      <c r="BA17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t="str">
        <f aca="false">IF(Tasks[[#This Row],[Task Name]]="","",IF(Tasks[[#This Row],[_Level]]&lt;=OutlineShowLevel,"Yes","No"))</f>
        <v/>
      </c>
      <c r="BE175" s="86" t="str">
        <f aca="false">IF(Tasks[[#This Row],[Task Name]]="","",IF(Tasks[[#This Row],[_IsSummary]],SUM(INDEX(Tasks[_LeafTotalWork],Tasks[[#This Row],[_Row]]+1):INDEX(Tasks[_LeafTotalWork],Tasks[[#This Row],[_Row]]+Tasks[[#This Row],[_Descendants]])),Tasks[[#This Row],[_LeafTotalWork]]))</f>
        <v/>
      </c>
      <c r="BF175" s="23"/>
      <c r="BG1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t="str">
        <f aca="false">""</f>
        <v/>
      </c>
      <c r="BI175" s="87"/>
      <c r="BJ175" s="22"/>
      <c r="BK175" s="47" t="str">
        <f aca="false">IF(OR(Tasks[[#This Row],[Task Name]]="",Tasks[[#This Row],[Baseline Duration]]=""),"",Tasks[[#This Row],[_SpanDays]]-N(Tasks[[#This Row],[Baseline Duration]]))</f>
        <v/>
      </c>
      <c r="BL175" s="86" t="str">
        <f aca="false">IF(OR(Tasks[[#This Row],[Task Name]]="",Tasks[[#This Row],[Baseline Work]]=""),"",Tasks[[#This Row],[Work]]-N(Tasks[[#This Row],[Baseline Work]]))</f>
        <v/>
      </c>
      <c r="BM175" s="63" t="str">
        <f aca="false">IF(Tasks[[#This Row],[Task Name]]="","",IF(OR(TakeBaseline="Yes",N(Tasks[[#This Row],[Baseline Start]])=0),Tasks[[#This Row],[Start]],Tasks[[#This Row],[Baseline Start]]))</f>
        <v/>
      </c>
      <c r="BN175" s="63" t="str">
        <f aca="false">IF(Tasks[[#This Row],[Task Name]]="","",IF(OR(TakeBaseline="Yes",N(Tasks[[#This Row],[Baseline Finish]])=0),Tasks[[#This Row],[Finish]],Tasks[[#This Row],[Baseline Finish]]))</f>
        <v/>
      </c>
      <c r="BO175" s="21" t="str">
        <f aca="false">IF(Tasks[[#This Row],[Task Name]]="","",IF(OR(TakeBaseline="Yes",N(Tasks[[#This Row],[Baseline Duration]])=0),Tasks[[#This Row],[_SpanDays]],Tasks[[#This Row],[Baseline Duration]]))</f>
        <v/>
      </c>
      <c r="BP175" s="86" t="str">
        <f aca="false">IF(Tasks[[#This Row],[Task Name]]="","",IF(OR(TakeBaseline="Yes",N(Tasks[[#This Row],[Baseline Work]])=0),Tasks[[#This Row],[Work]],Tasks[[#This Row],[Baseline Work]]))</f>
        <v/>
      </c>
      <c r="BQ175" s="7"/>
      <c r="BR175" s="7"/>
      <c r="BS175" s="22"/>
      <c r="BT175" s="88"/>
      <c r="BU175" s="23"/>
      <c r="BV175" s="23"/>
      <c r="BW175" s="23"/>
      <c r="BX175" s="89" t="str">
        <f aca="false">IF(AND(Tasks[[#This Row],[_IsLeaf]]=1,ISNUMBER(Tasks[[#This Row],[Optimistic]]),ISNUMBER(Tasks[[#This Row],[Pessimistic]])),ROUND((Tasks[[#This Row],[Optimistic]]+4*N(Tasks[[#This Row],[_Days]])+Tasks[[#This Row],[Pessimistic]])/6,1),"")</f>
        <v/>
      </c>
      <c r="BY175" s="87"/>
      <c r="BZ175" s="87"/>
      <c r="CA175" s="22"/>
      <c r="CB175" s="43" t="str">
        <f aca="false">IF(Tasks[[#This Row],[Task Name]]="","",MAX(1,N(Tasks[[#This Row],[Level]])))</f>
        <v/>
      </c>
      <c r="CC175" s="43" t="n">
        <f aca="false">ROW()-ROW(Tasks[[#Headers],[ID]])</f>
        <v>170</v>
      </c>
      <c r="CD175" s="43" t="n">
        <f aca="false">IF(OR(Tasks[[#This Row],[Task Name]]="",Tasks[[#This Row],[_Level]]&lt;=1),0,IFERROR(LOOKUP(2,1/(Tasks[[#Headers],[_Level]]:Tasks[[#This Row],[_Level]]=Tasks[[#This Row],[_Level]]-1),ROW(Tasks[[#Headers],[_Level]]:Tasks[[#This Row],[_Level]])),0))</f>
        <v>0</v>
      </c>
      <c r="CE175" s="43" t="n">
        <f aca="false">IFERROR(N(INDEX(Tasks[_Level],Tasks[[#This Row],[_Row]]+1)),0)</f>
        <v>0</v>
      </c>
      <c r="CF175" s="90" t="b">
        <f aca="false">AND(Tasks[[#This Row],[Task Name]]&lt;&gt;"",Tasks[[#This Row],[_NextLevel]]&gt;Tasks[[#This Row],[_Level]])</f>
        <v>0</v>
      </c>
      <c r="CG175" s="43" t="n">
        <f aca="false">IF(Tasks[[#This Row],[_IsSummary]],COUNTIF(Tasks[WBS],Tasks[[#This Row],[WBS]]&amp;".*"),0)</f>
        <v>0</v>
      </c>
      <c r="CH175" s="43" t="n">
        <f aca="false">IF(AND(Tasks[[#This Row],[Task Name]]&lt;&gt;"",NOT(Tasks[[#This Row],[_IsSummary]])),1,0)</f>
        <v>0</v>
      </c>
      <c r="CI175" s="43" t="n">
        <f aca="false">IF(N(Tasks[[#This Row],[_Pred1UID]])=0,0,IFERROR(MATCH(Tasks[[#This Row],[_Pred1UID]],Tasks[UID],0),-1))</f>
        <v>0</v>
      </c>
      <c r="CJ175" s="43" t="n">
        <f aca="false">IF(N(Tasks[[#This Row],[_Pred2UID]])=0,0,IFERROR(MATCH(Tasks[[#This Row],[_Pred2UID]],Tasks[UID],0),-1))</f>
        <v>0</v>
      </c>
      <c r="CK175" s="43" t="n">
        <f aca="false">IF(N(Tasks[[#This Row],[_Pred3UID]])=0,0,IFERROR(MATCH(Tasks[[#This Row],[_Pred3UID]],Tasks[UID],0),-1))</f>
        <v>0</v>
      </c>
      <c r="CL175" s="43" t="n">
        <f aca="false">IF(N(Tasks[[#This Row],[_Pred4UID]])=0,0,IFERROR(MATCH(Tasks[[#This Row],[_Pred4UID]],Tasks[UID],0),-1))</f>
        <v>0</v>
      </c>
      <c r="CM1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5" s="91" t="n">
        <f aca="false">IF(OR(Tasks[[#This Row],[_ConstraintCode]]=2,Tasks[[#This Row],[_ConstraintCode]]=3,Tasks[[#This Row],[_ConstraintCode]]=4,Tasks[[#This Row],[_ConstraintCode]]=6),Tasks[[#This Row],[_ConstraintStart]],0)</f>
        <v>0</v>
      </c>
      <c r="CP175" s="91" t="n">
        <f aca="false">IF(OR(Tasks[[#This Row],[_ConstraintCode]]=2,Tasks[[#This Row],[_ConstraintCode]]=3,Tasks[[#This Row],[_ConstraintCode]]=5,Tasks[[#This Row],[_ConstraintCode]]=7),Tasks[[#This Row],[_ConstraintStart]],2958465)</f>
        <v>2958465</v>
      </c>
      <c r="CQ1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5" s="91" t="str">
        <f aca="false">IF(NOT(Tasks[[#This Row],[_IsLeaf]]=1),"",IF(N(Tasks[[#This Row],[_Days]])&lt;=0,Tasks[[#This Row],[_LeafCalcStart]],WORKDAY.INTL(Tasks[[#This Row],[_LeafCalcStart]],Tasks[[#This Row],[_Days]]-1,WorkWeek,Holidays)))</f>
        <v/>
      </c>
      <c r="CS1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5" s="43" t="str">
        <f aca="false">IF(Tasks[[#This Row],[_Predecessors]]="","",TRIM(MID(SUBSTITUTE(SUBSTITUTE(SUBSTITUTE(UPPER(Tasks[[#This Row],[_Predecessors]]),";",",")," ",""),",",REPT(" ",99)),1,99)))</f>
        <v/>
      </c>
      <c r="CV175" s="43" t="str">
        <f aca="false">IF(Tasks[[#This Row],[_Pred1Text]]="","",IFERROR(VALUE(LEFT(Tasks[[#This Row],[_Pred1Text]],MIN(FIND("F",Tasks[[#This Row],[_Pred1Text]]&amp;"F"),FIND("S",Tasks[[#This Row],[_Pred1Text]]&amp;"S"),FIND("+",Tasks[[#This Row],[_Pred1Text]]&amp;"+"),FIND("-",Tasks[[#This Row],[_Pred1Text]]&amp;"-"))-1)),""))</f>
        <v/>
      </c>
      <c r="CW1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5" s="43" t="str">
        <f aca="false">IF(Tasks[[#This Row],[_Pred1Text]]="","",TRIM(MID(SUBSTITUTE(SUBSTITUTE(SUBSTITUTE(UPPER(Tasks[[#This Row],[_Predecessors]]),";",",")," ",""),",",REPT(" ",99)),100,99)))</f>
        <v/>
      </c>
      <c r="CZ175" s="43" t="str">
        <f aca="false">IF(Tasks[[#This Row],[_Pred2Text]]="","",IFERROR(VALUE(LEFT(Tasks[[#This Row],[_Pred2Text]],MIN(FIND("F",Tasks[[#This Row],[_Pred2Text]]&amp;"F"),FIND("S",Tasks[[#This Row],[_Pred2Text]]&amp;"S"),FIND("+",Tasks[[#This Row],[_Pred2Text]]&amp;"+"),FIND("-",Tasks[[#This Row],[_Pred2Text]]&amp;"-"))-1)),""))</f>
        <v/>
      </c>
      <c r="DA1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5" s="43" t="str">
        <f aca="false">IF(Tasks[[#This Row],[_Pred2Text]]="","",TRIM(MID(SUBSTITUTE(SUBSTITUTE(SUBSTITUTE(UPPER(Tasks[[#This Row],[_Predecessors]]),";",",")," ",""),",",REPT(" ",99)),199,99)))</f>
        <v/>
      </c>
      <c r="DD175" s="43" t="str">
        <f aca="false">IF(Tasks[[#This Row],[_Pred3Text]]="","",IFERROR(VALUE(LEFT(Tasks[[#This Row],[_Pred3Text]],MIN(FIND("F",Tasks[[#This Row],[_Pred3Text]]&amp;"F"),FIND("S",Tasks[[#This Row],[_Pred3Text]]&amp;"S"),FIND("+",Tasks[[#This Row],[_Pred3Text]]&amp;"+"),FIND("-",Tasks[[#This Row],[_Pred3Text]]&amp;"-"))-1)),""))</f>
        <v/>
      </c>
      <c r="DE1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5" s="43" t="str">
        <f aca="false">IF(Tasks[[#This Row],[_Pred3Text]]="","",TRIM(MID(SUBSTITUTE(SUBSTITUTE(SUBSTITUTE(UPPER(Tasks[[#This Row],[_Predecessors]]),";",",")," ",""),",",REPT(" ",99)),298,99)))</f>
        <v/>
      </c>
      <c r="DH175" s="43" t="str">
        <f aca="false">IF(Tasks[[#This Row],[_Pred4Text]]="","",IFERROR(VALUE(LEFT(Tasks[[#This Row],[_Pred4Text]],MIN(FIND("F",Tasks[[#This Row],[_Pred4Text]]&amp;"F"),FIND("S",Tasks[[#This Row],[_Pred4Text]]&amp;"S"),FIND("+",Tasks[[#This Row],[_Pred4Text]]&amp;"+"),FIND("-",Tasks[[#This Row],[_Pred4Text]]&amp;"-"))-1)),""))</f>
        <v/>
      </c>
      <c r="DI1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5" s="43" t="str">
        <f aca="false">IF(OR(Tasks[[#This Row],[Task Name]]="",Tasks[[#This Row],[_Resources]]=""),"",TRIM(MID(SUBSTITUTE(Tasks[[#This Row],[_Resources]],",",REPT(" ",99)),1,99)))</f>
        <v/>
      </c>
      <c r="DL175" s="43" t="str">
        <f aca="false">IF(Tasks[[#This Row],[_Res1Text]]="","",TRIM(MID(SUBSTITUTE(Tasks[[#This Row],[_Resources]],",",REPT(" ",99)),100,99)))</f>
        <v/>
      </c>
      <c r="DM175" s="43" t="str">
        <f aca="false">IF(Tasks[[#This Row],[_Res2Text]]="","",TRIM(MID(SUBSTITUTE(Tasks[[#This Row],[_Resources]],",",REPT(" ",99)),199,99)))</f>
        <v/>
      </c>
      <c r="DN175" s="43" t="str">
        <f aca="false">IF(Tasks[[#This Row],[_Res3Text]]="","",TRIM(MID(SUBSTITUTE(Tasks[[#This Row],[_Resources]],",",REPT(" ",99)),298,99)))</f>
        <v/>
      </c>
      <c r="DO175" s="43" t="n">
        <f aca="false">IF(Tasks[[#This Row],[_Res1Text]]="",0,IFERROR(MATCH(TRIM(LEFT(Tasks[[#This Row],[_Res1Text]],FIND("[",Tasks[[#This Row],[_Res1Text]]&amp;"[")-1)),res_Name,0),IFERROR(MATCH(TRIM(LEFT(Tasks[[#This Row],[_Res1Text]],FIND("[",Tasks[[#This Row],[_Res1Text]]&amp;"[")-1)),res_Initials,0),0)))</f>
        <v>0</v>
      </c>
      <c r="DP175" s="43" t="n">
        <f aca="false">IF(Tasks[[#This Row],[_Res2Text]]="",0,IFERROR(MATCH(TRIM(LEFT(Tasks[[#This Row],[_Res2Text]],FIND("[",Tasks[[#This Row],[_Res2Text]]&amp;"[")-1)),res_Name,0),IFERROR(MATCH(TRIM(LEFT(Tasks[[#This Row],[_Res2Text]],FIND("[",Tasks[[#This Row],[_Res2Text]]&amp;"[")-1)),res_Initials,0),0)))</f>
        <v>0</v>
      </c>
      <c r="DQ175" s="43" t="n">
        <f aca="false">IF(Tasks[[#This Row],[_Res3Text]]="",0,IFERROR(MATCH(TRIM(LEFT(Tasks[[#This Row],[_Res3Text]],FIND("[",Tasks[[#This Row],[_Res3Text]]&amp;"[")-1)),res_Name,0),IFERROR(MATCH(TRIM(LEFT(Tasks[[#This Row],[_Res3Text]],FIND("[",Tasks[[#This Row],[_Res3Text]]&amp;"[")-1)),res_Initials,0),0)))</f>
        <v>0</v>
      </c>
      <c r="DR175" s="43" t="n">
        <f aca="false">IF(Tasks[[#This Row],[_Res4Text]]="",0,IFERROR(MATCH(TRIM(LEFT(Tasks[[#This Row],[_Res4Text]],FIND("[",Tasks[[#This Row],[_Res4Text]]&amp;"[")-1)),res_Name,0),IFERROR(MATCH(TRIM(LEFT(Tasks[[#This Row],[_Res4Text]],FIND("[",Tasks[[#This Row],[_Res4Text]]&amp;"[")-1)),res_Initials,0),0)))</f>
        <v>0</v>
      </c>
      <c r="DS175" s="43" t="str">
        <f aca="false">IF(Tasks[[#This Row],[_Res1Text]]="","",IF(Tasks[[#This Row],[_Res1Row]]&gt;0,INDEX(res_Name,Tasks[[#This Row],[_Res1Row]]),TRIM(LEFT(Tasks[[#This Row],[_Res1Text]],FIND("[",Tasks[[#This Row],[_Res1Text]]&amp;"[")-1))))</f>
        <v/>
      </c>
      <c r="DT1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5" s="43" t="n">
        <f aca="false">IF(NOT(Tasks[[#This Row],[_IsLeaf]]=1),0,(Tasks[[#This Row],[_Resource1]]&lt;&gt;"")+(Tasks[[#This Row],[_Res2]]&lt;&gt;"")+(Tasks[[#This Row],[_Res3]]&lt;&gt;"")+(Tasks[[#This Row],[_Res4]]&lt;&gt;""))</f>
        <v>0</v>
      </c>
      <c r="DV175" s="43" t="str">
        <f aca="false">IF(Tasks[[#This Row],[_Res2Text]]="","",IF(Tasks[[#This Row],[_Res2Row]]&gt;0,INDEX(res_Name,Tasks[[#This Row],[_Res2Row]]),TRIM(LEFT(Tasks[[#This Row],[_Res2Text]],FIND("[",Tasks[[#This Row],[_Res2Text]]&amp;"[")-1))))</f>
        <v/>
      </c>
      <c r="DW1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5" s="43" t="n">
        <f aca="false">IF(OR(NOT(Tasks[[#This Row],[_IsLeaf]]=1),Tasks[[#This Row],[_Res2Row]]=0),0,N(Tasks[[#This Row],[_Days]])*HoursPerDay*IF(Tasks[[#This Row],[_Res2Units]]="",DefaultUnits,Tasks[[#This Row],[_Res2Units]]))</f>
        <v>0</v>
      </c>
      <c r="DY175" s="43" t="n">
        <f aca="false">IF(AND(AND(Tasks[[#This Row],[_IsLeaf]]=1,Tasks[[#This Row],[_LeafTotalWork]]&gt;0),Tasks[[#This Row],[_Res2Work]]&gt;0),Tasks[[#This Row],[_Res2Work]]/(Tasks[[#This Row],[_FinishWorkday]]-Tasks[[#This Row],[_StartWorkday]]+1),0)</f>
        <v>0</v>
      </c>
      <c r="DZ175" s="43" t="n">
        <f aca="false">Tasks[[#This Row],[_Res2WorkPerWD]]*MAX(0,Tasks[[#This Row],[_StartWorkday]]-1)</f>
        <v>0</v>
      </c>
      <c r="EA175" s="43" t="n">
        <f aca="false">Tasks[[#This Row],[_Res2Work]]*Tasks[[#This Row],[_LeafProgress]]</f>
        <v>0</v>
      </c>
      <c r="EB175" s="43" t="str">
        <f aca="false">IF(Tasks[[#This Row],[_Res3Text]]="","",IF(Tasks[[#This Row],[_Res3Row]]&gt;0,INDEX(res_Name,Tasks[[#This Row],[_Res3Row]]),TRIM(LEFT(Tasks[[#This Row],[_Res3Text]],FIND("[",Tasks[[#This Row],[_Res3Text]]&amp;"[")-1))))</f>
        <v/>
      </c>
      <c r="EC1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5" s="43" t="n">
        <f aca="false">IF(OR(NOT(Tasks[[#This Row],[_IsLeaf]]=1),Tasks[[#This Row],[_Res3Row]]=0),0,N(Tasks[[#This Row],[_Days]])*HoursPerDay*IF(Tasks[[#This Row],[_Res3Units]]="",DefaultUnits,Tasks[[#This Row],[_Res3Units]]))</f>
        <v>0</v>
      </c>
      <c r="EE175" s="43" t="n">
        <f aca="false">IF(AND(AND(Tasks[[#This Row],[_IsLeaf]]=1,Tasks[[#This Row],[_LeafTotalWork]]&gt;0),Tasks[[#This Row],[_Res3Work]]&gt;0),Tasks[[#This Row],[_Res3Work]]/(Tasks[[#This Row],[_FinishWorkday]]-Tasks[[#This Row],[_StartWorkday]]+1),0)</f>
        <v>0</v>
      </c>
      <c r="EF175" s="43" t="n">
        <f aca="false">Tasks[[#This Row],[_Res3WorkPerWD]]*MAX(0,Tasks[[#This Row],[_StartWorkday]]-1)</f>
        <v>0</v>
      </c>
      <c r="EG175" s="43" t="n">
        <f aca="false">Tasks[[#This Row],[_Res3Work]]*Tasks[[#This Row],[_LeafProgress]]</f>
        <v>0</v>
      </c>
      <c r="EH175" s="43" t="str">
        <f aca="false">IF(Tasks[[#This Row],[_Res4Text]]="","",IF(Tasks[[#This Row],[_Res4Row]]&gt;0,INDEX(res_Name,Tasks[[#This Row],[_Res4Row]]),TRIM(LEFT(Tasks[[#This Row],[_Res4Text]],FIND("[",Tasks[[#This Row],[_Res4Text]]&amp;"[")-1))))</f>
        <v/>
      </c>
      <c r="EI1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5" s="43" t="n">
        <f aca="false">IF(OR(NOT(Tasks[[#This Row],[_IsLeaf]]=1),Tasks[[#This Row],[_Res4Row]]=0),0,N(Tasks[[#This Row],[_Days]])*HoursPerDay*IF(Tasks[[#This Row],[_Res4Units]]="",DefaultUnits,Tasks[[#This Row],[_Res4Units]]))</f>
        <v>0</v>
      </c>
      <c r="EK175" s="43" t="n">
        <f aca="false">IF(AND(AND(Tasks[[#This Row],[_IsLeaf]]=1,Tasks[[#This Row],[_LeafTotalWork]]&gt;0),Tasks[[#This Row],[_Res4Work]]&gt;0),Tasks[[#This Row],[_Res4Work]]/(Tasks[[#This Row],[_FinishWorkday]]-Tasks[[#This Row],[_StartWorkday]]+1),0)</f>
        <v>0</v>
      </c>
      <c r="EL175" s="43" t="n">
        <f aca="false">Tasks[[#This Row],[_Res4WorkPerWD]]*MAX(0,Tasks[[#This Row],[_StartWorkday]]-1)</f>
        <v>0</v>
      </c>
      <c r="EM175" s="43" t="n">
        <f aca="false">Tasks[[#This Row],[_Res4Work]]*Tasks[[#This Row],[_LeafProgress]]</f>
        <v>0</v>
      </c>
      <c r="EN175" s="43" t="n">
        <f aca="false">IF(ISNUMBER(Tasks[[#This Row],[% Complete]]),Tasks[[#This Row],[% Complete]],IF(Tasks[[#This Row],[Stage]]="",0,IFERROR(INDEX(stg_Pct,MATCH(Tasks[[#This Row],[Stage]],stg_Name,0)),0)))</f>
        <v>0</v>
      </c>
      <c r="EO175" s="43" t="n">
        <f aca="false">IF(NOT(Tasks[[#This Row],[_IsLeaf]]=1),0,IF(N(Tasks[[#This Row],[Actual Finish]])&gt;0,1,MIN(1,Tasks[[#This Row],[_Pct]])))</f>
        <v>0</v>
      </c>
      <c r="EP175" s="43" t="n">
        <f aca="false">IF(OR(NOT(Tasks[[#This Row],[_IsLeaf]]=1),Tasks[[#This Row],[_Res1Row]]=0),0,N(Tasks[[#This Row],[_Days]])*HoursPerDay*IF(Tasks[[#This Row],[_Units1]]="",DefaultUnits,Tasks[[#This Row],[_Units1]]))</f>
        <v>0</v>
      </c>
      <c r="EQ175" s="43" t="n">
        <f aca="false">Tasks[[#This Row],[_LeafWork]]+Tasks[[#This Row],[_Res2Work]]+Tasks[[#This Row],[_Res3Work]]+Tasks[[#This Row],[_Res4Work]]</f>
        <v>0</v>
      </c>
      <c r="ER17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5" s="43" t="n">
        <f aca="false">IF(NOT(Tasks[[#This Row],[_IsLeaf]]=1),0,MAX(_xlfn.MAXIFS(Tasks[_Row],Tasks[_Pred1UID],Tasks[[#This Row],[UID]]),_xlfn.MAXIFS(Tasks[_Row],Tasks[_Pred2UID],Tasks[[#This Row],[UID]]),_xlfn.MAXIFS(Tasks[_Row],Tasks[_Pred3UID],Tasks[[#This Row],[UID]]),_xlfn.MAXIFS(Tasks[_Row],Tasks[_Pred4UID],Tasks[[#This Row],[UID]])))</f>
        <v>0</v>
      </c>
      <c r="FA1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5" s="91" t="str">
        <f aca="false">IF(NOT(Tasks[[#This Row],[_IsLeaf]]=1),"",IF(N(Tasks[[#This Row],[_Days]])&lt;=0,Tasks[[#This Row],[_LeafLateFinish]],WORKDAY.INTL(Tasks[[#This Row],[_LeafLateFinish]],-(Tasks[[#This Row],[_Days]]-1),WorkWeek,Holidays)))</f>
        <v/>
      </c>
      <c r="FD1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5" s="90" t="b">
        <f aca="false">AND(Tasks[[#This Row],[_IsLeaf]]=1,Tasks[[#This Row],[_LeafProgress]]&lt;1,N(Tasks[[#This Row],[_LeafTotalSlack]])&lt;=CriticalSlackDays)</f>
        <v>0</v>
      </c>
      <c r="FF175" s="43" t="n">
        <f aca="false">IF(AND(Tasks[[#This Row],[_IsLeaf]]=1,Tasks[[#This Row],[_ConstraintCode]]=1,Tasks[[#This Row],[Mode]]&lt;&gt;"Manual",N(Tasks[[#This Row],[Actual Start]])=0),MAX(0,N(Tasks[[#This Row],[Free Slack]])),0)</f>
        <v>0</v>
      </c>
      <c r="FG175" s="91" t="str">
        <f aca="false">IF(NOT(Tasks[[#This Row],[_IsLeaf]]=1),"",IF(Tasks[[#This Row],[_AlapShift]]=0,Tasks[[#This Row],[_LeafCalcStart]],WORKDAY.INTL(Tasks[[#This Row],[_LeafCalcStart]],Tasks[[#This Row],[_AlapShift]],WorkWeek,Holidays)))</f>
        <v/>
      </c>
      <c r="FH175" s="91" t="str">
        <f aca="false">IF(NOT(Tasks[[#This Row],[_IsLeaf]]=1),"",IF(Tasks[[#This Row],[_AlapShift]]=0,Tasks[[#This Row],[_LeafCalcFinish]],WORKDAY.INTL(Tasks[[#This Row],[_LeafCalcFinish]],Tasks[[#This Row],[_AlapShift]],WorkWeek,Holidays)))</f>
        <v/>
      </c>
      <c r="FI175" s="91" t="str">
        <f aca="false">IF(NOT(Tasks[[#This Row],[_IsLeaf]]=1),"",IF(Tasks[[#This Row],[_AlapShift]]=0,Tasks[[#This Row],[_LeafFcstStart]],WORKDAY.INTL(Tasks[[#This Row],[_LeafFcstStart]],Tasks[[#This Row],[_AlapShift]],WorkWeek,Holidays)))</f>
        <v/>
      </c>
      <c r="FJ175" s="91" t="str">
        <f aca="false">IF(NOT(Tasks[[#This Row],[_IsLeaf]]=1),"",IF(Tasks[[#This Row],[_AlapShift]]=0,Tasks[[#This Row],[_LeafFcstFinish]],WORKDAY.INTL(Tasks[[#This Row],[_LeafFcstFinish]],Tasks[[#This Row],[_AlapShift]],WorkWeek,Holidays)))</f>
        <v/>
      </c>
      <c r="FK175" s="91" t="str">
        <f aca="false">IF(Tasks[[#This Row],[Task Name]]="","",IF(Tasks[[#This Row],[_IsSummary]],MIN(INDEX(Tasks[_ShownCalcStart],Tasks[[#This Row],[_Row]]+1):INDEX(Tasks[_ShownCalcStart],Tasks[[#This Row],[_Row]]+Tasks[[#This Row],[_Descendants]])),Tasks[[#This Row],[_ShownCalcStart]]))</f>
        <v/>
      </c>
      <c r="FL175" s="91" t="str">
        <f aca="false">IF(Tasks[[#This Row],[Task Name]]="","",IF(Tasks[[#This Row],[_IsSummary]],MAX(INDEX(Tasks[_ShownCalcFinish],Tasks[[#This Row],[_Row]]+1):INDEX(Tasks[_ShownCalcFinish],Tasks[[#This Row],[_Row]]+Tasks[[#This Row],[_Descendants]])),Tasks[[#This Row],[_ShownCalcFinish]]))</f>
        <v/>
      </c>
      <c r="FM1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5" s="43" t="n">
        <f aca="false">IF(AND(Tasks[[#This Row],[_IsLeaf]]=1,Tasks[[#This Row],[_LeafTotalWork]]&gt;0),NETWORKDAYS.INTL(ProjectStart,Tasks[[#This Row],[_ShownFcstStart]],WorkWeek,Holidays),0)</f>
        <v>0</v>
      </c>
      <c r="FZ175" s="43" t="n">
        <f aca="false">IF(AND(Tasks[[#This Row],[_IsLeaf]]=1,Tasks[[#This Row],[_LeafTotalWork]]&gt;0),MAX(Tasks[[#This Row],[_StartWorkday]],NETWORKDAYS.INTL(ProjectStart,Tasks[[#This Row],[_ShownFcstFinish]],WorkWeek,Holidays)),0)</f>
        <v>0</v>
      </c>
      <c r="GA175" s="43" t="n">
        <f aca="false">IF(AND(Tasks[[#This Row],[_IsLeaf]]=1,Tasks[[#This Row],[_LeafTotalWork]]&gt;0),Tasks[[#This Row],[_LeafWork]]/(Tasks[[#This Row],[_FinishWorkday]]-Tasks[[#This Row],[_StartWorkday]]+1),0)</f>
        <v>0</v>
      </c>
      <c r="GB175" s="43" t="n">
        <f aca="false">Tasks[[#This Row],[_WorkPerWorkday]]*(Tasks[[#This Row],[_StartWorkday]]-1)</f>
        <v>-0</v>
      </c>
      <c r="GC175" s="43" t="n">
        <f aca="false">IF(Tasks[[#This Row],[_IsLeaf]]=1,MAX(N(Tasks[[#This Row],[_Days]]),0.1),0)</f>
        <v>0</v>
      </c>
      <c r="GD175" s="43" t="n">
        <f aca="false">Tasks[[#This Row],[_WeightDur]]*Tasks[[#This Row],[_LeafProgress]]</f>
        <v>0</v>
      </c>
      <c r="GE175" s="43" t="n">
        <f aca="false">Tasks[[#This Row],[_WeightDur]]*Tasks[[#This Row],[_PlannedPct]]</f>
        <v>0</v>
      </c>
      <c r="GF1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5" s="43" t="str">
        <f aca="false">IF(AND(Tasks[[#This Row],[_IsLeaf]]=1,N(Tasks[[#This Row],[_Days]])=0,Tasks[[#This Row],[_LeafProgress]]&lt;1),Tasks[[#This Row],[_ShownFcstFinish]]+Tasks[[#This Row],[_Row]]/100000,"")</f>
        <v/>
      </c>
      <c r="GH1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5" s="43" t="str">
        <f aca="false">IF(Tasks[[#This Row],[Task Name]]="","",LEFT(Tasks[[#This Row],[WBS]],FIND(".",Tasks[[#This Row],[WBS]]&amp;".")-1))</f>
        <v/>
      </c>
      <c r="GJ175" s="43" t="str">
        <f aca="false">IF(AND(Tasks[[#This Row],[Task Name]]&lt;&gt;"",Tasks[[#This Row],[_Level]]=1),Tasks[[#This Row],[_Row]],"")</f>
        <v/>
      </c>
      <c r="GK175" s="43" t="str">
        <f aca="false">IF(AND(Tasks[[#This Row],[_IsLeaf]]=1,N(Tasks[[#This Row],[_Days]])=0),Tasks[[#This Row],[Planned Finish]]+Tasks[[#This Row],[_Row]]/100000,"")</f>
        <v/>
      </c>
      <c r="GL175" s="43" t="str">
        <f aca="false">IF(AND(Tasks[[#This Row],[_IsLeaf]]=1,Tasks[[#This Row],[_LeafProgress]]&lt;1,OR(N(Tasks[[#This Row],[Finish Var]])&gt;0,Tasks[[#This Row],[Status]]="Late Start")),MAX(0,Tasks[[#This Row],[Finish Var]])+1-Tasks[[#This Row],[_Row]]/1000000,"")</f>
        <v/>
      </c>
      <c r="GM175" s="43" t="str">
        <f aca="false">IF(AND(Tasks[[#This Row],[_IsLeaf]]=1,N(Tasks[[#This Row],[Actual Start]])=0,Tasks[[#This Row],[_ShownFcstStart]]&gt;=StatusDate,Tasks[[#This Row],[_ShownFcstStart]]&lt;=LookaheadEnd),Tasks[[#This Row],[_ShownFcstStart]]+Tasks[[#This Row],[_Row]]/100000,"")</f>
        <v/>
      </c>
      <c r="GN175" s="43" t="str">
        <f aca="false">IF(AND(Tasks[[#This Row],[_IsLeaf]]=1,Tasks[[#This Row],[_LeafProgress]]&lt;1,Tasks[[#This Row],[_ShownFcstFinish]]&gt;=StatusDate,Tasks[[#This Row],[_ShownFcstFinish]]&lt;=LookaheadEnd),Tasks[[#This Row],[_ShownFcstFinish]]+Tasks[[#This Row],[_Row]]/100000,"")</f>
        <v/>
      </c>
      <c r="GO175" s="43" t="str">
        <f aca="false">IF(Tasks[[#This Row],[_LeafCritical]],Tasks[[#This Row],[_ShownFcstStart]]+Tasks[[#This Row],[_Row]]/100000,"")</f>
        <v/>
      </c>
      <c r="GP175" s="43" t="n">
        <f aca="false">Tasks[[#This Row],[_LeafWork]]*Tasks[[#This Row],[_LeafProgress]]</f>
        <v>0</v>
      </c>
      <c r="GQ175" s="91" t="str">
        <f aca="false">IF(AND(Tasks[[#This Row],[_IsLeaf]]=1,Tasks[[#This Row],[_LeafProgress]]&gt;=1),IF(N(Tasks[[#This Row],[Actual Finish]])&gt;0,Tasks[[#This Row],[Actual Finish]],Tasks[[#This Row],[_ShownFcstFinish]]),"")</f>
        <v/>
      </c>
      <c r="GR175" s="43" t="n">
        <f aca="false">IF(Tasks[[#This Row],[_IsLeaf]]=1,N(Tasks[[#This Row],[Story Points]]),0)</f>
        <v>0</v>
      </c>
      <c r="GS175" s="43" t="str">
        <f aca="false">""</f>
        <v/>
      </c>
      <c r="GT175" s="90" t="b">
        <f aca="false">IF(Tasks[[#This Row],[Task Name]]="",FALSE(),AND(Tasks[[#This Row],[_IsLeaf]]=1,N(Tasks[[#This Row],[_Days]])=0))</f>
        <v>0</v>
      </c>
      <c r="GU175" s="91" t="n">
        <f aca="false">IF(Tasks[[#This Row],[Task Name]]="",0,IF(AND(Tasks[[#This Row],[_IsLeaf]]=1,NOT(Tasks[[#This Row],[_IsMilestone]]),N(Tasks[[#This Row],[Progress]])&gt;0),Tasks[[#This Row],[Start]],0))</f>
        <v>0</v>
      </c>
      <c r="GV175" s="91" t="n">
        <f aca="false">IF(Tasks[[#This Row],[_DoneFrom]]=0,0,IF(Tasks[[#This Row],[Progress]]&gt;=1,Tasks[[#This Row],[Finish]],MAX(Tasks[[#This Row],[_DoneFrom]],Tasks[[#This Row],[Start]]+ROUND((Tasks[[#This Row],[Finish]]-Tasks[[#This Row],[Start]]+1)*Tasks[[#This Row],[Progress]],0)-1)))</f>
        <v>0</v>
      </c>
      <c r="GW175" s="91" t="n">
        <f aca="false">IF(Tasks[[#This Row],[Task Name]]="",0,IF(OR(NOT(Tasks[[#This Row],[_IsLeaf]]=1),Tasks[[#This Row],[_IsMilestone]],N(Tasks[[#This Row],[Progress]])&gt;=1),0,IF(Tasks[[#This Row],[_DoneTo]]&gt;0,Tasks[[#This Row],[_DoneTo]]+1,Tasks[[#This Row],[Start]])))</f>
        <v>0</v>
      </c>
      <c r="GX175" s="91" t="n">
        <f aca="false">IF(Tasks[[#This Row],[_RemFrom]]=0,0,Tasks[[#This Row],[Finish]])</f>
        <v>0</v>
      </c>
      <c r="GY175" s="90" t="b">
        <f aca="false">IF(Tasks[[#This Row],[Task Name]]="",FALSE(),OR(NOT(BaselineSet),N(Tasks[[#This Row],[Baseline Start]])&gt;0))</f>
        <v>0</v>
      </c>
      <c r="GZ17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5" s="92" t="str">
        <f aca="false">IF(Tasks[[#This Row],[_IsLeaf]]=1,Tasks[[#This Row],[_Row]],"")</f>
        <v/>
      </c>
      <c r="HD175" s="92" t="str">
        <f aca="false">IFERROR(INDEX(Tasks[UID],SMALL(Tasks[_PickKey],Tasks[[#This Row],[_Row]]))&amp;" "&amp;INDEX(Tasks[Task Name],SMALL(Tasks[_PickKey],Tasks[[#This Row],[_Row]])),"")</f>
        <v/>
      </c>
      <c r="HE175" s="43" t="str">
        <f aca="false">IF(Tasks[[#This Row],[Task Name]]="","",IF(Tasks[[#This Row],[_IsSummary]],NETWORKDAYS.INTL(Tasks[[#This Row],[Start]],Tasks[[#This Row],[Finish]],WorkWeek,Holidays),N(Tasks[[#This Row],[_Days]])))</f>
        <v/>
      </c>
      <c r="HF175" s="43" t="n">
        <f aca="false">IF(Tasks[[#This Row],[Expected]]="",0,((Tasks[[#This Row],[Pessimistic]]-Tasks[[#This Row],[Optimistic]])/6)^2)</f>
        <v>0</v>
      </c>
      <c r="HG175" s="43" t="n">
        <f aca="false">IF(Tasks[[#This Row],[Expected]]="",0,Tasks[[#This Row],[Expected]]-N(Tasks[[#This Row],[_Days]]))</f>
        <v>0</v>
      </c>
    </row>
    <row r="176" customFormat="false" ht="15" hidden="false" customHeight="false" outlineLevel="0" collapsed="false">
      <c r="A176" s="21" t="str">
        <f aca="false">IF(Tasks[[#This Row],[Task Name]]="","",COUNTA(Tasks[[#Headers],[Task Name]]:Tasks[[#This Row],[Task Name]])-1)</f>
        <v/>
      </c>
      <c r="B176" s="22" t="n">
        <v>184</v>
      </c>
      <c r="C176" s="22"/>
      <c r="D176" s="23"/>
      <c r="E176" s="22"/>
      <c r="F176" s="23"/>
      <c r="G176" s="22"/>
      <c r="H176" s="22"/>
      <c r="I176" s="23"/>
      <c r="J176" s="22"/>
      <c r="K176" s="22"/>
      <c r="L176" s="23"/>
      <c r="M176" s="22"/>
      <c r="N176" s="22"/>
      <c r="O176" s="23"/>
      <c r="P176" s="22"/>
      <c r="Q176" s="22"/>
      <c r="R176" s="23"/>
      <c r="S176" s="23"/>
      <c r="T176" s="84"/>
      <c r="U176" s="23"/>
      <c r="V176" s="84"/>
      <c r="W176" s="23"/>
      <c r="X176" s="84"/>
      <c r="Y176" s="23"/>
      <c r="Z176" s="84"/>
      <c r="AA176" s="23"/>
      <c r="AB176" s="23"/>
      <c r="AC176" s="7"/>
      <c r="AD176" s="7"/>
      <c r="AE176" s="63" t="str">
        <f aca="false">IF(Tasks[[#This Row],[Task Name]]="","",IF(Tasks[[#This Row],[_IsSummary]],MIN(INDEX(Tasks[_ShownFcstStart],Tasks[[#This Row],[_Row]]+1):INDEX(Tasks[_ShownFcstStart],Tasks[[#This Row],[_Row]]+Tasks[[#This Row],[_Descendants]])),Tasks[[#This Row],[_ShownFcstStart]]))</f>
        <v/>
      </c>
      <c r="AF176" s="63" t="str">
        <f aca="false">IF(Tasks[[#This Row],[Task Name]]="","",IF(Tasks[[#This Row],[_IsSummary]],MAX(INDEX(Tasks[_ShownFcstFinish],Tasks[[#This Row],[_Row]]+1):INDEX(Tasks[_ShownFcstFinish],Tasks[[#This Row],[_Row]]+Tasks[[#This Row],[_Descendants]])),Tasks[[#This Row],[_ShownFcstFinish]]))</f>
        <v/>
      </c>
      <c r="AG176" s="21" t="str">
        <f aca="false">""</f>
        <v/>
      </c>
      <c r="AH176" s="23"/>
      <c r="AI1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6" s="7"/>
      <c r="AK176" s="22"/>
      <c r="AL176" s="23"/>
      <c r="AM176" s="7"/>
      <c r="AN176" s="47" t="str">
        <f aca="false">IF(Tasks[[#This Row],[Task Name]]="","",IF(Tasks[[#This Row],[Finish]]&gt;=Tasks[[#This Row],[Planned Finish]],NETWORKDAYS.INTL(Tasks[[#This Row],[Planned Finish]],Tasks[[#This Row],[Finish]],WorkWeek,Holidays)-1,1-NETWORKDAYS.INTL(Tasks[[#This Row],[Finish]],Tasks[[#This Row],[Planned Finish]],WorkWeek,Holidays)))</f>
        <v/>
      </c>
      <c r="AO176" s="21" t="str">
        <f aca="false">IF(Tasks[[#This Row],[Task Name]]="","",IF(Tasks[[#This Row],[Progress]]&gt;=1,"Complete",IF(OR(N(Tasks[[#This Row],[Actual Start]])&gt;0,Tasks[[#This Row],[Progress]]&gt;0),IF(Tasks[[#This Row],[Finish Var]]&gt;0,"Behind","In Progress"),IF(Tasks[[#This Row],[Planned Start]]&lt;StatusDate,"Late Start","Not Started"))))</f>
        <v/>
      </c>
      <c r="AP176" s="21" t="str">
        <f aca="false">IF(Tasks[[#This Row],[Task Name]]="","",IF(IF(Tasks[[#This Row],[_IsSummary]],COUNTIF(INDEX(Tasks[_LeafCritical],Tasks[[#This Row],[_Row]]+1):INDEX(Tasks[_LeafCritical],Tasks[[#This Row],[_Row]]+Tasks[[#This Row],[_Descendants]]),TRUE())&gt;0,Tasks[[#This Row],[_LeafCritical]]),"Yes",""))</f>
        <v/>
      </c>
      <c r="AQ176" s="63" t="str">
        <f aca="false">IF(Tasks[[#This Row],[Task Name]]="","",IF(N(Tasks[[#This Row],[Baseline Start]])&gt;0,Tasks[[#This Row],[Baseline Start]],Tasks[[#This Row],[_CalcStart]]))</f>
        <v/>
      </c>
      <c r="AR176" s="63" t="str">
        <f aca="false">IF(Tasks[[#This Row],[Task Name]]="","",IF(N(Tasks[[#This Row],[Baseline Finish]])&gt;0,Tasks[[#This Row],[Baseline Finish]],Tasks[[#This Row],[_CalcFinish]]))</f>
        <v/>
      </c>
      <c r="AS176" s="47" t="str">
        <f aca="false">IF(Tasks[[#This Row],[Task Name]]="","",IF(Tasks[[#This Row],[Start]]&gt;=Tasks[[#This Row],[Planned Start]],NETWORKDAYS.INTL(Tasks[[#This Row],[Planned Start]],Tasks[[#This Row],[Start]],WorkWeek,Holidays)-1,1-NETWORKDAYS.INTL(Tasks[[#This Row],[Start]],Tasks[[#This Row],[Planned Start]],WorkWeek,Holidays)))</f>
        <v/>
      </c>
      <c r="AT176" s="63" t="str">
        <f aca="false">IF(Tasks[[#This Row],[Task Name]]="","",IF(Tasks[[#This Row],[_IsSummary]],MIN(INDEX(Tasks[_LeafLateStart],Tasks[[#This Row],[_Row]]+1):INDEX(Tasks[_LeafLateStart],Tasks[[#This Row],[_Row]]+Tasks[[#This Row],[_Descendants]])),Tasks[[#This Row],[_LeafLateStart]]))</f>
        <v/>
      </c>
      <c r="AU176" s="63" t="str">
        <f aca="false">IF(Tasks[[#This Row],[Task Name]]="","",IF(Tasks[[#This Row],[_IsSummary]],MAX(INDEX(Tasks[_LeafLateFinish],Tasks[[#This Row],[_Row]]+1):INDEX(Tasks[_LeafLateFinish],Tasks[[#This Row],[_Row]]+Tasks[[#This Row],[_Descendants]])),Tasks[[#This Row],[_LeafLateFinish]]))</f>
        <v/>
      </c>
      <c r="AV176" s="47" t="str">
        <f aca="false">IF(Tasks[[#This Row],[Task Name]]="","",IF(Tasks[[#This Row],[_IsSummary]],MIN(INDEX(Tasks[_LeafTotalSlack],Tasks[[#This Row],[_Row]]+1):INDEX(Tasks[_LeafTotalSlack],Tasks[[#This Row],[_Row]]+Tasks[[#This Row],[_Descendants]])),Tasks[[#This Row],[_LeafTotalSlack]]))</f>
        <v/>
      </c>
      <c r="AW1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5"/>
      <c r="BA17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t="str">
        <f aca="false">IF(Tasks[[#This Row],[Task Name]]="","",IF(Tasks[[#This Row],[_Level]]&lt;=OutlineShowLevel,"Yes","No"))</f>
        <v/>
      </c>
      <c r="BE176" s="86" t="str">
        <f aca="false">IF(Tasks[[#This Row],[Task Name]]="","",IF(Tasks[[#This Row],[_IsSummary]],SUM(INDEX(Tasks[_LeafTotalWork],Tasks[[#This Row],[_Row]]+1):INDEX(Tasks[_LeafTotalWork],Tasks[[#This Row],[_Row]]+Tasks[[#This Row],[_Descendants]])),Tasks[[#This Row],[_LeafTotalWork]]))</f>
        <v/>
      </c>
      <c r="BF176" s="23"/>
      <c r="BG1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t="str">
        <f aca="false">""</f>
        <v/>
      </c>
      <c r="BI176" s="87"/>
      <c r="BJ176" s="22"/>
      <c r="BK176" s="47" t="str">
        <f aca="false">IF(OR(Tasks[[#This Row],[Task Name]]="",Tasks[[#This Row],[Baseline Duration]]=""),"",Tasks[[#This Row],[_SpanDays]]-N(Tasks[[#This Row],[Baseline Duration]]))</f>
        <v/>
      </c>
      <c r="BL176" s="86" t="str">
        <f aca="false">IF(OR(Tasks[[#This Row],[Task Name]]="",Tasks[[#This Row],[Baseline Work]]=""),"",Tasks[[#This Row],[Work]]-N(Tasks[[#This Row],[Baseline Work]]))</f>
        <v/>
      </c>
      <c r="BM176" s="63" t="str">
        <f aca="false">IF(Tasks[[#This Row],[Task Name]]="","",IF(OR(TakeBaseline="Yes",N(Tasks[[#This Row],[Baseline Start]])=0),Tasks[[#This Row],[Start]],Tasks[[#This Row],[Baseline Start]]))</f>
        <v/>
      </c>
      <c r="BN176" s="63" t="str">
        <f aca="false">IF(Tasks[[#This Row],[Task Name]]="","",IF(OR(TakeBaseline="Yes",N(Tasks[[#This Row],[Baseline Finish]])=0),Tasks[[#This Row],[Finish]],Tasks[[#This Row],[Baseline Finish]]))</f>
        <v/>
      </c>
      <c r="BO176" s="21" t="str">
        <f aca="false">IF(Tasks[[#This Row],[Task Name]]="","",IF(OR(TakeBaseline="Yes",N(Tasks[[#This Row],[Baseline Duration]])=0),Tasks[[#This Row],[_SpanDays]],Tasks[[#This Row],[Baseline Duration]]))</f>
        <v/>
      </c>
      <c r="BP176" s="86" t="str">
        <f aca="false">IF(Tasks[[#This Row],[Task Name]]="","",IF(OR(TakeBaseline="Yes",N(Tasks[[#This Row],[Baseline Work]])=0),Tasks[[#This Row],[Work]],Tasks[[#This Row],[Baseline Work]]))</f>
        <v/>
      </c>
      <c r="BQ176" s="7"/>
      <c r="BR176" s="7"/>
      <c r="BS176" s="22"/>
      <c r="BT176" s="88"/>
      <c r="BU176" s="23"/>
      <c r="BV176" s="23"/>
      <c r="BW176" s="23"/>
      <c r="BX176" s="89" t="str">
        <f aca="false">IF(AND(Tasks[[#This Row],[_IsLeaf]]=1,ISNUMBER(Tasks[[#This Row],[Optimistic]]),ISNUMBER(Tasks[[#This Row],[Pessimistic]])),ROUND((Tasks[[#This Row],[Optimistic]]+4*N(Tasks[[#This Row],[_Days]])+Tasks[[#This Row],[Pessimistic]])/6,1),"")</f>
        <v/>
      </c>
      <c r="BY176" s="87"/>
      <c r="BZ176" s="87"/>
      <c r="CA176" s="22"/>
      <c r="CB176" s="43" t="str">
        <f aca="false">IF(Tasks[[#This Row],[Task Name]]="","",MAX(1,N(Tasks[[#This Row],[Level]])))</f>
        <v/>
      </c>
      <c r="CC176" s="43" t="n">
        <f aca="false">ROW()-ROW(Tasks[[#Headers],[ID]])</f>
        <v>171</v>
      </c>
      <c r="CD176" s="43" t="n">
        <f aca="false">IF(OR(Tasks[[#This Row],[Task Name]]="",Tasks[[#This Row],[_Level]]&lt;=1),0,IFERROR(LOOKUP(2,1/(Tasks[[#Headers],[_Level]]:Tasks[[#This Row],[_Level]]=Tasks[[#This Row],[_Level]]-1),ROW(Tasks[[#Headers],[_Level]]:Tasks[[#This Row],[_Level]])),0))</f>
        <v>0</v>
      </c>
      <c r="CE176" s="43" t="n">
        <f aca="false">IFERROR(N(INDEX(Tasks[_Level],Tasks[[#This Row],[_Row]]+1)),0)</f>
        <v>0</v>
      </c>
      <c r="CF176" s="90" t="b">
        <f aca="false">AND(Tasks[[#This Row],[Task Name]]&lt;&gt;"",Tasks[[#This Row],[_NextLevel]]&gt;Tasks[[#This Row],[_Level]])</f>
        <v>0</v>
      </c>
      <c r="CG176" s="43" t="n">
        <f aca="false">IF(Tasks[[#This Row],[_IsSummary]],COUNTIF(Tasks[WBS],Tasks[[#This Row],[WBS]]&amp;".*"),0)</f>
        <v>0</v>
      </c>
      <c r="CH176" s="43" t="n">
        <f aca="false">IF(AND(Tasks[[#This Row],[Task Name]]&lt;&gt;"",NOT(Tasks[[#This Row],[_IsSummary]])),1,0)</f>
        <v>0</v>
      </c>
      <c r="CI176" s="43" t="n">
        <f aca="false">IF(N(Tasks[[#This Row],[_Pred1UID]])=0,0,IFERROR(MATCH(Tasks[[#This Row],[_Pred1UID]],Tasks[UID],0),-1))</f>
        <v>0</v>
      </c>
      <c r="CJ176" s="43" t="n">
        <f aca="false">IF(N(Tasks[[#This Row],[_Pred2UID]])=0,0,IFERROR(MATCH(Tasks[[#This Row],[_Pred2UID]],Tasks[UID],0),-1))</f>
        <v>0</v>
      </c>
      <c r="CK176" s="43" t="n">
        <f aca="false">IF(N(Tasks[[#This Row],[_Pred3UID]])=0,0,IFERROR(MATCH(Tasks[[#This Row],[_Pred3UID]],Tasks[UID],0),-1))</f>
        <v>0</v>
      </c>
      <c r="CL176" s="43" t="n">
        <f aca="false">IF(N(Tasks[[#This Row],[_Pred4UID]])=0,0,IFERROR(MATCH(Tasks[[#This Row],[_Pred4UID]],Tasks[UID],0),-1))</f>
        <v>0</v>
      </c>
      <c r="CM1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6" s="91" t="n">
        <f aca="false">IF(OR(Tasks[[#This Row],[_ConstraintCode]]=2,Tasks[[#This Row],[_ConstraintCode]]=3,Tasks[[#This Row],[_ConstraintCode]]=4,Tasks[[#This Row],[_ConstraintCode]]=6),Tasks[[#This Row],[_ConstraintStart]],0)</f>
        <v>0</v>
      </c>
      <c r="CP176" s="91" t="n">
        <f aca="false">IF(OR(Tasks[[#This Row],[_ConstraintCode]]=2,Tasks[[#This Row],[_ConstraintCode]]=3,Tasks[[#This Row],[_ConstraintCode]]=5,Tasks[[#This Row],[_ConstraintCode]]=7),Tasks[[#This Row],[_ConstraintStart]],2958465)</f>
        <v>2958465</v>
      </c>
      <c r="CQ1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6" s="91" t="str">
        <f aca="false">IF(NOT(Tasks[[#This Row],[_IsLeaf]]=1),"",IF(N(Tasks[[#This Row],[_Days]])&lt;=0,Tasks[[#This Row],[_LeafCalcStart]],WORKDAY.INTL(Tasks[[#This Row],[_LeafCalcStart]],Tasks[[#This Row],[_Days]]-1,WorkWeek,Holidays)))</f>
        <v/>
      </c>
      <c r="CS1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6" s="43" t="str">
        <f aca="false">IF(Tasks[[#This Row],[_Predecessors]]="","",TRIM(MID(SUBSTITUTE(SUBSTITUTE(SUBSTITUTE(UPPER(Tasks[[#This Row],[_Predecessors]]),";",",")," ",""),",",REPT(" ",99)),1,99)))</f>
        <v/>
      </c>
      <c r="CV176" s="43" t="str">
        <f aca="false">IF(Tasks[[#This Row],[_Pred1Text]]="","",IFERROR(VALUE(LEFT(Tasks[[#This Row],[_Pred1Text]],MIN(FIND("F",Tasks[[#This Row],[_Pred1Text]]&amp;"F"),FIND("S",Tasks[[#This Row],[_Pred1Text]]&amp;"S"),FIND("+",Tasks[[#This Row],[_Pred1Text]]&amp;"+"),FIND("-",Tasks[[#This Row],[_Pred1Text]]&amp;"-"))-1)),""))</f>
        <v/>
      </c>
      <c r="CW1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6" s="43" t="str">
        <f aca="false">IF(Tasks[[#This Row],[_Pred1Text]]="","",TRIM(MID(SUBSTITUTE(SUBSTITUTE(SUBSTITUTE(UPPER(Tasks[[#This Row],[_Predecessors]]),";",",")," ",""),",",REPT(" ",99)),100,99)))</f>
        <v/>
      </c>
      <c r="CZ176" s="43" t="str">
        <f aca="false">IF(Tasks[[#This Row],[_Pred2Text]]="","",IFERROR(VALUE(LEFT(Tasks[[#This Row],[_Pred2Text]],MIN(FIND("F",Tasks[[#This Row],[_Pred2Text]]&amp;"F"),FIND("S",Tasks[[#This Row],[_Pred2Text]]&amp;"S"),FIND("+",Tasks[[#This Row],[_Pred2Text]]&amp;"+"),FIND("-",Tasks[[#This Row],[_Pred2Text]]&amp;"-"))-1)),""))</f>
        <v/>
      </c>
      <c r="DA1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6" s="43" t="str">
        <f aca="false">IF(Tasks[[#This Row],[_Pred2Text]]="","",TRIM(MID(SUBSTITUTE(SUBSTITUTE(SUBSTITUTE(UPPER(Tasks[[#This Row],[_Predecessors]]),";",",")," ",""),",",REPT(" ",99)),199,99)))</f>
        <v/>
      </c>
      <c r="DD176" s="43" t="str">
        <f aca="false">IF(Tasks[[#This Row],[_Pred3Text]]="","",IFERROR(VALUE(LEFT(Tasks[[#This Row],[_Pred3Text]],MIN(FIND("F",Tasks[[#This Row],[_Pred3Text]]&amp;"F"),FIND("S",Tasks[[#This Row],[_Pred3Text]]&amp;"S"),FIND("+",Tasks[[#This Row],[_Pred3Text]]&amp;"+"),FIND("-",Tasks[[#This Row],[_Pred3Text]]&amp;"-"))-1)),""))</f>
        <v/>
      </c>
      <c r="DE1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6" s="43" t="str">
        <f aca="false">IF(Tasks[[#This Row],[_Pred3Text]]="","",TRIM(MID(SUBSTITUTE(SUBSTITUTE(SUBSTITUTE(UPPER(Tasks[[#This Row],[_Predecessors]]),";",",")," ",""),",",REPT(" ",99)),298,99)))</f>
        <v/>
      </c>
      <c r="DH176" s="43" t="str">
        <f aca="false">IF(Tasks[[#This Row],[_Pred4Text]]="","",IFERROR(VALUE(LEFT(Tasks[[#This Row],[_Pred4Text]],MIN(FIND("F",Tasks[[#This Row],[_Pred4Text]]&amp;"F"),FIND("S",Tasks[[#This Row],[_Pred4Text]]&amp;"S"),FIND("+",Tasks[[#This Row],[_Pred4Text]]&amp;"+"),FIND("-",Tasks[[#This Row],[_Pred4Text]]&amp;"-"))-1)),""))</f>
        <v/>
      </c>
      <c r="DI1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6" s="43" t="str">
        <f aca="false">IF(OR(Tasks[[#This Row],[Task Name]]="",Tasks[[#This Row],[_Resources]]=""),"",TRIM(MID(SUBSTITUTE(Tasks[[#This Row],[_Resources]],",",REPT(" ",99)),1,99)))</f>
        <v/>
      </c>
      <c r="DL176" s="43" t="str">
        <f aca="false">IF(Tasks[[#This Row],[_Res1Text]]="","",TRIM(MID(SUBSTITUTE(Tasks[[#This Row],[_Resources]],",",REPT(" ",99)),100,99)))</f>
        <v/>
      </c>
      <c r="DM176" s="43" t="str">
        <f aca="false">IF(Tasks[[#This Row],[_Res2Text]]="","",TRIM(MID(SUBSTITUTE(Tasks[[#This Row],[_Resources]],",",REPT(" ",99)),199,99)))</f>
        <v/>
      </c>
      <c r="DN176" s="43" t="str">
        <f aca="false">IF(Tasks[[#This Row],[_Res3Text]]="","",TRIM(MID(SUBSTITUTE(Tasks[[#This Row],[_Resources]],",",REPT(" ",99)),298,99)))</f>
        <v/>
      </c>
      <c r="DO176" s="43" t="n">
        <f aca="false">IF(Tasks[[#This Row],[_Res1Text]]="",0,IFERROR(MATCH(TRIM(LEFT(Tasks[[#This Row],[_Res1Text]],FIND("[",Tasks[[#This Row],[_Res1Text]]&amp;"[")-1)),res_Name,0),IFERROR(MATCH(TRIM(LEFT(Tasks[[#This Row],[_Res1Text]],FIND("[",Tasks[[#This Row],[_Res1Text]]&amp;"[")-1)),res_Initials,0),0)))</f>
        <v>0</v>
      </c>
      <c r="DP176" s="43" t="n">
        <f aca="false">IF(Tasks[[#This Row],[_Res2Text]]="",0,IFERROR(MATCH(TRIM(LEFT(Tasks[[#This Row],[_Res2Text]],FIND("[",Tasks[[#This Row],[_Res2Text]]&amp;"[")-1)),res_Name,0),IFERROR(MATCH(TRIM(LEFT(Tasks[[#This Row],[_Res2Text]],FIND("[",Tasks[[#This Row],[_Res2Text]]&amp;"[")-1)),res_Initials,0),0)))</f>
        <v>0</v>
      </c>
      <c r="DQ176" s="43" t="n">
        <f aca="false">IF(Tasks[[#This Row],[_Res3Text]]="",0,IFERROR(MATCH(TRIM(LEFT(Tasks[[#This Row],[_Res3Text]],FIND("[",Tasks[[#This Row],[_Res3Text]]&amp;"[")-1)),res_Name,0),IFERROR(MATCH(TRIM(LEFT(Tasks[[#This Row],[_Res3Text]],FIND("[",Tasks[[#This Row],[_Res3Text]]&amp;"[")-1)),res_Initials,0),0)))</f>
        <v>0</v>
      </c>
      <c r="DR176" s="43" t="n">
        <f aca="false">IF(Tasks[[#This Row],[_Res4Text]]="",0,IFERROR(MATCH(TRIM(LEFT(Tasks[[#This Row],[_Res4Text]],FIND("[",Tasks[[#This Row],[_Res4Text]]&amp;"[")-1)),res_Name,0),IFERROR(MATCH(TRIM(LEFT(Tasks[[#This Row],[_Res4Text]],FIND("[",Tasks[[#This Row],[_Res4Text]]&amp;"[")-1)),res_Initials,0),0)))</f>
        <v>0</v>
      </c>
      <c r="DS176" s="43" t="str">
        <f aca="false">IF(Tasks[[#This Row],[_Res1Text]]="","",IF(Tasks[[#This Row],[_Res1Row]]&gt;0,INDEX(res_Name,Tasks[[#This Row],[_Res1Row]]),TRIM(LEFT(Tasks[[#This Row],[_Res1Text]],FIND("[",Tasks[[#This Row],[_Res1Text]]&amp;"[")-1))))</f>
        <v/>
      </c>
      <c r="DT1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6" s="43" t="n">
        <f aca="false">IF(NOT(Tasks[[#This Row],[_IsLeaf]]=1),0,(Tasks[[#This Row],[_Resource1]]&lt;&gt;"")+(Tasks[[#This Row],[_Res2]]&lt;&gt;"")+(Tasks[[#This Row],[_Res3]]&lt;&gt;"")+(Tasks[[#This Row],[_Res4]]&lt;&gt;""))</f>
        <v>0</v>
      </c>
      <c r="DV176" s="43" t="str">
        <f aca="false">IF(Tasks[[#This Row],[_Res2Text]]="","",IF(Tasks[[#This Row],[_Res2Row]]&gt;0,INDEX(res_Name,Tasks[[#This Row],[_Res2Row]]),TRIM(LEFT(Tasks[[#This Row],[_Res2Text]],FIND("[",Tasks[[#This Row],[_Res2Text]]&amp;"[")-1))))</f>
        <v/>
      </c>
      <c r="DW1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6" s="43" t="n">
        <f aca="false">IF(OR(NOT(Tasks[[#This Row],[_IsLeaf]]=1),Tasks[[#This Row],[_Res2Row]]=0),0,N(Tasks[[#This Row],[_Days]])*HoursPerDay*IF(Tasks[[#This Row],[_Res2Units]]="",DefaultUnits,Tasks[[#This Row],[_Res2Units]]))</f>
        <v>0</v>
      </c>
      <c r="DY176" s="43" t="n">
        <f aca="false">IF(AND(AND(Tasks[[#This Row],[_IsLeaf]]=1,Tasks[[#This Row],[_LeafTotalWork]]&gt;0),Tasks[[#This Row],[_Res2Work]]&gt;0),Tasks[[#This Row],[_Res2Work]]/(Tasks[[#This Row],[_FinishWorkday]]-Tasks[[#This Row],[_StartWorkday]]+1),0)</f>
        <v>0</v>
      </c>
      <c r="DZ176" s="43" t="n">
        <f aca="false">Tasks[[#This Row],[_Res2WorkPerWD]]*MAX(0,Tasks[[#This Row],[_StartWorkday]]-1)</f>
        <v>0</v>
      </c>
      <c r="EA176" s="43" t="n">
        <f aca="false">Tasks[[#This Row],[_Res2Work]]*Tasks[[#This Row],[_LeafProgress]]</f>
        <v>0</v>
      </c>
      <c r="EB176" s="43" t="str">
        <f aca="false">IF(Tasks[[#This Row],[_Res3Text]]="","",IF(Tasks[[#This Row],[_Res3Row]]&gt;0,INDEX(res_Name,Tasks[[#This Row],[_Res3Row]]),TRIM(LEFT(Tasks[[#This Row],[_Res3Text]],FIND("[",Tasks[[#This Row],[_Res3Text]]&amp;"[")-1))))</f>
        <v/>
      </c>
      <c r="EC1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6" s="43" t="n">
        <f aca="false">IF(OR(NOT(Tasks[[#This Row],[_IsLeaf]]=1),Tasks[[#This Row],[_Res3Row]]=0),0,N(Tasks[[#This Row],[_Days]])*HoursPerDay*IF(Tasks[[#This Row],[_Res3Units]]="",DefaultUnits,Tasks[[#This Row],[_Res3Units]]))</f>
        <v>0</v>
      </c>
      <c r="EE176" s="43" t="n">
        <f aca="false">IF(AND(AND(Tasks[[#This Row],[_IsLeaf]]=1,Tasks[[#This Row],[_LeafTotalWork]]&gt;0),Tasks[[#This Row],[_Res3Work]]&gt;0),Tasks[[#This Row],[_Res3Work]]/(Tasks[[#This Row],[_FinishWorkday]]-Tasks[[#This Row],[_StartWorkday]]+1),0)</f>
        <v>0</v>
      </c>
      <c r="EF176" s="43" t="n">
        <f aca="false">Tasks[[#This Row],[_Res3WorkPerWD]]*MAX(0,Tasks[[#This Row],[_StartWorkday]]-1)</f>
        <v>0</v>
      </c>
      <c r="EG176" s="43" t="n">
        <f aca="false">Tasks[[#This Row],[_Res3Work]]*Tasks[[#This Row],[_LeafProgress]]</f>
        <v>0</v>
      </c>
      <c r="EH176" s="43" t="str">
        <f aca="false">IF(Tasks[[#This Row],[_Res4Text]]="","",IF(Tasks[[#This Row],[_Res4Row]]&gt;0,INDEX(res_Name,Tasks[[#This Row],[_Res4Row]]),TRIM(LEFT(Tasks[[#This Row],[_Res4Text]],FIND("[",Tasks[[#This Row],[_Res4Text]]&amp;"[")-1))))</f>
        <v/>
      </c>
      <c r="EI1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6" s="43" t="n">
        <f aca="false">IF(OR(NOT(Tasks[[#This Row],[_IsLeaf]]=1),Tasks[[#This Row],[_Res4Row]]=0),0,N(Tasks[[#This Row],[_Days]])*HoursPerDay*IF(Tasks[[#This Row],[_Res4Units]]="",DefaultUnits,Tasks[[#This Row],[_Res4Units]]))</f>
        <v>0</v>
      </c>
      <c r="EK176" s="43" t="n">
        <f aca="false">IF(AND(AND(Tasks[[#This Row],[_IsLeaf]]=1,Tasks[[#This Row],[_LeafTotalWork]]&gt;0),Tasks[[#This Row],[_Res4Work]]&gt;0),Tasks[[#This Row],[_Res4Work]]/(Tasks[[#This Row],[_FinishWorkday]]-Tasks[[#This Row],[_StartWorkday]]+1),0)</f>
        <v>0</v>
      </c>
      <c r="EL176" s="43" t="n">
        <f aca="false">Tasks[[#This Row],[_Res4WorkPerWD]]*MAX(0,Tasks[[#This Row],[_StartWorkday]]-1)</f>
        <v>0</v>
      </c>
      <c r="EM176" s="43" t="n">
        <f aca="false">Tasks[[#This Row],[_Res4Work]]*Tasks[[#This Row],[_LeafProgress]]</f>
        <v>0</v>
      </c>
      <c r="EN176" s="43" t="n">
        <f aca="false">IF(ISNUMBER(Tasks[[#This Row],[% Complete]]),Tasks[[#This Row],[% Complete]],IF(Tasks[[#This Row],[Stage]]="",0,IFERROR(INDEX(stg_Pct,MATCH(Tasks[[#This Row],[Stage]],stg_Name,0)),0)))</f>
        <v>0</v>
      </c>
      <c r="EO176" s="43" t="n">
        <f aca="false">IF(NOT(Tasks[[#This Row],[_IsLeaf]]=1),0,IF(N(Tasks[[#This Row],[Actual Finish]])&gt;0,1,MIN(1,Tasks[[#This Row],[_Pct]])))</f>
        <v>0</v>
      </c>
      <c r="EP176" s="43" t="n">
        <f aca="false">IF(OR(NOT(Tasks[[#This Row],[_IsLeaf]]=1),Tasks[[#This Row],[_Res1Row]]=0),0,N(Tasks[[#This Row],[_Days]])*HoursPerDay*IF(Tasks[[#This Row],[_Units1]]="",DefaultUnits,Tasks[[#This Row],[_Units1]]))</f>
        <v>0</v>
      </c>
      <c r="EQ176" s="43" t="n">
        <f aca="false">Tasks[[#This Row],[_LeafWork]]+Tasks[[#This Row],[_Res2Work]]+Tasks[[#This Row],[_Res3Work]]+Tasks[[#This Row],[_Res4Work]]</f>
        <v>0</v>
      </c>
      <c r="ER17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6" s="43" t="n">
        <f aca="false">IF(NOT(Tasks[[#This Row],[_IsLeaf]]=1),0,MAX(_xlfn.MAXIFS(Tasks[_Row],Tasks[_Pred1UID],Tasks[[#This Row],[UID]]),_xlfn.MAXIFS(Tasks[_Row],Tasks[_Pred2UID],Tasks[[#This Row],[UID]]),_xlfn.MAXIFS(Tasks[_Row],Tasks[_Pred3UID],Tasks[[#This Row],[UID]]),_xlfn.MAXIFS(Tasks[_Row],Tasks[_Pred4UID],Tasks[[#This Row],[UID]])))</f>
        <v>0</v>
      </c>
      <c r="FA1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6" s="91" t="str">
        <f aca="false">IF(NOT(Tasks[[#This Row],[_IsLeaf]]=1),"",IF(N(Tasks[[#This Row],[_Days]])&lt;=0,Tasks[[#This Row],[_LeafLateFinish]],WORKDAY.INTL(Tasks[[#This Row],[_LeafLateFinish]],-(Tasks[[#This Row],[_Days]]-1),WorkWeek,Holidays)))</f>
        <v/>
      </c>
      <c r="FD1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6" s="90" t="b">
        <f aca="false">AND(Tasks[[#This Row],[_IsLeaf]]=1,Tasks[[#This Row],[_LeafProgress]]&lt;1,N(Tasks[[#This Row],[_LeafTotalSlack]])&lt;=CriticalSlackDays)</f>
        <v>0</v>
      </c>
      <c r="FF176" s="43" t="n">
        <f aca="false">IF(AND(Tasks[[#This Row],[_IsLeaf]]=1,Tasks[[#This Row],[_ConstraintCode]]=1,Tasks[[#This Row],[Mode]]&lt;&gt;"Manual",N(Tasks[[#This Row],[Actual Start]])=0),MAX(0,N(Tasks[[#This Row],[Free Slack]])),0)</f>
        <v>0</v>
      </c>
      <c r="FG176" s="91" t="str">
        <f aca="false">IF(NOT(Tasks[[#This Row],[_IsLeaf]]=1),"",IF(Tasks[[#This Row],[_AlapShift]]=0,Tasks[[#This Row],[_LeafCalcStart]],WORKDAY.INTL(Tasks[[#This Row],[_LeafCalcStart]],Tasks[[#This Row],[_AlapShift]],WorkWeek,Holidays)))</f>
        <v/>
      </c>
      <c r="FH176" s="91" t="str">
        <f aca="false">IF(NOT(Tasks[[#This Row],[_IsLeaf]]=1),"",IF(Tasks[[#This Row],[_AlapShift]]=0,Tasks[[#This Row],[_LeafCalcFinish]],WORKDAY.INTL(Tasks[[#This Row],[_LeafCalcFinish]],Tasks[[#This Row],[_AlapShift]],WorkWeek,Holidays)))</f>
        <v/>
      </c>
      <c r="FI176" s="91" t="str">
        <f aca="false">IF(NOT(Tasks[[#This Row],[_IsLeaf]]=1),"",IF(Tasks[[#This Row],[_AlapShift]]=0,Tasks[[#This Row],[_LeafFcstStart]],WORKDAY.INTL(Tasks[[#This Row],[_LeafFcstStart]],Tasks[[#This Row],[_AlapShift]],WorkWeek,Holidays)))</f>
        <v/>
      </c>
      <c r="FJ176" s="91" t="str">
        <f aca="false">IF(NOT(Tasks[[#This Row],[_IsLeaf]]=1),"",IF(Tasks[[#This Row],[_AlapShift]]=0,Tasks[[#This Row],[_LeafFcstFinish]],WORKDAY.INTL(Tasks[[#This Row],[_LeafFcstFinish]],Tasks[[#This Row],[_AlapShift]],WorkWeek,Holidays)))</f>
        <v/>
      </c>
      <c r="FK176" s="91" t="str">
        <f aca="false">IF(Tasks[[#This Row],[Task Name]]="","",IF(Tasks[[#This Row],[_IsSummary]],MIN(INDEX(Tasks[_ShownCalcStart],Tasks[[#This Row],[_Row]]+1):INDEX(Tasks[_ShownCalcStart],Tasks[[#This Row],[_Row]]+Tasks[[#This Row],[_Descendants]])),Tasks[[#This Row],[_ShownCalcStart]]))</f>
        <v/>
      </c>
      <c r="FL176" s="91" t="str">
        <f aca="false">IF(Tasks[[#This Row],[Task Name]]="","",IF(Tasks[[#This Row],[_IsSummary]],MAX(INDEX(Tasks[_ShownCalcFinish],Tasks[[#This Row],[_Row]]+1):INDEX(Tasks[_ShownCalcFinish],Tasks[[#This Row],[_Row]]+Tasks[[#This Row],[_Descendants]])),Tasks[[#This Row],[_ShownCalcFinish]]))</f>
        <v/>
      </c>
      <c r="FM1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6" s="43" t="n">
        <f aca="false">IF(AND(Tasks[[#This Row],[_IsLeaf]]=1,Tasks[[#This Row],[_LeafTotalWork]]&gt;0),NETWORKDAYS.INTL(ProjectStart,Tasks[[#This Row],[_ShownFcstStart]],WorkWeek,Holidays),0)</f>
        <v>0</v>
      </c>
      <c r="FZ176" s="43" t="n">
        <f aca="false">IF(AND(Tasks[[#This Row],[_IsLeaf]]=1,Tasks[[#This Row],[_LeafTotalWork]]&gt;0),MAX(Tasks[[#This Row],[_StartWorkday]],NETWORKDAYS.INTL(ProjectStart,Tasks[[#This Row],[_ShownFcstFinish]],WorkWeek,Holidays)),0)</f>
        <v>0</v>
      </c>
      <c r="GA176" s="43" t="n">
        <f aca="false">IF(AND(Tasks[[#This Row],[_IsLeaf]]=1,Tasks[[#This Row],[_LeafTotalWork]]&gt;0),Tasks[[#This Row],[_LeafWork]]/(Tasks[[#This Row],[_FinishWorkday]]-Tasks[[#This Row],[_StartWorkday]]+1),0)</f>
        <v>0</v>
      </c>
      <c r="GB176" s="43" t="n">
        <f aca="false">Tasks[[#This Row],[_WorkPerWorkday]]*(Tasks[[#This Row],[_StartWorkday]]-1)</f>
        <v>-0</v>
      </c>
      <c r="GC176" s="43" t="n">
        <f aca="false">IF(Tasks[[#This Row],[_IsLeaf]]=1,MAX(N(Tasks[[#This Row],[_Days]]),0.1),0)</f>
        <v>0</v>
      </c>
      <c r="GD176" s="43" t="n">
        <f aca="false">Tasks[[#This Row],[_WeightDur]]*Tasks[[#This Row],[_LeafProgress]]</f>
        <v>0</v>
      </c>
      <c r="GE176" s="43" t="n">
        <f aca="false">Tasks[[#This Row],[_WeightDur]]*Tasks[[#This Row],[_PlannedPct]]</f>
        <v>0</v>
      </c>
      <c r="GF1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6" s="43" t="str">
        <f aca="false">IF(AND(Tasks[[#This Row],[_IsLeaf]]=1,N(Tasks[[#This Row],[_Days]])=0,Tasks[[#This Row],[_LeafProgress]]&lt;1),Tasks[[#This Row],[_ShownFcstFinish]]+Tasks[[#This Row],[_Row]]/100000,"")</f>
        <v/>
      </c>
      <c r="GH1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6" s="43" t="str">
        <f aca="false">IF(Tasks[[#This Row],[Task Name]]="","",LEFT(Tasks[[#This Row],[WBS]],FIND(".",Tasks[[#This Row],[WBS]]&amp;".")-1))</f>
        <v/>
      </c>
      <c r="GJ176" s="43" t="str">
        <f aca="false">IF(AND(Tasks[[#This Row],[Task Name]]&lt;&gt;"",Tasks[[#This Row],[_Level]]=1),Tasks[[#This Row],[_Row]],"")</f>
        <v/>
      </c>
      <c r="GK176" s="43" t="str">
        <f aca="false">IF(AND(Tasks[[#This Row],[_IsLeaf]]=1,N(Tasks[[#This Row],[_Days]])=0),Tasks[[#This Row],[Planned Finish]]+Tasks[[#This Row],[_Row]]/100000,"")</f>
        <v/>
      </c>
      <c r="GL176" s="43" t="str">
        <f aca="false">IF(AND(Tasks[[#This Row],[_IsLeaf]]=1,Tasks[[#This Row],[_LeafProgress]]&lt;1,OR(N(Tasks[[#This Row],[Finish Var]])&gt;0,Tasks[[#This Row],[Status]]="Late Start")),MAX(0,Tasks[[#This Row],[Finish Var]])+1-Tasks[[#This Row],[_Row]]/1000000,"")</f>
        <v/>
      </c>
      <c r="GM176" s="43" t="str">
        <f aca="false">IF(AND(Tasks[[#This Row],[_IsLeaf]]=1,N(Tasks[[#This Row],[Actual Start]])=0,Tasks[[#This Row],[_ShownFcstStart]]&gt;=StatusDate,Tasks[[#This Row],[_ShownFcstStart]]&lt;=LookaheadEnd),Tasks[[#This Row],[_ShownFcstStart]]+Tasks[[#This Row],[_Row]]/100000,"")</f>
        <v/>
      </c>
      <c r="GN176" s="43" t="str">
        <f aca="false">IF(AND(Tasks[[#This Row],[_IsLeaf]]=1,Tasks[[#This Row],[_LeafProgress]]&lt;1,Tasks[[#This Row],[_ShownFcstFinish]]&gt;=StatusDate,Tasks[[#This Row],[_ShownFcstFinish]]&lt;=LookaheadEnd),Tasks[[#This Row],[_ShownFcstFinish]]+Tasks[[#This Row],[_Row]]/100000,"")</f>
        <v/>
      </c>
      <c r="GO176" s="43" t="str">
        <f aca="false">IF(Tasks[[#This Row],[_LeafCritical]],Tasks[[#This Row],[_ShownFcstStart]]+Tasks[[#This Row],[_Row]]/100000,"")</f>
        <v/>
      </c>
      <c r="GP176" s="43" t="n">
        <f aca="false">Tasks[[#This Row],[_LeafWork]]*Tasks[[#This Row],[_LeafProgress]]</f>
        <v>0</v>
      </c>
      <c r="GQ176" s="91" t="str">
        <f aca="false">IF(AND(Tasks[[#This Row],[_IsLeaf]]=1,Tasks[[#This Row],[_LeafProgress]]&gt;=1),IF(N(Tasks[[#This Row],[Actual Finish]])&gt;0,Tasks[[#This Row],[Actual Finish]],Tasks[[#This Row],[_ShownFcstFinish]]),"")</f>
        <v/>
      </c>
      <c r="GR176" s="43" t="n">
        <f aca="false">IF(Tasks[[#This Row],[_IsLeaf]]=1,N(Tasks[[#This Row],[Story Points]]),0)</f>
        <v>0</v>
      </c>
      <c r="GS176" s="43" t="str">
        <f aca="false">""</f>
        <v/>
      </c>
      <c r="GT176" s="90" t="b">
        <f aca="false">IF(Tasks[[#This Row],[Task Name]]="",FALSE(),AND(Tasks[[#This Row],[_IsLeaf]]=1,N(Tasks[[#This Row],[_Days]])=0))</f>
        <v>0</v>
      </c>
      <c r="GU176" s="91" t="n">
        <f aca="false">IF(Tasks[[#This Row],[Task Name]]="",0,IF(AND(Tasks[[#This Row],[_IsLeaf]]=1,NOT(Tasks[[#This Row],[_IsMilestone]]),N(Tasks[[#This Row],[Progress]])&gt;0),Tasks[[#This Row],[Start]],0))</f>
        <v>0</v>
      </c>
      <c r="GV176" s="91" t="n">
        <f aca="false">IF(Tasks[[#This Row],[_DoneFrom]]=0,0,IF(Tasks[[#This Row],[Progress]]&gt;=1,Tasks[[#This Row],[Finish]],MAX(Tasks[[#This Row],[_DoneFrom]],Tasks[[#This Row],[Start]]+ROUND((Tasks[[#This Row],[Finish]]-Tasks[[#This Row],[Start]]+1)*Tasks[[#This Row],[Progress]],0)-1)))</f>
        <v>0</v>
      </c>
      <c r="GW176" s="91" t="n">
        <f aca="false">IF(Tasks[[#This Row],[Task Name]]="",0,IF(OR(NOT(Tasks[[#This Row],[_IsLeaf]]=1),Tasks[[#This Row],[_IsMilestone]],N(Tasks[[#This Row],[Progress]])&gt;=1),0,IF(Tasks[[#This Row],[_DoneTo]]&gt;0,Tasks[[#This Row],[_DoneTo]]+1,Tasks[[#This Row],[Start]])))</f>
        <v>0</v>
      </c>
      <c r="GX176" s="91" t="n">
        <f aca="false">IF(Tasks[[#This Row],[_RemFrom]]=0,0,Tasks[[#This Row],[Finish]])</f>
        <v>0</v>
      </c>
      <c r="GY176" s="90" t="b">
        <f aca="false">IF(Tasks[[#This Row],[Task Name]]="",FALSE(),OR(NOT(BaselineSet),N(Tasks[[#This Row],[Baseline Start]])&gt;0))</f>
        <v>0</v>
      </c>
      <c r="GZ17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6" s="92" t="str">
        <f aca="false">IF(Tasks[[#This Row],[_IsLeaf]]=1,Tasks[[#This Row],[_Row]],"")</f>
        <v/>
      </c>
      <c r="HD176" s="92" t="str">
        <f aca="false">IFERROR(INDEX(Tasks[UID],SMALL(Tasks[_PickKey],Tasks[[#This Row],[_Row]]))&amp;" "&amp;INDEX(Tasks[Task Name],SMALL(Tasks[_PickKey],Tasks[[#This Row],[_Row]])),"")</f>
        <v/>
      </c>
      <c r="HE176" s="43" t="str">
        <f aca="false">IF(Tasks[[#This Row],[Task Name]]="","",IF(Tasks[[#This Row],[_IsSummary]],NETWORKDAYS.INTL(Tasks[[#This Row],[Start]],Tasks[[#This Row],[Finish]],WorkWeek,Holidays),N(Tasks[[#This Row],[_Days]])))</f>
        <v/>
      </c>
      <c r="HF176" s="43" t="n">
        <f aca="false">IF(Tasks[[#This Row],[Expected]]="",0,((Tasks[[#This Row],[Pessimistic]]-Tasks[[#This Row],[Optimistic]])/6)^2)</f>
        <v>0</v>
      </c>
      <c r="HG176" s="43" t="n">
        <f aca="false">IF(Tasks[[#This Row],[Expected]]="",0,Tasks[[#This Row],[Expected]]-N(Tasks[[#This Row],[_Days]]))</f>
        <v>0</v>
      </c>
    </row>
    <row r="177" customFormat="false" ht="15" hidden="false" customHeight="false" outlineLevel="0" collapsed="false">
      <c r="A177" s="21" t="str">
        <f aca="false">IF(Tasks[[#This Row],[Task Name]]="","",COUNTA(Tasks[[#Headers],[Task Name]]:Tasks[[#This Row],[Task Name]])-1)</f>
        <v/>
      </c>
      <c r="B177" s="22" t="n">
        <v>185</v>
      </c>
      <c r="C177" s="22"/>
      <c r="D177" s="23"/>
      <c r="E177" s="22"/>
      <c r="F177" s="23"/>
      <c r="G177" s="22"/>
      <c r="H177" s="22"/>
      <c r="I177" s="23"/>
      <c r="J177" s="22"/>
      <c r="K177" s="22"/>
      <c r="L177" s="23"/>
      <c r="M177" s="22"/>
      <c r="N177" s="22"/>
      <c r="O177" s="23"/>
      <c r="P177" s="22"/>
      <c r="Q177" s="22"/>
      <c r="R177" s="23"/>
      <c r="S177" s="23"/>
      <c r="T177" s="84"/>
      <c r="U177" s="23"/>
      <c r="V177" s="84"/>
      <c r="W177" s="23"/>
      <c r="X177" s="84"/>
      <c r="Y177" s="23"/>
      <c r="Z177" s="84"/>
      <c r="AA177" s="23"/>
      <c r="AB177" s="23"/>
      <c r="AC177" s="7"/>
      <c r="AD177" s="7"/>
      <c r="AE177" s="63" t="str">
        <f aca="false">IF(Tasks[[#This Row],[Task Name]]="","",IF(Tasks[[#This Row],[_IsSummary]],MIN(INDEX(Tasks[_ShownFcstStart],Tasks[[#This Row],[_Row]]+1):INDEX(Tasks[_ShownFcstStart],Tasks[[#This Row],[_Row]]+Tasks[[#This Row],[_Descendants]])),Tasks[[#This Row],[_ShownFcstStart]]))</f>
        <v/>
      </c>
      <c r="AF177" s="63" t="str">
        <f aca="false">IF(Tasks[[#This Row],[Task Name]]="","",IF(Tasks[[#This Row],[_IsSummary]],MAX(INDEX(Tasks[_ShownFcstFinish],Tasks[[#This Row],[_Row]]+1):INDEX(Tasks[_ShownFcstFinish],Tasks[[#This Row],[_Row]]+Tasks[[#This Row],[_Descendants]])),Tasks[[#This Row],[_ShownFcstFinish]]))</f>
        <v/>
      </c>
      <c r="AG177" s="21" t="str">
        <f aca="false">""</f>
        <v/>
      </c>
      <c r="AH177" s="23"/>
      <c r="AI1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7" s="7"/>
      <c r="AK177" s="22"/>
      <c r="AL177" s="23"/>
      <c r="AM177" s="7"/>
      <c r="AN177" s="47" t="str">
        <f aca="false">IF(Tasks[[#This Row],[Task Name]]="","",IF(Tasks[[#This Row],[Finish]]&gt;=Tasks[[#This Row],[Planned Finish]],NETWORKDAYS.INTL(Tasks[[#This Row],[Planned Finish]],Tasks[[#This Row],[Finish]],WorkWeek,Holidays)-1,1-NETWORKDAYS.INTL(Tasks[[#This Row],[Finish]],Tasks[[#This Row],[Planned Finish]],WorkWeek,Holidays)))</f>
        <v/>
      </c>
      <c r="AO177" s="21" t="str">
        <f aca="false">IF(Tasks[[#This Row],[Task Name]]="","",IF(Tasks[[#This Row],[Progress]]&gt;=1,"Complete",IF(OR(N(Tasks[[#This Row],[Actual Start]])&gt;0,Tasks[[#This Row],[Progress]]&gt;0),IF(Tasks[[#This Row],[Finish Var]]&gt;0,"Behind","In Progress"),IF(Tasks[[#This Row],[Planned Start]]&lt;StatusDate,"Late Start","Not Started"))))</f>
        <v/>
      </c>
      <c r="AP177" s="21" t="str">
        <f aca="false">IF(Tasks[[#This Row],[Task Name]]="","",IF(IF(Tasks[[#This Row],[_IsSummary]],COUNTIF(INDEX(Tasks[_LeafCritical],Tasks[[#This Row],[_Row]]+1):INDEX(Tasks[_LeafCritical],Tasks[[#This Row],[_Row]]+Tasks[[#This Row],[_Descendants]]),TRUE())&gt;0,Tasks[[#This Row],[_LeafCritical]]),"Yes",""))</f>
        <v/>
      </c>
      <c r="AQ177" s="63" t="str">
        <f aca="false">IF(Tasks[[#This Row],[Task Name]]="","",IF(N(Tasks[[#This Row],[Baseline Start]])&gt;0,Tasks[[#This Row],[Baseline Start]],Tasks[[#This Row],[_CalcStart]]))</f>
        <v/>
      </c>
      <c r="AR177" s="63" t="str">
        <f aca="false">IF(Tasks[[#This Row],[Task Name]]="","",IF(N(Tasks[[#This Row],[Baseline Finish]])&gt;0,Tasks[[#This Row],[Baseline Finish]],Tasks[[#This Row],[_CalcFinish]]))</f>
        <v/>
      </c>
      <c r="AS177" s="47" t="str">
        <f aca="false">IF(Tasks[[#This Row],[Task Name]]="","",IF(Tasks[[#This Row],[Start]]&gt;=Tasks[[#This Row],[Planned Start]],NETWORKDAYS.INTL(Tasks[[#This Row],[Planned Start]],Tasks[[#This Row],[Start]],WorkWeek,Holidays)-1,1-NETWORKDAYS.INTL(Tasks[[#This Row],[Start]],Tasks[[#This Row],[Planned Start]],WorkWeek,Holidays)))</f>
        <v/>
      </c>
      <c r="AT177" s="63" t="str">
        <f aca="false">IF(Tasks[[#This Row],[Task Name]]="","",IF(Tasks[[#This Row],[_IsSummary]],MIN(INDEX(Tasks[_LeafLateStart],Tasks[[#This Row],[_Row]]+1):INDEX(Tasks[_LeafLateStart],Tasks[[#This Row],[_Row]]+Tasks[[#This Row],[_Descendants]])),Tasks[[#This Row],[_LeafLateStart]]))</f>
        <v/>
      </c>
      <c r="AU177" s="63" t="str">
        <f aca="false">IF(Tasks[[#This Row],[Task Name]]="","",IF(Tasks[[#This Row],[_IsSummary]],MAX(INDEX(Tasks[_LeafLateFinish],Tasks[[#This Row],[_Row]]+1):INDEX(Tasks[_LeafLateFinish],Tasks[[#This Row],[_Row]]+Tasks[[#This Row],[_Descendants]])),Tasks[[#This Row],[_LeafLateFinish]]))</f>
        <v/>
      </c>
      <c r="AV177" s="47" t="str">
        <f aca="false">IF(Tasks[[#This Row],[Task Name]]="","",IF(Tasks[[#This Row],[_IsSummary]],MIN(INDEX(Tasks[_LeafTotalSlack],Tasks[[#This Row],[_Row]]+1):INDEX(Tasks[_LeafTotalSlack],Tasks[[#This Row],[_Row]]+Tasks[[#This Row],[_Descendants]])),Tasks[[#This Row],[_LeafTotalSlack]]))</f>
        <v/>
      </c>
      <c r="AW1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5"/>
      <c r="BA17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t="str">
        <f aca="false">IF(Tasks[[#This Row],[Task Name]]="","",IF(Tasks[[#This Row],[_Level]]&lt;=OutlineShowLevel,"Yes","No"))</f>
        <v/>
      </c>
      <c r="BE177" s="86" t="str">
        <f aca="false">IF(Tasks[[#This Row],[Task Name]]="","",IF(Tasks[[#This Row],[_IsSummary]],SUM(INDEX(Tasks[_LeafTotalWork],Tasks[[#This Row],[_Row]]+1):INDEX(Tasks[_LeafTotalWork],Tasks[[#This Row],[_Row]]+Tasks[[#This Row],[_Descendants]])),Tasks[[#This Row],[_LeafTotalWork]]))</f>
        <v/>
      </c>
      <c r="BF177" s="23"/>
      <c r="BG1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t="str">
        <f aca="false">""</f>
        <v/>
      </c>
      <c r="BI177" s="87"/>
      <c r="BJ177" s="22"/>
      <c r="BK177" s="47" t="str">
        <f aca="false">IF(OR(Tasks[[#This Row],[Task Name]]="",Tasks[[#This Row],[Baseline Duration]]=""),"",Tasks[[#This Row],[_SpanDays]]-N(Tasks[[#This Row],[Baseline Duration]]))</f>
        <v/>
      </c>
      <c r="BL177" s="86" t="str">
        <f aca="false">IF(OR(Tasks[[#This Row],[Task Name]]="",Tasks[[#This Row],[Baseline Work]]=""),"",Tasks[[#This Row],[Work]]-N(Tasks[[#This Row],[Baseline Work]]))</f>
        <v/>
      </c>
      <c r="BM177" s="63" t="str">
        <f aca="false">IF(Tasks[[#This Row],[Task Name]]="","",IF(OR(TakeBaseline="Yes",N(Tasks[[#This Row],[Baseline Start]])=0),Tasks[[#This Row],[Start]],Tasks[[#This Row],[Baseline Start]]))</f>
        <v/>
      </c>
      <c r="BN177" s="63" t="str">
        <f aca="false">IF(Tasks[[#This Row],[Task Name]]="","",IF(OR(TakeBaseline="Yes",N(Tasks[[#This Row],[Baseline Finish]])=0),Tasks[[#This Row],[Finish]],Tasks[[#This Row],[Baseline Finish]]))</f>
        <v/>
      </c>
      <c r="BO177" s="21" t="str">
        <f aca="false">IF(Tasks[[#This Row],[Task Name]]="","",IF(OR(TakeBaseline="Yes",N(Tasks[[#This Row],[Baseline Duration]])=0),Tasks[[#This Row],[_SpanDays]],Tasks[[#This Row],[Baseline Duration]]))</f>
        <v/>
      </c>
      <c r="BP177" s="86" t="str">
        <f aca="false">IF(Tasks[[#This Row],[Task Name]]="","",IF(OR(TakeBaseline="Yes",N(Tasks[[#This Row],[Baseline Work]])=0),Tasks[[#This Row],[Work]],Tasks[[#This Row],[Baseline Work]]))</f>
        <v/>
      </c>
      <c r="BQ177" s="7"/>
      <c r="BR177" s="7"/>
      <c r="BS177" s="22"/>
      <c r="BT177" s="88"/>
      <c r="BU177" s="23"/>
      <c r="BV177" s="23"/>
      <c r="BW177" s="23"/>
      <c r="BX177" s="89" t="str">
        <f aca="false">IF(AND(Tasks[[#This Row],[_IsLeaf]]=1,ISNUMBER(Tasks[[#This Row],[Optimistic]]),ISNUMBER(Tasks[[#This Row],[Pessimistic]])),ROUND((Tasks[[#This Row],[Optimistic]]+4*N(Tasks[[#This Row],[_Days]])+Tasks[[#This Row],[Pessimistic]])/6,1),"")</f>
        <v/>
      </c>
      <c r="BY177" s="87"/>
      <c r="BZ177" s="87"/>
      <c r="CA177" s="22"/>
      <c r="CB177" s="43" t="str">
        <f aca="false">IF(Tasks[[#This Row],[Task Name]]="","",MAX(1,N(Tasks[[#This Row],[Level]])))</f>
        <v/>
      </c>
      <c r="CC177" s="43" t="n">
        <f aca="false">ROW()-ROW(Tasks[[#Headers],[ID]])</f>
        <v>172</v>
      </c>
      <c r="CD177" s="43" t="n">
        <f aca="false">IF(OR(Tasks[[#This Row],[Task Name]]="",Tasks[[#This Row],[_Level]]&lt;=1),0,IFERROR(LOOKUP(2,1/(Tasks[[#Headers],[_Level]]:Tasks[[#This Row],[_Level]]=Tasks[[#This Row],[_Level]]-1),ROW(Tasks[[#Headers],[_Level]]:Tasks[[#This Row],[_Level]])),0))</f>
        <v>0</v>
      </c>
      <c r="CE177" s="43" t="n">
        <f aca="false">IFERROR(N(INDEX(Tasks[_Level],Tasks[[#This Row],[_Row]]+1)),0)</f>
        <v>0</v>
      </c>
      <c r="CF177" s="90" t="b">
        <f aca="false">AND(Tasks[[#This Row],[Task Name]]&lt;&gt;"",Tasks[[#This Row],[_NextLevel]]&gt;Tasks[[#This Row],[_Level]])</f>
        <v>0</v>
      </c>
      <c r="CG177" s="43" t="n">
        <f aca="false">IF(Tasks[[#This Row],[_IsSummary]],COUNTIF(Tasks[WBS],Tasks[[#This Row],[WBS]]&amp;".*"),0)</f>
        <v>0</v>
      </c>
      <c r="CH177" s="43" t="n">
        <f aca="false">IF(AND(Tasks[[#This Row],[Task Name]]&lt;&gt;"",NOT(Tasks[[#This Row],[_IsSummary]])),1,0)</f>
        <v>0</v>
      </c>
      <c r="CI177" s="43" t="n">
        <f aca="false">IF(N(Tasks[[#This Row],[_Pred1UID]])=0,0,IFERROR(MATCH(Tasks[[#This Row],[_Pred1UID]],Tasks[UID],0),-1))</f>
        <v>0</v>
      </c>
      <c r="CJ177" s="43" t="n">
        <f aca="false">IF(N(Tasks[[#This Row],[_Pred2UID]])=0,0,IFERROR(MATCH(Tasks[[#This Row],[_Pred2UID]],Tasks[UID],0),-1))</f>
        <v>0</v>
      </c>
      <c r="CK177" s="43" t="n">
        <f aca="false">IF(N(Tasks[[#This Row],[_Pred3UID]])=0,0,IFERROR(MATCH(Tasks[[#This Row],[_Pred3UID]],Tasks[UID],0),-1))</f>
        <v>0</v>
      </c>
      <c r="CL177" s="43" t="n">
        <f aca="false">IF(N(Tasks[[#This Row],[_Pred4UID]])=0,0,IFERROR(MATCH(Tasks[[#This Row],[_Pred4UID]],Tasks[UID],0),-1))</f>
        <v>0</v>
      </c>
      <c r="CM1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7" s="91" t="n">
        <f aca="false">IF(OR(Tasks[[#This Row],[_ConstraintCode]]=2,Tasks[[#This Row],[_ConstraintCode]]=3,Tasks[[#This Row],[_ConstraintCode]]=4,Tasks[[#This Row],[_ConstraintCode]]=6),Tasks[[#This Row],[_ConstraintStart]],0)</f>
        <v>0</v>
      </c>
      <c r="CP177" s="91" t="n">
        <f aca="false">IF(OR(Tasks[[#This Row],[_ConstraintCode]]=2,Tasks[[#This Row],[_ConstraintCode]]=3,Tasks[[#This Row],[_ConstraintCode]]=5,Tasks[[#This Row],[_ConstraintCode]]=7),Tasks[[#This Row],[_ConstraintStart]],2958465)</f>
        <v>2958465</v>
      </c>
      <c r="CQ1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7" s="91" t="str">
        <f aca="false">IF(NOT(Tasks[[#This Row],[_IsLeaf]]=1),"",IF(N(Tasks[[#This Row],[_Days]])&lt;=0,Tasks[[#This Row],[_LeafCalcStart]],WORKDAY.INTL(Tasks[[#This Row],[_LeafCalcStart]],Tasks[[#This Row],[_Days]]-1,WorkWeek,Holidays)))</f>
        <v/>
      </c>
      <c r="CS1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7" s="43" t="str">
        <f aca="false">IF(Tasks[[#This Row],[_Predecessors]]="","",TRIM(MID(SUBSTITUTE(SUBSTITUTE(SUBSTITUTE(UPPER(Tasks[[#This Row],[_Predecessors]]),";",",")," ",""),",",REPT(" ",99)),1,99)))</f>
        <v/>
      </c>
      <c r="CV177" s="43" t="str">
        <f aca="false">IF(Tasks[[#This Row],[_Pred1Text]]="","",IFERROR(VALUE(LEFT(Tasks[[#This Row],[_Pred1Text]],MIN(FIND("F",Tasks[[#This Row],[_Pred1Text]]&amp;"F"),FIND("S",Tasks[[#This Row],[_Pred1Text]]&amp;"S"),FIND("+",Tasks[[#This Row],[_Pred1Text]]&amp;"+"),FIND("-",Tasks[[#This Row],[_Pred1Text]]&amp;"-"))-1)),""))</f>
        <v/>
      </c>
      <c r="CW1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7" s="43" t="str">
        <f aca="false">IF(Tasks[[#This Row],[_Pred1Text]]="","",TRIM(MID(SUBSTITUTE(SUBSTITUTE(SUBSTITUTE(UPPER(Tasks[[#This Row],[_Predecessors]]),";",",")," ",""),",",REPT(" ",99)),100,99)))</f>
        <v/>
      </c>
      <c r="CZ177" s="43" t="str">
        <f aca="false">IF(Tasks[[#This Row],[_Pred2Text]]="","",IFERROR(VALUE(LEFT(Tasks[[#This Row],[_Pred2Text]],MIN(FIND("F",Tasks[[#This Row],[_Pred2Text]]&amp;"F"),FIND("S",Tasks[[#This Row],[_Pred2Text]]&amp;"S"),FIND("+",Tasks[[#This Row],[_Pred2Text]]&amp;"+"),FIND("-",Tasks[[#This Row],[_Pred2Text]]&amp;"-"))-1)),""))</f>
        <v/>
      </c>
      <c r="DA1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7" s="43" t="str">
        <f aca="false">IF(Tasks[[#This Row],[_Pred2Text]]="","",TRIM(MID(SUBSTITUTE(SUBSTITUTE(SUBSTITUTE(UPPER(Tasks[[#This Row],[_Predecessors]]),";",",")," ",""),",",REPT(" ",99)),199,99)))</f>
        <v/>
      </c>
      <c r="DD177" s="43" t="str">
        <f aca="false">IF(Tasks[[#This Row],[_Pred3Text]]="","",IFERROR(VALUE(LEFT(Tasks[[#This Row],[_Pred3Text]],MIN(FIND("F",Tasks[[#This Row],[_Pred3Text]]&amp;"F"),FIND("S",Tasks[[#This Row],[_Pred3Text]]&amp;"S"),FIND("+",Tasks[[#This Row],[_Pred3Text]]&amp;"+"),FIND("-",Tasks[[#This Row],[_Pred3Text]]&amp;"-"))-1)),""))</f>
        <v/>
      </c>
      <c r="DE1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7" s="43" t="str">
        <f aca="false">IF(Tasks[[#This Row],[_Pred3Text]]="","",TRIM(MID(SUBSTITUTE(SUBSTITUTE(SUBSTITUTE(UPPER(Tasks[[#This Row],[_Predecessors]]),";",",")," ",""),",",REPT(" ",99)),298,99)))</f>
        <v/>
      </c>
      <c r="DH177" s="43" t="str">
        <f aca="false">IF(Tasks[[#This Row],[_Pred4Text]]="","",IFERROR(VALUE(LEFT(Tasks[[#This Row],[_Pred4Text]],MIN(FIND("F",Tasks[[#This Row],[_Pred4Text]]&amp;"F"),FIND("S",Tasks[[#This Row],[_Pred4Text]]&amp;"S"),FIND("+",Tasks[[#This Row],[_Pred4Text]]&amp;"+"),FIND("-",Tasks[[#This Row],[_Pred4Text]]&amp;"-"))-1)),""))</f>
        <v/>
      </c>
      <c r="DI1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7" s="43" t="str">
        <f aca="false">IF(OR(Tasks[[#This Row],[Task Name]]="",Tasks[[#This Row],[_Resources]]=""),"",TRIM(MID(SUBSTITUTE(Tasks[[#This Row],[_Resources]],",",REPT(" ",99)),1,99)))</f>
        <v/>
      </c>
      <c r="DL177" s="43" t="str">
        <f aca="false">IF(Tasks[[#This Row],[_Res1Text]]="","",TRIM(MID(SUBSTITUTE(Tasks[[#This Row],[_Resources]],",",REPT(" ",99)),100,99)))</f>
        <v/>
      </c>
      <c r="DM177" s="43" t="str">
        <f aca="false">IF(Tasks[[#This Row],[_Res2Text]]="","",TRIM(MID(SUBSTITUTE(Tasks[[#This Row],[_Resources]],",",REPT(" ",99)),199,99)))</f>
        <v/>
      </c>
      <c r="DN177" s="43" t="str">
        <f aca="false">IF(Tasks[[#This Row],[_Res3Text]]="","",TRIM(MID(SUBSTITUTE(Tasks[[#This Row],[_Resources]],",",REPT(" ",99)),298,99)))</f>
        <v/>
      </c>
      <c r="DO177" s="43" t="n">
        <f aca="false">IF(Tasks[[#This Row],[_Res1Text]]="",0,IFERROR(MATCH(TRIM(LEFT(Tasks[[#This Row],[_Res1Text]],FIND("[",Tasks[[#This Row],[_Res1Text]]&amp;"[")-1)),res_Name,0),IFERROR(MATCH(TRIM(LEFT(Tasks[[#This Row],[_Res1Text]],FIND("[",Tasks[[#This Row],[_Res1Text]]&amp;"[")-1)),res_Initials,0),0)))</f>
        <v>0</v>
      </c>
      <c r="DP177" s="43" t="n">
        <f aca="false">IF(Tasks[[#This Row],[_Res2Text]]="",0,IFERROR(MATCH(TRIM(LEFT(Tasks[[#This Row],[_Res2Text]],FIND("[",Tasks[[#This Row],[_Res2Text]]&amp;"[")-1)),res_Name,0),IFERROR(MATCH(TRIM(LEFT(Tasks[[#This Row],[_Res2Text]],FIND("[",Tasks[[#This Row],[_Res2Text]]&amp;"[")-1)),res_Initials,0),0)))</f>
        <v>0</v>
      </c>
      <c r="DQ177" s="43" t="n">
        <f aca="false">IF(Tasks[[#This Row],[_Res3Text]]="",0,IFERROR(MATCH(TRIM(LEFT(Tasks[[#This Row],[_Res3Text]],FIND("[",Tasks[[#This Row],[_Res3Text]]&amp;"[")-1)),res_Name,0),IFERROR(MATCH(TRIM(LEFT(Tasks[[#This Row],[_Res3Text]],FIND("[",Tasks[[#This Row],[_Res3Text]]&amp;"[")-1)),res_Initials,0),0)))</f>
        <v>0</v>
      </c>
      <c r="DR177" s="43" t="n">
        <f aca="false">IF(Tasks[[#This Row],[_Res4Text]]="",0,IFERROR(MATCH(TRIM(LEFT(Tasks[[#This Row],[_Res4Text]],FIND("[",Tasks[[#This Row],[_Res4Text]]&amp;"[")-1)),res_Name,0),IFERROR(MATCH(TRIM(LEFT(Tasks[[#This Row],[_Res4Text]],FIND("[",Tasks[[#This Row],[_Res4Text]]&amp;"[")-1)),res_Initials,0),0)))</f>
        <v>0</v>
      </c>
      <c r="DS177" s="43" t="str">
        <f aca="false">IF(Tasks[[#This Row],[_Res1Text]]="","",IF(Tasks[[#This Row],[_Res1Row]]&gt;0,INDEX(res_Name,Tasks[[#This Row],[_Res1Row]]),TRIM(LEFT(Tasks[[#This Row],[_Res1Text]],FIND("[",Tasks[[#This Row],[_Res1Text]]&amp;"[")-1))))</f>
        <v/>
      </c>
      <c r="DT1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7" s="43" t="n">
        <f aca="false">IF(NOT(Tasks[[#This Row],[_IsLeaf]]=1),0,(Tasks[[#This Row],[_Resource1]]&lt;&gt;"")+(Tasks[[#This Row],[_Res2]]&lt;&gt;"")+(Tasks[[#This Row],[_Res3]]&lt;&gt;"")+(Tasks[[#This Row],[_Res4]]&lt;&gt;""))</f>
        <v>0</v>
      </c>
      <c r="DV177" s="43" t="str">
        <f aca="false">IF(Tasks[[#This Row],[_Res2Text]]="","",IF(Tasks[[#This Row],[_Res2Row]]&gt;0,INDEX(res_Name,Tasks[[#This Row],[_Res2Row]]),TRIM(LEFT(Tasks[[#This Row],[_Res2Text]],FIND("[",Tasks[[#This Row],[_Res2Text]]&amp;"[")-1))))</f>
        <v/>
      </c>
      <c r="DW1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7" s="43" t="n">
        <f aca="false">IF(OR(NOT(Tasks[[#This Row],[_IsLeaf]]=1),Tasks[[#This Row],[_Res2Row]]=0),0,N(Tasks[[#This Row],[_Days]])*HoursPerDay*IF(Tasks[[#This Row],[_Res2Units]]="",DefaultUnits,Tasks[[#This Row],[_Res2Units]]))</f>
        <v>0</v>
      </c>
      <c r="DY177" s="43" t="n">
        <f aca="false">IF(AND(AND(Tasks[[#This Row],[_IsLeaf]]=1,Tasks[[#This Row],[_LeafTotalWork]]&gt;0),Tasks[[#This Row],[_Res2Work]]&gt;0),Tasks[[#This Row],[_Res2Work]]/(Tasks[[#This Row],[_FinishWorkday]]-Tasks[[#This Row],[_StartWorkday]]+1),0)</f>
        <v>0</v>
      </c>
      <c r="DZ177" s="43" t="n">
        <f aca="false">Tasks[[#This Row],[_Res2WorkPerWD]]*MAX(0,Tasks[[#This Row],[_StartWorkday]]-1)</f>
        <v>0</v>
      </c>
      <c r="EA177" s="43" t="n">
        <f aca="false">Tasks[[#This Row],[_Res2Work]]*Tasks[[#This Row],[_LeafProgress]]</f>
        <v>0</v>
      </c>
      <c r="EB177" s="43" t="str">
        <f aca="false">IF(Tasks[[#This Row],[_Res3Text]]="","",IF(Tasks[[#This Row],[_Res3Row]]&gt;0,INDEX(res_Name,Tasks[[#This Row],[_Res3Row]]),TRIM(LEFT(Tasks[[#This Row],[_Res3Text]],FIND("[",Tasks[[#This Row],[_Res3Text]]&amp;"[")-1))))</f>
        <v/>
      </c>
      <c r="EC1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7" s="43" t="n">
        <f aca="false">IF(OR(NOT(Tasks[[#This Row],[_IsLeaf]]=1),Tasks[[#This Row],[_Res3Row]]=0),0,N(Tasks[[#This Row],[_Days]])*HoursPerDay*IF(Tasks[[#This Row],[_Res3Units]]="",DefaultUnits,Tasks[[#This Row],[_Res3Units]]))</f>
        <v>0</v>
      </c>
      <c r="EE177" s="43" t="n">
        <f aca="false">IF(AND(AND(Tasks[[#This Row],[_IsLeaf]]=1,Tasks[[#This Row],[_LeafTotalWork]]&gt;0),Tasks[[#This Row],[_Res3Work]]&gt;0),Tasks[[#This Row],[_Res3Work]]/(Tasks[[#This Row],[_FinishWorkday]]-Tasks[[#This Row],[_StartWorkday]]+1),0)</f>
        <v>0</v>
      </c>
      <c r="EF177" s="43" t="n">
        <f aca="false">Tasks[[#This Row],[_Res3WorkPerWD]]*MAX(0,Tasks[[#This Row],[_StartWorkday]]-1)</f>
        <v>0</v>
      </c>
      <c r="EG177" s="43" t="n">
        <f aca="false">Tasks[[#This Row],[_Res3Work]]*Tasks[[#This Row],[_LeafProgress]]</f>
        <v>0</v>
      </c>
      <c r="EH177" s="43" t="str">
        <f aca="false">IF(Tasks[[#This Row],[_Res4Text]]="","",IF(Tasks[[#This Row],[_Res4Row]]&gt;0,INDEX(res_Name,Tasks[[#This Row],[_Res4Row]]),TRIM(LEFT(Tasks[[#This Row],[_Res4Text]],FIND("[",Tasks[[#This Row],[_Res4Text]]&amp;"[")-1))))</f>
        <v/>
      </c>
      <c r="EI1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7" s="43" t="n">
        <f aca="false">IF(OR(NOT(Tasks[[#This Row],[_IsLeaf]]=1),Tasks[[#This Row],[_Res4Row]]=0),0,N(Tasks[[#This Row],[_Days]])*HoursPerDay*IF(Tasks[[#This Row],[_Res4Units]]="",DefaultUnits,Tasks[[#This Row],[_Res4Units]]))</f>
        <v>0</v>
      </c>
      <c r="EK177" s="43" t="n">
        <f aca="false">IF(AND(AND(Tasks[[#This Row],[_IsLeaf]]=1,Tasks[[#This Row],[_LeafTotalWork]]&gt;0),Tasks[[#This Row],[_Res4Work]]&gt;0),Tasks[[#This Row],[_Res4Work]]/(Tasks[[#This Row],[_FinishWorkday]]-Tasks[[#This Row],[_StartWorkday]]+1),0)</f>
        <v>0</v>
      </c>
      <c r="EL177" s="43" t="n">
        <f aca="false">Tasks[[#This Row],[_Res4WorkPerWD]]*MAX(0,Tasks[[#This Row],[_StartWorkday]]-1)</f>
        <v>0</v>
      </c>
      <c r="EM177" s="43" t="n">
        <f aca="false">Tasks[[#This Row],[_Res4Work]]*Tasks[[#This Row],[_LeafProgress]]</f>
        <v>0</v>
      </c>
      <c r="EN177" s="43" t="n">
        <f aca="false">IF(ISNUMBER(Tasks[[#This Row],[% Complete]]),Tasks[[#This Row],[% Complete]],IF(Tasks[[#This Row],[Stage]]="",0,IFERROR(INDEX(stg_Pct,MATCH(Tasks[[#This Row],[Stage]],stg_Name,0)),0)))</f>
        <v>0</v>
      </c>
      <c r="EO177" s="43" t="n">
        <f aca="false">IF(NOT(Tasks[[#This Row],[_IsLeaf]]=1),0,IF(N(Tasks[[#This Row],[Actual Finish]])&gt;0,1,MIN(1,Tasks[[#This Row],[_Pct]])))</f>
        <v>0</v>
      </c>
      <c r="EP177" s="43" t="n">
        <f aca="false">IF(OR(NOT(Tasks[[#This Row],[_IsLeaf]]=1),Tasks[[#This Row],[_Res1Row]]=0),0,N(Tasks[[#This Row],[_Days]])*HoursPerDay*IF(Tasks[[#This Row],[_Units1]]="",DefaultUnits,Tasks[[#This Row],[_Units1]]))</f>
        <v>0</v>
      </c>
      <c r="EQ177" s="43" t="n">
        <f aca="false">Tasks[[#This Row],[_LeafWork]]+Tasks[[#This Row],[_Res2Work]]+Tasks[[#This Row],[_Res3Work]]+Tasks[[#This Row],[_Res4Work]]</f>
        <v>0</v>
      </c>
      <c r="ER17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7" s="43" t="n">
        <f aca="false">IF(NOT(Tasks[[#This Row],[_IsLeaf]]=1),0,MAX(_xlfn.MAXIFS(Tasks[_Row],Tasks[_Pred1UID],Tasks[[#This Row],[UID]]),_xlfn.MAXIFS(Tasks[_Row],Tasks[_Pred2UID],Tasks[[#This Row],[UID]]),_xlfn.MAXIFS(Tasks[_Row],Tasks[_Pred3UID],Tasks[[#This Row],[UID]]),_xlfn.MAXIFS(Tasks[_Row],Tasks[_Pred4UID],Tasks[[#This Row],[UID]])))</f>
        <v>0</v>
      </c>
      <c r="FA1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7" s="91" t="str">
        <f aca="false">IF(NOT(Tasks[[#This Row],[_IsLeaf]]=1),"",IF(N(Tasks[[#This Row],[_Days]])&lt;=0,Tasks[[#This Row],[_LeafLateFinish]],WORKDAY.INTL(Tasks[[#This Row],[_LeafLateFinish]],-(Tasks[[#This Row],[_Days]]-1),WorkWeek,Holidays)))</f>
        <v/>
      </c>
      <c r="FD1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7" s="90" t="b">
        <f aca="false">AND(Tasks[[#This Row],[_IsLeaf]]=1,Tasks[[#This Row],[_LeafProgress]]&lt;1,N(Tasks[[#This Row],[_LeafTotalSlack]])&lt;=CriticalSlackDays)</f>
        <v>0</v>
      </c>
      <c r="FF177" s="43" t="n">
        <f aca="false">IF(AND(Tasks[[#This Row],[_IsLeaf]]=1,Tasks[[#This Row],[_ConstraintCode]]=1,Tasks[[#This Row],[Mode]]&lt;&gt;"Manual",N(Tasks[[#This Row],[Actual Start]])=0),MAX(0,N(Tasks[[#This Row],[Free Slack]])),0)</f>
        <v>0</v>
      </c>
      <c r="FG177" s="91" t="str">
        <f aca="false">IF(NOT(Tasks[[#This Row],[_IsLeaf]]=1),"",IF(Tasks[[#This Row],[_AlapShift]]=0,Tasks[[#This Row],[_LeafCalcStart]],WORKDAY.INTL(Tasks[[#This Row],[_LeafCalcStart]],Tasks[[#This Row],[_AlapShift]],WorkWeek,Holidays)))</f>
        <v/>
      </c>
      <c r="FH177" s="91" t="str">
        <f aca="false">IF(NOT(Tasks[[#This Row],[_IsLeaf]]=1),"",IF(Tasks[[#This Row],[_AlapShift]]=0,Tasks[[#This Row],[_LeafCalcFinish]],WORKDAY.INTL(Tasks[[#This Row],[_LeafCalcFinish]],Tasks[[#This Row],[_AlapShift]],WorkWeek,Holidays)))</f>
        <v/>
      </c>
      <c r="FI177" s="91" t="str">
        <f aca="false">IF(NOT(Tasks[[#This Row],[_IsLeaf]]=1),"",IF(Tasks[[#This Row],[_AlapShift]]=0,Tasks[[#This Row],[_LeafFcstStart]],WORKDAY.INTL(Tasks[[#This Row],[_LeafFcstStart]],Tasks[[#This Row],[_AlapShift]],WorkWeek,Holidays)))</f>
        <v/>
      </c>
      <c r="FJ177" s="91" t="str">
        <f aca="false">IF(NOT(Tasks[[#This Row],[_IsLeaf]]=1),"",IF(Tasks[[#This Row],[_AlapShift]]=0,Tasks[[#This Row],[_LeafFcstFinish]],WORKDAY.INTL(Tasks[[#This Row],[_LeafFcstFinish]],Tasks[[#This Row],[_AlapShift]],WorkWeek,Holidays)))</f>
        <v/>
      </c>
      <c r="FK177" s="91" t="str">
        <f aca="false">IF(Tasks[[#This Row],[Task Name]]="","",IF(Tasks[[#This Row],[_IsSummary]],MIN(INDEX(Tasks[_ShownCalcStart],Tasks[[#This Row],[_Row]]+1):INDEX(Tasks[_ShownCalcStart],Tasks[[#This Row],[_Row]]+Tasks[[#This Row],[_Descendants]])),Tasks[[#This Row],[_ShownCalcStart]]))</f>
        <v/>
      </c>
      <c r="FL177" s="91" t="str">
        <f aca="false">IF(Tasks[[#This Row],[Task Name]]="","",IF(Tasks[[#This Row],[_IsSummary]],MAX(INDEX(Tasks[_ShownCalcFinish],Tasks[[#This Row],[_Row]]+1):INDEX(Tasks[_ShownCalcFinish],Tasks[[#This Row],[_Row]]+Tasks[[#This Row],[_Descendants]])),Tasks[[#This Row],[_ShownCalcFinish]]))</f>
        <v/>
      </c>
      <c r="FM1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7" s="43" t="n">
        <f aca="false">IF(AND(Tasks[[#This Row],[_IsLeaf]]=1,Tasks[[#This Row],[_LeafTotalWork]]&gt;0),NETWORKDAYS.INTL(ProjectStart,Tasks[[#This Row],[_ShownFcstStart]],WorkWeek,Holidays),0)</f>
        <v>0</v>
      </c>
      <c r="FZ177" s="43" t="n">
        <f aca="false">IF(AND(Tasks[[#This Row],[_IsLeaf]]=1,Tasks[[#This Row],[_LeafTotalWork]]&gt;0),MAX(Tasks[[#This Row],[_StartWorkday]],NETWORKDAYS.INTL(ProjectStart,Tasks[[#This Row],[_ShownFcstFinish]],WorkWeek,Holidays)),0)</f>
        <v>0</v>
      </c>
      <c r="GA177" s="43" t="n">
        <f aca="false">IF(AND(Tasks[[#This Row],[_IsLeaf]]=1,Tasks[[#This Row],[_LeafTotalWork]]&gt;0),Tasks[[#This Row],[_LeafWork]]/(Tasks[[#This Row],[_FinishWorkday]]-Tasks[[#This Row],[_StartWorkday]]+1),0)</f>
        <v>0</v>
      </c>
      <c r="GB177" s="43" t="n">
        <f aca="false">Tasks[[#This Row],[_WorkPerWorkday]]*(Tasks[[#This Row],[_StartWorkday]]-1)</f>
        <v>-0</v>
      </c>
      <c r="GC177" s="43" t="n">
        <f aca="false">IF(Tasks[[#This Row],[_IsLeaf]]=1,MAX(N(Tasks[[#This Row],[_Days]]),0.1),0)</f>
        <v>0</v>
      </c>
      <c r="GD177" s="43" t="n">
        <f aca="false">Tasks[[#This Row],[_WeightDur]]*Tasks[[#This Row],[_LeafProgress]]</f>
        <v>0</v>
      </c>
      <c r="GE177" s="43" t="n">
        <f aca="false">Tasks[[#This Row],[_WeightDur]]*Tasks[[#This Row],[_PlannedPct]]</f>
        <v>0</v>
      </c>
      <c r="GF1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7" s="43" t="str">
        <f aca="false">IF(AND(Tasks[[#This Row],[_IsLeaf]]=1,N(Tasks[[#This Row],[_Days]])=0,Tasks[[#This Row],[_LeafProgress]]&lt;1),Tasks[[#This Row],[_ShownFcstFinish]]+Tasks[[#This Row],[_Row]]/100000,"")</f>
        <v/>
      </c>
      <c r="GH1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7" s="43" t="str">
        <f aca="false">IF(Tasks[[#This Row],[Task Name]]="","",LEFT(Tasks[[#This Row],[WBS]],FIND(".",Tasks[[#This Row],[WBS]]&amp;".")-1))</f>
        <v/>
      </c>
      <c r="GJ177" s="43" t="str">
        <f aca="false">IF(AND(Tasks[[#This Row],[Task Name]]&lt;&gt;"",Tasks[[#This Row],[_Level]]=1),Tasks[[#This Row],[_Row]],"")</f>
        <v/>
      </c>
      <c r="GK177" s="43" t="str">
        <f aca="false">IF(AND(Tasks[[#This Row],[_IsLeaf]]=1,N(Tasks[[#This Row],[_Days]])=0),Tasks[[#This Row],[Planned Finish]]+Tasks[[#This Row],[_Row]]/100000,"")</f>
        <v/>
      </c>
      <c r="GL177" s="43" t="str">
        <f aca="false">IF(AND(Tasks[[#This Row],[_IsLeaf]]=1,Tasks[[#This Row],[_LeafProgress]]&lt;1,OR(N(Tasks[[#This Row],[Finish Var]])&gt;0,Tasks[[#This Row],[Status]]="Late Start")),MAX(0,Tasks[[#This Row],[Finish Var]])+1-Tasks[[#This Row],[_Row]]/1000000,"")</f>
        <v/>
      </c>
      <c r="GM177" s="43" t="str">
        <f aca="false">IF(AND(Tasks[[#This Row],[_IsLeaf]]=1,N(Tasks[[#This Row],[Actual Start]])=0,Tasks[[#This Row],[_ShownFcstStart]]&gt;=StatusDate,Tasks[[#This Row],[_ShownFcstStart]]&lt;=LookaheadEnd),Tasks[[#This Row],[_ShownFcstStart]]+Tasks[[#This Row],[_Row]]/100000,"")</f>
        <v/>
      </c>
      <c r="GN177" s="43" t="str">
        <f aca="false">IF(AND(Tasks[[#This Row],[_IsLeaf]]=1,Tasks[[#This Row],[_LeafProgress]]&lt;1,Tasks[[#This Row],[_ShownFcstFinish]]&gt;=StatusDate,Tasks[[#This Row],[_ShownFcstFinish]]&lt;=LookaheadEnd),Tasks[[#This Row],[_ShownFcstFinish]]+Tasks[[#This Row],[_Row]]/100000,"")</f>
        <v/>
      </c>
      <c r="GO177" s="43" t="str">
        <f aca="false">IF(Tasks[[#This Row],[_LeafCritical]],Tasks[[#This Row],[_ShownFcstStart]]+Tasks[[#This Row],[_Row]]/100000,"")</f>
        <v/>
      </c>
      <c r="GP177" s="43" t="n">
        <f aca="false">Tasks[[#This Row],[_LeafWork]]*Tasks[[#This Row],[_LeafProgress]]</f>
        <v>0</v>
      </c>
      <c r="GQ177" s="91" t="str">
        <f aca="false">IF(AND(Tasks[[#This Row],[_IsLeaf]]=1,Tasks[[#This Row],[_LeafProgress]]&gt;=1),IF(N(Tasks[[#This Row],[Actual Finish]])&gt;0,Tasks[[#This Row],[Actual Finish]],Tasks[[#This Row],[_ShownFcstFinish]]),"")</f>
        <v/>
      </c>
      <c r="GR177" s="43" t="n">
        <f aca="false">IF(Tasks[[#This Row],[_IsLeaf]]=1,N(Tasks[[#This Row],[Story Points]]),0)</f>
        <v>0</v>
      </c>
      <c r="GS177" s="43" t="str">
        <f aca="false">""</f>
        <v/>
      </c>
      <c r="GT177" s="90" t="b">
        <f aca="false">IF(Tasks[[#This Row],[Task Name]]="",FALSE(),AND(Tasks[[#This Row],[_IsLeaf]]=1,N(Tasks[[#This Row],[_Days]])=0))</f>
        <v>0</v>
      </c>
      <c r="GU177" s="91" t="n">
        <f aca="false">IF(Tasks[[#This Row],[Task Name]]="",0,IF(AND(Tasks[[#This Row],[_IsLeaf]]=1,NOT(Tasks[[#This Row],[_IsMilestone]]),N(Tasks[[#This Row],[Progress]])&gt;0),Tasks[[#This Row],[Start]],0))</f>
        <v>0</v>
      </c>
      <c r="GV177" s="91" t="n">
        <f aca="false">IF(Tasks[[#This Row],[_DoneFrom]]=0,0,IF(Tasks[[#This Row],[Progress]]&gt;=1,Tasks[[#This Row],[Finish]],MAX(Tasks[[#This Row],[_DoneFrom]],Tasks[[#This Row],[Start]]+ROUND((Tasks[[#This Row],[Finish]]-Tasks[[#This Row],[Start]]+1)*Tasks[[#This Row],[Progress]],0)-1)))</f>
        <v>0</v>
      </c>
      <c r="GW177" s="91" t="n">
        <f aca="false">IF(Tasks[[#This Row],[Task Name]]="",0,IF(OR(NOT(Tasks[[#This Row],[_IsLeaf]]=1),Tasks[[#This Row],[_IsMilestone]],N(Tasks[[#This Row],[Progress]])&gt;=1),0,IF(Tasks[[#This Row],[_DoneTo]]&gt;0,Tasks[[#This Row],[_DoneTo]]+1,Tasks[[#This Row],[Start]])))</f>
        <v>0</v>
      </c>
      <c r="GX177" s="91" t="n">
        <f aca="false">IF(Tasks[[#This Row],[_RemFrom]]=0,0,Tasks[[#This Row],[Finish]])</f>
        <v>0</v>
      </c>
      <c r="GY177" s="90" t="b">
        <f aca="false">IF(Tasks[[#This Row],[Task Name]]="",FALSE(),OR(NOT(BaselineSet),N(Tasks[[#This Row],[Baseline Start]])&gt;0))</f>
        <v>0</v>
      </c>
      <c r="GZ17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7" s="92" t="str">
        <f aca="false">IF(Tasks[[#This Row],[_IsLeaf]]=1,Tasks[[#This Row],[_Row]],"")</f>
        <v/>
      </c>
      <c r="HD177" s="92" t="str">
        <f aca="false">IFERROR(INDEX(Tasks[UID],SMALL(Tasks[_PickKey],Tasks[[#This Row],[_Row]]))&amp;" "&amp;INDEX(Tasks[Task Name],SMALL(Tasks[_PickKey],Tasks[[#This Row],[_Row]])),"")</f>
        <v/>
      </c>
      <c r="HE177" s="43" t="str">
        <f aca="false">IF(Tasks[[#This Row],[Task Name]]="","",IF(Tasks[[#This Row],[_IsSummary]],NETWORKDAYS.INTL(Tasks[[#This Row],[Start]],Tasks[[#This Row],[Finish]],WorkWeek,Holidays),N(Tasks[[#This Row],[_Days]])))</f>
        <v/>
      </c>
      <c r="HF177" s="43" t="n">
        <f aca="false">IF(Tasks[[#This Row],[Expected]]="",0,((Tasks[[#This Row],[Pessimistic]]-Tasks[[#This Row],[Optimistic]])/6)^2)</f>
        <v>0</v>
      </c>
      <c r="HG177" s="43" t="n">
        <f aca="false">IF(Tasks[[#This Row],[Expected]]="",0,Tasks[[#This Row],[Expected]]-N(Tasks[[#This Row],[_Days]]))</f>
        <v>0</v>
      </c>
    </row>
    <row r="178" customFormat="false" ht="15" hidden="false" customHeight="false" outlineLevel="0" collapsed="false">
      <c r="A178" s="21" t="str">
        <f aca="false">IF(Tasks[[#This Row],[Task Name]]="","",COUNTA(Tasks[[#Headers],[Task Name]]:Tasks[[#This Row],[Task Name]])-1)</f>
        <v/>
      </c>
      <c r="B178" s="22" t="n">
        <v>186</v>
      </c>
      <c r="C178" s="22"/>
      <c r="D178" s="23"/>
      <c r="E178" s="22"/>
      <c r="F178" s="23"/>
      <c r="G178" s="22"/>
      <c r="H178" s="22"/>
      <c r="I178" s="23"/>
      <c r="J178" s="22"/>
      <c r="K178" s="22"/>
      <c r="L178" s="23"/>
      <c r="M178" s="22"/>
      <c r="N178" s="22"/>
      <c r="O178" s="23"/>
      <c r="P178" s="22"/>
      <c r="Q178" s="22"/>
      <c r="R178" s="23"/>
      <c r="S178" s="23"/>
      <c r="T178" s="84"/>
      <c r="U178" s="23"/>
      <c r="V178" s="84"/>
      <c r="W178" s="23"/>
      <c r="X178" s="84"/>
      <c r="Y178" s="23"/>
      <c r="Z178" s="84"/>
      <c r="AA178" s="23"/>
      <c r="AB178" s="23"/>
      <c r="AC178" s="7"/>
      <c r="AD178" s="7"/>
      <c r="AE178" s="63" t="str">
        <f aca="false">IF(Tasks[[#This Row],[Task Name]]="","",IF(Tasks[[#This Row],[_IsSummary]],MIN(INDEX(Tasks[_ShownFcstStart],Tasks[[#This Row],[_Row]]+1):INDEX(Tasks[_ShownFcstStart],Tasks[[#This Row],[_Row]]+Tasks[[#This Row],[_Descendants]])),Tasks[[#This Row],[_ShownFcstStart]]))</f>
        <v/>
      </c>
      <c r="AF178" s="63" t="str">
        <f aca="false">IF(Tasks[[#This Row],[Task Name]]="","",IF(Tasks[[#This Row],[_IsSummary]],MAX(INDEX(Tasks[_ShownFcstFinish],Tasks[[#This Row],[_Row]]+1):INDEX(Tasks[_ShownFcstFinish],Tasks[[#This Row],[_Row]]+Tasks[[#This Row],[_Descendants]])),Tasks[[#This Row],[_ShownFcstFinish]]))</f>
        <v/>
      </c>
      <c r="AG178" s="21" t="str">
        <f aca="false">""</f>
        <v/>
      </c>
      <c r="AH178" s="23"/>
      <c r="AI1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8" s="7"/>
      <c r="AK178" s="22"/>
      <c r="AL178" s="23"/>
      <c r="AM178" s="7"/>
      <c r="AN178" s="47" t="str">
        <f aca="false">IF(Tasks[[#This Row],[Task Name]]="","",IF(Tasks[[#This Row],[Finish]]&gt;=Tasks[[#This Row],[Planned Finish]],NETWORKDAYS.INTL(Tasks[[#This Row],[Planned Finish]],Tasks[[#This Row],[Finish]],WorkWeek,Holidays)-1,1-NETWORKDAYS.INTL(Tasks[[#This Row],[Finish]],Tasks[[#This Row],[Planned Finish]],WorkWeek,Holidays)))</f>
        <v/>
      </c>
      <c r="AO178" s="21" t="str">
        <f aca="false">IF(Tasks[[#This Row],[Task Name]]="","",IF(Tasks[[#This Row],[Progress]]&gt;=1,"Complete",IF(OR(N(Tasks[[#This Row],[Actual Start]])&gt;0,Tasks[[#This Row],[Progress]]&gt;0),IF(Tasks[[#This Row],[Finish Var]]&gt;0,"Behind","In Progress"),IF(Tasks[[#This Row],[Planned Start]]&lt;StatusDate,"Late Start","Not Started"))))</f>
        <v/>
      </c>
      <c r="AP178" s="21" t="str">
        <f aca="false">IF(Tasks[[#This Row],[Task Name]]="","",IF(IF(Tasks[[#This Row],[_IsSummary]],COUNTIF(INDEX(Tasks[_LeafCritical],Tasks[[#This Row],[_Row]]+1):INDEX(Tasks[_LeafCritical],Tasks[[#This Row],[_Row]]+Tasks[[#This Row],[_Descendants]]),TRUE())&gt;0,Tasks[[#This Row],[_LeafCritical]]),"Yes",""))</f>
        <v/>
      </c>
      <c r="AQ178" s="63" t="str">
        <f aca="false">IF(Tasks[[#This Row],[Task Name]]="","",IF(N(Tasks[[#This Row],[Baseline Start]])&gt;0,Tasks[[#This Row],[Baseline Start]],Tasks[[#This Row],[_CalcStart]]))</f>
        <v/>
      </c>
      <c r="AR178" s="63" t="str">
        <f aca="false">IF(Tasks[[#This Row],[Task Name]]="","",IF(N(Tasks[[#This Row],[Baseline Finish]])&gt;0,Tasks[[#This Row],[Baseline Finish]],Tasks[[#This Row],[_CalcFinish]]))</f>
        <v/>
      </c>
      <c r="AS178" s="47" t="str">
        <f aca="false">IF(Tasks[[#This Row],[Task Name]]="","",IF(Tasks[[#This Row],[Start]]&gt;=Tasks[[#This Row],[Planned Start]],NETWORKDAYS.INTL(Tasks[[#This Row],[Planned Start]],Tasks[[#This Row],[Start]],WorkWeek,Holidays)-1,1-NETWORKDAYS.INTL(Tasks[[#This Row],[Start]],Tasks[[#This Row],[Planned Start]],WorkWeek,Holidays)))</f>
        <v/>
      </c>
      <c r="AT178" s="63" t="str">
        <f aca="false">IF(Tasks[[#This Row],[Task Name]]="","",IF(Tasks[[#This Row],[_IsSummary]],MIN(INDEX(Tasks[_LeafLateStart],Tasks[[#This Row],[_Row]]+1):INDEX(Tasks[_LeafLateStart],Tasks[[#This Row],[_Row]]+Tasks[[#This Row],[_Descendants]])),Tasks[[#This Row],[_LeafLateStart]]))</f>
        <v/>
      </c>
      <c r="AU178" s="63" t="str">
        <f aca="false">IF(Tasks[[#This Row],[Task Name]]="","",IF(Tasks[[#This Row],[_IsSummary]],MAX(INDEX(Tasks[_LeafLateFinish],Tasks[[#This Row],[_Row]]+1):INDEX(Tasks[_LeafLateFinish],Tasks[[#This Row],[_Row]]+Tasks[[#This Row],[_Descendants]])),Tasks[[#This Row],[_LeafLateFinish]]))</f>
        <v/>
      </c>
      <c r="AV178" s="47" t="str">
        <f aca="false">IF(Tasks[[#This Row],[Task Name]]="","",IF(Tasks[[#This Row],[_IsSummary]],MIN(INDEX(Tasks[_LeafTotalSlack],Tasks[[#This Row],[_Row]]+1):INDEX(Tasks[_LeafTotalSlack],Tasks[[#This Row],[_Row]]+Tasks[[#This Row],[_Descendants]])),Tasks[[#This Row],[_LeafTotalSlack]]))</f>
        <v/>
      </c>
      <c r="AW1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5"/>
      <c r="BA17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t="str">
        <f aca="false">IF(Tasks[[#This Row],[Task Name]]="","",IF(Tasks[[#This Row],[_Level]]&lt;=OutlineShowLevel,"Yes","No"))</f>
        <v/>
      </c>
      <c r="BE178" s="86" t="str">
        <f aca="false">IF(Tasks[[#This Row],[Task Name]]="","",IF(Tasks[[#This Row],[_IsSummary]],SUM(INDEX(Tasks[_LeafTotalWork],Tasks[[#This Row],[_Row]]+1):INDEX(Tasks[_LeafTotalWork],Tasks[[#This Row],[_Row]]+Tasks[[#This Row],[_Descendants]])),Tasks[[#This Row],[_LeafTotalWork]]))</f>
        <v/>
      </c>
      <c r="BF178" s="23"/>
      <c r="BG1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t="str">
        <f aca="false">""</f>
        <v/>
      </c>
      <c r="BI178" s="87"/>
      <c r="BJ178" s="22"/>
      <c r="BK178" s="47" t="str">
        <f aca="false">IF(OR(Tasks[[#This Row],[Task Name]]="",Tasks[[#This Row],[Baseline Duration]]=""),"",Tasks[[#This Row],[_SpanDays]]-N(Tasks[[#This Row],[Baseline Duration]]))</f>
        <v/>
      </c>
      <c r="BL178" s="86" t="str">
        <f aca="false">IF(OR(Tasks[[#This Row],[Task Name]]="",Tasks[[#This Row],[Baseline Work]]=""),"",Tasks[[#This Row],[Work]]-N(Tasks[[#This Row],[Baseline Work]]))</f>
        <v/>
      </c>
      <c r="BM178" s="63" t="str">
        <f aca="false">IF(Tasks[[#This Row],[Task Name]]="","",IF(OR(TakeBaseline="Yes",N(Tasks[[#This Row],[Baseline Start]])=0),Tasks[[#This Row],[Start]],Tasks[[#This Row],[Baseline Start]]))</f>
        <v/>
      </c>
      <c r="BN178" s="63" t="str">
        <f aca="false">IF(Tasks[[#This Row],[Task Name]]="","",IF(OR(TakeBaseline="Yes",N(Tasks[[#This Row],[Baseline Finish]])=0),Tasks[[#This Row],[Finish]],Tasks[[#This Row],[Baseline Finish]]))</f>
        <v/>
      </c>
      <c r="BO178" s="21" t="str">
        <f aca="false">IF(Tasks[[#This Row],[Task Name]]="","",IF(OR(TakeBaseline="Yes",N(Tasks[[#This Row],[Baseline Duration]])=0),Tasks[[#This Row],[_SpanDays]],Tasks[[#This Row],[Baseline Duration]]))</f>
        <v/>
      </c>
      <c r="BP178" s="86" t="str">
        <f aca="false">IF(Tasks[[#This Row],[Task Name]]="","",IF(OR(TakeBaseline="Yes",N(Tasks[[#This Row],[Baseline Work]])=0),Tasks[[#This Row],[Work]],Tasks[[#This Row],[Baseline Work]]))</f>
        <v/>
      </c>
      <c r="BQ178" s="7"/>
      <c r="BR178" s="7"/>
      <c r="BS178" s="22"/>
      <c r="BT178" s="88"/>
      <c r="BU178" s="23"/>
      <c r="BV178" s="23"/>
      <c r="BW178" s="23"/>
      <c r="BX178" s="89" t="str">
        <f aca="false">IF(AND(Tasks[[#This Row],[_IsLeaf]]=1,ISNUMBER(Tasks[[#This Row],[Optimistic]]),ISNUMBER(Tasks[[#This Row],[Pessimistic]])),ROUND((Tasks[[#This Row],[Optimistic]]+4*N(Tasks[[#This Row],[_Days]])+Tasks[[#This Row],[Pessimistic]])/6,1),"")</f>
        <v/>
      </c>
      <c r="BY178" s="87"/>
      <c r="BZ178" s="87"/>
      <c r="CA178" s="22"/>
      <c r="CB178" s="43" t="str">
        <f aca="false">IF(Tasks[[#This Row],[Task Name]]="","",MAX(1,N(Tasks[[#This Row],[Level]])))</f>
        <v/>
      </c>
      <c r="CC178" s="43" t="n">
        <f aca="false">ROW()-ROW(Tasks[[#Headers],[ID]])</f>
        <v>173</v>
      </c>
      <c r="CD178" s="43" t="n">
        <f aca="false">IF(OR(Tasks[[#This Row],[Task Name]]="",Tasks[[#This Row],[_Level]]&lt;=1),0,IFERROR(LOOKUP(2,1/(Tasks[[#Headers],[_Level]]:Tasks[[#This Row],[_Level]]=Tasks[[#This Row],[_Level]]-1),ROW(Tasks[[#Headers],[_Level]]:Tasks[[#This Row],[_Level]])),0))</f>
        <v>0</v>
      </c>
      <c r="CE178" s="43" t="n">
        <f aca="false">IFERROR(N(INDEX(Tasks[_Level],Tasks[[#This Row],[_Row]]+1)),0)</f>
        <v>0</v>
      </c>
      <c r="CF178" s="90" t="b">
        <f aca="false">AND(Tasks[[#This Row],[Task Name]]&lt;&gt;"",Tasks[[#This Row],[_NextLevel]]&gt;Tasks[[#This Row],[_Level]])</f>
        <v>0</v>
      </c>
      <c r="CG178" s="43" t="n">
        <f aca="false">IF(Tasks[[#This Row],[_IsSummary]],COUNTIF(Tasks[WBS],Tasks[[#This Row],[WBS]]&amp;".*"),0)</f>
        <v>0</v>
      </c>
      <c r="CH178" s="43" t="n">
        <f aca="false">IF(AND(Tasks[[#This Row],[Task Name]]&lt;&gt;"",NOT(Tasks[[#This Row],[_IsSummary]])),1,0)</f>
        <v>0</v>
      </c>
      <c r="CI178" s="43" t="n">
        <f aca="false">IF(N(Tasks[[#This Row],[_Pred1UID]])=0,0,IFERROR(MATCH(Tasks[[#This Row],[_Pred1UID]],Tasks[UID],0),-1))</f>
        <v>0</v>
      </c>
      <c r="CJ178" s="43" t="n">
        <f aca="false">IF(N(Tasks[[#This Row],[_Pred2UID]])=0,0,IFERROR(MATCH(Tasks[[#This Row],[_Pred2UID]],Tasks[UID],0),-1))</f>
        <v>0</v>
      </c>
      <c r="CK178" s="43" t="n">
        <f aca="false">IF(N(Tasks[[#This Row],[_Pred3UID]])=0,0,IFERROR(MATCH(Tasks[[#This Row],[_Pred3UID]],Tasks[UID],0),-1))</f>
        <v>0</v>
      </c>
      <c r="CL178" s="43" t="n">
        <f aca="false">IF(N(Tasks[[#This Row],[_Pred4UID]])=0,0,IFERROR(MATCH(Tasks[[#This Row],[_Pred4UID]],Tasks[UID],0),-1))</f>
        <v>0</v>
      </c>
      <c r="CM1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8" s="91" t="n">
        <f aca="false">IF(OR(Tasks[[#This Row],[_ConstraintCode]]=2,Tasks[[#This Row],[_ConstraintCode]]=3,Tasks[[#This Row],[_ConstraintCode]]=4,Tasks[[#This Row],[_ConstraintCode]]=6),Tasks[[#This Row],[_ConstraintStart]],0)</f>
        <v>0</v>
      </c>
      <c r="CP178" s="91" t="n">
        <f aca="false">IF(OR(Tasks[[#This Row],[_ConstraintCode]]=2,Tasks[[#This Row],[_ConstraintCode]]=3,Tasks[[#This Row],[_ConstraintCode]]=5,Tasks[[#This Row],[_ConstraintCode]]=7),Tasks[[#This Row],[_ConstraintStart]],2958465)</f>
        <v>2958465</v>
      </c>
      <c r="CQ1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8" s="91" t="str">
        <f aca="false">IF(NOT(Tasks[[#This Row],[_IsLeaf]]=1),"",IF(N(Tasks[[#This Row],[_Days]])&lt;=0,Tasks[[#This Row],[_LeafCalcStart]],WORKDAY.INTL(Tasks[[#This Row],[_LeafCalcStart]],Tasks[[#This Row],[_Days]]-1,WorkWeek,Holidays)))</f>
        <v/>
      </c>
      <c r="CS1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8" s="43" t="str">
        <f aca="false">IF(Tasks[[#This Row],[_Predecessors]]="","",TRIM(MID(SUBSTITUTE(SUBSTITUTE(SUBSTITUTE(UPPER(Tasks[[#This Row],[_Predecessors]]),";",",")," ",""),",",REPT(" ",99)),1,99)))</f>
        <v/>
      </c>
      <c r="CV178" s="43" t="str">
        <f aca="false">IF(Tasks[[#This Row],[_Pred1Text]]="","",IFERROR(VALUE(LEFT(Tasks[[#This Row],[_Pred1Text]],MIN(FIND("F",Tasks[[#This Row],[_Pred1Text]]&amp;"F"),FIND("S",Tasks[[#This Row],[_Pred1Text]]&amp;"S"),FIND("+",Tasks[[#This Row],[_Pred1Text]]&amp;"+"),FIND("-",Tasks[[#This Row],[_Pred1Text]]&amp;"-"))-1)),""))</f>
        <v/>
      </c>
      <c r="CW1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8" s="43" t="str">
        <f aca="false">IF(Tasks[[#This Row],[_Pred1Text]]="","",TRIM(MID(SUBSTITUTE(SUBSTITUTE(SUBSTITUTE(UPPER(Tasks[[#This Row],[_Predecessors]]),";",",")," ",""),",",REPT(" ",99)),100,99)))</f>
        <v/>
      </c>
      <c r="CZ178" s="43" t="str">
        <f aca="false">IF(Tasks[[#This Row],[_Pred2Text]]="","",IFERROR(VALUE(LEFT(Tasks[[#This Row],[_Pred2Text]],MIN(FIND("F",Tasks[[#This Row],[_Pred2Text]]&amp;"F"),FIND("S",Tasks[[#This Row],[_Pred2Text]]&amp;"S"),FIND("+",Tasks[[#This Row],[_Pred2Text]]&amp;"+"),FIND("-",Tasks[[#This Row],[_Pred2Text]]&amp;"-"))-1)),""))</f>
        <v/>
      </c>
      <c r="DA1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8" s="43" t="str">
        <f aca="false">IF(Tasks[[#This Row],[_Pred2Text]]="","",TRIM(MID(SUBSTITUTE(SUBSTITUTE(SUBSTITUTE(UPPER(Tasks[[#This Row],[_Predecessors]]),";",",")," ",""),",",REPT(" ",99)),199,99)))</f>
        <v/>
      </c>
      <c r="DD178" s="43" t="str">
        <f aca="false">IF(Tasks[[#This Row],[_Pred3Text]]="","",IFERROR(VALUE(LEFT(Tasks[[#This Row],[_Pred3Text]],MIN(FIND("F",Tasks[[#This Row],[_Pred3Text]]&amp;"F"),FIND("S",Tasks[[#This Row],[_Pred3Text]]&amp;"S"),FIND("+",Tasks[[#This Row],[_Pred3Text]]&amp;"+"),FIND("-",Tasks[[#This Row],[_Pred3Text]]&amp;"-"))-1)),""))</f>
        <v/>
      </c>
      <c r="DE1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8" s="43" t="str">
        <f aca="false">IF(Tasks[[#This Row],[_Pred3Text]]="","",TRIM(MID(SUBSTITUTE(SUBSTITUTE(SUBSTITUTE(UPPER(Tasks[[#This Row],[_Predecessors]]),";",",")," ",""),",",REPT(" ",99)),298,99)))</f>
        <v/>
      </c>
      <c r="DH178" s="43" t="str">
        <f aca="false">IF(Tasks[[#This Row],[_Pred4Text]]="","",IFERROR(VALUE(LEFT(Tasks[[#This Row],[_Pred4Text]],MIN(FIND("F",Tasks[[#This Row],[_Pred4Text]]&amp;"F"),FIND("S",Tasks[[#This Row],[_Pred4Text]]&amp;"S"),FIND("+",Tasks[[#This Row],[_Pred4Text]]&amp;"+"),FIND("-",Tasks[[#This Row],[_Pred4Text]]&amp;"-"))-1)),""))</f>
        <v/>
      </c>
      <c r="DI1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8" s="43" t="str">
        <f aca="false">IF(OR(Tasks[[#This Row],[Task Name]]="",Tasks[[#This Row],[_Resources]]=""),"",TRIM(MID(SUBSTITUTE(Tasks[[#This Row],[_Resources]],",",REPT(" ",99)),1,99)))</f>
        <v/>
      </c>
      <c r="DL178" s="43" t="str">
        <f aca="false">IF(Tasks[[#This Row],[_Res1Text]]="","",TRIM(MID(SUBSTITUTE(Tasks[[#This Row],[_Resources]],",",REPT(" ",99)),100,99)))</f>
        <v/>
      </c>
      <c r="DM178" s="43" t="str">
        <f aca="false">IF(Tasks[[#This Row],[_Res2Text]]="","",TRIM(MID(SUBSTITUTE(Tasks[[#This Row],[_Resources]],",",REPT(" ",99)),199,99)))</f>
        <v/>
      </c>
      <c r="DN178" s="43" t="str">
        <f aca="false">IF(Tasks[[#This Row],[_Res3Text]]="","",TRIM(MID(SUBSTITUTE(Tasks[[#This Row],[_Resources]],",",REPT(" ",99)),298,99)))</f>
        <v/>
      </c>
      <c r="DO178" s="43" t="n">
        <f aca="false">IF(Tasks[[#This Row],[_Res1Text]]="",0,IFERROR(MATCH(TRIM(LEFT(Tasks[[#This Row],[_Res1Text]],FIND("[",Tasks[[#This Row],[_Res1Text]]&amp;"[")-1)),res_Name,0),IFERROR(MATCH(TRIM(LEFT(Tasks[[#This Row],[_Res1Text]],FIND("[",Tasks[[#This Row],[_Res1Text]]&amp;"[")-1)),res_Initials,0),0)))</f>
        <v>0</v>
      </c>
      <c r="DP178" s="43" t="n">
        <f aca="false">IF(Tasks[[#This Row],[_Res2Text]]="",0,IFERROR(MATCH(TRIM(LEFT(Tasks[[#This Row],[_Res2Text]],FIND("[",Tasks[[#This Row],[_Res2Text]]&amp;"[")-1)),res_Name,0),IFERROR(MATCH(TRIM(LEFT(Tasks[[#This Row],[_Res2Text]],FIND("[",Tasks[[#This Row],[_Res2Text]]&amp;"[")-1)),res_Initials,0),0)))</f>
        <v>0</v>
      </c>
      <c r="DQ178" s="43" t="n">
        <f aca="false">IF(Tasks[[#This Row],[_Res3Text]]="",0,IFERROR(MATCH(TRIM(LEFT(Tasks[[#This Row],[_Res3Text]],FIND("[",Tasks[[#This Row],[_Res3Text]]&amp;"[")-1)),res_Name,0),IFERROR(MATCH(TRIM(LEFT(Tasks[[#This Row],[_Res3Text]],FIND("[",Tasks[[#This Row],[_Res3Text]]&amp;"[")-1)),res_Initials,0),0)))</f>
        <v>0</v>
      </c>
      <c r="DR178" s="43" t="n">
        <f aca="false">IF(Tasks[[#This Row],[_Res4Text]]="",0,IFERROR(MATCH(TRIM(LEFT(Tasks[[#This Row],[_Res4Text]],FIND("[",Tasks[[#This Row],[_Res4Text]]&amp;"[")-1)),res_Name,0),IFERROR(MATCH(TRIM(LEFT(Tasks[[#This Row],[_Res4Text]],FIND("[",Tasks[[#This Row],[_Res4Text]]&amp;"[")-1)),res_Initials,0),0)))</f>
        <v>0</v>
      </c>
      <c r="DS178" s="43" t="str">
        <f aca="false">IF(Tasks[[#This Row],[_Res1Text]]="","",IF(Tasks[[#This Row],[_Res1Row]]&gt;0,INDEX(res_Name,Tasks[[#This Row],[_Res1Row]]),TRIM(LEFT(Tasks[[#This Row],[_Res1Text]],FIND("[",Tasks[[#This Row],[_Res1Text]]&amp;"[")-1))))</f>
        <v/>
      </c>
      <c r="DT1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8" s="43" t="n">
        <f aca="false">IF(NOT(Tasks[[#This Row],[_IsLeaf]]=1),0,(Tasks[[#This Row],[_Resource1]]&lt;&gt;"")+(Tasks[[#This Row],[_Res2]]&lt;&gt;"")+(Tasks[[#This Row],[_Res3]]&lt;&gt;"")+(Tasks[[#This Row],[_Res4]]&lt;&gt;""))</f>
        <v>0</v>
      </c>
      <c r="DV178" s="43" t="str">
        <f aca="false">IF(Tasks[[#This Row],[_Res2Text]]="","",IF(Tasks[[#This Row],[_Res2Row]]&gt;0,INDEX(res_Name,Tasks[[#This Row],[_Res2Row]]),TRIM(LEFT(Tasks[[#This Row],[_Res2Text]],FIND("[",Tasks[[#This Row],[_Res2Text]]&amp;"[")-1))))</f>
        <v/>
      </c>
      <c r="DW1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8" s="43" t="n">
        <f aca="false">IF(OR(NOT(Tasks[[#This Row],[_IsLeaf]]=1),Tasks[[#This Row],[_Res2Row]]=0),0,N(Tasks[[#This Row],[_Days]])*HoursPerDay*IF(Tasks[[#This Row],[_Res2Units]]="",DefaultUnits,Tasks[[#This Row],[_Res2Units]]))</f>
        <v>0</v>
      </c>
      <c r="DY178" s="43" t="n">
        <f aca="false">IF(AND(AND(Tasks[[#This Row],[_IsLeaf]]=1,Tasks[[#This Row],[_LeafTotalWork]]&gt;0),Tasks[[#This Row],[_Res2Work]]&gt;0),Tasks[[#This Row],[_Res2Work]]/(Tasks[[#This Row],[_FinishWorkday]]-Tasks[[#This Row],[_StartWorkday]]+1),0)</f>
        <v>0</v>
      </c>
      <c r="DZ178" s="43" t="n">
        <f aca="false">Tasks[[#This Row],[_Res2WorkPerWD]]*MAX(0,Tasks[[#This Row],[_StartWorkday]]-1)</f>
        <v>0</v>
      </c>
      <c r="EA178" s="43" t="n">
        <f aca="false">Tasks[[#This Row],[_Res2Work]]*Tasks[[#This Row],[_LeafProgress]]</f>
        <v>0</v>
      </c>
      <c r="EB178" s="43" t="str">
        <f aca="false">IF(Tasks[[#This Row],[_Res3Text]]="","",IF(Tasks[[#This Row],[_Res3Row]]&gt;0,INDEX(res_Name,Tasks[[#This Row],[_Res3Row]]),TRIM(LEFT(Tasks[[#This Row],[_Res3Text]],FIND("[",Tasks[[#This Row],[_Res3Text]]&amp;"[")-1))))</f>
        <v/>
      </c>
      <c r="EC1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8" s="43" t="n">
        <f aca="false">IF(OR(NOT(Tasks[[#This Row],[_IsLeaf]]=1),Tasks[[#This Row],[_Res3Row]]=0),0,N(Tasks[[#This Row],[_Days]])*HoursPerDay*IF(Tasks[[#This Row],[_Res3Units]]="",DefaultUnits,Tasks[[#This Row],[_Res3Units]]))</f>
        <v>0</v>
      </c>
      <c r="EE178" s="43" t="n">
        <f aca="false">IF(AND(AND(Tasks[[#This Row],[_IsLeaf]]=1,Tasks[[#This Row],[_LeafTotalWork]]&gt;0),Tasks[[#This Row],[_Res3Work]]&gt;0),Tasks[[#This Row],[_Res3Work]]/(Tasks[[#This Row],[_FinishWorkday]]-Tasks[[#This Row],[_StartWorkday]]+1),0)</f>
        <v>0</v>
      </c>
      <c r="EF178" s="43" t="n">
        <f aca="false">Tasks[[#This Row],[_Res3WorkPerWD]]*MAX(0,Tasks[[#This Row],[_StartWorkday]]-1)</f>
        <v>0</v>
      </c>
      <c r="EG178" s="43" t="n">
        <f aca="false">Tasks[[#This Row],[_Res3Work]]*Tasks[[#This Row],[_LeafProgress]]</f>
        <v>0</v>
      </c>
      <c r="EH178" s="43" t="str">
        <f aca="false">IF(Tasks[[#This Row],[_Res4Text]]="","",IF(Tasks[[#This Row],[_Res4Row]]&gt;0,INDEX(res_Name,Tasks[[#This Row],[_Res4Row]]),TRIM(LEFT(Tasks[[#This Row],[_Res4Text]],FIND("[",Tasks[[#This Row],[_Res4Text]]&amp;"[")-1))))</f>
        <v/>
      </c>
      <c r="EI1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8" s="43" t="n">
        <f aca="false">IF(OR(NOT(Tasks[[#This Row],[_IsLeaf]]=1),Tasks[[#This Row],[_Res4Row]]=0),0,N(Tasks[[#This Row],[_Days]])*HoursPerDay*IF(Tasks[[#This Row],[_Res4Units]]="",DefaultUnits,Tasks[[#This Row],[_Res4Units]]))</f>
        <v>0</v>
      </c>
      <c r="EK178" s="43" t="n">
        <f aca="false">IF(AND(AND(Tasks[[#This Row],[_IsLeaf]]=1,Tasks[[#This Row],[_LeafTotalWork]]&gt;0),Tasks[[#This Row],[_Res4Work]]&gt;0),Tasks[[#This Row],[_Res4Work]]/(Tasks[[#This Row],[_FinishWorkday]]-Tasks[[#This Row],[_StartWorkday]]+1),0)</f>
        <v>0</v>
      </c>
      <c r="EL178" s="43" t="n">
        <f aca="false">Tasks[[#This Row],[_Res4WorkPerWD]]*MAX(0,Tasks[[#This Row],[_StartWorkday]]-1)</f>
        <v>0</v>
      </c>
      <c r="EM178" s="43" t="n">
        <f aca="false">Tasks[[#This Row],[_Res4Work]]*Tasks[[#This Row],[_LeafProgress]]</f>
        <v>0</v>
      </c>
      <c r="EN178" s="43" t="n">
        <f aca="false">IF(ISNUMBER(Tasks[[#This Row],[% Complete]]),Tasks[[#This Row],[% Complete]],IF(Tasks[[#This Row],[Stage]]="",0,IFERROR(INDEX(stg_Pct,MATCH(Tasks[[#This Row],[Stage]],stg_Name,0)),0)))</f>
        <v>0</v>
      </c>
      <c r="EO178" s="43" t="n">
        <f aca="false">IF(NOT(Tasks[[#This Row],[_IsLeaf]]=1),0,IF(N(Tasks[[#This Row],[Actual Finish]])&gt;0,1,MIN(1,Tasks[[#This Row],[_Pct]])))</f>
        <v>0</v>
      </c>
      <c r="EP178" s="43" t="n">
        <f aca="false">IF(OR(NOT(Tasks[[#This Row],[_IsLeaf]]=1),Tasks[[#This Row],[_Res1Row]]=0),0,N(Tasks[[#This Row],[_Days]])*HoursPerDay*IF(Tasks[[#This Row],[_Units1]]="",DefaultUnits,Tasks[[#This Row],[_Units1]]))</f>
        <v>0</v>
      </c>
      <c r="EQ178" s="43" t="n">
        <f aca="false">Tasks[[#This Row],[_LeafWork]]+Tasks[[#This Row],[_Res2Work]]+Tasks[[#This Row],[_Res3Work]]+Tasks[[#This Row],[_Res4Work]]</f>
        <v>0</v>
      </c>
      <c r="ER17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8" s="43" t="n">
        <f aca="false">IF(NOT(Tasks[[#This Row],[_IsLeaf]]=1),0,MAX(_xlfn.MAXIFS(Tasks[_Row],Tasks[_Pred1UID],Tasks[[#This Row],[UID]]),_xlfn.MAXIFS(Tasks[_Row],Tasks[_Pred2UID],Tasks[[#This Row],[UID]]),_xlfn.MAXIFS(Tasks[_Row],Tasks[_Pred3UID],Tasks[[#This Row],[UID]]),_xlfn.MAXIFS(Tasks[_Row],Tasks[_Pred4UID],Tasks[[#This Row],[UID]])))</f>
        <v>0</v>
      </c>
      <c r="FA1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8" s="91" t="str">
        <f aca="false">IF(NOT(Tasks[[#This Row],[_IsLeaf]]=1),"",IF(N(Tasks[[#This Row],[_Days]])&lt;=0,Tasks[[#This Row],[_LeafLateFinish]],WORKDAY.INTL(Tasks[[#This Row],[_LeafLateFinish]],-(Tasks[[#This Row],[_Days]]-1),WorkWeek,Holidays)))</f>
        <v/>
      </c>
      <c r="FD1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8" s="90" t="b">
        <f aca="false">AND(Tasks[[#This Row],[_IsLeaf]]=1,Tasks[[#This Row],[_LeafProgress]]&lt;1,N(Tasks[[#This Row],[_LeafTotalSlack]])&lt;=CriticalSlackDays)</f>
        <v>0</v>
      </c>
      <c r="FF178" s="43" t="n">
        <f aca="false">IF(AND(Tasks[[#This Row],[_IsLeaf]]=1,Tasks[[#This Row],[_ConstraintCode]]=1,Tasks[[#This Row],[Mode]]&lt;&gt;"Manual",N(Tasks[[#This Row],[Actual Start]])=0),MAX(0,N(Tasks[[#This Row],[Free Slack]])),0)</f>
        <v>0</v>
      </c>
      <c r="FG178" s="91" t="str">
        <f aca="false">IF(NOT(Tasks[[#This Row],[_IsLeaf]]=1),"",IF(Tasks[[#This Row],[_AlapShift]]=0,Tasks[[#This Row],[_LeafCalcStart]],WORKDAY.INTL(Tasks[[#This Row],[_LeafCalcStart]],Tasks[[#This Row],[_AlapShift]],WorkWeek,Holidays)))</f>
        <v/>
      </c>
      <c r="FH178" s="91" t="str">
        <f aca="false">IF(NOT(Tasks[[#This Row],[_IsLeaf]]=1),"",IF(Tasks[[#This Row],[_AlapShift]]=0,Tasks[[#This Row],[_LeafCalcFinish]],WORKDAY.INTL(Tasks[[#This Row],[_LeafCalcFinish]],Tasks[[#This Row],[_AlapShift]],WorkWeek,Holidays)))</f>
        <v/>
      </c>
      <c r="FI178" s="91" t="str">
        <f aca="false">IF(NOT(Tasks[[#This Row],[_IsLeaf]]=1),"",IF(Tasks[[#This Row],[_AlapShift]]=0,Tasks[[#This Row],[_LeafFcstStart]],WORKDAY.INTL(Tasks[[#This Row],[_LeafFcstStart]],Tasks[[#This Row],[_AlapShift]],WorkWeek,Holidays)))</f>
        <v/>
      </c>
      <c r="FJ178" s="91" t="str">
        <f aca="false">IF(NOT(Tasks[[#This Row],[_IsLeaf]]=1),"",IF(Tasks[[#This Row],[_AlapShift]]=0,Tasks[[#This Row],[_LeafFcstFinish]],WORKDAY.INTL(Tasks[[#This Row],[_LeafFcstFinish]],Tasks[[#This Row],[_AlapShift]],WorkWeek,Holidays)))</f>
        <v/>
      </c>
      <c r="FK178" s="91" t="str">
        <f aca="false">IF(Tasks[[#This Row],[Task Name]]="","",IF(Tasks[[#This Row],[_IsSummary]],MIN(INDEX(Tasks[_ShownCalcStart],Tasks[[#This Row],[_Row]]+1):INDEX(Tasks[_ShownCalcStart],Tasks[[#This Row],[_Row]]+Tasks[[#This Row],[_Descendants]])),Tasks[[#This Row],[_ShownCalcStart]]))</f>
        <v/>
      </c>
      <c r="FL178" s="91" t="str">
        <f aca="false">IF(Tasks[[#This Row],[Task Name]]="","",IF(Tasks[[#This Row],[_IsSummary]],MAX(INDEX(Tasks[_ShownCalcFinish],Tasks[[#This Row],[_Row]]+1):INDEX(Tasks[_ShownCalcFinish],Tasks[[#This Row],[_Row]]+Tasks[[#This Row],[_Descendants]])),Tasks[[#This Row],[_ShownCalcFinish]]))</f>
        <v/>
      </c>
      <c r="FM1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8" s="43" t="n">
        <f aca="false">IF(AND(Tasks[[#This Row],[_IsLeaf]]=1,Tasks[[#This Row],[_LeafTotalWork]]&gt;0),NETWORKDAYS.INTL(ProjectStart,Tasks[[#This Row],[_ShownFcstStart]],WorkWeek,Holidays),0)</f>
        <v>0</v>
      </c>
      <c r="FZ178" s="43" t="n">
        <f aca="false">IF(AND(Tasks[[#This Row],[_IsLeaf]]=1,Tasks[[#This Row],[_LeafTotalWork]]&gt;0),MAX(Tasks[[#This Row],[_StartWorkday]],NETWORKDAYS.INTL(ProjectStart,Tasks[[#This Row],[_ShownFcstFinish]],WorkWeek,Holidays)),0)</f>
        <v>0</v>
      </c>
      <c r="GA178" s="43" t="n">
        <f aca="false">IF(AND(Tasks[[#This Row],[_IsLeaf]]=1,Tasks[[#This Row],[_LeafTotalWork]]&gt;0),Tasks[[#This Row],[_LeafWork]]/(Tasks[[#This Row],[_FinishWorkday]]-Tasks[[#This Row],[_StartWorkday]]+1),0)</f>
        <v>0</v>
      </c>
      <c r="GB178" s="43" t="n">
        <f aca="false">Tasks[[#This Row],[_WorkPerWorkday]]*(Tasks[[#This Row],[_StartWorkday]]-1)</f>
        <v>-0</v>
      </c>
      <c r="GC178" s="43" t="n">
        <f aca="false">IF(Tasks[[#This Row],[_IsLeaf]]=1,MAX(N(Tasks[[#This Row],[_Days]]),0.1),0)</f>
        <v>0</v>
      </c>
      <c r="GD178" s="43" t="n">
        <f aca="false">Tasks[[#This Row],[_WeightDur]]*Tasks[[#This Row],[_LeafProgress]]</f>
        <v>0</v>
      </c>
      <c r="GE178" s="43" t="n">
        <f aca="false">Tasks[[#This Row],[_WeightDur]]*Tasks[[#This Row],[_PlannedPct]]</f>
        <v>0</v>
      </c>
      <c r="GF1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8" s="43" t="str">
        <f aca="false">IF(AND(Tasks[[#This Row],[_IsLeaf]]=1,N(Tasks[[#This Row],[_Days]])=0,Tasks[[#This Row],[_LeafProgress]]&lt;1),Tasks[[#This Row],[_ShownFcstFinish]]+Tasks[[#This Row],[_Row]]/100000,"")</f>
        <v/>
      </c>
      <c r="GH1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8" s="43" t="str">
        <f aca="false">IF(Tasks[[#This Row],[Task Name]]="","",LEFT(Tasks[[#This Row],[WBS]],FIND(".",Tasks[[#This Row],[WBS]]&amp;".")-1))</f>
        <v/>
      </c>
      <c r="GJ178" s="43" t="str">
        <f aca="false">IF(AND(Tasks[[#This Row],[Task Name]]&lt;&gt;"",Tasks[[#This Row],[_Level]]=1),Tasks[[#This Row],[_Row]],"")</f>
        <v/>
      </c>
      <c r="GK178" s="43" t="str">
        <f aca="false">IF(AND(Tasks[[#This Row],[_IsLeaf]]=1,N(Tasks[[#This Row],[_Days]])=0),Tasks[[#This Row],[Planned Finish]]+Tasks[[#This Row],[_Row]]/100000,"")</f>
        <v/>
      </c>
      <c r="GL178" s="43" t="str">
        <f aca="false">IF(AND(Tasks[[#This Row],[_IsLeaf]]=1,Tasks[[#This Row],[_LeafProgress]]&lt;1,OR(N(Tasks[[#This Row],[Finish Var]])&gt;0,Tasks[[#This Row],[Status]]="Late Start")),MAX(0,Tasks[[#This Row],[Finish Var]])+1-Tasks[[#This Row],[_Row]]/1000000,"")</f>
        <v/>
      </c>
      <c r="GM178" s="43" t="str">
        <f aca="false">IF(AND(Tasks[[#This Row],[_IsLeaf]]=1,N(Tasks[[#This Row],[Actual Start]])=0,Tasks[[#This Row],[_ShownFcstStart]]&gt;=StatusDate,Tasks[[#This Row],[_ShownFcstStart]]&lt;=LookaheadEnd),Tasks[[#This Row],[_ShownFcstStart]]+Tasks[[#This Row],[_Row]]/100000,"")</f>
        <v/>
      </c>
      <c r="GN178" s="43" t="str">
        <f aca="false">IF(AND(Tasks[[#This Row],[_IsLeaf]]=1,Tasks[[#This Row],[_LeafProgress]]&lt;1,Tasks[[#This Row],[_ShownFcstFinish]]&gt;=StatusDate,Tasks[[#This Row],[_ShownFcstFinish]]&lt;=LookaheadEnd),Tasks[[#This Row],[_ShownFcstFinish]]+Tasks[[#This Row],[_Row]]/100000,"")</f>
        <v/>
      </c>
      <c r="GO178" s="43" t="str">
        <f aca="false">IF(Tasks[[#This Row],[_LeafCritical]],Tasks[[#This Row],[_ShownFcstStart]]+Tasks[[#This Row],[_Row]]/100000,"")</f>
        <v/>
      </c>
      <c r="GP178" s="43" t="n">
        <f aca="false">Tasks[[#This Row],[_LeafWork]]*Tasks[[#This Row],[_LeafProgress]]</f>
        <v>0</v>
      </c>
      <c r="GQ178" s="91" t="str">
        <f aca="false">IF(AND(Tasks[[#This Row],[_IsLeaf]]=1,Tasks[[#This Row],[_LeafProgress]]&gt;=1),IF(N(Tasks[[#This Row],[Actual Finish]])&gt;0,Tasks[[#This Row],[Actual Finish]],Tasks[[#This Row],[_ShownFcstFinish]]),"")</f>
        <v/>
      </c>
      <c r="GR178" s="43" t="n">
        <f aca="false">IF(Tasks[[#This Row],[_IsLeaf]]=1,N(Tasks[[#This Row],[Story Points]]),0)</f>
        <v>0</v>
      </c>
      <c r="GS178" s="43" t="str">
        <f aca="false">""</f>
        <v/>
      </c>
      <c r="GT178" s="90" t="b">
        <f aca="false">IF(Tasks[[#This Row],[Task Name]]="",FALSE(),AND(Tasks[[#This Row],[_IsLeaf]]=1,N(Tasks[[#This Row],[_Days]])=0))</f>
        <v>0</v>
      </c>
      <c r="GU178" s="91" t="n">
        <f aca="false">IF(Tasks[[#This Row],[Task Name]]="",0,IF(AND(Tasks[[#This Row],[_IsLeaf]]=1,NOT(Tasks[[#This Row],[_IsMilestone]]),N(Tasks[[#This Row],[Progress]])&gt;0),Tasks[[#This Row],[Start]],0))</f>
        <v>0</v>
      </c>
      <c r="GV178" s="91" t="n">
        <f aca="false">IF(Tasks[[#This Row],[_DoneFrom]]=0,0,IF(Tasks[[#This Row],[Progress]]&gt;=1,Tasks[[#This Row],[Finish]],MAX(Tasks[[#This Row],[_DoneFrom]],Tasks[[#This Row],[Start]]+ROUND((Tasks[[#This Row],[Finish]]-Tasks[[#This Row],[Start]]+1)*Tasks[[#This Row],[Progress]],0)-1)))</f>
        <v>0</v>
      </c>
      <c r="GW178" s="91" t="n">
        <f aca="false">IF(Tasks[[#This Row],[Task Name]]="",0,IF(OR(NOT(Tasks[[#This Row],[_IsLeaf]]=1),Tasks[[#This Row],[_IsMilestone]],N(Tasks[[#This Row],[Progress]])&gt;=1),0,IF(Tasks[[#This Row],[_DoneTo]]&gt;0,Tasks[[#This Row],[_DoneTo]]+1,Tasks[[#This Row],[Start]])))</f>
        <v>0</v>
      </c>
      <c r="GX178" s="91" t="n">
        <f aca="false">IF(Tasks[[#This Row],[_RemFrom]]=0,0,Tasks[[#This Row],[Finish]])</f>
        <v>0</v>
      </c>
      <c r="GY178" s="90" t="b">
        <f aca="false">IF(Tasks[[#This Row],[Task Name]]="",FALSE(),OR(NOT(BaselineSet),N(Tasks[[#This Row],[Baseline Start]])&gt;0))</f>
        <v>0</v>
      </c>
      <c r="GZ17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8" s="92" t="str">
        <f aca="false">IF(Tasks[[#This Row],[_IsLeaf]]=1,Tasks[[#This Row],[_Row]],"")</f>
        <v/>
      </c>
      <c r="HD178" s="92" t="str">
        <f aca="false">IFERROR(INDEX(Tasks[UID],SMALL(Tasks[_PickKey],Tasks[[#This Row],[_Row]]))&amp;" "&amp;INDEX(Tasks[Task Name],SMALL(Tasks[_PickKey],Tasks[[#This Row],[_Row]])),"")</f>
        <v/>
      </c>
      <c r="HE178" s="43" t="str">
        <f aca="false">IF(Tasks[[#This Row],[Task Name]]="","",IF(Tasks[[#This Row],[_IsSummary]],NETWORKDAYS.INTL(Tasks[[#This Row],[Start]],Tasks[[#This Row],[Finish]],WorkWeek,Holidays),N(Tasks[[#This Row],[_Days]])))</f>
        <v/>
      </c>
      <c r="HF178" s="43" t="n">
        <f aca="false">IF(Tasks[[#This Row],[Expected]]="",0,((Tasks[[#This Row],[Pessimistic]]-Tasks[[#This Row],[Optimistic]])/6)^2)</f>
        <v>0</v>
      </c>
      <c r="HG178" s="43" t="n">
        <f aca="false">IF(Tasks[[#This Row],[Expected]]="",0,Tasks[[#This Row],[Expected]]-N(Tasks[[#This Row],[_Days]]))</f>
        <v>0</v>
      </c>
    </row>
    <row r="179" customFormat="false" ht="15" hidden="false" customHeight="false" outlineLevel="0" collapsed="false">
      <c r="A179" s="21" t="str">
        <f aca="false">IF(Tasks[[#This Row],[Task Name]]="","",COUNTA(Tasks[[#Headers],[Task Name]]:Tasks[[#This Row],[Task Name]])-1)</f>
        <v/>
      </c>
      <c r="B179" s="22" t="n">
        <v>187</v>
      </c>
      <c r="C179" s="22"/>
      <c r="D179" s="23"/>
      <c r="E179" s="22"/>
      <c r="F179" s="23"/>
      <c r="G179" s="22"/>
      <c r="H179" s="22"/>
      <c r="I179" s="23"/>
      <c r="J179" s="22"/>
      <c r="K179" s="22"/>
      <c r="L179" s="23"/>
      <c r="M179" s="22"/>
      <c r="N179" s="22"/>
      <c r="O179" s="23"/>
      <c r="P179" s="22"/>
      <c r="Q179" s="22"/>
      <c r="R179" s="23"/>
      <c r="S179" s="23"/>
      <c r="T179" s="84"/>
      <c r="U179" s="23"/>
      <c r="V179" s="84"/>
      <c r="W179" s="23"/>
      <c r="X179" s="84"/>
      <c r="Y179" s="23"/>
      <c r="Z179" s="84"/>
      <c r="AA179" s="23"/>
      <c r="AB179" s="23"/>
      <c r="AC179" s="7"/>
      <c r="AD179" s="7"/>
      <c r="AE179" s="63" t="str">
        <f aca="false">IF(Tasks[[#This Row],[Task Name]]="","",IF(Tasks[[#This Row],[_IsSummary]],MIN(INDEX(Tasks[_ShownFcstStart],Tasks[[#This Row],[_Row]]+1):INDEX(Tasks[_ShownFcstStart],Tasks[[#This Row],[_Row]]+Tasks[[#This Row],[_Descendants]])),Tasks[[#This Row],[_ShownFcstStart]]))</f>
        <v/>
      </c>
      <c r="AF179" s="63" t="str">
        <f aca="false">IF(Tasks[[#This Row],[Task Name]]="","",IF(Tasks[[#This Row],[_IsSummary]],MAX(INDEX(Tasks[_ShownFcstFinish],Tasks[[#This Row],[_Row]]+1):INDEX(Tasks[_ShownFcstFinish],Tasks[[#This Row],[_Row]]+Tasks[[#This Row],[_Descendants]])),Tasks[[#This Row],[_ShownFcstFinish]]))</f>
        <v/>
      </c>
      <c r="AG179" s="21" t="str">
        <f aca="false">""</f>
        <v/>
      </c>
      <c r="AH179" s="23"/>
      <c r="AI1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9" s="7"/>
      <c r="AK179" s="22"/>
      <c r="AL179" s="23"/>
      <c r="AM179" s="7"/>
      <c r="AN179" s="47" t="str">
        <f aca="false">IF(Tasks[[#This Row],[Task Name]]="","",IF(Tasks[[#This Row],[Finish]]&gt;=Tasks[[#This Row],[Planned Finish]],NETWORKDAYS.INTL(Tasks[[#This Row],[Planned Finish]],Tasks[[#This Row],[Finish]],WorkWeek,Holidays)-1,1-NETWORKDAYS.INTL(Tasks[[#This Row],[Finish]],Tasks[[#This Row],[Planned Finish]],WorkWeek,Holidays)))</f>
        <v/>
      </c>
      <c r="AO179" s="21" t="str">
        <f aca="false">IF(Tasks[[#This Row],[Task Name]]="","",IF(Tasks[[#This Row],[Progress]]&gt;=1,"Complete",IF(OR(N(Tasks[[#This Row],[Actual Start]])&gt;0,Tasks[[#This Row],[Progress]]&gt;0),IF(Tasks[[#This Row],[Finish Var]]&gt;0,"Behind","In Progress"),IF(Tasks[[#This Row],[Planned Start]]&lt;StatusDate,"Late Start","Not Started"))))</f>
        <v/>
      </c>
      <c r="AP179" s="21" t="str">
        <f aca="false">IF(Tasks[[#This Row],[Task Name]]="","",IF(IF(Tasks[[#This Row],[_IsSummary]],COUNTIF(INDEX(Tasks[_LeafCritical],Tasks[[#This Row],[_Row]]+1):INDEX(Tasks[_LeafCritical],Tasks[[#This Row],[_Row]]+Tasks[[#This Row],[_Descendants]]),TRUE())&gt;0,Tasks[[#This Row],[_LeafCritical]]),"Yes",""))</f>
        <v/>
      </c>
      <c r="AQ179" s="63" t="str">
        <f aca="false">IF(Tasks[[#This Row],[Task Name]]="","",IF(N(Tasks[[#This Row],[Baseline Start]])&gt;0,Tasks[[#This Row],[Baseline Start]],Tasks[[#This Row],[_CalcStart]]))</f>
        <v/>
      </c>
      <c r="AR179" s="63" t="str">
        <f aca="false">IF(Tasks[[#This Row],[Task Name]]="","",IF(N(Tasks[[#This Row],[Baseline Finish]])&gt;0,Tasks[[#This Row],[Baseline Finish]],Tasks[[#This Row],[_CalcFinish]]))</f>
        <v/>
      </c>
      <c r="AS179" s="47" t="str">
        <f aca="false">IF(Tasks[[#This Row],[Task Name]]="","",IF(Tasks[[#This Row],[Start]]&gt;=Tasks[[#This Row],[Planned Start]],NETWORKDAYS.INTL(Tasks[[#This Row],[Planned Start]],Tasks[[#This Row],[Start]],WorkWeek,Holidays)-1,1-NETWORKDAYS.INTL(Tasks[[#This Row],[Start]],Tasks[[#This Row],[Planned Start]],WorkWeek,Holidays)))</f>
        <v/>
      </c>
      <c r="AT179" s="63" t="str">
        <f aca="false">IF(Tasks[[#This Row],[Task Name]]="","",IF(Tasks[[#This Row],[_IsSummary]],MIN(INDEX(Tasks[_LeafLateStart],Tasks[[#This Row],[_Row]]+1):INDEX(Tasks[_LeafLateStart],Tasks[[#This Row],[_Row]]+Tasks[[#This Row],[_Descendants]])),Tasks[[#This Row],[_LeafLateStart]]))</f>
        <v/>
      </c>
      <c r="AU179" s="63" t="str">
        <f aca="false">IF(Tasks[[#This Row],[Task Name]]="","",IF(Tasks[[#This Row],[_IsSummary]],MAX(INDEX(Tasks[_LeafLateFinish],Tasks[[#This Row],[_Row]]+1):INDEX(Tasks[_LeafLateFinish],Tasks[[#This Row],[_Row]]+Tasks[[#This Row],[_Descendants]])),Tasks[[#This Row],[_LeafLateFinish]]))</f>
        <v/>
      </c>
      <c r="AV179" s="47" t="str">
        <f aca="false">IF(Tasks[[#This Row],[Task Name]]="","",IF(Tasks[[#This Row],[_IsSummary]],MIN(INDEX(Tasks[_LeafTotalSlack],Tasks[[#This Row],[_Row]]+1):INDEX(Tasks[_LeafTotalSlack],Tasks[[#This Row],[_Row]]+Tasks[[#This Row],[_Descendants]])),Tasks[[#This Row],[_LeafTotalSlack]]))</f>
        <v/>
      </c>
      <c r="AW1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5"/>
      <c r="BA17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t="str">
        <f aca="false">IF(Tasks[[#This Row],[Task Name]]="","",IF(Tasks[[#This Row],[_Level]]&lt;=OutlineShowLevel,"Yes","No"))</f>
        <v/>
      </c>
      <c r="BE179" s="86" t="str">
        <f aca="false">IF(Tasks[[#This Row],[Task Name]]="","",IF(Tasks[[#This Row],[_IsSummary]],SUM(INDEX(Tasks[_LeafTotalWork],Tasks[[#This Row],[_Row]]+1):INDEX(Tasks[_LeafTotalWork],Tasks[[#This Row],[_Row]]+Tasks[[#This Row],[_Descendants]])),Tasks[[#This Row],[_LeafTotalWork]]))</f>
        <v/>
      </c>
      <c r="BF179" s="23"/>
      <c r="BG1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t="str">
        <f aca="false">""</f>
        <v/>
      </c>
      <c r="BI179" s="87"/>
      <c r="BJ179" s="22"/>
      <c r="BK179" s="47" t="str">
        <f aca="false">IF(OR(Tasks[[#This Row],[Task Name]]="",Tasks[[#This Row],[Baseline Duration]]=""),"",Tasks[[#This Row],[_SpanDays]]-N(Tasks[[#This Row],[Baseline Duration]]))</f>
        <v/>
      </c>
      <c r="BL179" s="86" t="str">
        <f aca="false">IF(OR(Tasks[[#This Row],[Task Name]]="",Tasks[[#This Row],[Baseline Work]]=""),"",Tasks[[#This Row],[Work]]-N(Tasks[[#This Row],[Baseline Work]]))</f>
        <v/>
      </c>
      <c r="BM179" s="63" t="str">
        <f aca="false">IF(Tasks[[#This Row],[Task Name]]="","",IF(OR(TakeBaseline="Yes",N(Tasks[[#This Row],[Baseline Start]])=0),Tasks[[#This Row],[Start]],Tasks[[#This Row],[Baseline Start]]))</f>
        <v/>
      </c>
      <c r="BN179" s="63" t="str">
        <f aca="false">IF(Tasks[[#This Row],[Task Name]]="","",IF(OR(TakeBaseline="Yes",N(Tasks[[#This Row],[Baseline Finish]])=0),Tasks[[#This Row],[Finish]],Tasks[[#This Row],[Baseline Finish]]))</f>
        <v/>
      </c>
      <c r="BO179" s="21" t="str">
        <f aca="false">IF(Tasks[[#This Row],[Task Name]]="","",IF(OR(TakeBaseline="Yes",N(Tasks[[#This Row],[Baseline Duration]])=0),Tasks[[#This Row],[_SpanDays]],Tasks[[#This Row],[Baseline Duration]]))</f>
        <v/>
      </c>
      <c r="BP179" s="86" t="str">
        <f aca="false">IF(Tasks[[#This Row],[Task Name]]="","",IF(OR(TakeBaseline="Yes",N(Tasks[[#This Row],[Baseline Work]])=0),Tasks[[#This Row],[Work]],Tasks[[#This Row],[Baseline Work]]))</f>
        <v/>
      </c>
      <c r="BQ179" s="7"/>
      <c r="BR179" s="7"/>
      <c r="BS179" s="22"/>
      <c r="BT179" s="88"/>
      <c r="BU179" s="23"/>
      <c r="BV179" s="23"/>
      <c r="BW179" s="23"/>
      <c r="BX179" s="89" t="str">
        <f aca="false">IF(AND(Tasks[[#This Row],[_IsLeaf]]=1,ISNUMBER(Tasks[[#This Row],[Optimistic]]),ISNUMBER(Tasks[[#This Row],[Pessimistic]])),ROUND((Tasks[[#This Row],[Optimistic]]+4*N(Tasks[[#This Row],[_Days]])+Tasks[[#This Row],[Pessimistic]])/6,1),"")</f>
        <v/>
      </c>
      <c r="BY179" s="87"/>
      <c r="BZ179" s="87"/>
      <c r="CA179" s="22"/>
      <c r="CB179" s="43" t="str">
        <f aca="false">IF(Tasks[[#This Row],[Task Name]]="","",MAX(1,N(Tasks[[#This Row],[Level]])))</f>
        <v/>
      </c>
      <c r="CC179" s="43" t="n">
        <f aca="false">ROW()-ROW(Tasks[[#Headers],[ID]])</f>
        <v>174</v>
      </c>
      <c r="CD179" s="43" t="n">
        <f aca="false">IF(OR(Tasks[[#This Row],[Task Name]]="",Tasks[[#This Row],[_Level]]&lt;=1),0,IFERROR(LOOKUP(2,1/(Tasks[[#Headers],[_Level]]:Tasks[[#This Row],[_Level]]=Tasks[[#This Row],[_Level]]-1),ROW(Tasks[[#Headers],[_Level]]:Tasks[[#This Row],[_Level]])),0))</f>
        <v>0</v>
      </c>
      <c r="CE179" s="43" t="n">
        <f aca="false">IFERROR(N(INDEX(Tasks[_Level],Tasks[[#This Row],[_Row]]+1)),0)</f>
        <v>0</v>
      </c>
      <c r="CF179" s="90" t="b">
        <f aca="false">AND(Tasks[[#This Row],[Task Name]]&lt;&gt;"",Tasks[[#This Row],[_NextLevel]]&gt;Tasks[[#This Row],[_Level]])</f>
        <v>0</v>
      </c>
      <c r="CG179" s="43" t="n">
        <f aca="false">IF(Tasks[[#This Row],[_IsSummary]],COUNTIF(Tasks[WBS],Tasks[[#This Row],[WBS]]&amp;".*"),0)</f>
        <v>0</v>
      </c>
      <c r="CH179" s="43" t="n">
        <f aca="false">IF(AND(Tasks[[#This Row],[Task Name]]&lt;&gt;"",NOT(Tasks[[#This Row],[_IsSummary]])),1,0)</f>
        <v>0</v>
      </c>
      <c r="CI179" s="43" t="n">
        <f aca="false">IF(N(Tasks[[#This Row],[_Pred1UID]])=0,0,IFERROR(MATCH(Tasks[[#This Row],[_Pred1UID]],Tasks[UID],0),-1))</f>
        <v>0</v>
      </c>
      <c r="CJ179" s="43" t="n">
        <f aca="false">IF(N(Tasks[[#This Row],[_Pred2UID]])=0,0,IFERROR(MATCH(Tasks[[#This Row],[_Pred2UID]],Tasks[UID],0),-1))</f>
        <v>0</v>
      </c>
      <c r="CK179" s="43" t="n">
        <f aca="false">IF(N(Tasks[[#This Row],[_Pred3UID]])=0,0,IFERROR(MATCH(Tasks[[#This Row],[_Pred3UID]],Tasks[UID],0),-1))</f>
        <v>0</v>
      </c>
      <c r="CL179" s="43" t="n">
        <f aca="false">IF(N(Tasks[[#This Row],[_Pred4UID]])=0,0,IFERROR(MATCH(Tasks[[#This Row],[_Pred4UID]],Tasks[UID],0),-1))</f>
        <v>0</v>
      </c>
      <c r="CM1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9" s="91" t="n">
        <f aca="false">IF(OR(Tasks[[#This Row],[_ConstraintCode]]=2,Tasks[[#This Row],[_ConstraintCode]]=3,Tasks[[#This Row],[_ConstraintCode]]=4,Tasks[[#This Row],[_ConstraintCode]]=6),Tasks[[#This Row],[_ConstraintStart]],0)</f>
        <v>0</v>
      </c>
      <c r="CP179" s="91" t="n">
        <f aca="false">IF(OR(Tasks[[#This Row],[_ConstraintCode]]=2,Tasks[[#This Row],[_ConstraintCode]]=3,Tasks[[#This Row],[_ConstraintCode]]=5,Tasks[[#This Row],[_ConstraintCode]]=7),Tasks[[#This Row],[_ConstraintStart]],2958465)</f>
        <v>2958465</v>
      </c>
      <c r="CQ1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9" s="91" t="str">
        <f aca="false">IF(NOT(Tasks[[#This Row],[_IsLeaf]]=1),"",IF(N(Tasks[[#This Row],[_Days]])&lt;=0,Tasks[[#This Row],[_LeafCalcStart]],WORKDAY.INTL(Tasks[[#This Row],[_LeafCalcStart]],Tasks[[#This Row],[_Days]]-1,WorkWeek,Holidays)))</f>
        <v/>
      </c>
      <c r="CS1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9" s="43" t="str">
        <f aca="false">IF(Tasks[[#This Row],[_Predecessors]]="","",TRIM(MID(SUBSTITUTE(SUBSTITUTE(SUBSTITUTE(UPPER(Tasks[[#This Row],[_Predecessors]]),";",",")," ",""),",",REPT(" ",99)),1,99)))</f>
        <v/>
      </c>
      <c r="CV179" s="43" t="str">
        <f aca="false">IF(Tasks[[#This Row],[_Pred1Text]]="","",IFERROR(VALUE(LEFT(Tasks[[#This Row],[_Pred1Text]],MIN(FIND("F",Tasks[[#This Row],[_Pred1Text]]&amp;"F"),FIND("S",Tasks[[#This Row],[_Pred1Text]]&amp;"S"),FIND("+",Tasks[[#This Row],[_Pred1Text]]&amp;"+"),FIND("-",Tasks[[#This Row],[_Pred1Text]]&amp;"-"))-1)),""))</f>
        <v/>
      </c>
      <c r="CW1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9" s="43" t="str">
        <f aca="false">IF(Tasks[[#This Row],[_Pred1Text]]="","",TRIM(MID(SUBSTITUTE(SUBSTITUTE(SUBSTITUTE(UPPER(Tasks[[#This Row],[_Predecessors]]),";",",")," ",""),",",REPT(" ",99)),100,99)))</f>
        <v/>
      </c>
      <c r="CZ179" s="43" t="str">
        <f aca="false">IF(Tasks[[#This Row],[_Pred2Text]]="","",IFERROR(VALUE(LEFT(Tasks[[#This Row],[_Pred2Text]],MIN(FIND("F",Tasks[[#This Row],[_Pred2Text]]&amp;"F"),FIND("S",Tasks[[#This Row],[_Pred2Text]]&amp;"S"),FIND("+",Tasks[[#This Row],[_Pred2Text]]&amp;"+"),FIND("-",Tasks[[#This Row],[_Pred2Text]]&amp;"-"))-1)),""))</f>
        <v/>
      </c>
      <c r="DA1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9" s="43" t="str">
        <f aca="false">IF(Tasks[[#This Row],[_Pred2Text]]="","",TRIM(MID(SUBSTITUTE(SUBSTITUTE(SUBSTITUTE(UPPER(Tasks[[#This Row],[_Predecessors]]),";",",")," ",""),",",REPT(" ",99)),199,99)))</f>
        <v/>
      </c>
      <c r="DD179" s="43" t="str">
        <f aca="false">IF(Tasks[[#This Row],[_Pred3Text]]="","",IFERROR(VALUE(LEFT(Tasks[[#This Row],[_Pred3Text]],MIN(FIND("F",Tasks[[#This Row],[_Pred3Text]]&amp;"F"),FIND("S",Tasks[[#This Row],[_Pred3Text]]&amp;"S"),FIND("+",Tasks[[#This Row],[_Pred3Text]]&amp;"+"),FIND("-",Tasks[[#This Row],[_Pred3Text]]&amp;"-"))-1)),""))</f>
        <v/>
      </c>
      <c r="DE1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9" s="43" t="str">
        <f aca="false">IF(Tasks[[#This Row],[_Pred3Text]]="","",TRIM(MID(SUBSTITUTE(SUBSTITUTE(SUBSTITUTE(UPPER(Tasks[[#This Row],[_Predecessors]]),";",",")," ",""),",",REPT(" ",99)),298,99)))</f>
        <v/>
      </c>
      <c r="DH179" s="43" t="str">
        <f aca="false">IF(Tasks[[#This Row],[_Pred4Text]]="","",IFERROR(VALUE(LEFT(Tasks[[#This Row],[_Pred4Text]],MIN(FIND("F",Tasks[[#This Row],[_Pred4Text]]&amp;"F"),FIND("S",Tasks[[#This Row],[_Pred4Text]]&amp;"S"),FIND("+",Tasks[[#This Row],[_Pred4Text]]&amp;"+"),FIND("-",Tasks[[#This Row],[_Pred4Text]]&amp;"-"))-1)),""))</f>
        <v/>
      </c>
      <c r="DI1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9" s="43" t="str">
        <f aca="false">IF(OR(Tasks[[#This Row],[Task Name]]="",Tasks[[#This Row],[_Resources]]=""),"",TRIM(MID(SUBSTITUTE(Tasks[[#This Row],[_Resources]],",",REPT(" ",99)),1,99)))</f>
        <v/>
      </c>
      <c r="DL179" s="43" t="str">
        <f aca="false">IF(Tasks[[#This Row],[_Res1Text]]="","",TRIM(MID(SUBSTITUTE(Tasks[[#This Row],[_Resources]],",",REPT(" ",99)),100,99)))</f>
        <v/>
      </c>
      <c r="DM179" s="43" t="str">
        <f aca="false">IF(Tasks[[#This Row],[_Res2Text]]="","",TRIM(MID(SUBSTITUTE(Tasks[[#This Row],[_Resources]],",",REPT(" ",99)),199,99)))</f>
        <v/>
      </c>
      <c r="DN179" s="43" t="str">
        <f aca="false">IF(Tasks[[#This Row],[_Res3Text]]="","",TRIM(MID(SUBSTITUTE(Tasks[[#This Row],[_Resources]],",",REPT(" ",99)),298,99)))</f>
        <v/>
      </c>
      <c r="DO179" s="43" t="n">
        <f aca="false">IF(Tasks[[#This Row],[_Res1Text]]="",0,IFERROR(MATCH(TRIM(LEFT(Tasks[[#This Row],[_Res1Text]],FIND("[",Tasks[[#This Row],[_Res1Text]]&amp;"[")-1)),res_Name,0),IFERROR(MATCH(TRIM(LEFT(Tasks[[#This Row],[_Res1Text]],FIND("[",Tasks[[#This Row],[_Res1Text]]&amp;"[")-1)),res_Initials,0),0)))</f>
        <v>0</v>
      </c>
      <c r="DP179" s="43" t="n">
        <f aca="false">IF(Tasks[[#This Row],[_Res2Text]]="",0,IFERROR(MATCH(TRIM(LEFT(Tasks[[#This Row],[_Res2Text]],FIND("[",Tasks[[#This Row],[_Res2Text]]&amp;"[")-1)),res_Name,0),IFERROR(MATCH(TRIM(LEFT(Tasks[[#This Row],[_Res2Text]],FIND("[",Tasks[[#This Row],[_Res2Text]]&amp;"[")-1)),res_Initials,0),0)))</f>
        <v>0</v>
      </c>
      <c r="DQ179" s="43" t="n">
        <f aca="false">IF(Tasks[[#This Row],[_Res3Text]]="",0,IFERROR(MATCH(TRIM(LEFT(Tasks[[#This Row],[_Res3Text]],FIND("[",Tasks[[#This Row],[_Res3Text]]&amp;"[")-1)),res_Name,0),IFERROR(MATCH(TRIM(LEFT(Tasks[[#This Row],[_Res3Text]],FIND("[",Tasks[[#This Row],[_Res3Text]]&amp;"[")-1)),res_Initials,0),0)))</f>
        <v>0</v>
      </c>
      <c r="DR179" s="43" t="n">
        <f aca="false">IF(Tasks[[#This Row],[_Res4Text]]="",0,IFERROR(MATCH(TRIM(LEFT(Tasks[[#This Row],[_Res4Text]],FIND("[",Tasks[[#This Row],[_Res4Text]]&amp;"[")-1)),res_Name,0),IFERROR(MATCH(TRIM(LEFT(Tasks[[#This Row],[_Res4Text]],FIND("[",Tasks[[#This Row],[_Res4Text]]&amp;"[")-1)),res_Initials,0),0)))</f>
        <v>0</v>
      </c>
      <c r="DS179" s="43" t="str">
        <f aca="false">IF(Tasks[[#This Row],[_Res1Text]]="","",IF(Tasks[[#This Row],[_Res1Row]]&gt;0,INDEX(res_Name,Tasks[[#This Row],[_Res1Row]]),TRIM(LEFT(Tasks[[#This Row],[_Res1Text]],FIND("[",Tasks[[#This Row],[_Res1Text]]&amp;"[")-1))))</f>
        <v/>
      </c>
      <c r="DT1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9" s="43" t="n">
        <f aca="false">IF(NOT(Tasks[[#This Row],[_IsLeaf]]=1),0,(Tasks[[#This Row],[_Resource1]]&lt;&gt;"")+(Tasks[[#This Row],[_Res2]]&lt;&gt;"")+(Tasks[[#This Row],[_Res3]]&lt;&gt;"")+(Tasks[[#This Row],[_Res4]]&lt;&gt;""))</f>
        <v>0</v>
      </c>
      <c r="DV179" s="43" t="str">
        <f aca="false">IF(Tasks[[#This Row],[_Res2Text]]="","",IF(Tasks[[#This Row],[_Res2Row]]&gt;0,INDEX(res_Name,Tasks[[#This Row],[_Res2Row]]),TRIM(LEFT(Tasks[[#This Row],[_Res2Text]],FIND("[",Tasks[[#This Row],[_Res2Text]]&amp;"[")-1))))</f>
        <v/>
      </c>
      <c r="DW1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9" s="43" t="n">
        <f aca="false">IF(OR(NOT(Tasks[[#This Row],[_IsLeaf]]=1),Tasks[[#This Row],[_Res2Row]]=0),0,N(Tasks[[#This Row],[_Days]])*HoursPerDay*IF(Tasks[[#This Row],[_Res2Units]]="",DefaultUnits,Tasks[[#This Row],[_Res2Units]]))</f>
        <v>0</v>
      </c>
      <c r="DY179" s="43" t="n">
        <f aca="false">IF(AND(AND(Tasks[[#This Row],[_IsLeaf]]=1,Tasks[[#This Row],[_LeafTotalWork]]&gt;0),Tasks[[#This Row],[_Res2Work]]&gt;0),Tasks[[#This Row],[_Res2Work]]/(Tasks[[#This Row],[_FinishWorkday]]-Tasks[[#This Row],[_StartWorkday]]+1),0)</f>
        <v>0</v>
      </c>
      <c r="DZ179" s="43" t="n">
        <f aca="false">Tasks[[#This Row],[_Res2WorkPerWD]]*MAX(0,Tasks[[#This Row],[_StartWorkday]]-1)</f>
        <v>0</v>
      </c>
      <c r="EA179" s="43" t="n">
        <f aca="false">Tasks[[#This Row],[_Res2Work]]*Tasks[[#This Row],[_LeafProgress]]</f>
        <v>0</v>
      </c>
      <c r="EB179" s="43" t="str">
        <f aca="false">IF(Tasks[[#This Row],[_Res3Text]]="","",IF(Tasks[[#This Row],[_Res3Row]]&gt;0,INDEX(res_Name,Tasks[[#This Row],[_Res3Row]]),TRIM(LEFT(Tasks[[#This Row],[_Res3Text]],FIND("[",Tasks[[#This Row],[_Res3Text]]&amp;"[")-1))))</f>
        <v/>
      </c>
      <c r="EC1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9" s="43" t="n">
        <f aca="false">IF(OR(NOT(Tasks[[#This Row],[_IsLeaf]]=1),Tasks[[#This Row],[_Res3Row]]=0),0,N(Tasks[[#This Row],[_Days]])*HoursPerDay*IF(Tasks[[#This Row],[_Res3Units]]="",DefaultUnits,Tasks[[#This Row],[_Res3Units]]))</f>
        <v>0</v>
      </c>
      <c r="EE179" s="43" t="n">
        <f aca="false">IF(AND(AND(Tasks[[#This Row],[_IsLeaf]]=1,Tasks[[#This Row],[_LeafTotalWork]]&gt;0),Tasks[[#This Row],[_Res3Work]]&gt;0),Tasks[[#This Row],[_Res3Work]]/(Tasks[[#This Row],[_FinishWorkday]]-Tasks[[#This Row],[_StartWorkday]]+1),0)</f>
        <v>0</v>
      </c>
      <c r="EF179" s="43" t="n">
        <f aca="false">Tasks[[#This Row],[_Res3WorkPerWD]]*MAX(0,Tasks[[#This Row],[_StartWorkday]]-1)</f>
        <v>0</v>
      </c>
      <c r="EG179" s="43" t="n">
        <f aca="false">Tasks[[#This Row],[_Res3Work]]*Tasks[[#This Row],[_LeafProgress]]</f>
        <v>0</v>
      </c>
      <c r="EH179" s="43" t="str">
        <f aca="false">IF(Tasks[[#This Row],[_Res4Text]]="","",IF(Tasks[[#This Row],[_Res4Row]]&gt;0,INDEX(res_Name,Tasks[[#This Row],[_Res4Row]]),TRIM(LEFT(Tasks[[#This Row],[_Res4Text]],FIND("[",Tasks[[#This Row],[_Res4Text]]&amp;"[")-1))))</f>
        <v/>
      </c>
      <c r="EI1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9" s="43" t="n">
        <f aca="false">IF(OR(NOT(Tasks[[#This Row],[_IsLeaf]]=1),Tasks[[#This Row],[_Res4Row]]=0),0,N(Tasks[[#This Row],[_Days]])*HoursPerDay*IF(Tasks[[#This Row],[_Res4Units]]="",DefaultUnits,Tasks[[#This Row],[_Res4Units]]))</f>
        <v>0</v>
      </c>
      <c r="EK179" s="43" t="n">
        <f aca="false">IF(AND(AND(Tasks[[#This Row],[_IsLeaf]]=1,Tasks[[#This Row],[_LeafTotalWork]]&gt;0),Tasks[[#This Row],[_Res4Work]]&gt;0),Tasks[[#This Row],[_Res4Work]]/(Tasks[[#This Row],[_FinishWorkday]]-Tasks[[#This Row],[_StartWorkday]]+1),0)</f>
        <v>0</v>
      </c>
      <c r="EL179" s="43" t="n">
        <f aca="false">Tasks[[#This Row],[_Res4WorkPerWD]]*MAX(0,Tasks[[#This Row],[_StartWorkday]]-1)</f>
        <v>0</v>
      </c>
      <c r="EM179" s="43" t="n">
        <f aca="false">Tasks[[#This Row],[_Res4Work]]*Tasks[[#This Row],[_LeafProgress]]</f>
        <v>0</v>
      </c>
      <c r="EN179" s="43" t="n">
        <f aca="false">IF(ISNUMBER(Tasks[[#This Row],[% Complete]]),Tasks[[#This Row],[% Complete]],IF(Tasks[[#This Row],[Stage]]="",0,IFERROR(INDEX(stg_Pct,MATCH(Tasks[[#This Row],[Stage]],stg_Name,0)),0)))</f>
        <v>0</v>
      </c>
      <c r="EO179" s="43" t="n">
        <f aca="false">IF(NOT(Tasks[[#This Row],[_IsLeaf]]=1),0,IF(N(Tasks[[#This Row],[Actual Finish]])&gt;0,1,MIN(1,Tasks[[#This Row],[_Pct]])))</f>
        <v>0</v>
      </c>
      <c r="EP179" s="43" t="n">
        <f aca="false">IF(OR(NOT(Tasks[[#This Row],[_IsLeaf]]=1),Tasks[[#This Row],[_Res1Row]]=0),0,N(Tasks[[#This Row],[_Days]])*HoursPerDay*IF(Tasks[[#This Row],[_Units1]]="",DefaultUnits,Tasks[[#This Row],[_Units1]]))</f>
        <v>0</v>
      </c>
      <c r="EQ179" s="43" t="n">
        <f aca="false">Tasks[[#This Row],[_LeafWork]]+Tasks[[#This Row],[_Res2Work]]+Tasks[[#This Row],[_Res3Work]]+Tasks[[#This Row],[_Res4Work]]</f>
        <v>0</v>
      </c>
      <c r="ER17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9" s="43" t="n">
        <f aca="false">IF(NOT(Tasks[[#This Row],[_IsLeaf]]=1),0,MAX(_xlfn.MAXIFS(Tasks[_Row],Tasks[_Pred1UID],Tasks[[#This Row],[UID]]),_xlfn.MAXIFS(Tasks[_Row],Tasks[_Pred2UID],Tasks[[#This Row],[UID]]),_xlfn.MAXIFS(Tasks[_Row],Tasks[_Pred3UID],Tasks[[#This Row],[UID]]),_xlfn.MAXIFS(Tasks[_Row],Tasks[_Pred4UID],Tasks[[#This Row],[UID]])))</f>
        <v>0</v>
      </c>
      <c r="FA1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9" s="91" t="str">
        <f aca="false">IF(NOT(Tasks[[#This Row],[_IsLeaf]]=1),"",IF(N(Tasks[[#This Row],[_Days]])&lt;=0,Tasks[[#This Row],[_LeafLateFinish]],WORKDAY.INTL(Tasks[[#This Row],[_LeafLateFinish]],-(Tasks[[#This Row],[_Days]]-1),WorkWeek,Holidays)))</f>
        <v/>
      </c>
      <c r="FD1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9" s="90" t="b">
        <f aca="false">AND(Tasks[[#This Row],[_IsLeaf]]=1,Tasks[[#This Row],[_LeafProgress]]&lt;1,N(Tasks[[#This Row],[_LeafTotalSlack]])&lt;=CriticalSlackDays)</f>
        <v>0</v>
      </c>
      <c r="FF179" s="43" t="n">
        <f aca="false">IF(AND(Tasks[[#This Row],[_IsLeaf]]=1,Tasks[[#This Row],[_ConstraintCode]]=1,Tasks[[#This Row],[Mode]]&lt;&gt;"Manual",N(Tasks[[#This Row],[Actual Start]])=0),MAX(0,N(Tasks[[#This Row],[Free Slack]])),0)</f>
        <v>0</v>
      </c>
      <c r="FG179" s="91" t="str">
        <f aca="false">IF(NOT(Tasks[[#This Row],[_IsLeaf]]=1),"",IF(Tasks[[#This Row],[_AlapShift]]=0,Tasks[[#This Row],[_LeafCalcStart]],WORKDAY.INTL(Tasks[[#This Row],[_LeafCalcStart]],Tasks[[#This Row],[_AlapShift]],WorkWeek,Holidays)))</f>
        <v/>
      </c>
      <c r="FH179" s="91" t="str">
        <f aca="false">IF(NOT(Tasks[[#This Row],[_IsLeaf]]=1),"",IF(Tasks[[#This Row],[_AlapShift]]=0,Tasks[[#This Row],[_LeafCalcFinish]],WORKDAY.INTL(Tasks[[#This Row],[_LeafCalcFinish]],Tasks[[#This Row],[_AlapShift]],WorkWeek,Holidays)))</f>
        <v/>
      </c>
      <c r="FI179" s="91" t="str">
        <f aca="false">IF(NOT(Tasks[[#This Row],[_IsLeaf]]=1),"",IF(Tasks[[#This Row],[_AlapShift]]=0,Tasks[[#This Row],[_LeafFcstStart]],WORKDAY.INTL(Tasks[[#This Row],[_LeafFcstStart]],Tasks[[#This Row],[_AlapShift]],WorkWeek,Holidays)))</f>
        <v/>
      </c>
      <c r="FJ179" s="91" t="str">
        <f aca="false">IF(NOT(Tasks[[#This Row],[_IsLeaf]]=1),"",IF(Tasks[[#This Row],[_AlapShift]]=0,Tasks[[#This Row],[_LeafFcstFinish]],WORKDAY.INTL(Tasks[[#This Row],[_LeafFcstFinish]],Tasks[[#This Row],[_AlapShift]],WorkWeek,Holidays)))</f>
        <v/>
      </c>
      <c r="FK179" s="91" t="str">
        <f aca="false">IF(Tasks[[#This Row],[Task Name]]="","",IF(Tasks[[#This Row],[_IsSummary]],MIN(INDEX(Tasks[_ShownCalcStart],Tasks[[#This Row],[_Row]]+1):INDEX(Tasks[_ShownCalcStart],Tasks[[#This Row],[_Row]]+Tasks[[#This Row],[_Descendants]])),Tasks[[#This Row],[_ShownCalcStart]]))</f>
        <v/>
      </c>
      <c r="FL179" s="91" t="str">
        <f aca="false">IF(Tasks[[#This Row],[Task Name]]="","",IF(Tasks[[#This Row],[_IsSummary]],MAX(INDEX(Tasks[_ShownCalcFinish],Tasks[[#This Row],[_Row]]+1):INDEX(Tasks[_ShownCalcFinish],Tasks[[#This Row],[_Row]]+Tasks[[#This Row],[_Descendants]])),Tasks[[#This Row],[_ShownCalcFinish]]))</f>
        <v/>
      </c>
      <c r="FM1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9" s="43" t="n">
        <f aca="false">IF(AND(Tasks[[#This Row],[_IsLeaf]]=1,Tasks[[#This Row],[_LeafTotalWork]]&gt;0),NETWORKDAYS.INTL(ProjectStart,Tasks[[#This Row],[_ShownFcstStart]],WorkWeek,Holidays),0)</f>
        <v>0</v>
      </c>
      <c r="FZ179" s="43" t="n">
        <f aca="false">IF(AND(Tasks[[#This Row],[_IsLeaf]]=1,Tasks[[#This Row],[_LeafTotalWork]]&gt;0),MAX(Tasks[[#This Row],[_StartWorkday]],NETWORKDAYS.INTL(ProjectStart,Tasks[[#This Row],[_ShownFcstFinish]],WorkWeek,Holidays)),0)</f>
        <v>0</v>
      </c>
      <c r="GA179" s="43" t="n">
        <f aca="false">IF(AND(Tasks[[#This Row],[_IsLeaf]]=1,Tasks[[#This Row],[_LeafTotalWork]]&gt;0),Tasks[[#This Row],[_LeafWork]]/(Tasks[[#This Row],[_FinishWorkday]]-Tasks[[#This Row],[_StartWorkday]]+1),0)</f>
        <v>0</v>
      </c>
      <c r="GB179" s="43" t="n">
        <f aca="false">Tasks[[#This Row],[_WorkPerWorkday]]*(Tasks[[#This Row],[_StartWorkday]]-1)</f>
        <v>-0</v>
      </c>
      <c r="GC179" s="43" t="n">
        <f aca="false">IF(Tasks[[#This Row],[_IsLeaf]]=1,MAX(N(Tasks[[#This Row],[_Days]]),0.1),0)</f>
        <v>0</v>
      </c>
      <c r="GD179" s="43" t="n">
        <f aca="false">Tasks[[#This Row],[_WeightDur]]*Tasks[[#This Row],[_LeafProgress]]</f>
        <v>0</v>
      </c>
      <c r="GE179" s="43" t="n">
        <f aca="false">Tasks[[#This Row],[_WeightDur]]*Tasks[[#This Row],[_PlannedPct]]</f>
        <v>0</v>
      </c>
      <c r="GF1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9" s="43" t="str">
        <f aca="false">IF(AND(Tasks[[#This Row],[_IsLeaf]]=1,N(Tasks[[#This Row],[_Days]])=0,Tasks[[#This Row],[_LeafProgress]]&lt;1),Tasks[[#This Row],[_ShownFcstFinish]]+Tasks[[#This Row],[_Row]]/100000,"")</f>
        <v/>
      </c>
      <c r="GH1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9" s="43" t="str">
        <f aca="false">IF(Tasks[[#This Row],[Task Name]]="","",LEFT(Tasks[[#This Row],[WBS]],FIND(".",Tasks[[#This Row],[WBS]]&amp;".")-1))</f>
        <v/>
      </c>
      <c r="GJ179" s="43" t="str">
        <f aca="false">IF(AND(Tasks[[#This Row],[Task Name]]&lt;&gt;"",Tasks[[#This Row],[_Level]]=1),Tasks[[#This Row],[_Row]],"")</f>
        <v/>
      </c>
      <c r="GK179" s="43" t="str">
        <f aca="false">IF(AND(Tasks[[#This Row],[_IsLeaf]]=1,N(Tasks[[#This Row],[_Days]])=0),Tasks[[#This Row],[Planned Finish]]+Tasks[[#This Row],[_Row]]/100000,"")</f>
        <v/>
      </c>
      <c r="GL179" s="43" t="str">
        <f aca="false">IF(AND(Tasks[[#This Row],[_IsLeaf]]=1,Tasks[[#This Row],[_LeafProgress]]&lt;1,OR(N(Tasks[[#This Row],[Finish Var]])&gt;0,Tasks[[#This Row],[Status]]="Late Start")),MAX(0,Tasks[[#This Row],[Finish Var]])+1-Tasks[[#This Row],[_Row]]/1000000,"")</f>
        <v/>
      </c>
      <c r="GM179" s="43" t="str">
        <f aca="false">IF(AND(Tasks[[#This Row],[_IsLeaf]]=1,N(Tasks[[#This Row],[Actual Start]])=0,Tasks[[#This Row],[_ShownFcstStart]]&gt;=StatusDate,Tasks[[#This Row],[_ShownFcstStart]]&lt;=LookaheadEnd),Tasks[[#This Row],[_ShownFcstStart]]+Tasks[[#This Row],[_Row]]/100000,"")</f>
        <v/>
      </c>
      <c r="GN179" s="43" t="str">
        <f aca="false">IF(AND(Tasks[[#This Row],[_IsLeaf]]=1,Tasks[[#This Row],[_LeafProgress]]&lt;1,Tasks[[#This Row],[_ShownFcstFinish]]&gt;=StatusDate,Tasks[[#This Row],[_ShownFcstFinish]]&lt;=LookaheadEnd),Tasks[[#This Row],[_ShownFcstFinish]]+Tasks[[#This Row],[_Row]]/100000,"")</f>
        <v/>
      </c>
      <c r="GO179" s="43" t="str">
        <f aca="false">IF(Tasks[[#This Row],[_LeafCritical]],Tasks[[#This Row],[_ShownFcstStart]]+Tasks[[#This Row],[_Row]]/100000,"")</f>
        <v/>
      </c>
      <c r="GP179" s="43" t="n">
        <f aca="false">Tasks[[#This Row],[_LeafWork]]*Tasks[[#This Row],[_LeafProgress]]</f>
        <v>0</v>
      </c>
      <c r="GQ179" s="91" t="str">
        <f aca="false">IF(AND(Tasks[[#This Row],[_IsLeaf]]=1,Tasks[[#This Row],[_LeafProgress]]&gt;=1),IF(N(Tasks[[#This Row],[Actual Finish]])&gt;0,Tasks[[#This Row],[Actual Finish]],Tasks[[#This Row],[_ShownFcstFinish]]),"")</f>
        <v/>
      </c>
      <c r="GR179" s="43" t="n">
        <f aca="false">IF(Tasks[[#This Row],[_IsLeaf]]=1,N(Tasks[[#This Row],[Story Points]]),0)</f>
        <v>0</v>
      </c>
      <c r="GS179" s="43" t="str">
        <f aca="false">""</f>
        <v/>
      </c>
      <c r="GT179" s="90" t="b">
        <f aca="false">IF(Tasks[[#This Row],[Task Name]]="",FALSE(),AND(Tasks[[#This Row],[_IsLeaf]]=1,N(Tasks[[#This Row],[_Days]])=0))</f>
        <v>0</v>
      </c>
      <c r="GU179" s="91" t="n">
        <f aca="false">IF(Tasks[[#This Row],[Task Name]]="",0,IF(AND(Tasks[[#This Row],[_IsLeaf]]=1,NOT(Tasks[[#This Row],[_IsMilestone]]),N(Tasks[[#This Row],[Progress]])&gt;0),Tasks[[#This Row],[Start]],0))</f>
        <v>0</v>
      </c>
      <c r="GV179" s="91" t="n">
        <f aca="false">IF(Tasks[[#This Row],[_DoneFrom]]=0,0,IF(Tasks[[#This Row],[Progress]]&gt;=1,Tasks[[#This Row],[Finish]],MAX(Tasks[[#This Row],[_DoneFrom]],Tasks[[#This Row],[Start]]+ROUND((Tasks[[#This Row],[Finish]]-Tasks[[#This Row],[Start]]+1)*Tasks[[#This Row],[Progress]],0)-1)))</f>
        <v>0</v>
      </c>
      <c r="GW179" s="91" t="n">
        <f aca="false">IF(Tasks[[#This Row],[Task Name]]="",0,IF(OR(NOT(Tasks[[#This Row],[_IsLeaf]]=1),Tasks[[#This Row],[_IsMilestone]],N(Tasks[[#This Row],[Progress]])&gt;=1),0,IF(Tasks[[#This Row],[_DoneTo]]&gt;0,Tasks[[#This Row],[_DoneTo]]+1,Tasks[[#This Row],[Start]])))</f>
        <v>0</v>
      </c>
      <c r="GX179" s="91" t="n">
        <f aca="false">IF(Tasks[[#This Row],[_RemFrom]]=0,0,Tasks[[#This Row],[Finish]])</f>
        <v>0</v>
      </c>
      <c r="GY179" s="90" t="b">
        <f aca="false">IF(Tasks[[#This Row],[Task Name]]="",FALSE(),OR(NOT(BaselineSet),N(Tasks[[#This Row],[Baseline Start]])&gt;0))</f>
        <v>0</v>
      </c>
      <c r="GZ17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9" s="92" t="str">
        <f aca="false">IF(Tasks[[#This Row],[_IsLeaf]]=1,Tasks[[#This Row],[_Row]],"")</f>
        <v/>
      </c>
      <c r="HD179" s="92" t="str">
        <f aca="false">IFERROR(INDEX(Tasks[UID],SMALL(Tasks[_PickKey],Tasks[[#This Row],[_Row]]))&amp;" "&amp;INDEX(Tasks[Task Name],SMALL(Tasks[_PickKey],Tasks[[#This Row],[_Row]])),"")</f>
        <v/>
      </c>
      <c r="HE179" s="43" t="str">
        <f aca="false">IF(Tasks[[#This Row],[Task Name]]="","",IF(Tasks[[#This Row],[_IsSummary]],NETWORKDAYS.INTL(Tasks[[#This Row],[Start]],Tasks[[#This Row],[Finish]],WorkWeek,Holidays),N(Tasks[[#This Row],[_Days]])))</f>
        <v/>
      </c>
      <c r="HF179" s="43" t="n">
        <f aca="false">IF(Tasks[[#This Row],[Expected]]="",0,((Tasks[[#This Row],[Pessimistic]]-Tasks[[#This Row],[Optimistic]])/6)^2)</f>
        <v>0</v>
      </c>
      <c r="HG179" s="43" t="n">
        <f aca="false">IF(Tasks[[#This Row],[Expected]]="",0,Tasks[[#This Row],[Expected]]-N(Tasks[[#This Row],[_Days]]))</f>
        <v>0</v>
      </c>
    </row>
    <row r="180" customFormat="false" ht="15" hidden="false" customHeight="false" outlineLevel="0" collapsed="false">
      <c r="A180" s="21" t="str">
        <f aca="false">IF(Tasks[[#This Row],[Task Name]]="","",COUNTA(Tasks[[#Headers],[Task Name]]:Tasks[[#This Row],[Task Name]])-1)</f>
        <v/>
      </c>
      <c r="B180" s="22" t="n">
        <v>188</v>
      </c>
      <c r="C180" s="22"/>
      <c r="D180" s="23"/>
      <c r="E180" s="22"/>
      <c r="F180" s="23"/>
      <c r="G180" s="22"/>
      <c r="H180" s="22"/>
      <c r="I180" s="23"/>
      <c r="J180" s="22"/>
      <c r="K180" s="22"/>
      <c r="L180" s="23"/>
      <c r="M180" s="22"/>
      <c r="N180" s="22"/>
      <c r="O180" s="23"/>
      <c r="P180" s="22"/>
      <c r="Q180" s="22"/>
      <c r="R180" s="23"/>
      <c r="S180" s="23"/>
      <c r="T180" s="84"/>
      <c r="U180" s="23"/>
      <c r="V180" s="84"/>
      <c r="W180" s="23"/>
      <c r="X180" s="84"/>
      <c r="Y180" s="23"/>
      <c r="Z180" s="84"/>
      <c r="AA180" s="23"/>
      <c r="AB180" s="23"/>
      <c r="AC180" s="7"/>
      <c r="AD180" s="7"/>
      <c r="AE180" s="63" t="str">
        <f aca="false">IF(Tasks[[#This Row],[Task Name]]="","",IF(Tasks[[#This Row],[_IsSummary]],MIN(INDEX(Tasks[_ShownFcstStart],Tasks[[#This Row],[_Row]]+1):INDEX(Tasks[_ShownFcstStart],Tasks[[#This Row],[_Row]]+Tasks[[#This Row],[_Descendants]])),Tasks[[#This Row],[_ShownFcstStart]]))</f>
        <v/>
      </c>
      <c r="AF180" s="63" t="str">
        <f aca="false">IF(Tasks[[#This Row],[Task Name]]="","",IF(Tasks[[#This Row],[_IsSummary]],MAX(INDEX(Tasks[_ShownFcstFinish],Tasks[[#This Row],[_Row]]+1):INDEX(Tasks[_ShownFcstFinish],Tasks[[#This Row],[_Row]]+Tasks[[#This Row],[_Descendants]])),Tasks[[#This Row],[_ShownFcstFinish]]))</f>
        <v/>
      </c>
      <c r="AG180" s="21" t="str">
        <f aca="false">""</f>
        <v/>
      </c>
      <c r="AH180" s="23"/>
      <c r="AI1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0" s="7"/>
      <c r="AK180" s="22"/>
      <c r="AL180" s="23"/>
      <c r="AM180" s="7"/>
      <c r="AN180" s="47" t="str">
        <f aca="false">IF(Tasks[[#This Row],[Task Name]]="","",IF(Tasks[[#This Row],[Finish]]&gt;=Tasks[[#This Row],[Planned Finish]],NETWORKDAYS.INTL(Tasks[[#This Row],[Planned Finish]],Tasks[[#This Row],[Finish]],WorkWeek,Holidays)-1,1-NETWORKDAYS.INTL(Tasks[[#This Row],[Finish]],Tasks[[#This Row],[Planned Finish]],WorkWeek,Holidays)))</f>
        <v/>
      </c>
      <c r="AO180" s="21" t="str">
        <f aca="false">IF(Tasks[[#This Row],[Task Name]]="","",IF(Tasks[[#This Row],[Progress]]&gt;=1,"Complete",IF(OR(N(Tasks[[#This Row],[Actual Start]])&gt;0,Tasks[[#This Row],[Progress]]&gt;0),IF(Tasks[[#This Row],[Finish Var]]&gt;0,"Behind","In Progress"),IF(Tasks[[#This Row],[Planned Start]]&lt;StatusDate,"Late Start","Not Started"))))</f>
        <v/>
      </c>
      <c r="AP180" s="21" t="str">
        <f aca="false">IF(Tasks[[#This Row],[Task Name]]="","",IF(IF(Tasks[[#This Row],[_IsSummary]],COUNTIF(INDEX(Tasks[_LeafCritical],Tasks[[#This Row],[_Row]]+1):INDEX(Tasks[_LeafCritical],Tasks[[#This Row],[_Row]]+Tasks[[#This Row],[_Descendants]]),TRUE())&gt;0,Tasks[[#This Row],[_LeafCritical]]),"Yes",""))</f>
        <v/>
      </c>
      <c r="AQ180" s="63" t="str">
        <f aca="false">IF(Tasks[[#This Row],[Task Name]]="","",IF(N(Tasks[[#This Row],[Baseline Start]])&gt;0,Tasks[[#This Row],[Baseline Start]],Tasks[[#This Row],[_CalcStart]]))</f>
        <v/>
      </c>
      <c r="AR180" s="63" t="str">
        <f aca="false">IF(Tasks[[#This Row],[Task Name]]="","",IF(N(Tasks[[#This Row],[Baseline Finish]])&gt;0,Tasks[[#This Row],[Baseline Finish]],Tasks[[#This Row],[_CalcFinish]]))</f>
        <v/>
      </c>
      <c r="AS180" s="47" t="str">
        <f aca="false">IF(Tasks[[#This Row],[Task Name]]="","",IF(Tasks[[#This Row],[Start]]&gt;=Tasks[[#This Row],[Planned Start]],NETWORKDAYS.INTL(Tasks[[#This Row],[Planned Start]],Tasks[[#This Row],[Start]],WorkWeek,Holidays)-1,1-NETWORKDAYS.INTL(Tasks[[#This Row],[Start]],Tasks[[#This Row],[Planned Start]],WorkWeek,Holidays)))</f>
        <v/>
      </c>
      <c r="AT180" s="63" t="str">
        <f aca="false">IF(Tasks[[#This Row],[Task Name]]="","",IF(Tasks[[#This Row],[_IsSummary]],MIN(INDEX(Tasks[_LeafLateStart],Tasks[[#This Row],[_Row]]+1):INDEX(Tasks[_LeafLateStart],Tasks[[#This Row],[_Row]]+Tasks[[#This Row],[_Descendants]])),Tasks[[#This Row],[_LeafLateStart]]))</f>
        <v/>
      </c>
      <c r="AU180" s="63" t="str">
        <f aca="false">IF(Tasks[[#This Row],[Task Name]]="","",IF(Tasks[[#This Row],[_IsSummary]],MAX(INDEX(Tasks[_LeafLateFinish],Tasks[[#This Row],[_Row]]+1):INDEX(Tasks[_LeafLateFinish],Tasks[[#This Row],[_Row]]+Tasks[[#This Row],[_Descendants]])),Tasks[[#This Row],[_LeafLateFinish]]))</f>
        <v/>
      </c>
      <c r="AV180" s="47" t="str">
        <f aca="false">IF(Tasks[[#This Row],[Task Name]]="","",IF(Tasks[[#This Row],[_IsSummary]],MIN(INDEX(Tasks[_LeafTotalSlack],Tasks[[#This Row],[_Row]]+1):INDEX(Tasks[_LeafTotalSlack],Tasks[[#This Row],[_Row]]+Tasks[[#This Row],[_Descendants]])),Tasks[[#This Row],[_LeafTotalSlack]]))</f>
        <v/>
      </c>
      <c r="AW1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5"/>
      <c r="BA18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t="str">
        <f aca="false">IF(Tasks[[#This Row],[Task Name]]="","",IF(Tasks[[#This Row],[_Level]]&lt;=OutlineShowLevel,"Yes","No"))</f>
        <v/>
      </c>
      <c r="BE180" s="86" t="str">
        <f aca="false">IF(Tasks[[#This Row],[Task Name]]="","",IF(Tasks[[#This Row],[_IsSummary]],SUM(INDEX(Tasks[_LeafTotalWork],Tasks[[#This Row],[_Row]]+1):INDEX(Tasks[_LeafTotalWork],Tasks[[#This Row],[_Row]]+Tasks[[#This Row],[_Descendants]])),Tasks[[#This Row],[_LeafTotalWork]]))</f>
        <v/>
      </c>
      <c r="BF180" s="23"/>
      <c r="BG1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t="str">
        <f aca="false">""</f>
        <v/>
      </c>
      <c r="BI180" s="87"/>
      <c r="BJ180" s="22"/>
      <c r="BK180" s="47" t="str">
        <f aca="false">IF(OR(Tasks[[#This Row],[Task Name]]="",Tasks[[#This Row],[Baseline Duration]]=""),"",Tasks[[#This Row],[_SpanDays]]-N(Tasks[[#This Row],[Baseline Duration]]))</f>
        <v/>
      </c>
      <c r="BL180" s="86" t="str">
        <f aca="false">IF(OR(Tasks[[#This Row],[Task Name]]="",Tasks[[#This Row],[Baseline Work]]=""),"",Tasks[[#This Row],[Work]]-N(Tasks[[#This Row],[Baseline Work]]))</f>
        <v/>
      </c>
      <c r="BM180" s="63" t="str">
        <f aca="false">IF(Tasks[[#This Row],[Task Name]]="","",IF(OR(TakeBaseline="Yes",N(Tasks[[#This Row],[Baseline Start]])=0),Tasks[[#This Row],[Start]],Tasks[[#This Row],[Baseline Start]]))</f>
        <v/>
      </c>
      <c r="BN180" s="63" t="str">
        <f aca="false">IF(Tasks[[#This Row],[Task Name]]="","",IF(OR(TakeBaseline="Yes",N(Tasks[[#This Row],[Baseline Finish]])=0),Tasks[[#This Row],[Finish]],Tasks[[#This Row],[Baseline Finish]]))</f>
        <v/>
      </c>
      <c r="BO180" s="21" t="str">
        <f aca="false">IF(Tasks[[#This Row],[Task Name]]="","",IF(OR(TakeBaseline="Yes",N(Tasks[[#This Row],[Baseline Duration]])=0),Tasks[[#This Row],[_SpanDays]],Tasks[[#This Row],[Baseline Duration]]))</f>
        <v/>
      </c>
      <c r="BP180" s="86" t="str">
        <f aca="false">IF(Tasks[[#This Row],[Task Name]]="","",IF(OR(TakeBaseline="Yes",N(Tasks[[#This Row],[Baseline Work]])=0),Tasks[[#This Row],[Work]],Tasks[[#This Row],[Baseline Work]]))</f>
        <v/>
      </c>
      <c r="BQ180" s="7"/>
      <c r="BR180" s="7"/>
      <c r="BS180" s="22"/>
      <c r="BT180" s="88"/>
      <c r="BU180" s="23"/>
      <c r="BV180" s="23"/>
      <c r="BW180" s="23"/>
      <c r="BX180" s="89" t="str">
        <f aca="false">IF(AND(Tasks[[#This Row],[_IsLeaf]]=1,ISNUMBER(Tasks[[#This Row],[Optimistic]]),ISNUMBER(Tasks[[#This Row],[Pessimistic]])),ROUND((Tasks[[#This Row],[Optimistic]]+4*N(Tasks[[#This Row],[_Days]])+Tasks[[#This Row],[Pessimistic]])/6,1),"")</f>
        <v/>
      </c>
      <c r="BY180" s="87"/>
      <c r="BZ180" s="87"/>
      <c r="CA180" s="22"/>
      <c r="CB180" s="43" t="str">
        <f aca="false">IF(Tasks[[#This Row],[Task Name]]="","",MAX(1,N(Tasks[[#This Row],[Level]])))</f>
        <v/>
      </c>
      <c r="CC180" s="43" t="n">
        <f aca="false">ROW()-ROW(Tasks[[#Headers],[ID]])</f>
        <v>175</v>
      </c>
      <c r="CD180" s="43" t="n">
        <f aca="false">IF(OR(Tasks[[#This Row],[Task Name]]="",Tasks[[#This Row],[_Level]]&lt;=1),0,IFERROR(LOOKUP(2,1/(Tasks[[#Headers],[_Level]]:Tasks[[#This Row],[_Level]]=Tasks[[#This Row],[_Level]]-1),ROW(Tasks[[#Headers],[_Level]]:Tasks[[#This Row],[_Level]])),0))</f>
        <v>0</v>
      </c>
      <c r="CE180" s="43" t="n">
        <f aca="false">IFERROR(N(INDEX(Tasks[_Level],Tasks[[#This Row],[_Row]]+1)),0)</f>
        <v>0</v>
      </c>
      <c r="CF180" s="90" t="b">
        <f aca="false">AND(Tasks[[#This Row],[Task Name]]&lt;&gt;"",Tasks[[#This Row],[_NextLevel]]&gt;Tasks[[#This Row],[_Level]])</f>
        <v>0</v>
      </c>
      <c r="CG180" s="43" t="n">
        <f aca="false">IF(Tasks[[#This Row],[_IsSummary]],COUNTIF(Tasks[WBS],Tasks[[#This Row],[WBS]]&amp;".*"),0)</f>
        <v>0</v>
      </c>
      <c r="CH180" s="43" t="n">
        <f aca="false">IF(AND(Tasks[[#This Row],[Task Name]]&lt;&gt;"",NOT(Tasks[[#This Row],[_IsSummary]])),1,0)</f>
        <v>0</v>
      </c>
      <c r="CI180" s="43" t="n">
        <f aca="false">IF(N(Tasks[[#This Row],[_Pred1UID]])=0,0,IFERROR(MATCH(Tasks[[#This Row],[_Pred1UID]],Tasks[UID],0),-1))</f>
        <v>0</v>
      </c>
      <c r="CJ180" s="43" t="n">
        <f aca="false">IF(N(Tasks[[#This Row],[_Pred2UID]])=0,0,IFERROR(MATCH(Tasks[[#This Row],[_Pred2UID]],Tasks[UID],0),-1))</f>
        <v>0</v>
      </c>
      <c r="CK180" s="43" t="n">
        <f aca="false">IF(N(Tasks[[#This Row],[_Pred3UID]])=0,0,IFERROR(MATCH(Tasks[[#This Row],[_Pred3UID]],Tasks[UID],0),-1))</f>
        <v>0</v>
      </c>
      <c r="CL180" s="43" t="n">
        <f aca="false">IF(N(Tasks[[#This Row],[_Pred4UID]])=0,0,IFERROR(MATCH(Tasks[[#This Row],[_Pred4UID]],Tasks[UID],0),-1))</f>
        <v>0</v>
      </c>
      <c r="CM1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0" s="91" t="n">
        <f aca="false">IF(OR(Tasks[[#This Row],[_ConstraintCode]]=2,Tasks[[#This Row],[_ConstraintCode]]=3,Tasks[[#This Row],[_ConstraintCode]]=4,Tasks[[#This Row],[_ConstraintCode]]=6),Tasks[[#This Row],[_ConstraintStart]],0)</f>
        <v>0</v>
      </c>
      <c r="CP180" s="91" t="n">
        <f aca="false">IF(OR(Tasks[[#This Row],[_ConstraintCode]]=2,Tasks[[#This Row],[_ConstraintCode]]=3,Tasks[[#This Row],[_ConstraintCode]]=5,Tasks[[#This Row],[_ConstraintCode]]=7),Tasks[[#This Row],[_ConstraintStart]],2958465)</f>
        <v>2958465</v>
      </c>
      <c r="CQ1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0" s="91" t="str">
        <f aca="false">IF(NOT(Tasks[[#This Row],[_IsLeaf]]=1),"",IF(N(Tasks[[#This Row],[_Days]])&lt;=0,Tasks[[#This Row],[_LeafCalcStart]],WORKDAY.INTL(Tasks[[#This Row],[_LeafCalcStart]],Tasks[[#This Row],[_Days]]-1,WorkWeek,Holidays)))</f>
        <v/>
      </c>
      <c r="CS1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0" s="43" t="str">
        <f aca="false">IF(Tasks[[#This Row],[_Predecessors]]="","",TRIM(MID(SUBSTITUTE(SUBSTITUTE(SUBSTITUTE(UPPER(Tasks[[#This Row],[_Predecessors]]),";",",")," ",""),",",REPT(" ",99)),1,99)))</f>
        <v/>
      </c>
      <c r="CV180" s="43" t="str">
        <f aca="false">IF(Tasks[[#This Row],[_Pred1Text]]="","",IFERROR(VALUE(LEFT(Tasks[[#This Row],[_Pred1Text]],MIN(FIND("F",Tasks[[#This Row],[_Pred1Text]]&amp;"F"),FIND("S",Tasks[[#This Row],[_Pred1Text]]&amp;"S"),FIND("+",Tasks[[#This Row],[_Pred1Text]]&amp;"+"),FIND("-",Tasks[[#This Row],[_Pred1Text]]&amp;"-"))-1)),""))</f>
        <v/>
      </c>
      <c r="CW1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0" s="43" t="str">
        <f aca="false">IF(Tasks[[#This Row],[_Pred1Text]]="","",TRIM(MID(SUBSTITUTE(SUBSTITUTE(SUBSTITUTE(UPPER(Tasks[[#This Row],[_Predecessors]]),";",",")," ",""),",",REPT(" ",99)),100,99)))</f>
        <v/>
      </c>
      <c r="CZ180" s="43" t="str">
        <f aca="false">IF(Tasks[[#This Row],[_Pred2Text]]="","",IFERROR(VALUE(LEFT(Tasks[[#This Row],[_Pred2Text]],MIN(FIND("F",Tasks[[#This Row],[_Pred2Text]]&amp;"F"),FIND("S",Tasks[[#This Row],[_Pred2Text]]&amp;"S"),FIND("+",Tasks[[#This Row],[_Pred2Text]]&amp;"+"),FIND("-",Tasks[[#This Row],[_Pred2Text]]&amp;"-"))-1)),""))</f>
        <v/>
      </c>
      <c r="DA1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0" s="43" t="str">
        <f aca="false">IF(Tasks[[#This Row],[_Pred2Text]]="","",TRIM(MID(SUBSTITUTE(SUBSTITUTE(SUBSTITUTE(UPPER(Tasks[[#This Row],[_Predecessors]]),";",",")," ",""),",",REPT(" ",99)),199,99)))</f>
        <v/>
      </c>
      <c r="DD180" s="43" t="str">
        <f aca="false">IF(Tasks[[#This Row],[_Pred3Text]]="","",IFERROR(VALUE(LEFT(Tasks[[#This Row],[_Pred3Text]],MIN(FIND("F",Tasks[[#This Row],[_Pred3Text]]&amp;"F"),FIND("S",Tasks[[#This Row],[_Pred3Text]]&amp;"S"),FIND("+",Tasks[[#This Row],[_Pred3Text]]&amp;"+"),FIND("-",Tasks[[#This Row],[_Pred3Text]]&amp;"-"))-1)),""))</f>
        <v/>
      </c>
      <c r="DE1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0" s="43" t="str">
        <f aca="false">IF(Tasks[[#This Row],[_Pred3Text]]="","",TRIM(MID(SUBSTITUTE(SUBSTITUTE(SUBSTITUTE(UPPER(Tasks[[#This Row],[_Predecessors]]),";",",")," ",""),",",REPT(" ",99)),298,99)))</f>
        <v/>
      </c>
      <c r="DH180" s="43" t="str">
        <f aca="false">IF(Tasks[[#This Row],[_Pred4Text]]="","",IFERROR(VALUE(LEFT(Tasks[[#This Row],[_Pred4Text]],MIN(FIND("F",Tasks[[#This Row],[_Pred4Text]]&amp;"F"),FIND("S",Tasks[[#This Row],[_Pred4Text]]&amp;"S"),FIND("+",Tasks[[#This Row],[_Pred4Text]]&amp;"+"),FIND("-",Tasks[[#This Row],[_Pred4Text]]&amp;"-"))-1)),""))</f>
        <v/>
      </c>
      <c r="DI1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0" s="43" t="str">
        <f aca="false">IF(OR(Tasks[[#This Row],[Task Name]]="",Tasks[[#This Row],[_Resources]]=""),"",TRIM(MID(SUBSTITUTE(Tasks[[#This Row],[_Resources]],",",REPT(" ",99)),1,99)))</f>
        <v/>
      </c>
      <c r="DL180" s="43" t="str">
        <f aca="false">IF(Tasks[[#This Row],[_Res1Text]]="","",TRIM(MID(SUBSTITUTE(Tasks[[#This Row],[_Resources]],",",REPT(" ",99)),100,99)))</f>
        <v/>
      </c>
      <c r="DM180" s="43" t="str">
        <f aca="false">IF(Tasks[[#This Row],[_Res2Text]]="","",TRIM(MID(SUBSTITUTE(Tasks[[#This Row],[_Resources]],",",REPT(" ",99)),199,99)))</f>
        <v/>
      </c>
      <c r="DN180" s="43" t="str">
        <f aca="false">IF(Tasks[[#This Row],[_Res3Text]]="","",TRIM(MID(SUBSTITUTE(Tasks[[#This Row],[_Resources]],",",REPT(" ",99)),298,99)))</f>
        <v/>
      </c>
      <c r="DO180" s="43" t="n">
        <f aca="false">IF(Tasks[[#This Row],[_Res1Text]]="",0,IFERROR(MATCH(TRIM(LEFT(Tasks[[#This Row],[_Res1Text]],FIND("[",Tasks[[#This Row],[_Res1Text]]&amp;"[")-1)),res_Name,0),IFERROR(MATCH(TRIM(LEFT(Tasks[[#This Row],[_Res1Text]],FIND("[",Tasks[[#This Row],[_Res1Text]]&amp;"[")-1)),res_Initials,0),0)))</f>
        <v>0</v>
      </c>
      <c r="DP180" s="43" t="n">
        <f aca="false">IF(Tasks[[#This Row],[_Res2Text]]="",0,IFERROR(MATCH(TRIM(LEFT(Tasks[[#This Row],[_Res2Text]],FIND("[",Tasks[[#This Row],[_Res2Text]]&amp;"[")-1)),res_Name,0),IFERROR(MATCH(TRIM(LEFT(Tasks[[#This Row],[_Res2Text]],FIND("[",Tasks[[#This Row],[_Res2Text]]&amp;"[")-1)),res_Initials,0),0)))</f>
        <v>0</v>
      </c>
      <c r="DQ180" s="43" t="n">
        <f aca="false">IF(Tasks[[#This Row],[_Res3Text]]="",0,IFERROR(MATCH(TRIM(LEFT(Tasks[[#This Row],[_Res3Text]],FIND("[",Tasks[[#This Row],[_Res3Text]]&amp;"[")-1)),res_Name,0),IFERROR(MATCH(TRIM(LEFT(Tasks[[#This Row],[_Res3Text]],FIND("[",Tasks[[#This Row],[_Res3Text]]&amp;"[")-1)),res_Initials,0),0)))</f>
        <v>0</v>
      </c>
      <c r="DR180" s="43" t="n">
        <f aca="false">IF(Tasks[[#This Row],[_Res4Text]]="",0,IFERROR(MATCH(TRIM(LEFT(Tasks[[#This Row],[_Res4Text]],FIND("[",Tasks[[#This Row],[_Res4Text]]&amp;"[")-1)),res_Name,0),IFERROR(MATCH(TRIM(LEFT(Tasks[[#This Row],[_Res4Text]],FIND("[",Tasks[[#This Row],[_Res4Text]]&amp;"[")-1)),res_Initials,0),0)))</f>
        <v>0</v>
      </c>
      <c r="DS180" s="43" t="str">
        <f aca="false">IF(Tasks[[#This Row],[_Res1Text]]="","",IF(Tasks[[#This Row],[_Res1Row]]&gt;0,INDEX(res_Name,Tasks[[#This Row],[_Res1Row]]),TRIM(LEFT(Tasks[[#This Row],[_Res1Text]],FIND("[",Tasks[[#This Row],[_Res1Text]]&amp;"[")-1))))</f>
        <v/>
      </c>
      <c r="DT1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0" s="43" t="n">
        <f aca="false">IF(NOT(Tasks[[#This Row],[_IsLeaf]]=1),0,(Tasks[[#This Row],[_Resource1]]&lt;&gt;"")+(Tasks[[#This Row],[_Res2]]&lt;&gt;"")+(Tasks[[#This Row],[_Res3]]&lt;&gt;"")+(Tasks[[#This Row],[_Res4]]&lt;&gt;""))</f>
        <v>0</v>
      </c>
      <c r="DV180" s="43" t="str">
        <f aca="false">IF(Tasks[[#This Row],[_Res2Text]]="","",IF(Tasks[[#This Row],[_Res2Row]]&gt;0,INDEX(res_Name,Tasks[[#This Row],[_Res2Row]]),TRIM(LEFT(Tasks[[#This Row],[_Res2Text]],FIND("[",Tasks[[#This Row],[_Res2Text]]&amp;"[")-1))))</f>
        <v/>
      </c>
      <c r="DW1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0" s="43" t="n">
        <f aca="false">IF(OR(NOT(Tasks[[#This Row],[_IsLeaf]]=1),Tasks[[#This Row],[_Res2Row]]=0),0,N(Tasks[[#This Row],[_Days]])*HoursPerDay*IF(Tasks[[#This Row],[_Res2Units]]="",DefaultUnits,Tasks[[#This Row],[_Res2Units]]))</f>
        <v>0</v>
      </c>
      <c r="DY180" s="43" t="n">
        <f aca="false">IF(AND(AND(Tasks[[#This Row],[_IsLeaf]]=1,Tasks[[#This Row],[_LeafTotalWork]]&gt;0),Tasks[[#This Row],[_Res2Work]]&gt;0),Tasks[[#This Row],[_Res2Work]]/(Tasks[[#This Row],[_FinishWorkday]]-Tasks[[#This Row],[_StartWorkday]]+1),0)</f>
        <v>0</v>
      </c>
      <c r="DZ180" s="43" t="n">
        <f aca="false">Tasks[[#This Row],[_Res2WorkPerWD]]*MAX(0,Tasks[[#This Row],[_StartWorkday]]-1)</f>
        <v>0</v>
      </c>
      <c r="EA180" s="43" t="n">
        <f aca="false">Tasks[[#This Row],[_Res2Work]]*Tasks[[#This Row],[_LeafProgress]]</f>
        <v>0</v>
      </c>
      <c r="EB180" s="43" t="str">
        <f aca="false">IF(Tasks[[#This Row],[_Res3Text]]="","",IF(Tasks[[#This Row],[_Res3Row]]&gt;0,INDEX(res_Name,Tasks[[#This Row],[_Res3Row]]),TRIM(LEFT(Tasks[[#This Row],[_Res3Text]],FIND("[",Tasks[[#This Row],[_Res3Text]]&amp;"[")-1))))</f>
        <v/>
      </c>
      <c r="EC1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0" s="43" t="n">
        <f aca="false">IF(OR(NOT(Tasks[[#This Row],[_IsLeaf]]=1),Tasks[[#This Row],[_Res3Row]]=0),0,N(Tasks[[#This Row],[_Days]])*HoursPerDay*IF(Tasks[[#This Row],[_Res3Units]]="",DefaultUnits,Tasks[[#This Row],[_Res3Units]]))</f>
        <v>0</v>
      </c>
      <c r="EE180" s="43" t="n">
        <f aca="false">IF(AND(AND(Tasks[[#This Row],[_IsLeaf]]=1,Tasks[[#This Row],[_LeafTotalWork]]&gt;0),Tasks[[#This Row],[_Res3Work]]&gt;0),Tasks[[#This Row],[_Res3Work]]/(Tasks[[#This Row],[_FinishWorkday]]-Tasks[[#This Row],[_StartWorkday]]+1),0)</f>
        <v>0</v>
      </c>
      <c r="EF180" s="43" t="n">
        <f aca="false">Tasks[[#This Row],[_Res3WorkPerWD]]*MAX(0,Tasks[[#This Row],[_StartWorkday]]-1)</f>
        <v>0</v>
      </c>
      <c r="EG180" s="43" t="n">
        <f aca="false">Tasks[[#This Row],[_Res3Work]]*Tasks[[#This Row],[_LeafProgress]]</f>
        <v>0</v>
      </c>
      <c r="EH180" s="43" t="str">
        <f aca="false">IF(Tasks[[#This Row],[_Res4Text]]="","",IF(Tasks[[#This Row],[_Res4Row]]&gt;0,INDEX(res_Name,Tasks[[#This Row],[_Res4Row]]),TRIM(LEFT(Tasks[[#This Row],[_Res4Text]],FIND("[",Tasks[[#This Row],[_Res4Text]]&amp;"[")-1))))</f>
        <v/>
      </c>
      <c r="EI1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0" s="43" t="n">
        <f aca="false">IF(OR(NOT(Tasks[[#This Row],[_IsLeaf]]=1),Tasks[[#This Row],[_Res4Row]]=0),0,N(Tasks[[#This Row],[_Days]])*HoursPerDay*IF(Tasks[[#This Row],[_Res4Units]]="",DefaultUnits,Tasks[[#This Row],[_Res4Units]]))</f>
        <v>0</v>
      </c>
      <c r="EK180" s="43" t="n">
        <f aca="false">IF(AND(AND(Tasks[[#This Row],[_IsLeaf]]=1,Tasks[[#This Row],[_LeafTotalWork]]&gt;0),Tasks[[#This Row],[_Res4Work]]&gt;0),Tasks[[#This Row],[_Res4Work]]/(Tasks[[#This Row],[_FinishWorkday]]-Tasks[[#This Row],[_StartWorkday]]+1),0)</f>
        <v>0</v>
      </c>
      <c r="EL180" s="43" t="n">
        <f aca="false">Tasks[[#This Row],[_Res4WorkPerWD]]*MAX(0,Tasks[[#This Row],[_StartWorkday]]-1)</f>
        <v>0</v>
      </c>
      <c r="EM180" s="43" t="n">
        <f aca="false">Tasks[[#This Row],[_Res4Work]]*Tasks[[#This Row],[_LeafProgress]]</f>
        <v>0</v>
      </c>
      <c r="EN180" s="43" t="n">
        <f aca="false">IF(ISNUMBER(Tasks[[#This Row],[% Complete]]),Tasks[[#This Row],[% Complete]],IF(Tasks[[#This Row],[Stage]]="",0,IFERROR(INDEX(stg_Pct,MATCH(Tasks[[#This Row],[Stage]],stg_Name,0)),0)))</f>
        <v>0</v>
      </c>
      <c r="EO180" s="43" t="n">
        <f aca="false">IF(NOT(Tasks[[#This Row],[_IsLeaf]]=1),0,IF(N(Tasks[[#This Row],[Actual Finish]])&gt;0,1,MIN(1,Tasks[[#This Row],[_Pct]])))</f>
        <v>0</v>
      </c>
      <c r="EP180" s="43" t="n">
        <f aca="false">IF(OR(NOT(Tasks[[#This Row],[_IsLeaf]]=1),Tasks[[#This Row],[_Res1Row]]=0),0,N(Tasks[[#This Row],[_Days]])*HoursPerDay*IF(Tasks[[#This Row],[_Units1]]="",DefaultUnits,Tasks[[#This Row],[_Units1]]))</f>
        <v>0</v>
      </c>
      <c r="EQ180" s="43" t="n">
        <f aca="false">Tasks[[#This Row],[_LeafWork]]+Tasks[[#This Row],[_Res2Work]]+Tasks[[#This Row],[_Res3Work]]+Tasks[[#This Row],[_Res4Work]]</f>
        <v>0</v>
      </c>
      <c r="ER18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0" s="43" t="n">
        <f aca="false">IF(NOT(Tasks[[#This Row],[_IsLeaf]]=1),0,MAX(_xlfn.MAXIFS(Tasks[_Row],Tasks[_Pred1UID],Tasks[[#This Row],[UID]]),_xlfn.MAXIFS(Tasks[_Row],Tasks[_Pred2UID],Tasks[[#This Row],[UID]]),_xlfn.MAXIFS(Tasks[_Row],Tasks[_Pred3UID],Tasks[[#This Row],[UID]]),_xlfn.MAXIFS(Tasks[_Row],Tasks[_Pred4UID],Tasks[[#This Row],[UID]])))</f>
        <v>0</v>
      </c>
      <c r="FA1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0" s="91" t="str">
        <f aca="false">IF(NOT(Tasks[[#This Row],[_IsLeaf]]=1),"",IF(N(Tasks[[#This Row],[_Days]])&lt;=0,Tasks[[#This Row],[_LeafLateFinish]],WORKDAY.INTL(Tasks[[#This Row],[_LeafLateFinish]],-(Tasks[[#This Row],[_Days]]-1),WorkWeek,Holidays)))</f>
        <v/>
      </c>
      <c r="FD1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0" s="90" t="b">
        <f aca="false">AND(Tasks[[#This Row],[_IsLeaf]]=1,Tasks[[#This Row],[_LeafProgress]]&lt;1,N(Tasks[[#This Row],[_LeafTotalSlack]])&lt;=CriticalSlackDays)</f>
        <v>0</v>
      </c>
      <c r="FF180" s="43" t="n">
        <f aca="false">IF(AND(Tasks[[#This Row],[_IsLeaf]]=1,Tasks[[#This Row],[_ConstraintCode]]=1,Tasks[[#This Row],[Mode]]&lt;&gt;"Manual",N(Tasks[[#This Row],[Actual Start]])=0),MAX(0,N(Tasks[[#This Row],[Free Slack]])),0)</f>
        <v>0</v>
      </c>
      <c r="FG180" s="91" t="str">
        <f aca="false">IF(NOT(Tasks[[#This Row],[_IsLeaf]]=1),"",IF(Tasks[[#This Row],[_AlapShift]]=0,Tasks[[#This Row],[_LeafCalcStart]],WORKDAY.INTL(Tasks[[#This Row],[_LeafCalcStart]],Tasks[[#This Row],[_AlapShift]],WorkWeek,Holidays)))</f>
        <v/>
      </c>
      <c r="FH180" s="91" t="str">
        <f aca="false">IF(NOT(Tasks[[#This Row],[_IsLeaf]]=1),"",IF(Tasks[[#This Row],[_AlapShift]]=0,Tasks[[#This Row],[_LeafCalcFinish]],WORKDAY.INTL(Tasks[[#This Row],[_LeafCalcFinish]],Tasks[[#This Row],[_AlapShift]],WorkWeek,Holidays)))</f>
        <v/>
      </c>
      <c r="FI180" s="91" t="str">
        <f aca="false">IF(NOT(Tasks[[#This Row],[_IsLeaf]]=1),"",IF(Tasks[[#This Row],[_AlapShift]]=0,Tasks[[#This Row],[_LeafFcstStart]],WORKDAY.INTL(Tasks[[#This Row],[_LeafFcstStart]],Tasks[[#This Row],[_AlapShift]],WorkWeek,Holidays)))</f>
        <v/>
      </c>
      <c r="FJ180" s="91" t="str">
        <f aca="false">IF(NOT(Tasks[[#This Row],[_IsLeaf]]=1),"",IF(Tasks[[#This Row],[_AlapShift]]=0,Tasks[[#This Row],[_LeafFcstFinish]],WORKDAY.INTL(Tasks[[#This Row],[_LeafFcstFinish]],Tasks[[#This Row],[_AlapShift]],WorkWeek,Holidays)))</f>
        <v/>
      </c>
      <c r="FK180" s="91" t="str">
        <f aca="false">IF(Tasks[[#This Row],[Task Name]]="","",IF(Tasks[[#This Row],[_IsSummary]],MIN(INDEX(Tasks[_ShownCalcStart],Tasks[[#This Row],[_Row]]+1):INDEX(Tasks[_ShownCalcStart],Tasks[[#This Row],[_Row]]+Tasks[[#This Row],[_Descendants]])),Tasks[[#This Row],[_ShownCalcStart]]))</f>
        <v/>
      </c>
      <c r="FL180" s="91" t="str">
        <f aca="false">IF(Tasks[[#This Row],[Task Name]]="","",IF(Tasks[[#This Row],[_IsSummary]],MAX(INDEX(Tasks[_ShownCalcFinish],Tasks[[#This Row],[_Row]]+1):INDEX(Tasks[_ShownCalcFinish],Tasks[[#This Row],[_Row]]+Tasks[[#This Row],[_Descendants]])),Tasks[[#This Row],[_ShownCalcFinish]]))</f>
        <v/>
      </c>
      <c r="FM1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0" s="43" t="n">
        <f aca="false">IF(AND(Tasks[[#This Row],[_IsLeaf]]=1,Tasks[[#This Row],[_LeafTotalWork]]&gt;0),NETWORKDAYS.INTL(ProjectStart,Tasks[[#This Row],[_ShownFcstStart]],WorkWeek,Holidays),0)</f>
        <v>0</v>
      </c>
      <c r="FZ180" s="43" t="n">
        <f aca="false">IF(AND(Tasks[[#This Row],[_IsLeaf]]=1,Tasks[[#This Row],[_LeafTotalWork]]&gt;0),MAX(Tasks[[#This Row],[_StartWorkday]],NETWORKDAYS.INTL(ProjectStart,Tasks[[#This Row],[_ShownFcstFinish]],WorkWeek,Holidays)),0)</f>
        <v>0</v>
      </c>
      <c r="GA180" s="43" t="n">
        <f aca="false">IF(AND(Tasks[[#This Row],[_IsLeaf]]=1,Tasks[[#This Row],[_LeafTotalWork]]&gt;0),Tasks[[#This Row],[_LeafWork]]/(Tasks[[#This Row],[_FinishWorkday]]-Tasks[[#This Row],[_StartWorkday]]+1),0)</f>
        <v>0</v>
      </c>
      <c r="GB180" s="43" t="n">
        <f aca="false">Tasks[[#This Row],[_WorkPerWorkday]]*(Tasks[[#This Row],[_StartWorkday]]-1)</f>
        <v>-0</v>
      </c>
      <c r="GC180" s="43" t="n">
        <f aca="false">IF(Tasks[[#This Row],[_IsLeaf]]=1,MAX(N(Tasks[[#This Row],[_Days]]),0.1),0)</f>
        <v>0</v>
      </c>
      <c r="GD180" s="43" t="n">
        <f aca="false">Tasks[[#This Row],[_WeightDur]]*Tasks[[#This Row],[_LeafProgress]]</f>
        <v>0</v>
      </c>
      <c r="GE180" s="43" t="n">
        <f aca="false">Tasks[[#This Row],[_WeightDur]]*Tasks[[#This Row],[_PlannedPct]]</f>
        <v>0</v>
      </c>
      <c r="GF1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0" s="43" t="str">
        <f aca="false">IF(AND(Tasks[[#This Row],[_IsLeaf]]=1,N(Tasks[[#This Row],[_Days]])=0,Tasks[[#This Row],[_LeafProgress]]&lt;1),Tasks[[#This Row],[_ShownFcstFinish]]+Tasks[[#This Row],[_Row]]/100000,"")</f>
        <v/>
      </c>
      <c r="GH1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0" s="43" t="str">
        <f aca="false">IF(Tasks[[#This Row],[Task Name]]="","",LEFT(Tasks[[#This Row],[WBS]],FIND(".",Tasks[[#This Row],[WBS]]&amp;".")-1))</f>
        <v/>
      </c>
      <c r="GJ180" s="43" t="str">
        <f aca="false">IF(AND(Tasks[[#This Row],[Task Name]]&lt;&gt;"",Tasks[[#This Row],[_Level]]=1),Tasks[[#This Row],[_Row]],"")</f>
        <v/>
      </c>
      <c r="GK180" s="43" t="str">
        <f aca="false">IF(AND(Tasks[[#This Row],[_IsLeaf]]=1,N(Tasks[[#This Row],[_Days]])=0),Tasks[[#This Row],[Planned Finish]]+Tasks[[#This Row],[_Row]]/100000,"")</f>
        <v/>
      </c>
      <c r="GL180" s="43" t="str">
        <f aca="false">IF(AND(Tasks[[#This Row],[_IsLeaf]]=1,Tasks[[#This Row],[_LeafProgress]]&lt;1,OR(N(Tasks[[#This Row],[Finish Var]])&gt;0,Tasks[[#This Row],[Status]]="Late Start")),MAX(0,Tasks[[#This Row],[Finish Var]])+1-Tasks[[#This Row],[_Row]]/1000000,"")</f>
        <v/>
      </c>
      <c r="GM180" s="43" t="str">
        <f aca="false">IF(AND(Tasks[[#This Row],[_IsLeaf]]=1,N(Tasks[[#This Row],[Actual Start]])=0,Tasks[[#This Row],[_ShownFcstStart]]&gt;=StatusDate,Tasks[[#This Row],[_ShownFcstStart]]&lt;=LookaheadEnd),Tasks[[#This Row],[_ShownFcstStart]]+Tasks[[#This Row],[_Row]]/100000,"")</f>
        <v/>
      </c>
      <c r="GN180" s="43" t="str">
        <f aca="false">IF(AND(Tasks[[#This Row],[_IsLeaf]]=1,Tasks[[#This Row],[_LeafProgress]]&lt;1,Tasks[[#This Row],[_ShownFcstFinish]]&gt;=StatusDate,Tasks[[#This Row],[_ShownFcstFinish]]&lt;=LookaheadEnd),Tasks[[#This Row],[_ShownFcstFinish]]+Tasks[[#This Row],[_Row]]/100000,"")</f>
        <v/>
      </c>
      <c r="GO180" s="43" t="str">
        <f aca="false">IF(Tasks[[#This Row],[_LeafCritical]],Tasks[[#This Row],[_ShownFcstStart]]+Tasks[[#This Row],[_Row]]/100000,"")</f>
        <v/>
      </c>
      <c r="GP180" s="43" t="n">
        <f aca="false">Tasks[[#This Row],[_LeafWork]]*Tasks[[#This Row],[_LeafProgress]]</f>
        <v>0</v>
      </c>
      <c r="GQ180" s="91" t="str">
        <f aca="false">IF(AND(Tasks[[#This Row],[_IsLeaf]]=1,Tasks[[#This Row],[_LeafProgress]]&gt;=1),IF(N(Tasks[[#This Row],[Actual Finish]])&gt;0,Tasks[[#This Row],[Actual Finish]],Tasks[[#This Row],[_ShownFcstFinish]]),"")</f>
        <v/>
      </c>
      <c r="GR180" s="43" t="n">
        <f aca="false">IF(Tasks[[#This Row],[_IsLeaf]]=1,N(Tasks[[#This Row],[Story Points]]),0)</f>
        <v>0</v>
      </c>
      <c r="GS180" s="43" t="str">
        <f aca="false">""</f>
        <v/>
      </c>
      <c r="GT180" s="90" t="b">
        <f aca="false">IF(Tasks[[#This Row],[Task Name]]="",FALSE(),AND(Tasks[[#This Row],[_IsLeaf]]=1,N(Tasks[[#This Row],[_Days]])=0))</f>
        <v>0</v>
      </c>
      <c r="GU180" s="91" t="n">
        <f aca="false">IF(Tasks[[#This Row],[Task Name]]="",0,IF(AND(Tasks[[#This Row],[_IsLeaf]]=1,NOT(Tasks[[#This Row],[_IsMilestone]]),N(Tasks[[#This Row],[Progress]])&gt;0),Tasks[[#This Row],[Start]],0))</f>
        <v>0</v>
      </c>
      <c r="GV180" s="91" t="n">
        <f aca="false">IF(Tasks[[#This Row],[_DoneFrom]]=0,0,IF(Tasks[[#This Row],[Progress]]&gt;=1,Tasks[[#This Row],[Finish]],MAX(Tasks[[#This Row],[_DoneFrom]],Tasks[[#This Row],[Start]]+ROUND((Tasks[[#This Row],[Finish]]-Tasks[[#This Row],[Start]]+1)*Tasks[[#This Row],[Progress]],0)-1)))</f>
        <v>0</v>
      </c>
      <c r="GW180" s="91" t="n">
        <f aca="false">IF(Tasks[[#This Row],[Task Name]]="",0,IF(OR(NOT(Tasks[[#This Row],[_IsLeaf]]=1),Tasks[[#This Row],[_IsMilestone]],N(Tasks[[#This Row],[Progress]])&gt;=1),0,IF(Tasks[[#This Row],[_DoneTo]]&gt;0,Tasks[[#This Row],[_DoneTo]]+1,Tasks[[#This Row],[Start]])))</f>
        <v>0</v>
      </c>
      <c r="GX180" s="91" t="n">
        <f aca="false">IF(Tasks[[#This Row],[_RemFrom]]=0,0,Tasks[[#This Row],[Finish]])</f>
        <v>0</v>
      </c>
      <c r="GY180" s="90" t="b">
        <f aca="false">IF(Tasks[[#This Row],[Task Name]]="",FALSE(),OR(NOT(BaselineSet),N(Tasks[[#This Row],[Baseline Start]])&gt;0))</f>
        <v>0</v>
      </c>
      <c r="GZ18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0" s="92" t="str">
        <f aca="false">IF(Tasks[[#This Row],[_IsLeaf]]=1,Tasks[[#This Row],[_Row]],"")</f>
        <v/>
      </c>
      <c r="HD180" s="92" t="str">
        <f aca="false">IFERROR(INDEX(Tasks[UID],SMALL(Tasks[_PickKey],Tasks[[#This Row],[_Row]]))&amp;" "&amp;INDEX(Tasks[Task Name],SMALL(Tasks[_PickKey],Tasks[[#This Row],[_Row]])),"")</f>
        <v/>
      </c>
      <c r="HE180" s="43" t="str">
        <f aca="false">IF(Tasks[[#This Row],[Task Name]]="","",IF(Tasks[[#This Row],[_IsSummary]],NETWORKDAYS.INTL(Tasks[[#This Row],[Start]],Tasks[[#This Row],[Finish]],WorkWeek,Holidays),N(Tasks[[#This Row],[_Days]])))</f>
        <v/>
      </c>
      <c r="HF180" s="43" t="n">
        <f aca="false">IF(Tasks[[#This Row],[Expected]]="",0,((Tasks[[#This Row],[Pessimistic]]-Tasks[[#This Row],[Optimistic]])/6)^2)</f>
        <v>0</v>
      </c>
      <c r="HG180" s="43" t="n">
        <f aca="false">IF(Tasks[[#This Row],[Expected]]="",0,Tasks[[#This Row],[Expected]]-N(Tasks[[#This Row],[_Days]]))</f>
        <v>0</v>
      </c>
    </row>
    <row r="181" customFormat="false" ht="15" hidden="false" customHeight="false" outlineLevel="0" collapsed="false">
      <c r="A181" s="21" t="str">
        <f aca="false">IF(Tasks[[#This Row],[Task Name]]="","",COUNTA(Tasks[[#Headers],[Task Name]]:Tasks[[#This Row],[Task Name]])-1)</f>
        <v/>
      </c>
      <c r="B181" s="22" t="n">
        <v>189</v>
      </c>
      <c r="C181" s="22"/>
      <c r="D181" s="23"/>
      <c r="E181" s="22"/>
      <c r="F181" s="23"/>
      <c r="G181" s="22"/>
      <c r="H181" s="22"/>
      <c r="I181" s="23"/>
      <c r="J181" s="22"/>
      <c r="K181" s="22"/>
      <c r="L181" s="23"/>
      <c r="M181" s="22"/>
      <c r="N181" s="22"/>
      <c r="O181" s="23"/>
      <c r="P181" s="22"/>
      <c r="Q181" s="22"/>
      <c r="R181" s="23"/>
      <c r="S181" s="23"/>
      <c r="T181" s="84"/>
      <c r="U181" s="23"/>
      <c r="V181" s="84"/>
      <c r="W181" s="23"/>
      <c r="X181" s="84"/>
      <c r="Y181" s="23"/>
      <c r="Z181" s="84"/>
      <c r="AA181" s="23"/>
      <c r="AB181" s="23"/>
      <c r="AC181" s="7"/>
      <c r="AD181" s="7"/>
      <c r="AE181" s="63" t="str">
        <f aca="false">IF(Tasks[[#This Row],[Task Name]]="","",IF(Tasks[[#This Row],[_IsSummary]],MIN(INDEX(Tasks[_ShownFcstStart],Tasks[[#This Row],[_Row]]+1):INDEX(Tasks[_ShownFcstStart],Tasks[[#This Row],[_Row]]+Tasks[[#This Row],[_Descendants]])),Tasks[[#This Row],[_ShownFcstStart]]))</f>
        <v/>
      </c>
      <c r="AF181" s="63" t="str">
        <f aca="false">IF(Tasks[[#This Row],[Task Name]]="","",IF(Tasks[[#This Row],[_IsSummary]],MAX(INDEX(Tasks[_ShownFcstFinish],Tasks[[#This Row],[_Row]]+1):INDEX(Tasks[_ShownFcstFinish],Tasks[[#This Row],[_Row]]+Tasks[[#This Row],[_Descendants]])),Tasks[[#This Row],[_ShownFcstFinish]]))</f>
        <v/>
      </c>
      <c r="AG181" s="21" t="str">
        <f aca="false">""</f>
        <v/>
      </c>
      <c r="AH181" s="23"/>
      <c r="AI1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1" s="7"/>
      <c r="AK181" s="22"/>
      <c r="AL181" s="23"/>
      <c r="AM181" s="7"/>
      <c r="AN181" s="47" t="str">
        <f aca="false">IF(Tasks[[#This Row],[Task Name]]="","",IF(Tasks[[#This Row],[Finish]]&gt;=Tasks[[#This Row],[Planned Finish]],NETWORKDAYS.INTL(Tasks[[#This Row],[Planned Finish]],Tasks[[#This Row],[Finish]],WorkWeek,Holidays)-1,1-NETWORKDAYS.INTL(Tasks[[#This Row],[Finish]],Tasks[[#This Row],[Planned Finish]],WorkWeek,Holidays)))</f>
        <v/>
      </c>
      <c r="AO181" s="21" t="str">
        <f aca="false">IF(Tasks[[#This Row],[Task Name]]="","",IF(Tasks[[#This Row],[Progress]]&gt;=1,"Complete",IF(OR(N(Tasks[[#This Row],[Actual Start]])&gt;0,Tasks[[#This Row],[Progress]]&gt;0),IF(Tasks[[#This Row],[Finish Var]]&gt;0,"Behind","In Progress"),IF(Tasks[[#This Row],[Planned Start]]&lt;StatusDate,"Late Start","Not Started"))))</f>
        <v/>
      </c>
      <c r="AP181" s="21" t="str">
        <f aca="false">IF(Tasks[[#This Row],[Task Name]]="","",IF(IF(Tasks[[#This Row],[_IsSummary]],COUNTIF(INDEX(Tasks[_LeafCritical],Tasks[[#This Row],[_Row]]+1):INDEX(Tasks[_LeafCritical],Tasks[[#This Row],[_Row]]+Tasks[[#This Row],[_Descendants]]),TRUE())&gt;0,Tasks[[#This Row],[_LeafCritical]]),"Yes",""))</f>
        <v/>
      </c>
      <c r="AQ181" s="63" t="str">
        <f aca="false">IF(Tasks[[#This Row],[Task Name]]="","",IF(N(Tasks[[#This Row],[Baseline Start]])&gt;0,Tasks[[#This Row],[Baseline Start]],Tasks[[#This Row],[_CalcStart]]))</f>
        <v/>
      </c>
      <c r="AR181" s="63" t="str">
        <f aca="false">IF(Tasks[[#This Row],[Task Name]]="","",IF(N(Tasks[[#This Row],[Baseline Finish]])&gt;0,Tasks[[#This Row],[Baseline Finish]],Tasks[[#This Row],[_CalcFinish]]))</f>
        <v/>
      </c>
      <c r="AS181" s="47" t="str">
        <f aca="false">IF(Tasks[[#This Row],[Task Name]]="","",IF(Tasks[[#This Row],[Start]]&gt;=Tasks[[#This Row],[Planned Start]],NETWORKDAYS.INTL(Tasks[[#This Row],[Planned Start]],Tasks[[#This Row],[Start]],WorkWeek,Holidays)-1,1-NETWORKDAYS.INTL(Tasks[[#This Row],[Start]],Tasks[[#This Row],[Planned Start]],WorkWeek,Holidays)))</f>
        <v/>
      </c>
      <c r="AT181" s="63" t="str">
        <f aca="false">IF(Tasks[[#This Row],[Task Name]]="","",IF(Tasks[[#This Row],[_IsSummary]],MIN(INDEX(Tasks[_LeafLateStart],Tasks[[#This Row],[_Row]]+1):INDEX(Tasks[_LeafLateStart],Tasks[[#This Row],[_Row]]+Tasks[[#This Row],[_Descendants]])),Tasks[[#This Row],[_LeafLateStart]]))</f>
        <v/>
      </c>
      <c r="AU181" s="63" t="str">
        <f aca="false">IF(Tasks[[#This Row],[Task Name]]="","",IF(Tasks[[#This Row],[_IsSummary]],MAX(INDEX(Tasks[_LeafLateFinish],Tasks[[#This Row],[_Row]]+1):INDEX(Tasks[_LeafLateFinish],Tasks[[#This Row],[_Row]]+Tasks[[#This Row],[_Descendants]])),Tasks[[#This Row],[_LeafLateFinish]]))</f>
        <v/>
      </c>
      <c r="AV181" s="47" t="str">
        <f aca="false">IF(Tasks[[#This Row],[Task Name]]="","",IF(Tasks[[#This Row],[_IsSummary]],MIN(INDEX(Tasks[_LeafTotalSlack],Tasks[[#This Row],[_Row]]+1):INDEX(Tasks[_LeafTotalSlack],Tasks[[#This Row],[_Row]]+Tasks[[#This Row],[_Descendants]])),Tasks[[#This Row],[_LeafTotalSlack]]))</f>
        <v/>
      </c>
      <c r="AW1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5"/>
      <c r="BA18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t="str">
        <f aca="false">IF(Tasks[[#This Row],[Task Name]]="","",IF(Tasks[[#This Row],[_Level]]&lt;=OutlineShowLevel,"Yes","No"))</f>
        <v/>
      </c>
      <c r="BE181" s="86" t="str">
        <f aca="false">IF(Tasks[[#This Row],[Task Name]]="","",IF(Tasks[[#This Row],[_IsSummary]],SUM(INDEX(Tasks[_LeafTotalWork],Tasks[[#This Row],[_Row]]+1):INDEX(Tasks[_LeafTotalWork],Tasks[[#This Row],[_Row]]+Tasks[[#This Row],[_Descendants]])),Tasks[[#This Row],[_LeafTotalWork]]))</f>
        <v/>
      </c>
      <c r="BF181" s="23"/>
      <c r="BG1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t="str">
        <f aca="false">""</f>
        <v/>
      </c>
      <c r="BI181" s="87"/>
      <c r="BJ181" s="22"/>
      <c r="BK181" s="47" t="str">
        <f aca="false">IF(OR(Tasks[[#This Row],[Task Name]]="",Tasks[[#This Row],[Baseline Duration]]=""),"",Tasks[[#This Row],[_SpanDays]]-N(Tasks[[#This Row],[Baseline Duration]]))</f>
        <v/>
      </c>
      <c r="BL181" s="86" t="str">
        <f aca="false">IF(OR(Tasks[[#This Row],[Task Name]]="",Tasks[[#This Row],[Baseline Work]]=""),"",Tasks[[#This Row],[Work]]-N(Tasks[[#This Row],[Baseline Work]]))</f>
        <v/>
      </c>
      <c r="BM181" s="63" t="str">
        <f aca="false">IF(Tasks[[#This Row],[Task Name]]="","",IF(OR(TakeBaseline="Yes",N(Tasks[[#This Row],[Baseline Start]])=0),Tasks[[#This Row],[Start]],Tasks[[#This Row],[Baseline Start]]))</f>
        <v/>
      </c>
      <c r="BN181" s="63" t="str">
        <f aca="false">IF(Tasks[[#This Row],[Task Name]]="","",IF(OR(TakeBaseline="Yes",N(Tasks[[#This Row],[Baseline Finish]])=0),Tasks[[#This Row],[Finish]],Tasks[[#This Row],[Baseline Finish]]))</f>
        <v/>
      </c>
      <c r="BO181" s="21" t="str">
        <f aca="false">IF(Tasks[[#This Row],[Task Name]]="","",IF(OR(TakeBaseline="Yes",N(Tasks[[#This Row],[Baseline Duration]])=0),Tasks[[#This Row],[_SpanDays]],Tasks[[#This Row],[Baseline Duration]]))</f>
        <v/>
      </c>
      <c r="BP181" s="86" t="str">
        <f aca="false">IF(Tasks[[#This Row],[Task Name]]="","",IF(OR(TakeBaseline="Yes",N(Tasks[[#This Row],[Baseline Work]])=0),Tasks[[#This Row],[Work]],Tasks[[#This Row],[Baseline Work]]))</f>
        <v/>
      </c>
      <c r="BQ181" s="7"/>
      <c r="BR181" s="7"/>
      <c r="BS181" s="22"/>
      <c r="BT181" s="88"/>
      <c r="BU181" s="23"/>
      <c r="BV181" s="23"/>
      <c r="BW181" s="23"/>
      <c r="BX181" s="89" t="str">
        <f aca="false">IF(AND(Tasks[[#This Row],[_IsLeaf]]=1,ISNUMBER(Tasks[[#This Row],[Optimistic]]),ISNUMBER(Tasks[[#This Row],[Pessimistic]])),ROUND((Tasks[[#This Row],[Optimistic]]+4*N(Tasks[[#This Row],[_Days]])+Tasks[[#This Row],[Pessimistic]])/6,1),"")</f>
        <v/>
      </c>
      <c r="BY181" s="87"/>
      <c r="BZ181" s="87"/>
      <c r="CA181" s="22"/>
      <c r="CB181" s="43" t="str">
        <f aca="false">IF(Tasks[[#This Row],[Task Name]]="","",MAX(1,N(Tasks[[#This Row],[Level]])))</f>
        <v/>
      </c>
      <c r="CC181" s="43" t="n">
        <f aca="false">ROW()-ROW(Tasks[[#Headers],[ID]])</f>
        <v>176</v>
      </c>
      <c r="CD181" s="43" t="n">
        <f aca="false">IF(OR(Tasks[[#This Row],[Task Name]]="",Tasks[[#This Row],[_Level]]&lt;=1),0,IFERROR(LOOKUP(2,1/(Tasks[[#Headers],[_Level]]:Tasks[[#This Row],[_Level]]=Tasks[[#This Row],[_Level]]-1),ROW(Tasks[[#Headers],[_Level]]:Tasks[[#This Row],[_Level]])),0))</f>
        <v>0</v>
      </c>
      <c r="CE181" s="43" t="n">
        <f aca="false">IFERROR(N(INDEX(Tasks[_Level],Tasks[[#This Row],[_Row]]+1)),0)</f>
        <v>0</v>
      </c>
      <c r="CF181" s="90" t="b">
        <f aca="false">AND(Tasks[[#This Row],[Task Name]]&lt;&gt;"",Tasks[[#This Row],[_NextLevel]]&gt;Tasks[[#This Row],[_Level]])</f>
        <v>0</v>
      </c>
      <c r="CG181" s="43" t="n">
        <f aca="false">IF(Tasks[[#This Row],[_IsSummary]],COUNTIF(Tasks[WBS],Tasks[[#This Row],[WBS]]&amp;".*"),0)</f>
        <v>0</v>
      </c>
      <c r="CH181" s="43" t="n">
        <f aca="false">IF(AND(Tasks[[#This Row],[Task Name]]&lt;&gt;"",NOT(Tasks[[#This Row],[_IsSummary]])),1,0)</f>
        <v>0</v>
      </c>
      <c r="CI181" s="43" t="n">
        <f aca="false">IF(N(Tasks[[#This Row],[_Pred1UID]])=0,0,IFERROR(MATCH(Tasks[[#This Row],[_Pred1UID]],Tasks[UID],0),-1))</f>
        <v>0</v>
      </c>
      <c r="CJ181" s="43" t="n">
        <f aca="false">IF(N(Tasks[[#This Row],[_Pred2UID]])=0,0,IFERROR(MATCH(Tasks[[#This Row],[_Pred2UID]],Tasks[UID],0),-1))</f>
        <v>0</v>
      </c>
      <c r="CK181" s="43" t="n">
        <f aca="false">IF(N(Tasks[[#This Row],[_Pred3UID]])=0,0,IFERROR(MATCH(Tasks[[#This Row],[_Pred3UID]],Tasks[UID],0),-1))</f>
        <v>0</v>
      </c>
      <c r="CL181" s="43" t="n">
        <f aca="false">IF(N(Tasks[[#This Row],[_Pred4UID]])=0,0,IFERROR(MATCH(Tasks[[#This Row],[_Pred4UID]],Tasks[UID],0),-1))</f>
        <v>0</v>
      </c>
      <c r="CM1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1" s="91" t="n">
        <f aca="false">IF(OR(Tasks[[#This Row],[_ConstraintCode]]=2,Tasks[[#This Row],[_ConstraintCode]]=3,Tasks[[#This Row],[_ConstraintCode]]=4,Tasks[[#This Row],[_ConstraintCode]]=6),Tasks[[#This Row],[_ConstraintStart]],0)</f>
        <v>0</v>
      </c>
      <c r="CP181" s="91" t="n">
        <f aca="false">IF(OR(Tasks[[#This Row],[_ConstraintCode]]=2,Tasks[[#This Row],[_ConstraintCode]]=3,Tasks[[#This Row],[_ConstraintCode]]=5,Tasks[[#This Row],[_ConstraintCode]]=7),Tasks[[#This Row],[_ConstraintStart]],2958465)</f>
        <v>2958465</v>
      </c>
      <c r="CQ1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1" s="91" t="str">
        <f aca="false">IF(NOT(Tasks[[#This Row],[_IsLeaf]]=1),"",IF(N(Tasks[[#This Row],[_Days]])&lt;=0,Tasks[[#This Row],[_LeafCalcStart]],WORKDAY.INTL(Tasks[[#This Row],[_LeafCalcStart]],Tasks[[#This Row],[_Days]]-1,WorkWeek,Holidays)))</f>
        <v/>
      </c>
      <c r="CS1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1" s="43" t="str">
        <f aca="false">IF(Tasks[[#This Row],[_Predecessors]]="","",TRIM(MID(SUBSTITUTE(SUBSTITUTE(SUBSTITUTE(UPPER(Tasks[[#This Row],[_Predecessors]]),";",",")," ",""),",",REPT(" ",99)),1,99)))</f>
        <v/>
      </c>
      <c r="CV181" s="43" t="str">
        <f aca="false">IF(Tasks[[#This Row],[_Pred1Text]]="","",IFERROR(VALUE(LEFT(Tasks[[#This Row],[_Pred1Text]],MIN(FIND("F",Tasks[[#This Row],[_Pred1Text]]&amp;"F"),FIND("S",Tasks[[#This Row],[_Pred1Text]]&amp;"S"),FIND("+",Tasks[[#This Row],[_Pred1Text]]&amp;"+"),FIND("-",Tasks[[#This Row],[_Pred1Text]]&amp;"-"))-1)),""))</f>
        <v/>
      </c>
      <c r="CW1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1" s="43" t="str">
        <f aca="false">IF(Tasks[[#This Row],[_Pred1Text]]="","",TRIM(MID(SUBSTITUTE(SUBSTITUTE(SUBSTITUTE(UPPER(Tasks[[#This Row],[_Predecessors]]),";",",")," ",""),",",REPT(" ",99)),100,99)))</f>
        <v/>
      </c>
      <c r="CZ181" s="43" t="str">
        <f aca="false">IF(Tasks[[#This Row],[_Pred2Text]]="","",IFERROR(VALUE(LEFT(Tasks[[#This Row],[_Pred2Text]],MIN(FIND("F",Tasks[[#This Row],[_Pred2Text]]&amp;"F"),FIND("S",Tasks[[#This Row],[_Pred2Text]]&amp;"S"),FIND("+",Tasks[[#This Row],[_Pred2Text]]&amp;"+"),FIND("-",Tasks[[#This Row],[_Pred2Text]]&amp;"-"))-1)),""))</f>
        <v/>
      </c>
      <c r="DA1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1" s="43" t="str">
        <f aca="false">IF(Tasks[[#This Row],[_Pred2Text]]="","",TRIM(MID(SUBSTITUTE(SUBSTITUTE(SUBSTITUTE(UPPER(Tasks[[#This Row],[_Predecessors]]),";",",")," ",""),",",REPT(" ",99)),199,99)))</f>
        <v/>
      </c>
      <c r="DD181" s="43" t="str">
        <f aca="false">IF(Tasks[[#This Row],[_Pred3Text]]="","",IFERROR(VALUE(LEFT(Tasks[[#This Row],[_Pred3Text]],MIN(FIND("F",Tasks[[#This Row],[_Pred3Text]]&amp;"F"),FIND("S",Tasks[[#This Row],[_Pred3Text]]&amp;"S"),FIND("+",Tasks[[#This Row],[_Pred3Text]]&amp;"+"),FIND("-",Tasks[[#This Row],[_Pred3Text]]&amp;"-"))-1)),""))</f>
        <v/>
      </c>
      <c r="DE1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1" s="43" t="str">
        <f aca="false">IF(Tasks[[#This Row],[_Pred3Text]]="","",TRIM(MID(SUBSTITUTE(SUBSTITUTE(SUBSTITUTE(UPPER(Tasks[[#This Row],[_Predecessors]]),";",",")," ",""),",",REPT(" ",99)),298,99)))</f>
        <v/>
      </c>
      <c r="DH181" s="43" t="str">
        <f aca="false">IF(Tasks[[#This Row],[_Pred4Text]]="","",IFERROR(VALUE(LEFT(Tasks[[#This Row],[_Pred4Text]],MIN(FIND("F",Tasks[[#This Row],[_Pred4Text]]&amp;"F"),FIND("S",Tasks[[#This Row],[_Pred4Text]]&amp;"S"),FIND("+",Tasks[[#This Row],[_Pred4Text]]&amp;"+"),FIND("-",Tasks[[#This Row],[_Pred4Text]]&amp;"-"))-1)),""))</f>
        <v/>
      </c>
      <c r="DI1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1" s="43" t="str">
        <f aca="false">IF(OR(Tasks[[#This Row],[Task Name]]="",Tasks[[#This Row],[_Resources]]=""),"",TRIM(MID(SUBSTITUTE(Tasks[[#This Row],[_Resources]],",",REPT(" ",99)),1,99)))</f>
        <v/>
      </c>
      <c r="DL181" s="43" t="str">
        <f aca="false">IF(Tasks[[#This Row],[_Res1Text]]="","",TRIM(MID(SUBSTITUTE(Tasks[[#This Row],[_Resources]],",",REPT(" ",99)),100,99)))</f>
        <v/>
      </c>
      <c r="DM181" s="43" t="str">
        <f aca="false">IF(Tasks[[#This Row],[_Res2Text]]="","",TRIM(MID(SUBSTITUTE(Tasks[[#This Row],[_Resources]],",",REPT(" ",99)),199,99)))</f>
        <v/>
      </c>
      <c r="DN181" s="43" t="str">
        <f aca="false">IF(Tasks[[#This Row],[_Res3Text]]="","",TRIM(MID(SUBSTITUTE(Tasks[[#This Row],[_Resources]],",",REPT(" ",99)),298,99)))</f>
        <v/>
      </c>
      <c r="DO181" s="43" t="n">
        <f aca="false">IF(Tasks[[#This Row],[_Res1Text]]="",0,IFERROR(MATCH(TRIM(LEFT(Tasks[[#This Row],[_Res1Text]],FIND("[",Tasks[[#This Row],[_Res1Text]]&amp;"[")-1)),res_Name,0),IFERROR(MATCH(TRIM(LEFT(Tasks[[#This Row],[_Res1Text]],FIND("[",Tasks[[#This Row],[_Res1Text]]&amp;"[")-1)),res_Initials,0),0)))</f>
        <v>0</v>
      </c>
      <c r="DP181" s="43" t="n">
        <f aca="false">IF(Tasks[[#This Row],[_Res2Text]]="",0,IFERROR(MATCH(TRIM(LEFT(Tasks[[#This Row],[_Res2Text]],FIND("[",Tasks[[#This Row],[_Res2Text]]&amp;"[")-1)),res_Name,0),IFERROR(MATCH(TRIM(LEFT(Tasks[[#This Row],[_Res2Text]],FIND("[",Tasks[[#This Row],[_Res2Text]]&amp;"[")-1)),res_Initials,0),0)))</f>
        <v>0</v>
      </c>
      <c r="DQ181" s="43" t="n">
        <f aca="false">IF(Tasks[[#This Row],[_Res3Text]]="",0,IFERROR(MATCH(TRIM(LEFT(Tasks[[#This Row],[_Res3Text]],FIND("[",Tasks[[#This Row],[_Res3Text]]&amp;"[")-1)),res_Name,0),IFERROR(MATCH(TRIM(LEFT(Tasks[[#This Row],[_Res3Text]],FIND("[",Tasks[[#This Row],[_Res3Text]]&amp;"[")-1)),res_Initials,0),0)))</f>
        <v>0</v>
      </c>
      <c r="DR181" s="43" t="n">
        <f aca="false">IF(Tasks[[#This Row],[_Res4Text]]="",0,IFERROR(MATCH(TRIM(LEFT(Tasks[[#This Row],[_Res4Text]],FIND("[",Tasks[[#This Row],[_Res4Text]]&amp;"[")-1)),res_Name,0),IFERROR(MATCH(TRIM(LEFT(Tasks[[#This Row],[_Res4Text]],FIND("[",Tasks[[#This Row],[_Res4Text]]&amp;"[")-1)),res_Initials,0),0)))</f>
        <v>0</v>
      </c>
      <c r="DS181" s="43" t="str">
        <f aca="false">IF(Tasks[[#This Row],[_Res1Text]]="","",IF(Tasks[[#This Row],[_Res1Row]]&gt;0,INDEX(res_Name,Tasks[[#This Row],[_Res1Row]]),TRIM(LEFT(Tasks[[#This Row],[_Res1Text]],FIND("[",Tasks[[#This Row],[_Res1Text]]&amp;"[")-1))))</f>
        <v/>
      </c>
      <c r="DT1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1" s="43" t="n">
        <f aca="false">IF(NOT(Tasks[[#This Row],[_IsLeaf]]=1),0,(Tasks[[#This Row],[_Resource1]]&lt;&gt;"")+(Tasks[[#This Row],[_Res2]]&lt;&gt;"")+(Tasks[[#This Row],[_Res3]]&lt;&gt;"")+(Tasks[[#This Row],[_Res4]]&lt;&gt;""))</f>
        <v>0</v>
      </c>
      <c r="DV181" s="43" t="str">
        <f aca="false">IF(Tasks[[#This Row],[_Res2Text]]="","",IF(Tasks[[#This Row],[_Res2Row]]&gt;0,INDEX(res_Name,Tasks[[#This Row],[_Res2Row]]),TRIM(LEFT(Tasks[[#This Row],[_Res2Text]],FIND("[",Tasks[[#This Row],[_Res2Text]]&amp;"[")-1))))</f>
        <v/>
      </c>
      <c r="DW1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1" s="43" t="n">
        <f aca="false">IF(OR(NOT(Tasks[[#This Row],[_IsLeaf]]=1),Tasks[[#This Row],[_Res2Row]]=0),0,N(Tasks[[#This Row],[_Days]])*HoursPerDay*IF(Tasks[[#This Row],[_Res2Units]]="",DefaultUnits,Tasks[[#This Row],[_Res2Units]]))</f>
        <v>0</v>
      </c>
      <c r="DY181" s="43" t="n">
        <f aca="false">IF(AND(AND(Tasks[[#This Row],[_IsLeaf]]=1,Tasks[[#This Row],[_LeafTotalWork]]&gt;0),Tasks[[#This Row],[_Res2Work]]&gt;0),Tasks[[#This Row],[_Res2Work]]/(Tasks[[#This Row],[_FinishWorkday]]-Tasks[[#This Row],[_StartWorkday]]+1),0)</f>
        <v>0</v>
      </c>
      <c r="DZ181" s="43" t="n">
        <f aca="false">Tasks[[#This Row],[_Res2WorkPerWD]]*MAX(0,Tasks[[#This Row],[_StartWorkday]]-1)</f>
        <v>0</v>
      </c>
      <c r="EA181" s="43" t="n">
        <f aca="false">Tasks[[#This Row],[_Res2Work]]*Tasks[[#This Row],[_LeafProgress]]</f>
        <v>0</v>
      </c>
      <c r="EB181" s="43" t="str">
        <f aca="false">IF(Tasks[[#This Row],[_Res3Text]]="","",IF(Tasks[[#This Row],[_Res3Row]]&gt;0,INDEX(res_Name,Tasks[[#This Row],[_Res3Row]]),TRIM(LEFT(Tasks[[#This Row],[_Res3Text]],FIND("[",Tasks[[#This Row],[_Res3Text]]&amp;"[")-1))))</f>
        <v/>
      </c>
      <c r="EC1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1" s="43" t="n">
        <f aca="false">IF(OR(NOT(Tasks[[#This Row],[_IsLeaf]]=1),Tasks[[#This Row],[_Res3Row]]=0),0,N(Tasks[[#This Row],[_Days]])*HoursPerDay*IF(Tasks[[#This Row],[_Res3Units]]="",DefaultUnits,Tasks[[#This Row],[_Res3Units]]))</f>
        <v>0</v>
      </c>
      <c r="EE181" s="43" t="n">
        <f aca="false">IF(AND(AND(Tasks[[#This Row],[_IsLeaf]]=1,Tasks[[#This Row],[_LeafTotalWork]]&gt;0),Tasks[[#This Row],[_Res3Work]]&gt;0),Tasks[[#This Row],[_Res3Work]]/(Tasks[[#This Row],[_FinishWorkday]]-Tasks[[#This Row],[_StartWorkday]]+1),0)</f>
        <v>0</v>
      </c>
      <c r="EF181" s="43" t="n">
        <f aca="false">Tasks[[#This Row],[_Res3WorkPerWD]]*MAX(0,Tasks[[#This Row],[_StartWorkday]]-1)</f>
        <v>0</v>
      </c>
      <c r="EG181" s="43" t="n">
        <f aca="false">Tasks[[#This Row],[_Res3Work]]*Tasks[[#This Row],[_LeafProgress]]</f>
        <v>0</v>
      </c>
      <c r="EH181" s="43" t="str">
        <f aca="false">IF(Tasks[[#This Row],[_Res4Text]]="","",IF(Tasks[[#This Row],[_Res4Row]]&gt;0,INDEX(res_Name,Tasks[[#This Row],[_Res4Row]]),TRIM(LEFT(Tasks[[#This Row],[_Res4Text]],FIND("[",Tasks[[#This Row],[_Res4Text]]&amp;"[")-1))))</f>
        <v/>
      </c>
      <c r="EI1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1" s="43" t="n">
        <f aca="false">IF(OR(NOT(Tasks[[#This Row],[_IsLeaf]]=1),Tasks[[#This Row],[_Res4Row]]=0),0,N(Tasks[[#This Row],[_Days]])*HoursPerDay*IF(Tasks[[#This Row],[_Res4Units]]="",DefaultUnits,Tasks[[#This Row],[_Res4Units]]))</f>
        <v>0</v>
      </c>
      <c r="EK181" s="43" t="n">
        <f aca="false">IF(AND(AND(Tasks[[#This Row],[_IsLeaf]]=1,Tasks[[#This Row],[_LeafTotalWork]]&gt;0),Tasks[[#This Row],[_Res4Work]]&gt;0),Tasks[[#This Row],[_Res4Work]]/(Tasks[[#This Row],[_FinishWorkday]]-Tasks[[#This Row],[_StartWorkday]]+1),0)</f>
        <v>0</v>
      </c>
      <c r="EL181" s="43" t="n">
        <f aca="false">Tasks[[#This Row],[_Res4WorkPerWD]]*MAX(0,Tasks[[#This Row],[_StartWorkday]]-1)</f>
        <v>0</v>
      </c>
      <c r="EM181" s="43" t="n">
        <f aca="false">Tasks[[#This Row],[_Res4Work]]*Tasks[[#This Row],[_LeafProgress]]</f>
        <v>0</v>
      </c>
      <c r="EN181" s="43" t="n">
        <f aca="false">IF(ISNUMBER(Tasks[[#This Row],[% Complete]]),Tasks[[#This Row],[% Complete]],IF(Tasks[[#This Row],[Stage]]="",0,IFERROR(INDEX(stg_Pct,MATCH(Tasks[[#This Row],[Stage]],stg_Name,0)),0)))</f>
        <v>0</v>
      </c>
      <c r="EO181" s="43" t="n">
        <f aca="false">IF(NOT(Tasks[[#This Row],[_IsLeaf]]=1),0,IF(N(Tasks[[#This Row],[Actual Finish]])&gt;0,1,MIN(1,Tasks[[#This Row],[_Pct]])))</f>
        <v>0</v>
      </c>
      <c r="EP181" s="43" t="n">
        <f aca="false">IF(OR(NOT(Tasks[[#This Row],[_IsLeaf]]=1),Tasks[[#This Row],[_Res1Row]]=0),0,N(Tasks[[#This Row],[_Days]])*HoursPerDay*IF(Tasks[[#This Row],[_Units1]]="",DefaultUnits,Tasks[[#This Row],[_Units1]]))</f>
        <v>0</v>
      </c>
      <c r="EQ181" s="43" t="n">
        <f aca="false">Tasks[[#This Row],[_LeafWork]]+Tasks[[#This Row],[_Res2Work]]+Tasks[[#This Row],[_Res3Work]]+Tasks[[#This Row],[_Res4Work]]</f>
        <v>0</v>
      </c>
      <c r="ER18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1" s="43" t="n">
        <f aca="false">IF(NOT(Tasks[[#This Row],[_IsLeaf]]=1),0,MAX(_xlfn.MAXIFS(Tasks[_Row],Tasks[_Pred1UID],Tasks[[#This Row],[UID]]),_xlfn.MAXIFS(Tasks[_Row],Tasks[_Pred2UID],Tasks[[#This Row],[UID]]),_xlfn.MAXIFS(Tasks[_Row],Tasks[_Pred3UID],Tasks[[#This Row],[UID]]),_xlfn.MAXIFS(Tasks[_Row],Tasks[_Pred4UID],Tasks[[#This Row],[UID]])))</f>
        <v>0</v>
      </c>
      <c r="FA1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1" s="91" t="str">
        <f aca="false">IF(NOT(Tasks[[#This Row],[_IsLeaf]]=1),"",IF(N(Tasks[[#This Row],[_Days]])&lt;=0,Tasks[[#This Row],[_LeafLateFinish]],WORKDAY.INTL(Tasks[[#This Row],[_LeafLateFinish]],-(Tasks[[#This Row],[_Days]]-1),WorkWeek,Holidays)))</f>
        <v/>
      </c>
      <c r="FD1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1" s="90" t="b">
        <f aca="false">AND(Tasks[[#This Row],[_IsLeaf]]=1,Tasks[[#This Row],[_LeafProgress]]&lt;1,N(Tasks[[#This Row],[_LeafTotalSlack]])&lt;=CriticalSlackDays)</f>
        <v>0</v>
      </c>
      <c r="FF181" s="43" t="n">
        <f aca="false">IF(AND(Tasks[[#This Row],[_IsLeaf]]=1,Tasks[[#This Row],[_ConstraintCode]]=1,Tasks[[#This Row],[Mode]]&lt;&gt;"Manual",N(Tasks[[#This Row],[Actual Start]])=0),MAX(0,N(Tasks[[#This Row],[Free Slack]])),0)</f>
        <v>0</v>
      </c>
      <c r="FG181" s="91" t="str">
        <f aca="false">IF(NOT(Tasks[[#This Row],[_IsLeaf]]=1),"",IF(Tasks[[#This Row],[_AlapShift]]=0,Tasks[[#This Row],[_LeafCalcStart]],WORKDAY.INTL(Tasks[[#This Row],[_LeafCalcStart]],Tasks[[#This Row],[_AlapShift]],WorkWeek,Holidays)))</f>
        <v/>
      </c>
      <c r="FH181" s="91" t="str">
        <f aca="false">IF(NOT(Tasks[[#This Row],[_IsLeaf]]=1),"",IF(Tasks[[#This Row],[_AlapShift]]=0,Tasks[[#This Row],[_LeafCalcFinish]],WORKDAY.INTL(Tasks[[#This Row],[_LeafCalcFinish]],Tasks[[#This Row],[_AlapShift]],WorkWeek,Holidays)))</f>
        <v/>
      </c>
      <c r="FI181" s="91" t="str">
        <f aca="false">IF(NOT(Tasks[[#This Row],[_IsLeaf]]=1),"",IF(Tasks[[#This Row],[_AlapShift]]=0,Tasks[[#This Row],[_LeafFcstStart]],WORKDAY.INTL(Tasks[[#This Row],[_LeafFcstStart]],Tasks[[#This Row],[_AlapShift]],WorkWeek,Holidays)))</f>
        <v/>
      </c>
      <c r="FJ181" s="91" t="str">
        <f aca="false">IF(NOT(Tasks[[#This Row],[_IsLeaf]]=1),"",IF(Tasks[[#This Row],[_AlapShift]]=0,Tasks[[#This Row],[_LeafFcstFinish]],WORKDAY.INTL(Tasks[[#This Row],[_LeafFcstFinish]],Tasks[[#This Row],[_AlapShift]],WorkWeek,Holidays)))</f>
        <v/>
      </c>
      <c r="FK181" s="91" t="str">
        <f aca="false">IF(Tasks[[#This Row],[Task Name]]="","",IF(Tasks[[#This Row],[_IsSummary]],MIN(INDEX(Tasks[_ShownCalcStart],Tasks[[#This Row],[_Row]]+1):INDEX(Tasks[_ShownCalcStart],Tasks[[#This Row],[_Row]]+Tasks[[#This Row],[_Descendants]])),Tasks[[#This Row],[_ShownCalcStart]]))</f>
        <v/>
      </c>
      <c r="FL181" s="91" t="str">
        <f aca="false">IF(Tasks[[#This Row],[Task Name]]="","",IF(Tasks[[#This Row],[_IsSummary]],MAX(INDEX(Tasks[_ShownCalcFinish],Tasks[[#This Row],[_Row]]+1):INDEX(Tasks[_ShownCalcFinish],Tasks[[#This Row],[_Row]]+Tasks[[#This Row],[_Descendants]])),Tasks[[#This Row],[_ShownCalcFinish]]))</f>
        <v/>
      </c>
      <c r="FM1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1" s="43" t="n">
        <f aca="false">IF(AND(Tasks[[#This Row],[_IsLeaf]]=1,Tasks[[#This Row],[_LeafTotalWork]]&gt;0),NETWORKDAYS.INTL(ProjectStart,Tasks[[#This Row],[_ShownFcstStart]],WorkWeek,Holidays),0)</f>
        <v>0</v>
      </c>
      <c r="FZ181" s="43" t="n">
        <f aca="false">IF(AND(Tasks[[#This Row],[_IsLeaf]]=1,Tasks[[#This Row],[_LeafTotalWork]]&gt;0),MAX(Tasks[[#This Row],[_StartWorkday]],NETWORKDAYS.INTL(ProjectStart,Tasks[[#This Row],[_ShownFcstFinish]],WorkWeek,Holidays)),0)</f>
        <v>0</v>
      </c>
      <c r="GA181" s="43" t="n">
        <f aca="false">IF(AND(Tasks[[#This Row],[_IsLeaf]]=1,Tasks[[#This Row],[_LeafTotalWork]]&gt;0),Tasks[[#This Row],[_LeafWork]]/(Tasks[[#This Row],[_FinishWorkday]]-Tasks[[#This Row],[_StartWorkday]]+1),0)</f>
        <v>0</v>
      </c>
      <c r="GB181" s="43" t="n">
        <f aca="false">Tasks[[#This Row],[_WorkPerWorkday]]*(Tasks[[#This Row],[_StartWorkday]]-1)</f>
        <v>-0</v>
      </c>
      <c r="GC181" s="43" t="n">
        <f aca="false">IF(Tasks[[#This Row],[_IsLeaf]]=1,MAX(N(Tasks[[#This Row],[_Days]]),0.1),0)</f>
        <v>0</v>
      </c>
      <c r="GD181" s="43" t="n">
        <f aca="false">Tasks[[#This Row],[_WeightDur]]*Tasks[[#This Row],[_LeafProgress]]</f>
        <v>0</v>
      </c>
      <c r="GE181" s="43" t="n">
        <f aca="false">Tasks[[#This Row],[_WeightDur]]*Tasks[[#This Row],[_PlannedPct]]</f>
        <v>0</v>
      </c>
      <c r="GF1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1" s="43" t="str">
        <f aca="false">IF(AND(Tasks[[#This Row],[_IsLeaf]]=1,N(Tasks[[#This Row],[_Days]])=0,Tasks[[#This Row],[_LeafProgress]]&lt;1),Tasks[[#This Row],[_ShownFcstFinish]]+Tasks[[#This Row],[_Row]]/100000,"")</f>
        <v/>
      </c>
      <c r="GH1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1" s="43" t="str">
        <f aca="false">IF(Tasks[[#This Row],[Task Name]]="","",LEFT(Tasks[[#This Row],[WBS]],FIND(".",Tasks[[#This Row],[WBS]]&amp;".")-1))</f>
        <v/>
      </c>
      <c r="GJ181" s="43" t="str">
        <f aca="false">IF(AND(Tasks[[#This Row],[Task Name]]&lt;&gt;"",Tasks[[#This Row],[_Level]]=1),Tasks[[#This Row],[_Row]],"")</f>
        <v/>
      </c>
      <c r="GK181" s="43" t="str">
        <f aca="false">IF(AND(Tasks[[#This Row],[_IsLeaf]]=1,N(Tasks[[#This Row],[_Days]])=0),Tasks[[#This Row],[Planned Finish]]+Tasks[[#This Row],[_Row]]/100000,"")</f>
        <v/>
      </c>
      <c r="GL181" s="43" t="str">
        <f aca="false">IF(AND(Tasks[[#This Row],[_IsLeaf]]=1,Tasks[[#This Row],[_LeafProgress]]&lt;1,OR(N(Tasks[[#This Row],[Finish Var]])&gt;0,Tasks[[#This Row],[Status]]="Late Start")),MAX(0,Tasks[[#This Row],[Finish Var]])+1-Tasks[[#This Row],[_Row]]/1000000,"")</f>
        <v/>
      </c>
      <c r="GM181" s="43" t="str">
        <f aca="false">IF(AND(Tasks[[#This Row],[_IsLeaf]]=1,N(Tasks[[#This Row],[Actual Start]])=0,Tasks[[#This Row],[_ShownFcstStart]]&gt;=StatusDate,Tasks[[#This Row],[_ShownFcstStart]]&lt;=LookaheadEnd),Tasks[[#This Row],[_ShownFcstStart]]+Tasks[[#This Row],[_Row]]/100000,"")</f>
        <v/>
      </c>
      <c r="GN181" s="43" t="str">
        <f aca="false">IF(AND(Tasks[[#This Row],[_IsLeaf]]=1,Tasks[[#This Row],[_LeafProgress]]&lt;1,Tasks[[#This Row],[_ShownFcstFinish]]&gt;=StatusDate,Tasks[[#This Row],[_ShownFcstFinish]]&lt;=LookaheadEnd),Tasks[[#This Row],[_ShownFcstFinish]]+Tasks[[#This Row],[_Row]]/100000,"")</f>
        <v/>
      </c>
      <c r="GO181" s="43" t="str">
        <f aca="false">IF(Tasks[[#This Row],[_LeafCritical]],Tasks[[#This Row],[_ShownFcstStart]]+Tasks[[#This Row],[_Row]]/100000,"")</f>
        <v/>
      </c>
      <c r="GP181" s="43" t="n">
        <f aca="false">Tasks[[#This Row],[_LeafWork]]*Tasks[[#This Row],[_LeafProgress]]</f>
        <v>0</v>
      </c>
      <c r="GQ181" s="91" t="str">
        <f aca="false">IF(AND(Tasks[[#This Row],[_IsLeaf]]=1,Tasks[[#This Row],[_LeafProgress]]&gt;=1),IF(N(Tasks[[#This Row],[Actual Finish]])&gt;0,Tasks[[#This Row],[Actual Finish]],Tasks[[#This Row],[_ShownFcstFinish]]),"")</f>
        <v/>
      </c>
      <c r="GR181" s="43" t="n">
        <f aca="false">IF(Tasks[[#This Row],[_IsLeaf]]=1,N(Tasks[[#This Row],[Story Points]]),0)</f>
        <v>0</v>
      </c>
      <c r="GS181" s="43" t="str">
        <f aca="false">""</f>
        <v/>
      </c>
      <c r="GT181" s="90" t="b">
        <f aca="false">IF(Tasks[[#This Row],[Task Name]]="",FALSE(),AND(Tasks[[#This Row],[_IsLeaf]]=1,N(Tasks[[#This Row],[_Days]])=0))</f>
        <v>0</v>
      </c>
      <c r="GU181" s="91" t="n">
        <f aca="false">IF(Tasks[[#This Row],[Task Name]]="",0,IF(AND(Tasks[[#This Row],[_IsLeaf]]=1,NOT(Tasks[[#This Row],[_IsMilestone]]),N(Tasks[[#This Row],[Progress]])&gt;0),Tasks[[#This Row],[Start]],0))</f>
        <v>0</v>
      </c>
      <c r="GV181" s="91" t="n">
        <f aca="false">IF(Tasks[[#This Row],[_DoneFrom]]=0,0,IF(Tasks[[#This Row],[Progress]]&gt;=1,Tasks[[#This Row],[Finish]],MAX(Tasks[[#This Row],[_DoneFrom]],Tasks[[#This Row],[Start]]+ROUND((Tasks[[#This Row],[Finish]]-Tasks[[#This Row],[Start]]+1)*Tasks[[#This Row],[Progress]],0)-1)))</f>
        <v>0</v>
      </c>
      <c r="GW181" s="91" t="n">
        <f aca="false">IF(Tasks[[#This Row],[Task Name]]="",0,IF(OR(NOT(Tasks[[#This Row],[_IsLeaf]]=1),Tasks[[#This Row],[_IsMilestone]],N(Tasks[[#This Row],[Progress]])&gt;=1),0,IF(Tasks[[#This Row],[_DoneTo]]&gt;0,Tasks[[#This Row],[_DoneTo]]+1,Tasks[[#This Row],[Start]])))</f>
        <v>0</v>
      </c>
      <c r="GX181" s="91" t="n">
        <f aca="false">IF(Tasks[[#This Row],[_RemFrom]]=0,0,Tasks[[#This Row],[Finish]])</f>
        <v>0</v>
      </c>
      <c r="GY181" s="90" t="b">
        <f aca="false">IF(Tasks[[#This Row],[Task Name]]="",FALSE(),OR(NOT(BaselineSet),N(Tasks[[#This Row],[Baseline Start]])&gt;0))</f>
        <v>0</v>
      </c>
      <c r="GZ18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1" s="92" t="str">
        <f aca="false">IF(Tasks[[#This Row],[_IsLeaf]]=1,Tasks[[#This Row],[_Row]],"")</f>
        <v/>
      </c>
      <c r="HD181" s="92" t="str">
        <f aca="false">IFERROR(INDEX(Tasks[UID],SMALL(Tasks[_PickKey],Tasks[[#This Row],[_Row]]))&amp;" "&amp;INDEX(Tasks[Task Name],SMALL(Tasks[_PickKey],Tasks[[#This Row],[_Row]])),"")</f>
        <v/>
      </c>
      <c r="HE181" s="43" t="str">
        <f aca="false">IF(Tasks[[#This Row],[Task Name]]="","",IF(Tasks[[#This Row],[_IsSummary]],NETWORKDAYS.INTL(Tasks[[#This Row],[Start]],Tasks[[#This Row],[Finish]],WorkWeek,Holidays),N(Tasks[[#This Row],[_Days]])))</f>
        <v/>
      </c>
      <c r="HF181" s="43" t="n">
        <f aca="false">IF(Tasks[[#This Row],[Expected]]="",0,((Tasks[[#This Row],[Pessimistic]]-Tasks[[#This Row],[Optimistic]])/6)^2)</f>
        <v>0</v>
      </c>
      <c r="HG181" s="43" t="n">
        <f aca="false">IF(Tasks[[#This Row],[Expected]]="",0,Tasks[[#This Row],[Expected]]-N(Tasks[[#This Row],[_Days]]))</f>
        <v>0</v>
      </c>
    </row>
    <row r="182" customFormat="false" ht="15" hidden="false" customHeight="false" outlineLevel="0" collapsed="false">
      <c r="A182" s="21" t="str">
        <f aca="false">IF(Tasks[[#This Row],[Task Name]]="","",COUNTA(Tasks[[#Headers],[Task Name]]:Tasks[[#This Row],[Task Name]])-1)</f>
        <v/>
      </c>
      <c r="B182" s="22" t="n">
        <v>190</v>
      </c>
      <c r="C182" s="22"/>
      <c r="D182" s="23"/>
      <c r="E182" s="22"/>
      <c r="F182" s="23"/>
      <c r="G182" s="22"/>
      <c r="H182" s="22"/>
      <c r="I182" s="23"/>
      <c r="J182" s="22"/>
      <c r="K182" s="22"/>
      <c r="L182" s="23"/>
      <c r="M182" s="22"/>
      <c r="N182" s="22"/>
      <c r="O182" s="23"/>
      <c r="P182" s="22"/>
      <c r="Q182" s="22"/>
      <c r="R182" s="23"/>
      <c r="S182" s="23"/>
      <c r="T182" s="84"/>
      <c r="U182" s="23"/>
      <c r="V182" s="84"/>
      <c r="W182" s="23"/>
      <c r="X182" s="84"/>
      <c r="Y182" s="23"/>
      <c r="Z182" s="84"/>
      <c r="AA182" s="23"/>
      <c r="AB182" s="23"/>
      <c r="AC182" s="7"/>
      <c r="AD182" s="7"/>
      <c r="AE182" s="63" t="str">
        <f aca="false">IF(Tasks[[#This Row],[Task Name]]="","",IF(Tasks[[#This Row],[_IsSummary]],MIN(INDEX(Tasks[_ShownFcstStart],Tasks[[#This Row],[_Row]]+1):INDEX(Tasks[_ShownFcstStart],Tasks[[#This Row],[_Row]]+Tasks[[#This Row],[_Descendants]])),Tasks[[#This Row],[_ShownFcstStart]]))</f>
        <v/>
      </c>
      <c r="AF182" s="63" t="str">
        <f aca="false">IF(Tasks[[#This Row],[Task Name]]="","",IF(Tasks[[#This Row],[_IsSummary]],MAX(INDEX(Tasks[_ShownFcstFinish],Tasks[[#This Row],[_Row]]+1):INDEX(Tasks[_ShownFcstFinish],Tasks[[#This Row],[_Row]]+Tasks[[#This Row],[_Descendants]])),Tasks[[#This Row],[_ShownFcstFinish]]))</f>
        <v/>
      </c>
      <c r="AG182" s="21" t="str">
        <f aca="false">""</f>
        <v/>
      </c>
      <c r="AH182" s="23"/>
      <c r="AI1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2" s="7"/>
      <c r="AK182" s="22"/>
      <c r="AL182" s="23"/>
      <c r="AM182" s="7"/>
      <c r="AN182" s="47" t="str">
        <f aca="false">IF(Tasks[[#This Row],[Task Name]]="","",IF(Tasks[[#This Row],[Finish]]&gt;=Tasks[[#This Row],[Planned Finish]],NETWORKDAYS.INTL(Tasks[[#This Row],[Planned Finish]],Tasks[[#This Row],[Finish]],WorkWeek,Holidays)-1,1-NETWORKDAYS.INTL(Tasks[[#This Row],[Finish]],Tasks[[#This Row],[Planned Finish]],WorkWeek,Holidays)))</f>
        <v/>
      </c>
      <c r="AO182" s="21" t="str">
        <f aca="false">IF(Tasks[[#This Row],[Task Name]]="","",IF(Tasks[[#This Row],[Progress]]&gt;=1,"Complete",IF(OR(N(Tasks[[#This Row],[Actual Start]])&gt;0,Tasks[[#This Row],[Progress]]&gt;0),IF(Tasks[[#This Row],[Finish Var]]&gt;0,"Behind","In Progress"),IF(Tasks[[#This Row],[Planned Start]]&lt;StatusDate,"Late Start","Not Started"))))</f>
        <v/>
      </c>
      <c r="AP182" s="21" t="str">
        <f aca="false">IF(Tasks[[#This Row],[Task Name]]="","",IF(IF(Tasks[[#This Row],[_IsSummary]],COUNTIF(INDEX(Tasks[_LeafCritical],Tasks[[#This Row],[_Row]]+1):INDEX(Tasks[_LeafCritical],Tasks[[#This Row],[_Row]]+Tasks[[#This Row],[_Descendants]]),TRUE())&gt;0,Tasks[[#This Row],[_LeafCritical]]),"Yes",""))</f>
        <v/>
      </c>
      <c r="AQ182" s="63" t="str">
        <f aca="false">IF(Tasks[[#This Row],[Task Name]]="","",IF(N(Tasks[[#This Row],[Baseline Start]])&gt;0,Tasks[[#This Row],[Baseline Start]],Tasks[[#This Row],[_CalcStart]]))</f>
        <v/>
      </c>
      <c r="AR182" s="63" t="str">
        <f aca="false">IF(Tasks[[#This Row],[Task Name]]="","",IF(N(Tasks[[#This Row],[Baseline Finish]])&gt;0,Tasks[[#This Row],[Baseline Finish]],Tasks[[#This Row],[_CalcFinish]]))</f>
        <v/>
      </c>
      <c r="AS182" s="47" t="str">
        <f aca="false">IF(Tasks[[#This Row],[Task Name]]="","",IF(Tasks[[#This Row],[Start]]&gt;=Tasks[[#This Row],[Planned Start]],NETWORKDAYS.INTL(Tasks[[#This Row],[Planned Start]],Tasks[[#This Row],[Start]],WorkWeek,Holidays)-1,1-NETWORKDAYS.INTL(Tasks[[#This Row],[Start]],Tasks[[#This Row],[Planned Start]],WorkWeek,Holidays)))</f>
        <v/>
      </c>
      <c r="AT182" s="63" t="str">
        <f aca="false">IF(Tasks[[#This Row],[Task Name]]="","",IF(Tasks[[#This Row],[_IsSummary]],MIN(INDEX(Tasks[_LeafLateStart],Tasks[[#This Row],[_Row]]+1):INDEX(Tasks[_LeafLateStart],Tasks[[#This Row],[_Row]]+Tasks[[#This Row],[_Descendants]])),Tasks[[#This Row],[_LeafLateStart]]))</f>
        <v/>
      </c>
      <c r="AU182" s="63" t="str">
        <f aca="false">IF(Tasks[[#This Row],[Task Name]]="","",IF(Tasks[[#This Row],[_IsSummary]],MAX(INDEX(Tasks[_LeafLateFinish],Tasks[[#This Row],[_Row]]+1):INDEX(Tasks[_LeafLateFinish],Tasks[[#This Row],[_Row]]+Tasks[[#This Row],[_Descendants]])),Tasks[[#This Row],[_LeafLateFinish]]))</f>
        <v/>
      </c>
      <c r="AV182" s="47" t="str">
        <f aca="false">IF(Tasks[[#This Row],[Task Name]]="","",IF(Tasks[[#This Row],[_IsSummary]],MIN(INDEX(Tasks[_LeafTotalSlack],Tasks[[#This Row],[_Row]]+1):INDEX(Tasks[_LeafTotalSlack],Tasks[[#This Row],[_Row]]+Tasks[[#This Row],[_Descendants]])),Tasks[[#This Row],[_LeafTotalSlack]]))</f>
        <v/>
      </c>
      <c r="AW1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5"/>
      <c r="BA18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t="str">
        <f aca="false">IF(Tasks[[#This Row],[Task Name]]="","",IF(Tasks[[#This Row],[_Level]]&lt;=OutlineShowLevel,"Yes","No"))</f>
        <v/>
      </c>
      <c r="BE182" s="86" t="str">
        <f aca="false">IF(Tasks[[#This Row],[Task Name]]="","",IF(Tasks[[#This Row],[_IsSummary]],SUM(INDEX(Tasks[_LeafTotalWork],Tasks[[#This Row],[_Row]]+1):INDEX(Tasks[_LeafTotalWork],Tasks[[#This Row],[_Row]]+Tasks[[#This Row],[_Descendants]])),Tasks[[#This Row],[_LeafTotalWork]]))</f>
        <v/>
      </c>
      <c r="BF182" s="23"/>
      <c r="BG1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t="str">
        <f aca="false">""</f>
        <v/>
      </c>
      <c r="BI182" s="87"/>
      <c r="BJ182" s="22"/>
      <c r="BK182" s="47" t="str">
        <f aca="false">IF(OR(Tasks[[#This Row],[Task Name]]="",Tasks[[#This Row],[Baseline Duration]]=""),"",Tasks[[#This Row],[_SpanDays]]-N(Tasks[[#This Row],[Baseline Duration]]))</f>
        <v/>
      </c>
      <c r="BL182" s="86" t="str">
        <f aca="false">IF(OR(Tasks[[#This Row],[Task Name]]="",Tasks[[#This Row],[Baseline Work]]=""),"",Tasks[[#This Row],[Work]]-N(Tasks[[#This Row],[Baseline Work]]))</f>
        <v/>
      </c>
      <c r="BM182" s="63" t="str">
        <f aca="false">IF(Tasks[[#This Row],[Task Name]]="","",IF(OR(TakeBaseline="Yes",N(Tasks[[#This Row],[Baseline Start]])=0),Tasks[[#This Row],[Start]],Tasks[[#This Row],[Baseline Start]]))</f>
        <v/>
      </c>
      <c r="BN182" s="63" t="str">
        <f aca="false">IF(Tasks[[#This Row],[Task Name]]="","",IF(OR(TakeBaseline="Yes",N(Tasks[[#This Row],[Baseline Finish]])=0),Tasks[[#This Row],[Finish]],Tasks[[#This Row],[Baseline Finish]]))</f>
        <v/>
      </c>
      <c r="BO182" s="21" t="str">
        <f aca="false">IF(Tasks[[#This Row],[Task Name]]="","",IF(OR(TakeBaseline="Yes",N(Tasks[[#This Row],[Baseline Duration]])=0),Tasks[[#This Row],[_SpanDays]],Tasks[[#This Row],[Baseline Duration]]))</f>
        <v/>
      </c>
      <c r="BP182" s="86" t="str">
        <f aca="false">IF(Tasks[[#This Row],[Task Name]]="","",IF(OR(TakeBaseline="Yes",N(Tasks[[#This Row],[Baseline Work]])=0),Tasks[[#This Row],[Work]],Tasks[[#This Row],[Baseline Work]]))</f>
        <v/>
      </c>
      <c r="BQ182" s="7"/>
      <c r="BR182" s="7"/>
      <c r="BS182" s="22"/>
      <c r="BT182" s="88"/>
      <c r="BU182" s="23"/>
      <c r="BV182" s="23"/>
      <c r="BW182" s="23"/>
      <c r="BX182" s="89" t="str">
        <f aca="false">IF(AND(Tasks[[#This Row],[_IsLeaf]]=1,ISNUMBER(Tasks[[#This Row],[Optimistic]]),ISNUMBER(Tasks[[#This Row],[Pessimistic]])),ROUND((Tasks[[#This Row],[Optimistic]]+4*N(Tasks[[#This Row],[_Days]])+Tasks[[#This Row],[Pessimistic]])/6,1),"")</f>
        <v/>
      </c>
      <c r="BY182" s="87"/>
      <c r="BZ182" s="87"/>
      <c r="CA182" s="22"/>
      <c r="CB182" s="43" t="str">
        <f aca="false">IF(Tasks[[#This Row],[Task Name]]="","",MAX(1,N(Tasks[[#This Row],[Level]])))</f>
        <v/>
      </c>
      <c r="CC182" s="43" t="n">
        <f aca="false">ROW()-ROW(Tasks[[#Headers],[ID]])</f>
        <v>177</v>
      </c>
      <c r="CD182" s="43" t="n">
        <f aca="false">IF(OR(Tasks[[#This Row],[Task Name]]="",Tasks[[#This Row],[_Level]]&lt;=1),0,IFERROR(LOOKUP(2,1/(Tasks[[#Headers],[_Level]]:Tasks[[#This Row],[_Level]]=Tasks[[#This Row],[_Level]]-1),ROW(Tasks[[#Headers],[_Level]]:Tasks[[#This Row],[_Level]])),0))</f>
        <v>0</v>
      </c>
      <c r="CE182" s="43" t="n">
        <f aca="false">IFERROR(N(INDEX(Tasks[_Level],Tasks[[#This Row],[_Row]]+1)),0)</f>
        <v>0</v>
      </c>
      <c r="CF182" s="90" t="b">
        <f aca="false">AND(Tasks[[#This Row],[Task Name]]&lt;&gt;"",Tasks[[#This Row],[_NextLevel]]&gt;Tasks[[#This Row],[_Level]])</f>
        <v>0</v>
      </c>
      <c r="CG182" s="43" t="n">
        <f aca="false">IF(Tasks[[#This Row],[_IsSummary]],COUNTIF(Tasks[WBS],Tasks[[#This Row],[WBS]]&amp;".*"),0)</f>
        <v>0</v>
      </c>
      <c r="CH182" s="43" t="n">
        <f aca="false">IF(AND(Tasks[[#This Row],[Task Name]]&lt;&gt;"",NOT(Tasks[[#This Row],[_IsSummary]])),1,0)</f>
        <v>0</v>
      </c>
      <c r="CI182" s="43" t="n">
        <f aca="false">IF(N(Tasks[[#This Row],[_Pred1UID]])=0,0,IFERROR(MATCH(Tasks[[#This Row],[_Pred1UID]],Tasks[UID],0),-1))</f>
        <v>0</v>
      </c>
      <c r="CJ182" s="43" t="n">
        <f aca="false">IF(N(Tasks[[#This Row],[_Pred2UID]])=0,0,IFERROR(MATCH(Tasks[[#This Row],[_Pred2UID]],Tasks[UID],0),-1))</f>
        <v>0</v>
      </c>
      <c r="CK182" s="43" t="n">
        <f aca="false">IF(N(Tasks[[#This Row],[_Pred3UID]])=0,0,IFERROR(MATCH(Tasks[[#This Row],[_Pred3UID]],Tasks[UID],0),-1))</f>
        <v>0</v>
      </c>
      <c r="CL182" s="43" t="n">
        <f aca="false">IF(N(Tasks[[#This Row],[_Pred4UID]])=0,0,IFERROR(MATCH(Tasks[[#This Row],[_Pred4UID]],Tasks[UID],0),-1))</f>
        <v>0</v>
      </c>
      <c r="CM1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2" s="91" t="n">
        <f aca="false">IF(OR(Tasks[[#This Row],[_ConstraintCode]]=2,Tasks[[#This Row],[_ConstraintCode]]=3,Tasks[[#This Row],[_ConstraintCode]]=4,Tasks[[#This Row],[_ConstraintCode]]=6),Tasks[[#This Row],[_ConstraintStart]],0)</f>
        <v>0</v>
      </c>
      <c r="CP182" s="91" t="n">
        <f aca="false">IF(OR(Tasks[[#This Row],[_ConstraintCode]]=2,Tasks[[#This Row],[_ConstraintCode]]=3,Tasks[[#This Row],[_ConstraintCode]]=5,Tasks[[#This Row],[_ConstraintCode]]=7),Tasks[[#This Row],[_ConstraintStart]],2958465)</f>
        <v>2958465</v>
      </c>
      <c r="CQ1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2" s="91" t="str">
        <f aca="false">IF(NOT(Tasks[[#This Row],[_IsLeaf]]=1),"",IF(N(Tasks[[#This Row],[_Days]])&lt;=0,Tasks[[#This Row],[_LeafCalcStart]],WORKDAY.INTL(Tasks[[#This Row],[_LeafCalcStart]],Tasks[[#This Row],[_Days]]-1,WorkWeek,Holidays)))</f>
        <v/>
      </c>
      <c r="CS1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2" s="43" t="str">
        <f aca="false">IF(Tasks[[#This Row],[_Predecessors]]="","",TRIM(MID(SUBSTITUTE(SUBSTITUTE(SUBSTITUTE(UPPER(Tasks[[#This Row],[_Predecessors]]),";",",")," ",""),",",REPT(" ",99)),1,99)))</f>
        <v/>
      </c>
      <c r="CV182" s="43" t="str">
        <f aca="false">IF(Tasks[[#This Row],[_Pred1Text]]="","",IFERROR(VALUE(LEFT(Tasks[[#This Row],[_Pred1Text]],MIN(FIND("F",Tasks[[#This Row],[_Pred1Text]]&amp;"F"),FIND("S",Tasks[[#This Row],[_Pred1Text]]&amp;"S"),FIND("+",Tasks[[#This Row],[_Pred1Text]]&amp;"+"),FIND("-",Tasks[[#This Row],[_Pred1Text]]&amp;"-"))-1)),""))</f>
        <v/>
      </c>
      <c r="CW1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2" s="43" t="str">
        <f aca="false">IF(Tasks[[#This Row],[_Pred1Text]]="","",TRIM(MID(SUBSTITUTE(SUBSTITUTE(SUBSTITUTE(UPPER(Tasks[[#This Row],[_Predecessors]]),";",",")," ",""),",",REPT(" ",99)),100,99)))</f>
        <v/>
      </c>
      <c r="CZ182" s="43" t="str">
        <f aca="false">IF(Tasks[[#This Row],[_Pred2Text]]="","",IFERROR(VALUE(LEFT(Tasks[[#This Row],[_Pred2Text]],MIN(FIND("F",Tasks[[#This Row],[_Pred2Text]]&amp;"F"),FIND("S",Tasks[[#This Row],[_Pred2Text]]&amp;"S"),FIND("+",Tasks[[#This Row],[_Pred2Text]]&amp;"+"),FIND("-",Tasks[[#This Row],[_Pred2Text]]&amp;"-"))-1)),""))</f>
        <v/>
      </c>
      <c r="DA1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2" s="43" t="str">
        <f aca="false">IF(Tasks[[#This Row],[_Pred2Text]]="","",TRIM(MID(SUBSTITUTE(SUBSTITUTE(SUBSTITUTE(UPPER(Tasks[[#This Row],[_Predecessors]]),";",",")," ",""),",",REPT(" ",99)),199,99)))</f>
        <v/>
      </c>
      <c r="DD182" s="43" t="str">
        <f aca="false">IF(Tasks[[#This Row],[_Pred3Text]]="","",IFERROR(VALUE(LEFT(Tasks[[#This Row],[_Pred3Text]],MIN(FIND("F",Tasks[[#This Row],[_Pred3Text]]&amp;"F"),FIND("S",Tasks[[#This Row],[_Pred3Text]]&amp;"S"),FIND("+",Tasks[[#This Row],[_Pred3Text]]&amp;"+"),FIND("-",Tasks[[#This Row],[_Pred3Text]]&amp;"-"))-1)),""))</f>
        <v/>
      </c>
      <c r="DE1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2" s="43" t="str">
        <f aca="false">IF(Tasks[[#This Row],[_Pred3Text]]="","",TRIM(MID(SUBSTITUTE(SUBSTITUTE(SUBSTITUTE(UPPER(Tasks[[#This Row],[_Predecessors]]),";",",")," ",""),",",REPT(" ",99)),298,99)))</f>
        <v/>
      </c>
      <c r="DH182" s="43" t="str">
        <f aca="false">IF(Tasks[[#This Row],[_Pred4Text]]="","",IFERROR(VALUE(LEFT(Tasks[[#This Row],[_Pred4Text]],MIN(FIND("F",Tasks[[#This Row],[_Pred4Text]]&amp;"F"),FIND("S",Tasks[[#This Row],[_Pred4Text]]&amp;"S"),FIND("+",Tasks[[#This Row],[_Pred4Text]]&amp;"+"),FIND("-",Tasks[[#This Row],[_Pred4Text]]&amp;"-"))-1)),""))</f>
        <v/>
      </c>
      <c r="DI1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2" s="43" t="str">
        <f aca="false">IF(OR(Tasks[[#This Row],[Task Name]]="",Tasks[[#This Row],[_Resources]]=""),"",TRIM(MID(SUBSTITUTE(Tasks[[#This Row],[_Resources]],",",REPT(" ",99)),1,99)))</f>
        <v/>
      </c>
      <c r="DL182" s="43" t="str">
        <f aca="false">IF(Tasks[[#This Row],[_Res1Text]]="","",TRIM(MID(SUBSTITUTE(Tasks[[#This Row],[_Resources]],",",REPT(" ",99)),100,99)))</f>
        <v/>
      </c>
      <c r="DM182" s="43" t="str">
        <f aca="false">IF(Tasks[[#This Row],[_Res2Text]]="","",TRIM(MID(SUBSTITUTE(Tasks[[#This Row],[_Resources]],",",REPT(" ",99)),199,99)))</f>
        <v/>
      </c>
      <c r="DN182" s="43" t="str">
        <f aca="false">IF(Tasks[[#This Row],[_Res3Text]]="","",TRIM(MID(SUBSTITUTE(Tasks[[#This Row],[_Resources]],",",REPT(" ",99)),298,99)))</f>
        <v/>
      </c>
      <c r="DO182" s="43" t="n">
        <f aca="false">IF(Tasks[[#This Row],[_Res1Text]]="",0,IFERROR(MATCH(TRIM(LEFT(Tasks[[#This Row],[_Res1Text]],FIND("[",Tasks[[#This Row],[_Res1Text]]&amp;"[")-1)),res_Name,0),IFERROR(MATCH(TRIM(LEFT(Tasks[[#This Row],[_Res1Text]],FIND("[",Tasks[[#This Row],[_Res1Text]]&amp;"[")-1)),res_Initials,0),0)))</f>
        <v>0</v>
      </c>
      <c r="DP182" s="43" t="n">
        <f aca="false">IF(Tasks[[#This Row],[_Res2Text]]="",0,IFERROR(MATCH(TRIM(LEFT(Tasks[[#This Row],[_Res2Text]],FIND("[",Tasks[[#This Row],[_Res2Text]]&amp;"[")-1)),res_Name,0),IFERROR(MATCH(TRIM(LEFT(Tasks[[#This Row],[_Res2Text]],FIND("[",Tasks[[#This Row],[_Res2Text]]&amp;"[")-1)),res_Initials,0),0)))</f>
        <v>0</v>
      </c>
      <c r="DQ182" s="43" t="n">
        <f aca="false">IF(Tasks[[#This Row],[_Res3Text]]="",0,IFERROR(MATCH(TRIM(LEFT(Tasks[[#This Row],[_Res3Text]],FIND("[",Tasks[[#This Row],[_Res3Text]]&amp;"[")-1)),res_Name,0),IFERROR(MATCH(TRIM(LEFT(Tasks[[#This Row],[_Res3Text]],FIND("[",Tasks[[#This Row],[_Res3Text]]&amp;"[")-1)),res_Initials,0),0)))</f>
        <v>0</v>
      </c>
      <c r="DR182" s="43" t="n">
        <f aca="false">IF(Tasks[[#This Row],[_Res4Text]]="",0,IFERROR(MATCH(TRIM(LEFT(Tasks[[#This Row],[_Res4Text]],FIND("[",Tasks[[#This Row],[_Res4Text]]&amp;"[")-1)),res_Name,0),IFERROR(MATCH(TRIM(LEFT(Tasks[[#This Row],[_Res4Text]],FIND("[",Tasks[[#This Row],[_Res4Text]]&amp;"[")-1)),res_Initials,0),0)))</f>
        <v>0</v>
      </c>
      <c r="DS182" s="43" t="str">
        <f aca="false">IF(Tasks[[#This Row],[_Res1Text]]="","",IF(Tasks[[#This Row],[_Res1Row]]&gt;0,INDEX(res_Name,Tasks[[#This Row],[_Res1Row]]),TRIM(LEFT(Tasks[[#This Row],[_Res1Text]],FIND("[",Tasks[[#This Row],[_Res1Text]]&amp;"[")-1))))</f>
        <v/>
      </c>
      <c r="DT1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2" s="43" t="n">
        <f aca="false">IF(NOT(Tasks[[#This Row],[_IsLeaf]]=1),0,(Tasks[[#This Row],[_Resource1]]&lt;&gt;"")+(Tasks[[#This Row],[_Res2]]&lt;&gt;"")+(Tasks[[#This Row],[_Res3]]&lt;&gt;"")+(Tasks[[#This Row],[_Res4]]&lt;&gt;""))</f>
        <v>0</v>
      </c>
      <c r="DV182" s="43" t="str">
        <f aca="false">IF(Tasks[[#This Row],[_Res2Text]]="","",IF(Tasks[[#This Row],[_Res2Row]]&gt;0,INDEX(res_Name,Tasks[[#This Row],[_Res2Row]]),TRIM(LEFT(Tasks[[#This Row],[_Res2Text]],FIND("[",Tasks[[#This Row],[_Res2Text]]&amp;"[")-1))))</f>
        <v/>
      </c>
      <c r="DW1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2" s="43" t="n">
        <f aca="false">IF(OR(NOT(Tasks[[#This Row],[_IsLeaf]]=1),Tasks[[#This Row],[_Res2Row]]=0),0,N(Tasks[[#This Row],[_Days]])*HoursPerDay*IF(Tasks[[#This Row],[_Res2Units]]="",DefaultUnits,Tasks[[#This Row],[_Res2Units]]))</f>
        <v>0</v>
      </c>
      <c r="DY182" s="43" t="n">
        <f aca="false">IF(AND(AND(Tasks[[#This Row],[_IsLeaf]]=1,Tasks[[#This Row],[_LeafTotalWork]]&gt;0),Tasks[[#This Row],[_Res2Work]]&gt;0),Tasks[[#This Row],[_Res2Work]]/(Tasks[[#This Row],[_FinishWorkday]]-Tasks[[#This Row],[_StartWorkday]]+1),0)</f>
        <v>0</v>
      </c>
      <c r="DZ182" s="43" t="n">
        <f aca="false">Tasks[[#This Row],[_Res2WorkPerWD]]*MAX(0,Tasks[[#This Row],[_StartWorkday]]-1)</f>
        <v>0</v>
      </c>
      <c r="EA182" s="43" t="n">
        <f aca="false">Tasks[[#This Row],[_Res2Work]]*Tasks[[#This Row],[_LeafProgress]]</f>
        <v>0</v>
      </c>
      <c r="EB182" s="43" t="str">
        <f aca="false">IF(Tasks[[#This Row],[_Res3Text]]="","",IF(Tasks[[#This Row],[_Res3Row]]&gt;0,INDEX(res_Name,Tasks[[#This Row],[_Res3Row]]),TRIM(LEFT(Tasks[[#This Row],[_Res3Text]],FIND("[",Tasks[[#This Row],[_Res3Text]]&amp;"[")-1))))</f>
        <v/>
      </c>
      <c r="EC1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2" s="43" t="n">
        <f aca="false">IF(OR(NOT(Tasks[[#This Row],[_IsLeaf]]=1),Tasks[[#This Row],[_Res3Row]]=0),0,N(Tasks[[#This Row],[_Days]])*HoursPerDay*IF(Tasks[[#This Row],[_Res3Units]]="",DefaultUnits,Tasks[[#This Row],[_Res3Units]]))</f>
        <v>0</v>
      </c>
      <c r="EE182" s="43" t="n">
        <f aca="false">IF(AND(AND(Tasks[[#This Row],[_IsLeaf]]=1,Tasks[[#This Row],[_LeafTotalWork]]&gt;0),Tasks[[#This Row],[_Res3Work]]&gt;0),Tasks[[#This Row],[_Res3Work]]/(Tasks[[#This Row],[_FinishWorkday]]-Tasks[[#This Row],[_StartWorkday]]+1),0)</f>
        <v>0</v>
      </c>
      <c r="EF182" s="43" t="n">
        <f aca="false">Tasks[[#This Row],[_Res3WorkPerWD]]*MAX(0,Tasks[[#This Row],[_StartWorkday]]-1)</f>
        <v>0</v>
      </c>
      <c r="EG182" s="43" t="n">
        <f aca="false">Tasks[[#This Row],[_Res3Work]]*Tasks[[#This Row],[_LeafProgress]]</f>
        <v>0</v>
      </c>
      <c r="EH182" s="43" t="str">
        <f aca="false">IF(Tasks[[#This Row],[_Res4Text]]="","",IF(Tasks[[#This Row],[_Res4Row]]&gt;0,INDEX(res_Name,Tasks[[#This Row],[_Res4Row]]),TRIM(LEFT(Tasks[[#This Row],[_Res4Text]],FIND("[",Tasks[[#This Row],[_Res4Text]]&amp;"[")-1))))</f>
        <v/>
      </c>
      <c r="EI1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2" s="43" t="n">
        <f aca="false">IF(OR(NOT(Tasks[[#This Row],[_IsLeaf]]=1),Tasks[[#This Row],[_Res4Row]]=0),0,N(Tasks[[#This Row],[_Days]])*HoursPerDay*IF(Tasks[[#This Row],[_Res4Units]]="",DefaultUnits,Tasks[[#This Row],[_Res4Units]]))</f>
        <v>0</v>
      </c>
      <c r="EK182" s="43" t="n">
        <f aca="false">IF(AND(AND(Tasks[[#This Row],[_IsLeaf]]=1,Tasks[[#This Row],[_LeafTotalWork]]&gt;0),Tasks[[#This Row],[_Res4Work]]&gt;0),Tasks[[#This Row],[_Res4Work]]/(Tasks[[#This Row],[_FinishWorkday]]-Tasks[[#This Row],[_StartWorkday]]+1),0)</f>
        <v>0</v>
      </c>
      <c r="EL182" s="43" t="n">
        <f aca="false">Tasks[[#This Row],[_Res4WorkPerWD]]*MAX(0,Tasks[[#This Row],[_StartWorkday]]-1)</f>
        <v>0</v>
      </c>
      <c r="EM182" s="43" t="n">
        <f aca="false">Tasks[[#This Row],[_Res4Work]]*Tasks[[#This Row],[_LeafProgress]]</f>
        <v>0</v>
      </c>
      <c r="EN182" s="43" t="n">
        <f aca="false">IF(ISNUMBER(Tasks[[#This Row],[% Complete]]),Tasks[[#This Row],[% Complete]],IF(Tasks[[#This Row],[Stage]]="",0,IFERROR(INDEX(stg_Pct,MATCH(Tasks[[#This Row],[Stage]],stg_Name,0)),0)))</f>
        <v>0</v>
      </c>
      <c r="EO182" s="43" t="n">
        <f aca="false">IF(NOT(Tasks[[#This Row],[_IsLeaf]]=1),0,IF(N(Tasks[[#This Row],[Actual Finish]])&gt;0,1,MIN(1,Tasks[[#This Row],[_Pct]])))</f>
        <v>0</v>
      </c>
      <c r="EP182" s="43" t="n">
        <f aca="false">IF(OR(NOT(Tasks[[#This Row],[_IsLeaf]]=1),Tasks[[#This Row],[_Res1Row]]=0),0,N(Tasks[[#This Row],[_Days]])*HoursPerDay*IF(Tasks[[#This Row],[_Units1]]="",DefaultUnits,Tasks[[#This Row],[_Units1]]))</f>
        <v>0</v>
      </c>
      <c r="EQ182" s="43" t="n">
        <f aca="false">Tasks[[#This Row],[_LeafWork]]+Tasks[[#This Row],[_Res2Work]]+Tasks[[#This Row],[_Res3Work]]+Tasks[[#This Row],[_Res4Work]]</f>
        <v>0</v>
      </c>
      <c r="ER18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2" s="43" t="n">
        <f aca="false">IF(NOT(Tasks[[#This Row],[_IsLeaf]]=1),0,MAX(_xlfn.MAXIFS(Tasks[_Row],Tasks[_Pred1UID],Tasks[[#This Row],[UID]]),_xlfn.MAXIFS(Tasks[_Row],Tasks[_Pred2UID],Tasks[[#This Row],[UID]]),_xlfn.MAXIFS(Tasks[_Row],Tasks[_Pred3UID],Tasks[[#This Row],[UID]]),_xlfn.MAXIFS(Tasks[_Row],Tasks[_Pred4UID],Tasks[[#This Row],[UID]])))</f>
        <v>0</v>
      </c>
      <c r="FA1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2" s="91" t="str">
        <f aca="false">IF(NOT(Tasks[[#This Row],[_IsLeaf]]=1),"",IF(N(Tasks[[#This Row],[_Days]])&lt;=0,Tasks[[#This Row],[_LeafLateFinish]],WORKDAY.INTL(Tasks[[#This Row],[_LeafLateFinish]],-(Tasks[[#This Row],[_Days]]-1),WorkWeek,Holidays)))</f>
        <v/>
      </c>
      <c r="FD1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2" s="90" t="b">
        <f aca="false">AND(Tasks[[#This Row],[_IsLeaf]]=1,Tasks[[#This Row],[_LeafProgress]]&lt;1,N(Tasks[[#This Row],[_LeafTotalSlack]])&lt;=CriticalSlackDays)</f>
        <v>0</v>
      </c>
      <c r="FF182" s="43" t="n">
        <f aca="false">IF(AND(Tasks[[#This Row],[_IsLeaf]]=1,Tasks[[#This Row],[_ConstraintCode]]=1,Tasks[[#This Row],[Mode]]&lt;&gt;"Manual",N(Tasks[[#This Row],[Actual Start]])=0),MAX(0,N(Tasks[[#This Row],[Free Slack]])),0)</f>
        <v>0</v>
      </c>
      <c r="FG182" s="91" t="str">
        <f aca="false">IF(NOT(Tasks[[#This Row],[_IsLeaf]]=1),"",IF(Tasks[[#This Row],[_AlapShift]]=0,Tasks[[#This Row],[_LeafCalcStart]],WORKDAY.INTL(Tasks[[#This Row],[_LeafCalcStart]],Tasks[[#This Row],[_AlapShift]],WorkWeek,Holidays)))</f>
        <v/>
      </c>
      <c r="FH182" s="91" t="str">
        <f aca="false">IF(NOT(Tasks[[#This Row],[_IsLeaf]]=1),"",IF(Tasks[[#This Row],[_AlapShift]]=0,Tasks[[#This Row],[_LeafCalcFinish]],WORKDAY.INTL(Tasks[[#This Row],[_LeafCalcFinish]],Tasks[[#This Row],[_AlapShift]],WorkWeek,Holidays)))</f>
        <v/>
      </c>
      <c r="FI182" s="91" t="str">
        <f aca="false">IF(NOT(Tasks[[#This Row],[_IsLeaf]]=1),"",IF(Tasks[[#This Row],[_AlapShift]]=0,Tasks[[#This Row],[_LeafFcstStart]],WORKDAY.INTL(Tasks[[#This Row],[_LeafFcstStart]],Tasks[[#This Row],[_AlapShift]],WorkWeek,Holidays)))</f>
        <v/>
      </c>
      <c r="FJ182" s="91" t="str">
        <f aca="false">IF(NOT(Tasks[[#This Row],[_IsLeaf]]=1),"",IF(Tasks[[#This Row],[_AlapShift]]=0,Tasks[[#This Row],[_LeafFcstFinish]],WORKDAY.INTL(Tasks[[#This Row],[_LeafFcstFinish]],Tasks[[#This Row],[_AlapShift]],WorkWeek,Holidays)))</f>
        <v/>
      </c>
      <c r="FK182" s="91" t="str">
        <f aca="false">IF(Tasks[[#This Row],[Task Name]]="","",IF(Tasks[[#This Row],[_IsSummary]],MIN(INDEX(Tasks[_ShownCalcStart],Tasks[[#This Row],[_Row]]+1):INDEX(Tasks[_ShownCalcStart],Tasks[[#This Row],[_Row]]+Tasks[[#This Row],[_Descendants]])),Tasks[[#This Row],[_ShownCalcStart]]))</f>
        <v/>
      </c>
      <c r="FL182" s="91" t="str">
        <f aca="false">IF(Tasks[[#This Row],[Task Name]]="","",IF(Tasks[[#This Row],[_IsSummary]],MAX(INDEX(Tasks[_ShownCalcFinish],Tasks[[#This Row],[_Row]]+1):INDEX(Tasks[_ShownCalcFinish],Tasks[[#This Row],[_Row]]+Tasks[[#This Row],[_Descendants]])),Tasks[[#This Row],[_ShownCalcFinish]]))</f>
        <v/>
      </c>
      <c r="FM1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2" s="43" t="n">
        <f aca="false">IF(AND(Tasks[[#This Row],[_IsLeaf]]=1,Tasks[[#This Row],[_LeafTotalWork]]&gt;0),NETWORKDAYS.INTL(ProjectStart,Tasks[[#This Row],[_ShownFcstStart]],WorkWeek,Holidays),0)</f>
        <v>0</v>
      </c>
      <c r="FZ182" s="43" t="n">
        <f aca="false">IF(AND(Tasks[[#This Row],[_IsLeaf]]=1,Tasks[[#This Row],[_LeafTotalWork]]&gt;0),MAX(Tasks[[#This Row],[_StartWorkday]],NETWORKDAYS.INTL(ProjectStart,Tasks[[#This Row],[_ShownFcstFinish]],WorkWeek,Holidays)),0)</f>
        <v>0</v>
      </c>
      <c r="GA182" s="43" t="n">
        <f aca="false">IF(AND(Tasks[[#This Row],[_IsLeaf]]=1,Tasks[[#This Row],[_LeafTotalWork]]&gt;0),Tasks[[#This Row],[_LeafWork]]/(Tasks[[#This Row],[_FinishWorkday]]-Tasks[[#This Row],[_StartWorkday]]+1),0)</f>
        <v>0</v>
      </c>
      <c r="GB182" s="43" t="n">
        <f aca="false">Tasks[[#This Row],[_WorkPerWorkday]]*(Tasks[[#This Row],[_StartWorkday]]-1)</f>
        <v>-0</v>
      </c>
      <c r="GC182" s="43" t="n">
        <f aca="false">IF(Tasks[[#This Row],[_IsLeaf]]=1,MAX(N(Tasks[[#This Row],[_Days]]),0.1),0)</f>
        <v>0</v>
      </c>
      <c r="GD182" s="43" t="n">
        <f aca="false">Tasks[[#This Row],[_WeightDur]]*Tasks[[#This Row],[_LeafProgress]]</f>
        <v>0</v>
      </c>
      <c r="GE182" s="43" t="n">
        <f aca="false">Tasks[[#This Row],[_WeightDur]]*Tasks[[#This Row],[_PlannedPct]]</f>
        <v>0</v>
      </c>
      <c r="GF1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2" s="43" t="str">
        <f aca="false">IF(AND(Tasks[[#This Row],[_IsLeaf]]=1,N(Tasks[[#This Row],[_Days]])=0,Tasks[[#This Row],[_LeafProgress]]&lt;1),Tasks[[#This Row],[_ShownFcstFinish]]+Tasks[[#This Row],[_Row]]/100000,"")</f>
        <v/>
      </c>
      <c r="GH1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2" s="43" t="str">
        <f aca="false">IF(Tasks[[#This Row],[Task Name]]="","",LEFT(Tasks[[#This Row],[WBS]],FIND(".",Tasks[[#This Row],[WBS]]&amp;".")-1))</f>
        <v/>
      </c>
      <c r="GJ182" s="43" t="str">
        <f aca="false">IF(AND(Tasks[[#This Row],[Task Name]]&lt;&gt;"",Tasks[[#This Row],[_Level]]=1),Tasks[[#This Row],[_Row]],"")</f>
        <v/>
      </c>
      <c r="GK182" s="43" t="str">
        <f aca="false">IF(AND(Tasks[[#This Row],[_IsLeaf]]=1,N(Tasks[[#This Row],[_Days]])=0),Tasks[[#This Row],[Planned Finish]]+Tasks[[#This Row],[_Row]]/100000,"")</f>
        <v/>
      </c>
      <c r="GL182" s="43" t="str">
        <f aca="false">IF(AND(Tasks[[#This Row],[_IsLeaf]]=1,Tasks[[#This Row],[_LeafProgress]]&lt;1,OR(N(Tasks[[#This Row],[Finish Var]])&gt;0,Tasks[[#This Row],[Status]]="Late Start")),MAX(0,Tasks[[#This Row],[Finish Var]])+1-Tasks[[#This Row],[_Row]]/1000000,"")</f>
        <v/>
      </c>
      <c r="GM182" s="43" t="str">
        <f aca="false">IF(AND(Tasks[[#This Row],[_IsLeaf]]=1,N(Tasks[[#This Row],[Actual Start]])=0,Tasks[[#This Row],[_ShownFcstStart]]&gt;=StatusDate,Tasks[[#This Row],[_ShownFcstStart]]&lt;=LookaheadEnd),Tasks[[#This Row],[_ShownFcstStart]]+Tasks[[#This Row],[_Row]]/100000,"")</f>
        <v/>
      </c>
      <c r="GN182" s="43" t="str">
        <f aca="false">IF(AND(Tasks[[#This Row],[_IsLeaf]]=1,Tasks[[#This Row],[_LeafProgress]]&lt;1,Tasks[[#This Row],[_ShownFcstFinish]]&gt;=StatusDate,Tasks[[#This Row],[_ShownFcstFinish]]&lt;=LookaheadEnd),Tasks[[#This Row],[_ShownFcstFinish]]+Tasks[[#This Row],[_Row]]/100000,"")</f>
        <v/>
      </c>
      <c r="GO182" s="43" t="str">
        <f aca="false">IF(Tasks[[#This Row],[_LeafCritical]],Tasks[[#This Row],[_ShownFcstStart]]+Tasks[[#This Row],[_Row]]/100000,"")</f>
        <v/>
      </c>
      <c r="GP182" s="43" t="n">
        <f aca="false">Tasks[[#This Row],[_LeafWork]]*Tasks[[#This Row],[_LeafProgress]]</f>
        <v>0</v>
      </c>
      <c r="GQ182" s="91" t="str">
        <f aca="false">IF(AND(Tasks[[#This Row],[_IsLeaf]]=1,Tasks[[#This Row],[_LeafProgress]]&gt;=1),IF(N(Tasks[[#This Row],[Actual Finish]])&gt;0,Tasks[[#This Row],[Actual Finish]],Tasks[[#This Row],[_ShownFcstFinish]]),"")</f>
        <v/>
      </c>
      <c r="GR182" s="43" t="n">
        <f aca="false">IF(Tasks[[#This Row],[_IsLeaf]]=1,N(Tasks[[#This Row],[Story Points]]),0)</f>
        <v>0</v>
      </c>
      <c r="GS182" s="43" t="str">
        <f aca="false">""</f>
        <v/>
      </c>
      <c r="GT182" s="90" t="b">
        <f aca="false">IF(Tasks[[#This Row],[Task Name]]="",FALSE(),AND(Tasks[[#This Row],[_IsLeaf]]=1,N(Tasks[[#This Row],[_Days]])=0))</f>
        <v>0</v>
      </c>
      <c r="GU182" s="91" t="n">
        <f aca="false">IF(Tasks[[#This Row],[Task Name]]="",0,IF(AND(Tasks[[#This Row],[_IsLeaf]]=1,NOT(Tasks[[#This Row],[_IsMilestone]]),N(Tasks[[#This Row],[Progress]])&gt;0),Tasks[[#This Row],[Start]],0))</f>
        <v>0</v>
      </c>
      <c r="GV182" s="91" t="n">
        <f aca="false">IF(Tasks[[#This Row],[_DoneFrom]]=0,0,IF(Tasks[[#This Row],[Progress]]&gt;=1,Tasks[[#This Row],[Finish]],MAX(Tasks[[#This Row],[_DoneFrom]],Tasks[[#This Row],[Start]]+ROUND((Tasks[[#This Row],[Finish]]-Tasks[[#This Row],[Start]]+1)*Tasks[[#This Row],[Progress]],0)-1)))</f>
        <v>0</v>
      </c>
      <c r="GW182" s="91" t="n">
        <f aca="false">IF(Tasks[[#This Row],[Task Name]]="",0,IF(OR(NOT(Tasks[[#This Row],[_IsLeaf]]=1),Tasks[[#This Row],[_IsMilestone]],N(Tasks[[#This Row],[Progress]])&gt;=1),0,IF(Tasks[[#This Row],[_DoneTo]]&gt;0,Tasks[[#This Row],[_DoneTo]]+1,Tasks[[#This Row],[Start]])))</f>
        <v>0</v>
      </c>
      <c r="GX182" s="91" t="n">
        <f aca="false">IF(Tasks[[#This Row],[_RemFrom]]=0,0,Tasks[[#This Row],[Finish]])</f>
        <v>0</v>
      </c>
      <c r="GY182" s="90" t="b">
        <f aca="false">IF(Tasks[[#This Row],[Task Name]]="",FALSE(),OR(NOT(BaselineSet),N(Tasks[[#This Row],[Baseline Start]])&gt;0))</f>
        <v>0</v>
      </c>
      <c r="GZ18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2" s="92" t="str">
        <f aca="false">IF(Tasks[[#This Row],[_IsLeaf]]=1,Tasks[[#This Row],[_Row]],"")</f>
        <v/>
      </c>
      <c r="HD182" s="92" t="str">
        <f aca="false">IFERROR(INDEX(Tasks[UID],SMALL(Tasks[_PickKey],Tasks[[#This Row],[_Row]]))&amp;" "&amp;INDEX(Tasks[Task Name],SMALL(Tasks[_PickKey],Tasks[[#This Row],[_Row]])),"")</f>
        <v/>
      </c>
      <c r="HE182" s="43" t="str">
        <f aca="false">IF(Tasks[[#This Row],[Task Name]]="","",IF(Tasks[[#This Row],[_IsSummary]],NETWORKDAYS.INTL(Tasks[[#This Row],[Start]],Tasks[[#This Row],[Finish]],WorkWeek,Holidays),N(Tasks[[#This Row],[_Days]])))</f>
        <v/>
      </c>
      <c r="HF182" s="43" t="n">
        <f aca="false">IF(Tasks[[#This Row],[Expected]]="",0,((Tasks[[#This Row],[Pessimistic]]-Tasks[[#This Row],[Optimistic]])/6)^2)</f>
        <v>0</v>
      </c>
      <c r="HG182" s="43" t="n">
        <f aca="false">IF(Tasks[[#This Row],[Expected]]="",0,Tasks[[#This Row],[Expected]]-N(Tasks[[#This Row],[_Days]]))</f>
        <v>0</v>
      </c>
    </row>
    <row r="183" customFormat="false" ht="15" hidden="false" customHeight="false" outlineLevel="0" collapsed="false">
      <c r="A183" s="21" t="str">
        <f aca="false">IF(Tasks[[#This Row],[Task Name]]="","",COUNTA(Tasks[[#Headers],[Task Name]]:Tasks[[#This Row],[Task Name]])-1)</f>
        <v/>
      </c>
      <c r="B183" s="22" t="n">
        <v>191</v>
      </c>
      <c r="C183" s="22"/>
      <c r="D183" s="23"/>
      <c r="E183" s="22"/>
      <c r="F183" s="23"/>
      <c r="G183" s="22"/>
      <c r="H183" s="22"/>
      <c r="I183" s="23"/>
      <c r="J183" s="22"/>
      <c r="K183" s="22"/>
      <c r="L183" s="23"/>
      <c r="M183" s="22"/>
      <c r="N183" s="22"/>
      <c r="O183" s="23"/>
      <c r="P183" s="22"/>
      <c r="Q183" s="22"/>
      <c r="R183" s="23"/>
      <c r="S183" s="23"/>
      <c r="T183" s="84"/>
      <c r="U183" s="23"/>
      <c r="V183" s="84"/>
      <c r="W183" s="23"/>
      <c r="X183" s="84"/>
      <c r="Y183" s="23"/>
      <c r="Z183" s="84"/>
      <c r="AA183" s="23"/>
      <c r="AB183" s="23"/>
      <c r="AC183" s="7"/>
      <c r="AD183" s="7"/>
      <c r="AE183" s="63" t="str">
        <f aca="false">IF(Tasks[[#This Row],[Task Name]]="","",IF(Tasks[[#This Row],[_IsSummary]],MIN(INDEX(Tasks[_ShownFcstStart],Tasks[[#This Row],[_Row]]+1):INDEX(Tasks[_ShownFcstStart],Tasks[[#This Row],[_Row]]+Tasks[[#This Row],[_Descendants]])),Tasks[[#This Row],[_ShownFcstStart]]))</f>
        <v/>
      </c>
      <c r="AF183" s="63" t="str">
        <f aca="false">IF(Tasks[[#This Row],[Task Name]]="","",IF(Tasks[[#This Row],[_IsSummary]],MAX(INDEX(Tasks[_ShownFcstFinish],Tasks[[#This Row],[_Row]]+1):INDEX(Tasks[_ShownFcstFinish],Tasks[[#This Row],[_Row]]+Tasks[[#This Row],[_Descendants]])),Tasks[[#This Row],[_ShownFcstFinish]]))</f>
        <v/>
      </c>
      <c r="AG183" s="21" t="str">
        <f aca="false">""</f>
        <v/>
      </c>
      <c r="AH183" s="23"/>
      <c r="AI1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3" s="7"/>
      <c r="AK183" s="22"/>
      <c r="AL183" s="23"/>
      <c r="AM183" s="7"/>
      <c r="AN183" s="47" t="str">
        <f aca="false">IF(Tasks[[#This Row],[Task Name]]="","",IF(Tasks[[#This Row],[Finish]]&gt;=Tasks[[#This Row],[Planned Finish]],NETWORKDAYS.INTL(Tasks[[#This Row],[Planned Finish]],Tasks[[#This Row],[Finish]],WorkWeek,Holidays)-1,1-NETWORKDAYS.INTL(Tasks[[#This Row],[Finish]],Tasks[[#This Row],[Planned Finish]],WorkWeek,Holidays)))</f>
        <v/>
      </c>
      <c r="AO183" s="21" t="str">
        <f aca="false">IF(Tasks[[#This Row],[Task Name]]="","",IF(Tasks[[#This Row],[Progress]]&gt;=1,"Complete",IF(OR(N(Tasks[[#This Row],[Actual Start]])&gt;0,Tasks[[#This Row],[Progress]]&gt;0),IF(Tasks[[#This Row],[Finish Var]]&gt;0,"Behind","In Progress"),IF(Tasks[[#This Row],[Planned Start]]&lt;StatusDate,"Late Start","Not Started"))))</f>
        <v/>
      </c>
      <c r="AP183" s="21" t="str">
        <f aca="false">IF(Tasks[[#This Row],[Task Name]]="","",IF(IF(Tasks[[#This Row],[_IsSummary]],COUNTIF(INDEX(Tasks[_LeafCritical],Tasks[[#This Row],[_Row]]+1):INDEX(Tasks[_LeafCritical],Tasks[[#This Row],[_Row]]+Tasks[[#This Row],[_Descendants]]),TRUE())&gt;0,Tasks[[#This Row],[_LeafCritical]]),"Yes",""))</f>
        <v/>
      </c>
      <c r="AQ183" s="63" t="str">
        <f aca="false">IF(Tasks[[#This Row],[Task Name]]="","",IF(N(Tasks[[#This Row],[Baseline Start]])&gt;0,Tasks[[#This Row],[Baseline Start]],Tasks[[#This Row],[_CalcStart]]))</f>
        <v/>
      </c>
      <c r="AR183" s="63" t="str">
        <f aca="false">IF(Tasks[[#This Row],[Task Name]]="","",IF(N(Tasks[[#This Row],[Baseline Finish]])&gt;0,Tasks[[#This Row],[Baseline Finish]],Tasks[[#This Row],[_CalcFinish]]))</f>
        <v/>
      </c>
      <c r="AS183" s="47" t="str">
        <f aca="false">IF(Tasks[[#This Row],[Task Name]]="","",IF(Tasks[[#This Row],[Start]]&gt;=Tasks[[#This Row],[Planned Start]],NETWORKDAYS.INTL(Tasks[[#This Row],[Planned Start]],Tasks[[#This Row],[Start]],WorkWeek,Holidays)-1,1-NETWORKDAYS.INTL(Tasks[[#This Row],[Start]],Tasks[[#This Row],[Planned Start]],WorkWeek,Holidays)))</f>
        <v/>
      </c>
      <c r="AT183" s="63" t="str">
        <f aca="false">IF(Tasks[[#This Row],[Task Name]]="","",IF(Tasks[[#This Row],[_IsSummary]],MIN(INDEX(Tasks[_LeafLateStart],Tasks[[#This Row],[_Row]]+1):INDEX(Tasks[_LeafLateStart],Tasks[[#This Row],[_Row]]+Tasks[[#This Row],[_Descendants]])),Tasks[[#This Row],[_LeafLateStart]]))</f>
        <v/>
      </c>
      <c r="AU183" s="63" t="str">
        <f aca="false">IF(Tasks[[#This Row],[Task Name]]="","",IF(Tasks[[#This Row],[_IsSummary]],MAX(INDEX(Tasks[_LeafLateFinish],Tasks[[#This Row],[_Row]]+1):INDEX(Tasks[_LeafLateFinish],Tasks[[#This Row],[_Row]]+Tasks[[#This Row],[_Descendants]])),Tasks[[#This Row],[_LeafLateFinish]]))</f>
        <v/>
      </c>
      <c r="AV183" s="47" t="str">
        <f aca="false">IF(Tasks[[#This Row],[Task Name]]="","",IF(Tasks[[#This Row],[_IsSummary]],MIN(INDEX(Tasks[_LeafTotalSlack],Tasks[[#This Row],[_Row]]+1):INDEX(Tasks[_LeafTotalSlack],Tasks[[#This Row],[_Row]]+Tasks[[#This Row],[_Descendants]])),Tasks[[#This Row],[_LeafTotalSlack]]))</f>
        <v/>
      </c>
      <c r="AW1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5"/>
      <c r="BA18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t="str">
        <f aca="false">IF(Tasks[[#This Row],[Task Name]]="","",IF(Tasks[[#This Row],[_Level]]&lt;=OutlineShowLevel,"Yes","No"))</f>
        <v/>
      </c>
      <c r="BE183" s="86" t="str">
        <f aca="false">IF(Tasks[[#This Row],[Task Name]]="","",IF(Tasks[[#This Row],[_IsSummary]],SUM(INDEX(Tasks[_LeafTotalWork],Tasks[[#This Row],[_Row]]+1):INDEX(Tasks[_LeafTotalWork],Tasks[[#This Row],[_Row]]+Tasks[[#This Row],[_Descendants]])),Tasks[[#This Row],[_LeafTotalWork]]))</f>
        <v/>
      </c>
      <c r="BF183" s="23"/>
      <c r="BG1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t="str">
        <f aca="false">""</f>
        <v/>
      </c>
      <c r="BI183" s="87"/>
      <c r="BJ183" s="22"/>
      <c r="BK183" s="47" t="str">
        <f aca="false">IF(OR(Tasks[[#This Row],[Task Name]]="",Tasks[[#This Row],[Baseline Duration]]=""),"",Tasks[[#This Row],[_SpanDays]]-N(Tasks[[#This Row],[Baseline Duration]]))</f>
        <v/>
      </c>
      <c r="BL183" s="86" t="str">
        <f aca="false">IF(OR(Tasks[[#This Row],[Task Name]]="",Tasks[[#This Row],[Baseline Work]]=""),"",Tasks[[#This Row],[Work]]-N(Tasks[[#This Row],[Baseline Work]]))</f>
        <v/>
      </c>
      <c r="BM183" s="63" t="str">
        <f aca="false">IF(Tasks[[#This Row],[Task Name]]="","",IF(OR(TakeBaseline="Yes",N(Tasks[[#This Row],[Baseline Start]])=0),Tasks[[#This Row],[Start]],Tasks[[#This Row],[Baseline Start]]))</f>
        <v/>
      </c>
      <c r="BN183" s="63" t="str">
        <f aca="false">IF(Tasks[[#This Row],[Task Name]]="","",IF(OR(TakeBaseline="Yes",N(Tasks[[#This Row],[Baseline Finish]])=0),Tasks[[#This Row],[Finish]],Tasks[[#This Row],[Baseline Finish]]))</f>
        <v/>
      </c>
      <c r="BO183" s="21" t="str">
        <f aca="false">IF(Tasks[[#This Row],[Task Name]]="","",IF(OR(TakeBaseline="Yes",N(Tasks[[#This Row],[Baseline Duration]])=0),Tasks[[#This Row],[_SpanDays]],Tasks[[#This Row],[Baseline Duration]]))</f>
        <v/>
      </c>
      <c r="BP183" s="86" t="str">
        <f aca="false">IF(Tasks[[#This Row],[Task Name]]="","",IF(OR(TakeBaseline="Yes",N(Tasks[[#This Row],[Baseline Work]])=0),Tasks[[#This Row],[Work]],Tasks[[#This Row],[Baseline Work]]))</f>
        <v/>
      </c>
      <c r="BQ183" s="7"/>
      <c r="BR183" s="7"/>
      <c r="BS183" s="22"/>
      <c r="BT183" s="88"/>
      <c r="BU183" s="23"/>
      <c r="BV183" s="23"/>
      <c r="BW183" s="23"/>
      <c r="BX183" s="89" t="str">
        <f aca="false">IF(AND(Tasks[[#This Row],[_IsLeaf]]=1,ISNUMBER(Tasks[[#This Row],[Optimistic]]),ISNUMBER(Tasks[[#This Row],[Pessimistic]])),ROUND((Tasks[[#This Row],[Optimistic]]+4*N(Tasks[[#This Row],[_Days]])+Tasks[[#This Row],[Pessimistic]])/6,1),"")</f>
        <v/>
      </c>
      <c r="BY183" s="87"/>
      <c r="BZ183" s="87"/>
      <c r="CA183" s="22"/>
      <c r="CB183" s="43" t="str">
        <f aca="false">IF(Tasks[[#This Row],[Task Name]]="","",MAX(1,N(Tasks[[#This Row],[Level]])))</f>
        <v/>
      </c>
      <c r="CC183" s="43" t="n">
        <f aca="false">ROW()-ROW(Tasks[[#Headers],[ID]])</f>
        <v>178</v>
      </c>
      <c r="CD183" s="43" t="n">
        <f aca="false">IF(OR(Tasks[[#This Row],[Task Name]]="",Tasks[[#This Row],[_Level]]&lt;=1),0,IFERROR(LOOKUP(2,1/(Tasks[[#Headers],[_Level]]:Tasks[[#This Row],[_Level]]=Tasks[[#This Row],[_Level]]-1),ROW(Tasks[[#Headers],[_Level]]:Tasks[[#This Row],[_Level]])),0))</f>
        <v>0</v>
      </c>
      <c r="CE183" s="43" t="n">
        <f aca="false">IFERROR(N(INDEX(Tasks[_Level],Tasks[[#This Row],[_Row]]+1)),0)</f>
        <v>0</v>
      </c>
      <c r="CF183" s="90" t="b">
        <f aca="false">AND(Tasks[[#This Row],[Task Name]]&lt;&gt;"",Tasks[[#This Row],[_NextLevel]]&gt;Tasks[[#This Row],[_Level]])</f>
        <v>0</v>
      </c>
      <c r="CG183" s="43" t="n">
        <f aca="false">IF(Tasks[[#This Row],[_IsSummary]],COUNTIF(Tasks[WBS],Tasks[[#This Row],[WBS]]&amp;".*"),0)</f>
        <v>0</v>
      </c>
      <c r="CH183" s="43" t="n">
        <f aca="false">IF(AND(Tasks[[#This Row],[Task Name]]&lt;&gt;"",NOT(Tasks[[#This Row],[_IsSummary]])),1,0)</f>
        <v>0</v>
      </c>
      <c r="CI183" s="43" t="n">
        <f aca="false">IF(N(Tasks[[#This Row],[_Pred1UID]])=0,0,IFERROR(MATCH(Tasks[[#This Row],[_Pred1UID]],Tasks[UID],0),-1))</f>
        <v>0</v>
      </c>
      <c r="CJ183" s="43" t="n">
        <f aca="false">IF(N(Tasks[[#This Row],[_Pred2UID]])=0,0,IFERROR(MATCH(Tasks[[#This Row],[_Pred2UID]],Tasks[UID],0),-1))</f>
        <v>0</v>
      </c>
      <c r="CK183" s="43" t="n">
        <f aca="false">IF(N(Tasks[[#This Row],[_Pred3UID]])=0,0,IFERROR(MATCH(Tasks[[#This Row],[_Pred3UID]],Tasks[UID],0),-1))</f>
        <v>0</v>
      </c>
      <c r="CL183" s="43" t="n">
        <f aca="false">IF(N(Tasks[[#This Row],[_Pred4UID]])=0,0,IFERROR(MATCH(Tasks[[#This Row],[_Pred4UID]],Tasks[UID],0),-1))</f>
        <v>0</v>
      </c>
      <c r="CM1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3" s="91" t="n">
        <f aca="false">IF(OR(Tasks[[#This Row],[_ConstraintCode]]=2,Tasks[[#This Row],[_ConstraintCode]]=3,Tasks[[#This Row],[_ConstraintCode]]=4,Tasks[[#This Row],[_ConstraintCode]]=6),Tasks[[#This Row],[_ConstraintStart]],0)</f>
        <v>0</v>
      </c>
      <c r="CP183" s="91" t="n">
        <f aca="false">IF(OR(Tasks[[#This Row],[_ConstraintCode]]=2,Tasks[[#This Row],[_ConstraintCode]]=3,Tasks[[#This Row],[_ConstraintCode]]=5,Tasks[[#This Row],[_ConstraintCode]]=7),Tasks[[#This Row],[_ConstraintStart]],2958465)</f>
        <v>2958465</v>
      </c>
      <c r="CQ1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3" s="91" t="str">
        <f aca="false">IF(NOT(Tasks[[#This Row],[_IsLeaf]]=1),"",IF(N(Tasks[[#This Row],[_Days]])&lt;=0,Tasks[[#This Row],[_LeafCalcStart]],WORKDAY.INTL(Tasks[[#This Row],[_LeafCalcStart]],Tasks[[#This Row],[_Days]]-1,WorkWeek,Holidays)))</f>
        <v/>
      </c>
      <c r="CS1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3" s="43" t="str">
        <f aca="false">IF(Tasks[[#This Row],[_Predecessors]]="","",TRIM(MID(SUBSTITUTE(SUBSTITUTE(SUBSTITUTE(UPPER(Tasks[[#This Row],[_Predecessors]]),";",",")," ",""),",",REPT(" ",99)),1,99)))</f>
        <v/>
      </c>
      <c r="CV183" s="43" t="str">
        <f aca="false">IF(Tasks[[#This Row],[_Pred1Text]]="","",IFERROR(VALUE(LEFT(Tasks[[#This Row],[_Pred1Text]],MIN(FIND("F",Tasks[[#This Row],[_Pred1Text]]&amp;"F"),FIND("S",Tasks[[#This Row],[_Pred1Text]]&amp;"S"),FIND("+",Tasks[[#This Row],[_Pred1Text]]&amp;"+"),FIND("-",Tasks[[#This Row],[_Pred1Text]]&amp;"-"))-1)),""))</f>
        <v/>
      </c>
      <c r="CW1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3" s="43" t="str">
        <f aca="false">IF(Tasks[[#This Row],[_Pred1Text]]="","",TRIM(MID(SUBSTITUTE(SUBSTITUTE(SUBSTITUTE(UPPER(Tasks[[#This Row],[_Predecessors]]),";",",")," ",""),",",REPT(" ",99)),100,99)))</f>
        <v/>
      </c>
      <c r="CZ183" s="43" t="str">
        <f aca="false">IF(Tasks[[#This Row],[_Pred2Text]]="","",IFERROR(VALUE(LEFT(Tasks[[#This Row],[_Pred2Text]],MIN(FIND("F",Tasks[[#This Row],[_Pred2Text]]&amp;"F"),FIND("S",Tasks[[#This Row],[_Pred2Text]]&amp;"S"),FIND("+",Tasks[[#This Row],[_Pred2Text]]&amp;"+"),FIND("-",Tasks[[#This Row],[_Pred2Text]]&amp;"-"))-1)),""))</f>
        <v/>
      </c>
      <c r="DA1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3" s="43" t="str">
        <f aca="false">IF(Tasks[[#This Row],[_Pred2Text]]="","",TRIM(MID(SUBSTITUTE(SUBSTITUTE(SUBSTITUTE(UPPER(Tasks[[#This Row],[_Predecessors]]),";",",")," ",""),",",REPT(" ",99)),199,99)))</f>
        <v/>
      </c>
      <c r="DD183" s="43" t="str">
        <f aca="false">IF(Tasks[[#This Row],[_Pred3Text]]="","",IFERROR(VALUE(LEFT(Tasks[[#This Row],[_Pred3Text]],MIN(FIND("F",Tasks[[#This Row],[_Pred3Text]]&amp;"F"),FIND("S",Tasks[[#This Row],[_Pred3Text]]&amp;"S"),FIND("+",Tasks[[#This Row],[_Pred3Text]]&amp;"+"),FIND("-",Tasks[[#This Row],[_Pred3Text]]&amp;"-"))-1)),""))</f>
        <v/>
      </c>
      <c r="DE1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3" s="43" t="str">
        <f aca="false">IF(Tasks[[#This Row],[_Pred3Text]]="","",TRIM(MID(SUBSTITUTE(SUBSTITUTE(SUBSTITUTE(UPPER(Tasks[[#This Row],[_Predecessors]]),";",",")," ",""),",",REPT(" ",99)),298,99)))</f>
        <v/>
      </c>
      <c r="DH183" s="43" t="str">
        <f aca="false">IF(Tasks[[#This Row],[_Pred4Text]]="","",IFERROR(VALUE(LEFT(Tasks[[#This Row],[_Pred4Text]],MIN(FIND("F",Tasks[[#This Row],[_Pred4Text]]&amp;"F"),FIND("S",Tasks[[#This Row],[_Pred4Text]]&amp;"S"),FIND("+",Tasks[[#This Row],[_Pred4Text]]&amp;"+"),FIND("-",Tasks[[#This Row],[_Pred4Text]]&amp;"-"))-1)),""))</f>
        <v/>
      </c>
      <c r="DI1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3" s="43" t="str">
        <f aca="false">IF(OR(Tasks[[#This Row],[Task Name]]="",Tasks[[#This Row],[_Resources]]=""),"",TRIM(MID(SUBSTITUTE(Tasks[[#This Row],[_Resources]],",",REPT(" ",99)),1,99)))</f>
        <v/>
      </c>
      <c r="DL183" s="43" t="str">
        <f aca="false">IF(Tasks[[#This Row],[_Res1Text]]="","",TRIM(MID(SUBSTITUTE(Tasks[[#This Row],[_Resources]],",",REPT(" ",99)),100,99)))</f>
        <v/>
      </c>
      <c r="DM183" s="43" t="str">
        <f aca="false">IF(Tasks[[#This Row],[_Res2Text]]="","",TRIM(MID(SUBSTITUTE(Tasks[[#This Row],[_Resources]],",",REPT(" ",99)),199,99)))</f>
        <v/>
      </c>
      <c r="DN183" s="43" t="str">
        <f aca="false">IF(Tasks[[#This Row],[_Res3Text]]="","",TRIM(MID(SUBSTITUTE(Tasks[[#This Row],[_Resources]],",",REPT(" ",99)),298,99)))</f>
        <v/>
      </c>
      <c r="DO183" s="43" t="n">
        <f aca="false">IF(Tasks[[#This Row],[_Res1Text]]="",0,IFERROR(MATCH(TRIM(LEFT(Tasks[[#This Row],[_Res1Text]],FIND("[",Tasks[[#This Row],[_Res1Text]]&amp;"[")-1)),res_Name,0),IFERROR(MATCH(TRIM(LEFT(Tasks[[#This Row],[_Res1Text]],FIND("[",Tasks[[#This Row],[_Res1Text]]&amp;"[")-1)),res_Initials,0),0)))</f>
        <v>0</v>
      </c>
      <c r="DP183" s="43" t="n">
        <f aca="false">IF(Tasks[[#This Row],[_Res2Text]]="",0,IFERROR(MATCH(TRIM(LEFT(Tasks[[#This Row],[_Res2Text]],FIND("[",Tasks[[#This Row],[_Res2Text]]&amp;"[")-1)),res_Name,0),IFERROR(MATCH(TRIM(LEFT(Tasks[[#This Row],[_Res2Text]],FIND("[",Tasks[[#This Row],[_Res2Text]]&amp;"[")-1)),res_Initials,0),0)))</f>
        <v>0</v>
      </c>
      <c r="DQ183" s="43" t="n">
        <f aca="false">IF(Tasks[[#This Row],[_Res3Text]]="",0,IFERROR(MATCH(TRIM(LEFT(Tasks[[#This Row],[_Res3Text]],FIND("[",Tasks[[#This Row],[_Res3Text]]&amp;"[")-1)),res_Name,0),IFERROR(MATCH(TRIM(LEFT(Tasks[[#This Row],[_Res3Text]],FIND("[",Tasks[[#This Row],[_Res3Text]]&amp;"[")-1)),res_Initials,0),0)))</f>
        <v>0</v>
      </c>
      <c r="DR183" s="43" t="n">
        <f aca="false">IF(Tasks[[#This Row],[_Res4Text]]="",0,IFERROR(MATCH(TRIM(LEFT(Tasks[[#This Row],[_Res4Text]],FIND("[",Tasks[[#This Row],[_Res4Text]]&amp;"[")-1)),res_Name,0),IFERROR(MATCH(TRIM(LEFT(Tasks[[#This Row],[_Res4Text]],FIND("[",Tasks[[#This Row],[_Res4Text]]&amp;"[")-1)),res_Initials,0),0)))</f>
        <v>0</v>
      </c>
      <c r="DS183" s="43" t="str">
        <f aca="false">IF(Tasks[[#This Row],[_Res1Text]]="","",IF(Tasks[[#This Row],[_Res1Row]]&gt;0,INDEX(res_Name,Tasks[[#This Row],[_Res1Row]]),TRIM(LEFT(Tasks[[#This Row],[_Res1Text]],FIND("[",Tasks[[#This Row],[_Res1Text]]&amp;"[")-1))))</f>
        <v/>
      </c>
      <c r="DT1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3" s="43" t="n">
        <f aca="false">IF(NOT(Tasks[[#This Row],[_IsLeaf]]=1),0,(Tasks[[#This Row],[_Resource1]]&lt;&gt;"")+(Tasks[[#This Row],[_Res2]]&lt;&gt;"")+(Tasks[[#This Row],[_Res3]]&lt;&gt;"")+(Tasks[[#This Row],[_Res4]]&lt;&gt;""))</f>
        <v>0</v>
      </c>
      <c r="DV183" s="43" t="str">
        <f aca="false">IF(Tasks[[#This Row],[_Res2Text]]="","",IF(Tasks[[#This Row],[_Res2Row]]&gt;0,INDEX(res_Name,Tasks[[#This Row],[_Res2Row]]),TRIM(LEFT(Tasks[[#This Row],[_Res2Text]],FIND("[",Tasks[[#This Row],[_Res2Text]]&amp;"[")-1))))</f>
        <v/>
      </c>
      <c r="DW1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3" s="43" t="n">
        <f aca="false">IF(OR(NOT(Tasks[[#This Row],[_IsLeaf]]=1),Tasks[[#This Row],[_Res2Row]]=0),0,N(Tasks[[#This Row],[_Days]])*HoursPerDay*IF(Tasks[[#This Row],[_Res2Units]]="",DefaultUnits,Tasks[[#This Row],[_Res2Units]]))</f>
        <v>0</v>
      </c>
      <c r="DY183" s="43" t="n">
        <f aca="false">IF(AND(AND(Tasks[[#This Row],[_IsLeaf]]=1,Tasks[[#This Row],[_LeafTotalWork]]&gt;0),Tasks[[#This Row],[_Res2Work]]&gt;0),Tasks[[#This Row],[_Res2Work]]/(Tasks[[#This Row],[_FinishWorkday]]-Tasks[[#This Row],[_StartWorkday]]+1),0)</f>
        <v>0</v>
      </c>
      <c r="DZ183" s="43" t="n">
        <f aca="false">Tasks[[#This Row],[_Res2WorkPerWD]]*MAX(0,Tasks[[#This Row],[_StartWorkday]]-1)</f>
        <v>0</v>
      </c>
      <c r="EA183" s="43" t="n">
        <f aca="false">Tasks[[#This Row],[_Res2Work]]*Tasks[[#This Row],[_LeafProgress]]</f>
        <v>0</v>
      </c>
      <c r="EB183" s="43" t="str">
        <f aca="false">IF(Tasks[[#This Row],[_Res3Text]]="","",IF(Tasks[[#This Row],[_Res3Row]]&gt;0,INDEX(res_Name,Tasks[[#This Row],[_Res3Row]]),TRIM(LEFT(Tasks[[#This Row],[_Res3Text]],FIND("[",Tasks[[#This Row],[_Res3Text]]&amp;"[")-1))))</f>
        <v/>
      </c>
      <c r="EC1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3" s="43" t="n">
        <f aca="false">IF(OR(NOT(Tasks[[#This Row],[_IsLeaf]]=1),Tasks[[#This Row],[_Res3Row]]=0),0,N(Tasks[[#This Row],[_Days]])*HoursPerDay*IF(Tasks[[#This Row],[_Res3Units]]="",DefaultUnits,Tasks[[#This Row],[_Res3Units]]))</f>
        <v>0</v>
      </c>
      <c r="EE183" s="43" t="n">
        <f aca="false">IF(AND(AND(Tasks[[#This Row],[_IsLeaf]]=1,Tasks[[#This Row],[_LeafTotalWork]]&gt;0),Tasks[[#This Row],[_Res3Work]]&gt;0),Tasks[[#This Row],[_Res3Work]]/(Tasks[[#This Row],[_FinishWorkday]]-Tasks[[#This Row],[_StartWorkday]]+1),0)</f>
        <v>0</v>
      </c>
      <c r="EF183" s="43" t="n">
        <f aca="false">Tasks[[#This Row],[_Res3WorkPerWD]]*MAX(0,Tasks[[#This Row],[_StartWorkday]]-1)</f>
        <v>0</v>
      </c>
      <c r="EG183" s="43" t="n">
        <f aca="false">Tasks[[#This Row],[_Res3Work]]*Tasks[[#This Row],[_LeafProgress]]</f>
        <v>0</v>
      </c>
      <c r="EH183" s="43" t="str">
        <f aca="false">IF(Tasks[[#This Row],[_Res4Text]]="","",IF(Tasks[[#This Row],[_Res4Row]]&gt;0,INDEX(res_Name,Tasks[[#This Row],[_Res4Row]]),TRIM(LEFT(Tasks[[#This Row],[_Res4Text]],FIND("[",Tasks[[#This Row],[_Res4Text]]&amp;"[")-1))))</f>
        <v/>
      </c>
      <c r="EI1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3" s="43" t="n">
        <f aca="false">IF(OR(NOT(Tasks[[#This Row],[_IsLeaf]]=1),Tasks[[#This Row],[_Res4Row]]=0),0,N(Tasks[[#This Row],[_Days]])*HoursPerDay*IF(Tasks[[#This Row],[_Res4Units]]="",DefaultUnits,Tasks[[#This Row],[_Res4Units]]))</f>
        <v>0</v>
      </c>
      <c r="EK183" s="43" t="n">
        <f aca="false">IF(AND(AND(Tasks[[#This Row],[_IsLeaf]]=1,Tasks[[#This Row],[_LeafTotalWork]]&gt;0),Tasks[[#This Row],[_Res4Work]]&gt;0),Tasks[[#This Row],[_Res4Work]]/(Tasks[[#This Row],[_FinishWorkday]]-Tasks[[#This Row],[_StartWorkday]]+1),0)</f>
        <v>0</v>
      </c>
      <c r="EL183" s="43" t="n">
        <f aca="false">Tasks[[#This Row],[_Res4WorkPerWD]]*MAX(0,Tasks[[#This Row],[_StartWorkday]]-1)</f>
        <v>0</v>
      </c>
      <c r="EM183" s="43" t="n">
        <f aca="false">Tasks[[#This Row],[_Res4Work]]*Tasks[[#This Row],[_LeafProgress]]</f>
        <v>0</v>
      </c>
      <c r="EN183" s="43" t="n">
        <f aca="false">IF(ISNUMBER(Tasks[[#This Row],[% Complete]]),Tasks[[#This Row],[% Complete]],IF(Tasks[[#This Row],[Stage]]="",0,IFERROR(INDEX(stg_Pct,MATCH(Tasks[[#This Row],[Stage]],stg_Name,0)),0)))</f>
        <v>0</v>
      </c>
      <c r="EO183" s="43" t="n">
        <f aca="false">IF(NOT(Tasks[[#This Row],[_IsLeaf]]=1),0,IF(N(Tasks[[#This Row],[Actual Finish]])&gt;0,1,MIN(1,Tasks[[#This Row],[_Pct]])))</f>
        <v>0</v>
      </c>
      <c r="EP183" s="43" t="n">
        <f aca="false">IF(OR(NOT(Tasks[[#This Row],[_IsLeaf]]=1),Tasks[[#This Row],[_Res1Row]]=0),0,N(Tasks[[#This Row],[_Days]])*HoursPerDay*IF(Tasks[[#This Row],[_Units1]]="",DefaultUnits,Tasks[[#This Row],[_Units1]]))</f>
        <v>0</v>
      </c>
      <c r="EQ183" s="43" t="n">
        <f aca="false">Tasks[[#This Row],[_LeafWork]]+Tasks[[#This Row],[_Res2Work]]+Tasks[[#This Row],[_Res3Work]]+Tasks[[#This Row],[_Res4Work]]</f>
        <v>0</v>
      </c>
      <c r="ER18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3" s="43" t="n">
        <f aca="false">IF(NOT(Tasks[[#This Row],[_IsLeaf]]=1),0,MAX(_xlfn.MAXIFS(Tasks[_Row],Tasks[_Pred1UID],Tasks[[#This Row],[UID]]),_xlfn.MAXIFS(Tasks[_Row],Tasks[_Pred2UID],Tasks[[#This Row],[UID]]),_xlfn.MAXIFS(Tasks[_Row],Tasks[_Pred3UID],Tasks[[#This Row],[UID]]),_xlfn.MAXIFS(Tasks[_Row],Tasks[_Pred4UID],Tasks[[#This Row],[UID]])))</f>
        <v>0</v>
      </c>
      <c r="FA1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3" s="91" t="str">
        <f aca="false">IF(NOT(Tasks[[#This Row],[_IsLeaf]]=1),"",IF(N(Tasks[[#This Row],[_Days]])&lt;=0,Tasks[[#This Row],[_LeafLateFinish]],WORKDAY.INTL(Tasks[[#This Row],[_LeafLateFinish]],-(Tasks[[#This Row],[_Days]]-1),WorkWeek,Holidays)))</f>
        <v/>
      </c>
      <c r="FD1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3" s="90" t="b">
        <f aca="false">AND(Tasks[[#This Row],[_IsLeaf]]=1,Tasks[[#This Row],[_LeafProgress]]&lt;1,N(Tasks[[#This Row],[_LeafTotalSlack]])&lt;=CriticalSlackDays)</f>
        <v>0</v>
      </c>
      <c r="FF183" s="43" t="n">
        <f aca="false">IF(AND(Tasks[[#This Row],[_IsLeaf]]=1,Tasks[[#This Row],[_ConstraintCode]]=1,Tasks[[#This Row],[Mode]]&lt;&gt;"Manual",N(Tasks[[#This Row],[Actual Start]])=0),MAX(0,N(Tasks[[#This Row],[Free Slack]])),0)</f>
        <v>0</v>
      </c>
      <c r="FG183" s="91" t="str">
        <f aca="false">IF(NOT(Tasks[[#This Row],[_IsLeaf]]=1),"",IF(Tasks[[#This Row],[_AlapShift]]=0,Tasks[[#This Row],[_LeafCalcStart]],WORKDAY.INTL(Tasks[[#This Row],[_LeafCalcStart]],Tasks[[#This Row],[_AlapShift]],WorkWeek,Holidays)))</f>
        <v/>
      </c>
      <c r="FH183" s="91" t="str">
        <f aca="false">IF(NOT(Tasks[[#This Row],[_IsLeaf]]=1),"",IF(Tasks[[#This Row],[_AlapShift]]=0,Tasks[[#This Row],[_LeafCalcFinish]],WORKDAY.INTL(Tasks[[#This Row],[_LeafCalcFinish]],Tasks[[#This Row],[_AlapShift]],WorkWeek,Holidays)))</f>
        <v/>
      </c>
      <c r="FI183" s="91" t="str">
        <f aca="false">IF(NOT(Tasks[[#This Row],[_IsLeaf]]=1),"",IF(Tasks[[#This Row],[_AlapShift]]=0,Tasks[[#This Row],[_LeafFcstStart]],WORKDAY.INTL(Tasks[[#This Row],[_LeafFcstStart]],Tasks[[#This Row],[_AlapShift]],WorkWeek,Holidays)))</f>
        <v/>
      </c>
      <c r="FJ183" s="91" t="str">
        <f aca="false">IF(NOT(Tasks[[#This Row],[_IsLeaf]]=1),"",IF(Tasks[[#This Row],[_AlapShift]]=0,Tasks[[#This Row],[_LeafFcstFinish]],WORKDAY.INTL(Tasks[[#This Row],[_LeafFcstFinish]],Tasks[[#This Row],[_AlapShift]],WorkWeek,Holidays)))</f>
        <v/>
      </c>
      <c r="FK183" s="91" t="str">
        <f aca="false">IF(Tasks[[#This Row],[Task Name]]="","",IF(Tasks[[#This Row],[_IsSummary]],MIN(INDEX(Tasks[_ShownCalcStart],Tasks[[#This Row],[_Row]]+1):INDEX(Tasks[_ShownCalcStart],Tasks[[#This Row],[_Row]]+Tasks[[#This Row],[_Descendants]])),Tasks[[#This Row],[_ShownCalcStart]]))</f>
        <v/>
      </c>
      <c r="FL183" s="91" t="str">
        <f aca="false">IF(Tasks[[#This Row],[Task Name]]="","",IF(Tasks[[#This Row],[_IsSummary]],MAX(INDEX(Tasks[_ShownCalcFinish],Tasks[[#This Row],[_Row]]+1):INDEX(Tasks[_ShownCalcFinish],Tasks[[#This Row],[_Row]]+Tasks[[#This Row],[_Descendants]])),Tasks[[#This Row],[_ShownCalcFinish]]))</f>
        <v/>
      </c>
      <c r="FM1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3" s="43" t="n">
        <f aca="false">IF(AND(Tasks[[#This Row],[_IsLeaf]]=1,Tasks[[#This Row],[_LeafTotalWork]]&gt;0),NETWORKDAYS.INTL(ProjectStart,Tasks[[#This Row],[_ShownFcstStart]],WorkWeek,Holidays),0)</f>
        <v>0</v>
      </c>
      <c r="FZ183" s="43" t="n">
        <f aca="false">IF(AND(Tasks[[#This Row],[_IsLeaf]]=1,Tasks[[#This Row],[_LeafTotalWork]]&gt;0),MAX(Tasks[[#This Row],[_StartWorkday]],NETWORKDAYS.INTL(ProjectStart,Tasks[[#This Row],[_ShownFcstFinish]],WorkWeek,Holidays)),0)</f>
        <v>0</v>
      </c>
      <c r="GA183" s="43" t="n">
        <f aca="false">IF(AND(Tasks[[#This Row],[_IsLeaf]]=1,Tasks[[#This Row],[_LeafTotalWork]]&gt;0),Tasks[[#This Row],[_LeafWork]]/(Tasks[[#This Row],[_FinishWorkday]]-Tasks[[#This Row],[_StartWorkday]]+1),0)</f>
        <v>0</v>
      </c>
      <c r="GB183" s="43" t="n">
        <f aca="false">Tasks[[#This Row],[_WorkPerWorkday]]*(Tasks[[#This Row],[_StartWorkday]]-1)</f>
        <v>-0</v>
      </c>
      <c r="GC183" s="43" t="n">
        <f aca="false">IF(Tasks[[#This Row],[_IsLeaf]]=1,MAX(N(Tasks[[#This Row],[_Days]]),0.1),0)</f>
        <v>0</v>
      </c>
      <c r="GD183" s="43" t="n">
        <f aca="false">Tasks[[#This Row],[_WeightDur]]*Tasks[[#This Row],[_LeafProgress]]</f>
        <v>0</v>
      </c>
      <c r="GE183" s="43" t="n">
        <f aca="false">Tasks[[#This Row],[_WeightDur]]*Tasks[[#This Row],[_PlannedPct]]</f>
        <v>0</v>
      </c>
      <c r="GF1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3" s="43" t="str">
        <f aca="false">IF(AND(Tasks[[#This Row],[_IsLeaf]]=1,N(Tasks[[#This Row],[_Days]])=0,Tasks[[#This Row],[_LeafProgress]]&lt;1),Tasks[[#This Row],[_ShownFcstFinish]]+Tasks[[#This Row],[_Row]]/100000,"")</f>
        <v/>
      </c>
      <c r="GH1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3" s="43" t="str">
        <f aca="false">IF(Tasks[[#This Row],[Task Name]]="","",LEFT(Tasks[[#This Row],[WBS]],FIND(".",Tasks[[#This Row],[WBS]]&amp;".")-1))</f>
        <v/>
      </c>
      <c r="GJ183" s="43" t="str">
        <f aca="false">IF(AND(Tasks[[#This Row],[Task Name]]&lt;&gt;"",Tasks[[#This Row],[_Level]]=1),Tasks[[#This Row],[_Row]],"")</f>
        <v/>
      </c>
      <c r="GK183" s="43" t="str">
        <f aca="false">IF(AND(Tasks[[#This Row],[_IsLeaf]]=1,N(Tasks[[#This Row],[_Days]])=0),Tasks[[#This Row],[Planned Finish]]+Tasks[[#This Row],[_Row]]/100000,"")</f>
        <v/>
      </c>
      <c r="GL183" s="43" t="str">
        <f aca="false">IF(AND(Tasks[[#This Row],[_IsLeaf]]=1,Tasks[[#This Row],[_LeafProgress]]&lt;1,OR(N(Tasks[[#This Row],[Finish Var]])&gt;0,Tasks[[#This Row],[Status]]="Late Start")),MAX(0,Tasks[[#This Row],[Finish Var]])+1-Tasks[[#This Row],[_Row]]/1000000,"")</f>
        <v/>
      </c>
      <c r="GM183" s="43" t="str">
        <f aca="false">IF(AND(Tasks[[#This Row],[_IsLeaf]]=1,N(Tasks[[#This Row],[Actual Start]])=0,Tasks[[#This Row],[_ShownFcstStart]]&gt;=StatusDate,Tasks[[#This Row],[_ShownFcstStart]]&lt;=LookaheadEnd),Tasks[[#This Row],[_ShownFcstStart]]+Tasks[[#This Row],[_Row]]/100000,"")</f>
        <v/>
      </c>
      <c r="GN183" s="43" t="str">
        <f aca="false">IF(AND(Tasks[[#This Row],[_IsLeaf]]=1,Tasks[[#This Row],[_LeafProgress]]&lt;1,Tasks[[#This Row],[_ShownFcstFinish]]&gt;=StatusDate,Tasks[[#This Row],[_ShownFcstFinish]]&lt;=LookaheadEnd),Tasks[[#This Row],[_ShownFcstFinish]]+Tasks[[#This Row],[_Row]]/100000,"")</f>
        <v/>
      </c>
      <c r="GO183" s="43" t="str">
        <f aca="false">IF(Tasks[[#This Row],[_LeafCritical]],Tasks[[#This Row],[_ShownFcstStart]]+Tasks[[#This Row],[_Row]]/100000,"")</f>
        <v/>
      </c>
      <c r="GP183" s="43" t="n">
        <f aca="false">Tasks[[#This Row],[_LeafWork]]*Tasks[[#This Row],[_LeafProgress]]</f>
        <v>0</v>
      </c>
      <c r="GQ183" s="91" t="str">
        <f aca="false">IF(AND(Tasks[[#This Row],[_IsLeaf]]=1,Tasks[[#This Row],[_LeafProgress]]&gt;=1),IF(N(Tasks[[#This Row],[Actual Finish]])&gt;0,Tasks[[#This Row],[Actual Finish]],Tasks[[#This Row],[_ShownFcstFinish]]),"")</f>
        <v/>
      </c>
      <c r="GR183" s="43" t="n">
        <f aca="false">IF(Tasks[[#This Row],[_IsLeaf]]=1,N(Tasks[[#This Row],[Story Points]]),0)</f>
        <v>0</v>
      </c>
      <c r="GS183" s="43" t="str">
        <f aca="false">""</f>
        <v/>
      </c>
      <c r="GT183" s="90" t="b">
        <f aca="false">IF(Tasks[[#This Row],[Task Name]]="",FALSE(),AND(Tasks[[#This Row],[_IsLeaf]]=1,N(Tasks[[#This Row],[_Days]])=0))</f>
        <v>0</v>
      </c>
      <c r="GU183" s="91" t="n">
        <f aca="false">IF(Tasks[[#This Row],[Task Name]]="",0,IF(AND(Tasks[[#This Row],[_IsLeaf]]=1,NOT(Tasks[[#This Row],[_IsMilestone]]),N(Tasks[[#This Row],[Progress]])&gt;0),Tasks[[#This Row],[Start]],0))</f>
        <v>0</v>
      </c>
      <c r="GV183" s="91" t="n">
        <f aca="false">IF(Tasks[[#This Row],[_DoneFrom]]=0,0,IF(Tasks[[#This Row],[Progress]]&gt;=1,Tasks[[#This Row],[Finish]],MAX(Tasks[[#This Row],[_DoneFrom]],Tasks[[#This Row],[Start]]+ROUND((Tasks[[#This Row],[Finish]]-Tasks[[#This Row],[Start]]+1)*Tasks[[#This Row],[Progress]],0)-1)))</f>
        <v>0</v>
      </c>
      <c r="GW183" s="91" t="n">
        <f aca="false">IF(Tasks[[#This Row],[Task Name]]="",0,IF(OR(NOT(Tasks[[#This Row],[_IsLeaf]]=1),Tasks[[#This Row],[_IsMilestone]],N(Tasks[[#This Row],[Progress]])&gt;=1),0,IF(Tasks[[#This Row],[_DoneTo]]&gt;0,Tasks[[#This Row],[_DoneTo]]+1,Tasks[[#This Row],[Start]])))</f>
        <v>0</v>
      </c>
      <c r="GX183" s="91" t="n">
        <f aca="false">IF(Tasks[[#This Row],[_RemFrom]]=0,0,Tasks[[#This Row],[Finish]])</f>
        <v>0</v>
      </c>
      <c r="GY183" s="90" t="b">
        <f aca="false">IF(Tasks[[#This Row],[Task Name]]="",FALSE(),OR(NOT(BaselineSet),N(Tasks[[#This Row],[Baseline Start]])&gt;0))</f>
        <v>0</v>
      </c>
      <c r="GZ18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3" s="92" t="str">
        <f aca="false">IF(Tasks[[#This Row],[_IsLeaf]]=1,Tasks[[#This Row],[_Row]],"")</f>
        <v/>
      </c>
      <c r="HD183" s="92" t="str">
        <f aca="false">IFERROR(INDEX(Tasks[UID],SMALL(Tasks[_PickKey],Tasks[[#This Row],[_Row]]))&amp;" "&amp;INDEX(Tasks[Task Name],SMALL(Tasks[_PickKey],Tasks[[#This Row],[_Row]])),"")</f>
        <v/>
      </c>
      <c r="HE183" s="43" t="str">
        <f aca="false">IF(Tasks[[#This Row],[Task Name]]="","",IF(Tasks[[#This Row],[_IsSummary]],NETWORKDAYS.INTL(Tasks[[#This Row],[Start]],Tasks[[#This Row],[Finish]],WorkWeek,Holidays),N(Tasks[[#This Row],[_Days]])))</f>
        <v/>
      </c>
      <c r="HF183" s="43" t="n">
        <f aca="false">IF(Tasks[[#This Row],[Expected]]="",0,((Tasks[[#This Row],[Pessimistic]]-Tasks[[#This Row],[Optimistic]])/6)^2)</f>
        <v>0</v>
      </c>
      <c r="HG183" s="43" t="n">
        <f aca="false">IF(Tasks[[#This Row],[Expected]]="",0,Tasks[[#This Row],[Expected]]-N(Tasks[[#This Row],[_Days]]))</f>
        <v>0</v>
      </c>
    </row>
    <row r="184" customFormat="false" ht="15" hidden="false" customHeight="false" outlineLevel="0" collapsed="false">
      <c r="A184" s="21" t="str">
        <f aca="false">IF(Tasks[[#This Row],[Task Name]]="","",COUNTA(Tasks[[#Headers],[Task Name]]:Tasks[[#This Row],[Task Name]])-1)</f>
        <v/>
      </c>
      <c r="B184" s="22" t="n">
        <v>192</v>
      </c>
      <c r="C184" s="22"/>
      <c r="D184" s="23"/>
      <c r="E184" s="22"/>
      <c r="F184" s="23"/>
      <c r="G184" s="22"/>
      <c r="H184" s="22"/>
      <c r="I184" s="23"/>
      <c r="J184" s="22"/>
      <c r="K184" s="22"/>
      <c r="L184" s="23"/>
      <c r="M184" s="22"/>
      <c r="N184" s="22"/>
      <c r="O184" s="23"/>
      <c r="P184" s="22"/>
      <c r="Q184" s="22"/>
      <c r="R184" s="23"/>
      <c r="S184" s="23"/>
      <c r="T184" s="84"/>
      <c r="U184" s="23"/>
      <c r="V184" s="84"/>
      <c r="W184" s="23"/>
      <c r="X184" s="84"/>
      <c r="Y184" s="23"/>
      <c r="Z184" s="84"/>
      <c r="AA184" s="23"/>
      <c r="AB184" s="23"/>
      <c r="AC184" s="7"/>
      <c r="AD184" s="7"/>
      <c r="AE184" s="63" t="str">
        <f aca="false">IF(Tasks[[#This Row],[Task Name]]="","",IF(Tasks[[#This Row],[_IsSummary]],MIN(INDEX(Tasks[_ShownFcstStart],Tasks[[#This Row],[_Row]]+1):INDEX(Tasks[_ShownFcstStart],Tasks[[#This Row],[_Row]]+Tasks[[#This Row],[_Descendants]])),Tasks[[#This Row],[_ShownFcstStart]]))</f>
        <v/>
      </c>
      <c r="AF184" s="63" t="str">
        <f aca="false">IF(Tasks[[#This Row],[Task Name]]="","",IF(Tasks[[#This Row],[_IsSummary]],MAX(INDEX(Tasks[_ShownFcstFinish],Tasks[[#This Row],[_Row]]+1):INDEX(Tasks[_ShownFcstFinish],Tasks[[#This Row],[_Row]]+Tasks[[#This Row],[_Descendants]])),Tasks[[#This Row],[_ShownFcstFinish]]))</f>
        <v/>
      </c>
      <c r="AG184" s="21" t="str">
        <f aca="false">""</f>
        <v/>
      </c>
      <c r="AH184" s="23"/>
      <c r="AI1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4" s="7"/>
      <c r="AK184" s="22"/>
      <c r="AL184" s="23"/>
      <c r="AM184" s="7"/>
      <c r="AN184" s="47" t="str">
        <f aca="false">IF(Tasks[[#This Row],[Task Name]]="","",IF(Tasks[[#This Row],[Finish]]&gt;=Tasks[[#This Row],[Planned Finish]],NETWORKDAYS.INTL(Tasks[[#This Row],[Planned Finish]],Tasks[[#This Row],[Finish]],WorkWeek,Holidays)-1,1-NETWORKDAYS.INTL(Tasks[[#This Row],[Finish]],Tasks[[#This Row],[Planned Finish]],WorkWeek,Holidays)))</f>
        <v/>
      </c>
      <c r="AO184" s="21" t="str">
        <f aca="false">IF(Tasks[[#This Row],[Task Name]]="","",IF(Tasks[[#This Row],[Progress]]&gt;=1,"Complete",IF(OR(N(Tasks[[#This Row],[Actual Start]])&gt;0,Tasks[[#This Row],[Progress]]&gt;0),IF(Tasks[[#This Row],[Finish Var]]&gt;0,"Behind","In Progress"),IF(Tasks[[#This Row],[Planned Start]]&lt;StatusDate,"Late Start","Not Started"))))</f>
        <v/>
      </c>
      <c r="AP184" s="21" t="str">
        <f aca="false">IF(Tasks[[#This Row],[Task Name]]="","",IF(IF(Tasks[[#This Row],[_IsSummary]],COUNTIF(INDEX(Tasks[_LeafCritical],Tasks[[#This Row],[_Row]]+1):INDEX(Tasks[_LeafCritical],Tasks[[#This Row],[_Row]]+Tasks[[#This Row],[_Descendants]]),TRUE())&gt;0,Tasks[[#This Row],[_LeafCritical]]),"Yes",""))</f>
        <v/>
      </c>
      <c r="AQ184" s="63" t="str">
        <f aca="false">IF(Tasks[[#This Row],[Task Name]]="","",IF(N(Tasks[[#This Row],[Baseline Start]])&gt;0,Tasks[[#This Row],[Baseline Start]],Tasks[[#This Row],[_CalcStart]]))</f>
        <v/>
      </c>
      <c r="AR184" s="63" t="str">
        <f aca="false">IF(Tasks[[#This Row],[Task Name]]="","",IF(N(Tasks[[#This Row],[Baseline Finish]])&gt;0,Tasks[[#This Row],[Baseline Finish]],Tasks[[#This Row],[_CalcFinish]]))</f>
        <v/>
      </c>
      <c r="AS184" s="47" t="str">
        <f aca="false">IF(Tasks[[#This Row],[Task Name]]="","",IF(Tasks[[#This Row],[Start]]&gt;=Tasks[[#This Row],[Planned Start]],NETWORKDAYS.INTL(Tasks[[#This Row],[Planned Start]],Tasks[[#This Row],[Start]],WorkWeek,Holidays)-1,1-NETWORKDAYS.INTL(Tasks[[#This Row],[Start]],Tasks[[#This Row],[Planned Start]],WorkWeek,Holidays)))</f>
        <v/>
      </c>
      <c r="AT184" s="63" t="str">
        <f aca="false">IF(Tasks[[#This Row],[Task Name]]="","",IF(Tasks[[#This Row],[_IsSummary]],MIN(INDEX(Tasks[_LeafLateStart],Tasks[[#This Row],[_Row]]+1):INDEX(Tasks[_LeafLateStart],Tasks[[#This Row],[_Row]]+Tasks[[#This Row],[_Descendants]])),Tasks[[#This Row],[_LeafLateStart]]))</f>
        <v/>
      </c>
      <c r="AU184" s="63" t="str">
        <f aca="false">IF(Tasks[[#This Row],[Task Name]]="","",IF(Tasks[[#This Row],[_IsSummary]],MAX(INDEX(Tasks[_LeafLateFinish],Tasks[[#This Row],[_Row]]+1):INDEX(Tasks[_LeafLateFinish],Tasks[[#This Row],[_Row]]+Tasks[[#This Row],[_Descendants]])),Tasks[[#This Row],[_LeafLateFinish]]))</f>
        <v/>
      </c>
      <c r="AV184" s="47" t="str">
        <f aca="false">IF(Tasks[[#This Row],[Task Name]]="","",IF(Tasks[[#This Row],[_IsSummary]],MIN(INDEX(Tasks[_LeafTotalSlack],Tasks[[#This Row],[_Row]]+1):INDEX(Tasks[_LeafTotalSlack],Tasks[[#This Row],[_Row]]+Tasks[[#This Row],[_Descendants]])),Tasks[[#This Row],[_LeafTotalSlack]]))</f>
        <v/>
      </c>
      <c r="AW1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5"/>
      <c r="BA18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t="str">
        <f aca="false">IF(Tasks[[#This Row],[Task Name]]="","",IF(Tasks[[#This Row],[_Level]]&lt;=OutlineShowLevel,"Yes","No"))</f>
        <v/>
      </c>
      <c r="BE184" s="86" t="str">
        <f aca="false">IF(Tasks[[#This Row],[Task Name]]="","",IF(Tasks[[#This Row],[_IsSummary]],SUM(INDEX(Tasks[_LeafTotalWork],Tasks[[#This Row],[_Row]]+1):INDEX(Tasks[_LeafTotalWork],Tasks[[#This Row],[_Row]]+Tasks[[#This Row],[_Descendants]])),Tasks[[#This Row],[_LeafTotalWork]]))</f>
        <v/>
      </c>
      <c r="BF184" s="23"/>
      <c r="BG1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t="str">
        <f aca="false">""</f>
        <v/>
      </c>
      <c r="BI184" s="87"/>
      <c r="BJ184" s="22"/>
      <c r="BK184" s="47" t="str">
        <f aca="false">IF(OR(Tasks[[#This Row],[Task Name]]="",Tasks[[#This Row],[Baseline Duration]]=""),"",Tasks[[#This Row],[_SpanDays]]-N(Tasks[[#This Row],[Baseline Duration]]))</f>
        <v/>
      </c>
      <c r="BL184" s="86" t="str">
        <f aca="false">IF(OR(Tasks[[#This Row],[Task Name]]="",Tasks[[#This Row],[Baseline Work]]=""),"",Tasks[[#This Row],[Work]]-N(Tasks[[#This Row],[Baseline Work]]))</f>
        <v/>
      </c>
      <c r="BM184" s="63" t="str">
        <f aca="false">IF(Tasks[[#This Row],[Task Name]]="","",IF(OR(TakeBaseline="Yes",N(Tasks[[#This Row],[Baseline Start]])=0),Tasks[[#This Row],[Start]],Tasks[[#This Row],[Baseline Start]]))</f>
        <v/>
      </c>
      <c r="BN184" s="63" t="str">
        <f aca="false">IF(Tasks[[#This Row],[Task Name]]="","",IF(OR(TakeBaseline="Yes",N(Tasks[[#This Row],[Baseline Finish]])=0),Tasks[[#This Row],[Finish]],Tasks[[#This Row],[Baseline Finish]]))</f>
        <v/>
      </c>
      <c r="BO184" s="21" t="str">
        <f aca="false">IF(Tasks[[#This Row],[Task Name]]="","",IF(OR(TakeBaseline="Yes",N(Tasks[[#This Row],[Baseline Duration]])=0),Tasks[[#This Row],[_SpanDays]],Tasks[[#This Row],[Baseline Duration]]))</f>
        <v/>
      </c>
      <c r="BP184" s="86" t="str">
        <f aca="false">IF(Tasks[[#This Row],[Task Name]]="","",IF(OR(TakeBaseline="Yes",N(Tasks[[#This Row],[Baseline Work]])=0),Tasks[[#This Row],[Work]],Tasks[[#This Row],[Baseline Work]]))</f>
        <v/>
      </c>
      <c r="BQ184" s="7"/>
      <c r="BR184" s="7"/>
      <c r="BS184" s="22"/>
      <c r="BT184" s="88"/>
      <c r="BU184" s="23"/>
      <c r="BV184" s="23"/>
      <c r="BW184" s="23"/>
      <c r="BX184" s="89" t="str">
        <f aca="false">IF(AND(Tasks[[#This Row],[_IsLeaf]]=1,ISNUMBER(Tasks[[#This Row],[Optimistic]]),ISNUMBER(Tasks[[#This Row],[Pessimistic]])),ROUND((Tasks[[#This Row],[Optimistic]]+4*N(Tasks[[#This Row],[_Days]])+Tasks[[#This Row],[Pessimistic]])/6,1),"")</f>
        <v/>
      </c>
      <c r="BY184" s="87"/>
      <c r="BZ184" s="87"/>
      <c r="CA184" s="22"/>
      <c r="CB184" s="43" t="str">
        <f aca="false">IF(Tasks[[#This Row],[Task Name]]="","",MAX(1,N(Tasks[[#This Row],[Level]])))</f>
        <v/>
      </c>
      <c r="CC184" s="43" t="n">
        <f aca="false">ROW()-ROW(Tasks[[#Headers],[ID]])</f>
        <v>179</v>
      </c>
      <c r="CD184" s="43" t="n">
        <f aca="false">IF(OR(Tasks[[#This Row],[Task Name]]="",Tasks[[#This Row],[_Level]]&lt;=1),0,IFERROR(LOOKUP(2,1/(Tasks[[#Headers],[_Level]]:Tasks[[#This Row],[_Level]]=Tasks[[#This Row],[_Level]]-1),ROW(Tasks[[#Headers],[_Level]]:Tasks[[#This Row],[_Level]])),0))</f>
        <v>0</v>
      </c>
      <c r="CE184" s="43" t="n">
        <f aca="false">IFERROR(N(INDEX(Tasks[_Level],Tasks[[#This Row],[_Row]]+1)),0)</f>
        <v>0</v>
      </c>
      <c r="CF184" s="90" t="b">
        <f aca="false">AND(Tasks[[#This Row],[Task Name]]&lt;&gt;"",Tasks[[#This Row],[_NextLevel]]&gt;Tasks[[#This Row],[_Level]])</f>
        <v>0</v>
      </c>
      <c r="CG184" s="43" t="n">
        <f aca="false">IF(Tasks[[#This Row],[_IsSummary]],COUNTIF(Tasks[WBS],Tasks[[#This Row],[WBS]]&amp;".*"),0)</f>
        <v>0</v>
      </c>
      <c r="CH184" s="43" t="n">
        <f aca="false">IF(AND(Tasks[[#This Row],[Task Name]]&lt;&gt;"",NOT(Tasks[[#This Row],[_IsSummary]])),1,0)</f>
        <v>0</v>
      </c>
      <c r="CI184" s="43" t="n">
        <f aca="false">IF(N(Tasks[[#This Row],[_Pred1UID]])=0,0,IFERROR(MATCH(Tasks[[#This Row],[_Pred1UID]],Tasks[UID],0),-1))</f>
        <v>0</v>
      </c>
      <c r="CJ184" s="43" t="n">
        <f aca="false">IF(N(Tasks[[#This Row],[_Pred2UID]])=0,0,IFERROR(MATCH(Tasks[[#This Row],[_Pred2UID]],Tasks[UID],0),-1))</f>
        <v>0</v>
      </c>
      <c r="CK184" s="43" t="n">
        <f aca="false">IF(N(Tasks[[#This Row],[_Pred3UID]])=0,0,IFERROR(MATCH(Tasks[[#This Row],[_Pred3UID]],Tasks[UID],0),-1))</f>
        <v>0</v>
      </c>
      <c r="CL184" s="43" t="n">
        <f aca="false">IF(N(Tasks[[#This Row],[_Pred4UID]])=0,0,IFERROR(MATCH(Tasks[[#This Row],[_Pred4UID]],Tasks[UID],0),-1))</f>
        <v>0</v>
      </c>
      <c r="CM1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4" s="91" t="n">
        <f aca="false">IF(OR(Tasks[[#This Row],[_ConstraintCode]]=2,Tasks[[#This Row],[_ConstraintCode]]=3,Tasks[[#This Row],[_ConstraintCode]]=4,Tasks[[#This Row],[_ConstraintCode]]=6),Tasks[[#This Row],[_ConstraintStart]],0)</f>
        <v>0</v>
      </c>
      <c r="CP184" s="91" t="n">
        <f aca="false">IF(OR(Tasks[[#This Row],[_ConstraintCode]]=2,Tasks[[#This Row],[_ConstraintCode]]=3,Tasks[[#This Row],[_ConstraintCode]]=5,Tasks[[#This Row],[_ConstraintCode]]=7),Tasks[[#This Row],[_ConstraintStart]],2958465)</f>
        <v>2958465</v>
      </c>
      <c r="CQ1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4" s="91" t="str">
        <f aca="false">IF(NOT(Tasks[[#This Row],[_IsLeaf]]=1),"",IF(N(Tasks[[#This Row],[_Days]])&lt;=0,Tasks[[#This Row],[_LeafCalcStart]],WORKDAY.INTL(Tasks[[#This Row],[_LeafCalcStart]],Tasks[[#This Row],[_Days]]-1,WorkWeek,Holidays)))</f>
        <v/>
      </c>
      <c r="CS1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4" s="43" t="str">
        <f aca="false">IF(Tasks[[#This Row],[_Predecessors]]="","",TRIM(MID(SUBSTITUTE(SUBSTITUTE(SUBSTITUTE(UPPER(Tasks[[#This Row],[_Predecessors]]),";",",")," ",""),",",REPT(" ",99)),1,99)))</f>
        <v/>
      </c>
      <c r="CV184" s="43" t="str">
        <f aca="false">IF(Tasks[[#This Row],[_Pred1Text]]="","",IFERROR(VALUE(LEFT(Tasks[[#This Row],[_Pred1Text]],MIN(FIND("F",Tasks[[#This Row],[_Pred1Text]]&amp;"F"),FIND("S",Tasks[[#This Row],[_Pred1Text]]&amp;"S"),FIND("+",Tasks[[#This Row],[_Pred1Text]]&amp;"+"),FIND("-",Tasks[[#This Row],[_Pred1Text]]&amp;"-"))-1)),""))</f>
        <v/>
      </c>
      <c r="CW1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4" s="43" t="str">
        <f aca="false">IF(Tasks[[#This Row],[_Pred1Text]]="","",TRIM(MID(SUBSTITUTE(SUBSTITUTE(SUBSTITUTE(UPPER(Tasks[[#This Row],[_Predecessors]]),";",",")," ",""),",",REPT(" ",99)),100,99)))</f>
        <v/>
      </c>
      <c r="CZ184" s="43" t="str">
        <f aca="false">IF(Tasks[[#This Row],[_Pred2Text]]="","",IFERROR(VALUE(LEFT(Tasks[[#This Row],[_Pred2Text]],MIN(FIND("F",Tasks[[#This Row],[_Pred2Text]]&amp;"F"),FIND("S",Tasks[[#This Row],[_Pred2Text]]&amp;"S"),FIND("+",Tasks[[#This Row],[_Pred2Text]]&amp;"+"),FIND("-",Tasks[[#This Row],[_Pred2Text]]&amp;"-"))-1)),""))</f>
        <v/>
      </c>
      <c r="DA1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4" s="43" t="str">
        <f aca="false">IF(Tasks[[#This Row],[_Pred2Text]]="","",TRIM(MID(SUBSTITUTE(SUBSTITUTE(SUBSTITUTE(UPPER(Tasks[[#This Row],[_Predecessors]]),";",",")," ",""),",",REPT(" ",99)),199,99)))</f>
        <v/>
      </c>
      <c r="DD184" s="43" t="str">
        <f aca="false">IF(Tasks[[#This Row],[_Pred3Text]]="","",IFERROR(VALUE(LEFT(Tasks[[#This Row],[_Pred3Text]],MIN(FIND("F",Tasks[[#This Row],[_Pred3Text]]&amp;"F"),FIND("S",Tasks[[#This Row],[_Pred3Text]]&amp;"S"),FIND("+",Tasks[[#This Row],[_Pred3Text]]&amp;"+"),FIND("-",Tasks[[#This Row],[_Pred3Text]]&amp;"-"))-1)),""))</f>
        <v/>
      </c>
      <c r="DE1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4" s="43" t="str">
        <f aca="false">IF(Tasks[[#This Row],[_Pred3Text]]="","",TRIM(MID(SUBSTITUTE(SUBSTITUTE(SUBSTITUTE(UPPER(Tasks[[#This Row],[_Predecessors]]),";",",")," ",""),",",REPT(" ",99)),298,99)))</f>
        <v/>
      </c>
      <c r="DH184" s="43" t="str">
        <f aca="false">IF(Tasks[[#This Row],[_Pred4Text]]="","",IFERROR(VALUE(LEFT(Tasks[[#This Row],[_Pred4Text]],MIN(FIND("F",Tasks[[#This Row],[_Pred4Text]]&amp;"F"),FIND("S",Tasks[[#This Row],[_Pred4Text]]&amp;"S"),FIND("+",Tasks[[#This Row],[_Pred4Text]]&amp;"+"),FIND("-",Tasks[[#This Row],[_Pred4Text]]&amp;"-"))-1)),""))</f>
        <v/>
      </c>
      <c r="DI1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4" s="43" t="str">
        <f aca="false">IF(OR(Tasks[[#This Row],[Task Name]]="",Tasks[[#This Row],[_Resources]]=""),"",TRIM(MID(SUBSTITUTE(Tasks[[#This Row],[_Resources]],",",REPT(" ",99)),1,99)))</f>
        <v/>
      </c>
      <c r="DL184" s="43" t="str">
        <f aca="false">IF(Tasks[[#This Row],[_Res1Text]]="","",TRIM(MID(SUBSTITUTE(Tasks[[#This Row],[_Resources]],",",REPT(" ",99)),100,99)))</f>
        <v/>
      </c>
      <c r="DM184" s="43" t="str">
        <f aca="false">IF(Tasks[[#This Row],[_Res2Text]]="","",TRIM(MID(SUBSTITUTE(Tasks[[#This Row],[_Resources]],",",REPT(" ",99)),199,99)))</f>
        <v/>
      </c>
      <c r="DN184" s="43" t="str">
        <f aca="false">IF(Tasks[[#This Row],[_Res3Text]]="","",TRIM(MID(SUBSTITUTE(Tasks[[#This Row],[_Resources]],",",REPT(" ",99)),298,99)))</f>
        <v/>
      </c>
      <c r="DO184" s="43" t="n">
        <f aca="false">IF(Tasks[[#This Row],[_Res1Text]]="",0,IFERROR(MATCH(TRIM(LEFT(Tasks[[#This Row],[_Res1Text]],FIND("[",Tasks[[#This Row],[_Res1Text]]&amp;"[")-1)),res_Name,0),IFERROR(MATCH(TRIM(LEFT(Tasks[[#This Row],[_Res1Text]],FIND("[",Tasks[[#This Row],[_Res1Text]]&amp;"[")-1)),res_Initials,0),0)))</f>
        <v>0</v>
      </c>
      <c r="DP184" s="43" t="n">
        <f aca="false">IF(Tasks[[#This Row],[_Res2Text]]="",0,IFERROR(MATCH(TRIM(LEFT(Tasks[[#This Row],[_Res2Text]],FIND("[",Tasks[[#This Row],[_Res2Text]]&amp;"[")-1)),res_Name,0),IFERROR(MATCH(TRIM(LEFT(Tasks[[#This Row],[_Res2Text]],FIND("[",Tasks[[#This Row],[_Res2Text]]&amp;"[")-1)),res_Initials,0),0)))</f>
        <v>0</v>
      </c>
      <c r="DQ184" s="43" t="n">
        <f aca="false">IF(Tasks[[#This Row],[_Res3Text]]="",0,IFERROR(MATCH(TRIM(LEFT(Tasks[[#This Row],[_Res3Text]],FIND("[",Tasks[[#This Row],[_Res3Text]]&amp;"[")-1)),res_Name,0),IFERROR(MATCH(TRIM(LEFT(Tasks[[#This Row],[_Res3Text]],FIND("[",Tasks[[#This Row],[_Res3Text]]&amp;"[")-1)),res_Initials,0),0)))</f>
        <v>0</v>
      </c>
      <c r="DR184" s="43" t="n">
        <f aca="false">IF(Tasks[[#This Row],[_Res4Text]]="",0,IFERROR(MATCH(TRIM(LEFT(Tasks[[#This Row],[_Res4Text]],FIND("[",Tasks[[#This Row],[_Res4Text]]&amp;"[")-1)),res_Name,0),IFERROR(MATCH(TRIM(LEFT(Tasks[[#This Row],[_Res4Text]],FIND("[",Tasks[[#This Row],[_Res4Text]]&amp;"[")-1)),res_Initials,0),0)))</f>
        <v>0</v>
      </c>
      <c r="DS184" s="43" t="str">
        <f aca="false">IF(Tasks[[#This Row],[_Res1Text]]="","",IF(Tasks[[#This Row],[_Res1Row]]&gt;0,INDEX(res_Name,Tasks[[#This Row],[_Res1Row]]),TRIM(LEFT(Tasks[[#This Row],[_Res1Text]],FIND("[",Tasks[[#This Row],[_Res1Text]]&amp;"[")-1))))</f>
        <v/>
      </c>
      <c r="DT1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4" s="43" t="n">
        <f aca="false">IF(NOT(Tasks[[#This Row],[_IsLeaf]]=1),0,(Tasks[[#This Row],[_Resource1]]&lt;&gt;"")+(Tasks[[#This Row],[_Res2]]&lt;&gt;"")+(Tasks[[#This Row],[_Res3]]&lt;&gt;"")+(Tasks[[#This Row],[_Res4]]&lt;&gt;""))</f>
        <v>0</v>
      </c>
      <c r="DV184" s="43" t="str">
        <f aca="false">IF(Tasks[[#This Row],[_Res2Text]]="","",IF(Tasks[[#This Row],[_Res2Row]]&gt;0,INDEX(res_Name,Tasks[[#This Row],[_Res2Row]]),TRIM(LEFT(Tasks[[#This Row],[_Res2Text]],FIND("[",Tasks[[#This Row],[_Res2Text]]&amp;"[")-1))))</f>
        <v/>
      </c>
      <c r="DW1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4" s="43" t="n">
        <f aca="false">IF(OR(NOT(Tasks[[#This Row],[_IsLeaf]]=1),Tasks[[#This Row],[_Res2Row]]=0),0,N(Tasks[[#This Row],[_Days]])*HoursPerDay*IF(Tasks[[#This Row],[_Res2Units]]="",DefaultUnits,Tasks[[#This Row],[_Res2Units]]))</f>
        <v>0</v>
      </c>
      <c r="DY184" s="43" t="n">
        <f aca="false">IF(AND(AND(Tasks[[#This Row],[_IsLeaf]]=1,Tasks[[#This Row],[_LeafTotalWork]]&gt;0),Tasks[[#This Row],[_Res2Work]]&gt;0),Tasks[[#This Row],[_Res2Work]]/(Tasks[[#This Row],[_FinishWorkday]]-Tasks[[#This Row],[_StartWorkday]]+1),0)</f>
        <v>0</v>
      </c>
      <c r="DZ184" s="43" t="n">
        <f aca="false">Tasks[[#This Row],[_Res2WorkPerWD]]*MAX(0,Tasks[[#This Row],[_StartWorkday]]-1)</f>
        <v>0</v>
      </c>
      <c r="EA184" s="43" t="n">
        <f aca="false">Tasks[[#This Row],[_Res2Work]]*Tasks[[#This Row],[_LeafProgress]]</f>
        <v>0</v>
      </c>
      <c r="EB184" s="43" t="str">
        <f aca="false">IF(Tasks[[#This Row],[_Res3Text]]="","",IF(Tasks[[#This Row],[_Res3Row]]&gt;0,INDEX(res_Name,Tasks[[#This Row],[_Res3Row]]),TRIM(LEFT(Tasks[[#This Row],[_Res3Text]],FIND("[",Tasks[[#This Row],[_Res3Text]]&amp;"[")-1))))</f>
        <v/>
      </c>
      <c r="EC1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4" s="43" t="n">
        <f aca="false">IF(OR(NOT(Tasks[[#This Row],[_IsLeaf]]=1),Tasks[[#This Row],[_Res3Row]]=0),0,N(Tasks[[#This Row],[_Days]])*HoursPerDay*IF(Tasks[[#This Row],[_Res3Units]]="",DefaultUnits,Tasks[[#This Row],[_Res3Units]]))</f>
        <v>0</v>
      </c>
      <c r="EE184" s="43" t="n">
        <f aca="false">IF(AND(AND(Tasks[[#This Row],[_IsLeaf]]=1,Tasks[[#This Row],[_LeafTotalWork]]&gt;0),Tasks[[#This Row],[_Res3Work]]&gt;0),Tasks[[#This Row],[_Res3Work]]/(Tasks[[#This Row],[_FinishWorkday]]-Tasks[[#This Row],[_StartWorkday]]+1),0)</f>
        <v>0</v>
      </c>
      <c r="EF184" s="43" t="n">
        <f aca="false">Tasks[[#This Row],[_Res3WorkPerWD]]*MAX(0,Tasks[[#This Row],[_StartWorkday]]-1)</f>
        <v>0</v>
      </c>
      <c r="EG184" s="43" t="n">
        <f aca="false">Tasks[[#This Row],[_Res3Work]]*Tasks[[#This Row],[_LeafProgress]]</f>
        <v>0</v>
      </c>
      <c r="EH184" s="43" t="str">
        <f aca="false">IF(Tasks[[#This Row],[_Res4Text]]="","",IF(Tasks[[#This Row],[_Res4Row]]&gt;0,INDEX(res_Name,Tasks[[#This Row],[_Res4Row]]),TRIM(LEFT(Tasks[[#This Row],[_Res4Text]],FIND("[",Tasks[[#This Row],[_Res4Text]]&amp;"[")-1))))</f>
        <v/>
      </c>
      <c r="EI1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4" s="43" t="n">
        <f aca="false">IF(OR(NOT(Tasks[[#This Row],[_IsLeaf]]=1),Tasks[[#This Row],[_Res4Row]]=0),0,N(Tasks[[#This Row],[_Days]])*HoursPerDay*IF(Tasks[[#This Row],[_Res4Units]]="",DefaultUnits,Tasks[[#This Row],[_Res4Units]]))</f>
        <v>0</v>
      </c>
      <c r="EK184" s="43" t="n">
        <f aca="false">IF(AND(AND(Tasks[[#This Row],[_IsLeaf]]=1,Tasks[[#This Row],[_LeafTotalWork]]&gt;0),Tasks[[#This Row],[_Res4Work]]&gt;0),Tasks[[#This Row],[_Res4Work]]/(Tasks[[#This Row],[_FinishWorkday]]-Tasks[[#This Row],[_StartWorkday]]+1),0)</f>
        <v>0</v>
      </c>
      <c r="EL184" s="43" t="n">
        <f aca="false">Tasks[[#This Row],[_Res4WorkPerWD]]*MAX(0,Tasks[[#This Row],[_StartWorkday]]-1)</f>
        <v>0</v>
      </c>
      <c r="EM184" s="43" t="n">
        <f aca="false">Tasks[[#This Row],[_Res4Work]]*Tasks[[#This Row],[_LeafProgress]]</f>
        <v>0</v>
      </c>
      <c r="EN184" s="43" t="n">
        <f aca="false">IF(ISNUMBER(Tasks[[#This Row],[% Complete]]),Tasks[[#This Row],[% Complete]],IF(Tasks[[#This Row],[Stage]]="",0,IFERROR(INDEX(stg_Pct,MATCH(Tasks[[#This Row],[Stage]],stg_Name,0)),0)))</f>
        <v>0</v>
      </c>
      <c r="EO184" s="43" t="n">
        <f aca="false">IF(NOT(Tasks[[#This Row],[_IsLeaf]]=1),0,IF(N(Tasks[[#This Row],[Actual Finish]])&gt;0,1,MIN(1,Tasks[[#This Row],[_Pct]])))</f>
        <v>0</v>
      </c>
      <c r="EP184" s="43" t="n">
        <f aca="false">IF(OR(NOT(Tasks[[#This Row],[_IsLeaf]]=1),Tasks[[#This Row],[_Res1Row]]=0),0,N(Tasks[[#This Row],[_Days]])*HoursPerDay*IF(Tasks[[#This Row],[_Units1]]="",DefaultUnits,Tasks[[#This Row],[_Units1]]))</f>
        <v>0</v>
      </c>
      <c r="EQ184" s="43" t="n">
        <f aca="false">Tasks[[#This Row],[_LeafWork]]+Tasks[[#This Row],[_Res2Work]]+Tasks[[#This Row],[_Res3Work]]+Tasks[[#This Row],[_Res4Work]]</f>
        <v>0</v>
      </c>
      <c r="ER18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4" s="43" t="n">
        <f aca="false">IF(NOT(Tasks[[#This Row],[_IsLeaf]]=1),0,MAX(_xlfn.MAXIFS(Tasks[_Row],Tasks[_Pred1UID],Tasks[[#This Row],[UID]]),_xlfn.MAXIFS(Tasks[_Row],Tasks[_Pred2UID],Tasks[[#This Row],[UID]]),_xlfn.MAXIFS(Tasks[_Row],Tasks[_Pred3UID],Tasks[[#This Row],[UID]]),_xlfn.MAXIFS(Tasks[_Row],Tasks[_Pred4UID],Tasks[[#This Row],[UID]])))</f>
        <v>0</v>
      </c>
      <c r="FA1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4" s="91" t="str">
        <f aca="false">IF(NOT(Tasks[[#This Row],[_IsLeaf]]=1),"",IF(N(Tasks[[#This Row],[_Days]])&lt;=0,Tasks[[#This Row],[_LeafLateFinish]],WORKDAY.INTL(Tasks[[#This Row],[_LeafLateFinish]],-(Tasks[[#This Row],[_Days]]-1),WorkWeek,Holidays)))</f>
        <v/>
      </c>
      <c r="FD1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4" s="90" t="b">
        <f aca="false">AND(Tasks[[#This Row],[_IsLeaf]]=1,Tasks[[#This Row],[_LeafProgress]]&lt;1,N(Tasks[[#This Row],[_LeafTotalSlack]])&lt;=CriticalSlackDays)</f>
        <v>0</v>
      </c>
      <c r="FF184" s="43" t="n">
        <f aca="false">IF(AND(Tasks[[#This Row],[_IsLeaf]]=1,Tasks[[#This Row],[_ConstraintCode]]=1,Tasks[[#This Row],[Mode]]&lt;&gt;"Manual",N(Tasks[[#This Row],[Actual Start]])=0),MAX(0,N(Tasks[[#This Row],[Free Slack]])),0)</f>
        <v>0</v>
      </c>
      <c r="FG184" s="91" t="str">
        <f aca="false">IF(NOT(Tasks[[#This Row],[_IsLeaf]]=1),"",IF(Tasks[[#This Row],[_AlapShift]]=0,Tasks[[#This Row],[_LeafCalcStart]],WORKDAY.INTL(Tasks[[#This Row],[_LeafCalcStart]],Tasks[[#This Row],[_AlapShift]],WorkWeek,Holidays)))</f>
        <v/>
      </c>
      <c r="FH184" s="91" t="str">
        <f aca="false">IF(NOT(Tasks[[#This Row],[_IsLeaf]]=1),"",IF(Tasks[[#This Row],[_AlapShift]]=0,Tasks[[#This Row],[_LeafCalcFinish]],WORKDAY.INTL(Tasks[[#This Row],[_LeafCalcFinish]],Tasks[[#This Row],[_AlapShift]],WorkWeek,Holidays)))</f>
        <v/>
      </c>
      <c r="FI184" s="91" t="str">
        <f aca="false">IF(NOT(Tasks[[#This Row],[_IsLeaf]]=1),"",IF(Tasks[[#This Row],[_AlapShift]]=0,Tasks[[#This Row],[_LeafFcstStart]],WORKDAY.INTL(Tasks[[#This Row],[_LeafFcstStart]],Tasks[[#This Row],[_AlapShift]],WorkWeek,Holidays)))</f>
        <v/>
      </c>
      <c r="FJ184" s="91" t="str">
        <f aca="false">IF(NOT(Tasks[[#This Row],[_IsLeaf]]=1),"",IF(Tasks[[#This Row],[_AlapShift]]=0,Tasks[[#This Row],[_LeafFcstFinish]],WORKDAY.INTL(Tasks[[#This Row],[_LeafFcstFinish]],Tasks[[#This Row],[_AlapShift]],WorkWeek,Holidays)))</f>
        <v/>
      </c>
      <c r="FK184" s="91" t="str">
        <f aca="false">IF(Tasks[[#This Row],[Task Name]]="","",IF(Tasks[[#This Row],[_IsSummary]],MIN(INDEX(Tasks[_ShownCalcStart],Tasks[[#This Row],[_Row]]+1):INDEX(Tasks[_ShownCalcStart],Tasks[[#This Row],[_Row]]+Tasks[[#This Row],[_Descendants]])),Tasks[[#This Row],[_ShownCalcStart]]))</f>
        <v/>
      </c>
      <c r="FL184" s="91" t="str">
        <f aca="false">IF(Tasks[[#This Row],[Task Name]]="","",IF(Tasks[[#This Row],[_IsSummary]],MAX(INDEX(Tasks[_ShownCalcFinish],Tasks[[#This Row],[_Row]]+1):INDEX(Tasks[_ShownCalcFinish],Tasks[[#This Row],[_Row]]+Tasks[[#This Row],[_Descendants]])),Tasks[[#This Row],[_ShownCalcFinish]]))</f>
        <v/>
      </c>
      <c r="FM1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4" s="43" t="n">
        <f aca="false">IF(AND(Tasks[[#This Row],[_IsLeaf]]=1,Tasks[[#This Row],[_LeafTotalWork]]&gt;0),NETWORKDAYS.INTL(ProjectStart,Tasks[[#This Row],[_ShownFcstStart]],WorkWeek,Holidays),0)</f>
        <v>0</v>
      </c>
      <c r="FZ184" s="43" t="n">
        <f aca="false">IF(AND(Tasks[[#This Row],[_IsLeaf]]=1,Tasks[[#This Row],[_LeafTotalWork]]&gt;0),MAX(Tasks[[#This Row],[_StartWorkday]],NETWORKDAYS.INTL(ProjectStart,Tasks[[#This Row],[_ShownFcstFinish]],WorkWeek,Holidays)),0)</f>
        <v>0</v>
      </c>
      <c r="GA184" s="43" t="n">
        <f aca="false">IF(AND(Tasks[[#This Row],[_IsLeaf]]=1,Tasks[[#This Row],[_LeafTotalWork]]&gt;0),Tasks[[#This Row],[_LeafWork]]/(Tasks[[#This Row],[_FinishWorkday]]-Tasks[[#This Row],[_StartWorkday]]+1),0)</f>
        <v>0</v>
      </c>
      <c r="GB184" s="43" t="n">
        <f aca="false">Tasks[[#This Row],[_WorkPerWorkday]]*(Tasks[[#This Row],[_StartWorkday]]-1)</f>
        <v>-0</v>
      </c>
      <c r="GC184" s="43" t="n">
        <f aca="false">IF(Tasks[[#This Row],[_IsLeaf]]=1,MAX(N(Tasks[[#This Row],[_Days]]),0.1),0)</f>
        <v>0</v>
      </c>
      <c r="GD184" s="43" t="n">
        <f aca="false">Tasks[[#This Row],[_WeightDur]]*Tasks[[#This Row],[_LeafProgress]]</f>
        <v>0</v>
      </c>
      <c r="GE184" s="43" t="n">
        <f aca="false">Tasks[[#This Row],[_WeightDur]]*Tasks[[#This Row],[_PlannedPct]]</f>
        <v>0</v>
      </c>
      <c r="GF1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4" s="43" t="str">
        <f aca="false">IF(AND(Tasks[[#This Row],[_IsLeaf]]=1,N(Tasks[[#This Row],[_Days]])=0,Tasks[[#This Row],[_LeafProgress]]&lt;1),Tasks[[#This Row],[_ShownFcstFinish]]+Tasks[[#This Row],[_Row]]/100000,"")</f>
        <v/>
      </c>
      <c r="GH1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4" s="43" t="str">
        <f aca="false">IF(Tasks[[#This Row],[Task Name]]="","",LEFT(Tasks[[#This Row],[WBS]],FIND(".",Tasks[[#This Row],[WBS]]&amp;".")-1))</f>
        <v/>
      </c>
      <c r="GJ184" s="43" t="str">
        <f aca="false">IF(AND(Tasks[[#This Row],[Task Name]]&lt;&gt;"",Tasks[[#This Row],[_Level]]=1),Tasks[[#This Row],[_Row]],"")</f>
        <v/>
      </c>
      <c r="GK184" s="43" t="str">
        <f aca="false">IF(AND(Tasks[[#This Row],[_IsLeaf]]=1,N(Tasks[[#This Row],[_Days]])=0),Tasks[[#This Row],[Planned Finish]]+Tasks[[#This Row],[_Row]]/100000,"")</f>
        <v/>
      </c>
      <c r="GL184" s="43" t="str">
        <f aca="false">IF(AND(Tasks[[#This Row],[_IsLeaf]]=1,Tasks[[#This Row],[_LeafProgress]]&lt;1,OR(N(Tasks[[#This Row],[Finish Var]])&gt;0,Tasks[[#This Row],[Status]]="Late Start")),MAX(0,Tasks[[#This Row],[Finish Var]])+1-Tasks[[#This Row],[_Row]]/1000000,"")</f>
        <v/>
      </c>
      <c r="GM184" s="43" t="str">
        <f aca="false">IF(AND(Tasks[[#This Row],[_IsLeaf]]=1,N(Tasks[[#This Row],[Actual Start]])=0,Tasks[[#This Row],[_ShownFcstStart]]&gt;=StatusDate,Tasks[[#This Row],[_ShownFcstStart]]&lt;=LookaheadEnd),Tasks[[#This Row],[_ShownFcstStart]]+Tasks[[#This Row],[_Row]]/100000,"")</f>
        <v/>
      </c>
      <c r="GN184" s="43" t="str">
        <f aca="false">IF(AND(Tasks[[#This Row],[_IsLeaf]]=1,Tasks[[#This Row],[_LeafProgress]]&lt;1,Tasks[[#This Row],[_ShownFcstFinish]]&gt;=StatusDate,Tasks[[#This Row],[_ShownFcstFinish]]&lt;=LookaheadEnd),Tasks[[#This Row],[_ShownFcstFinish]]+Tasks[[#This Row],[_Row]]/100000,"")</f>
        <v/>
      </c>
      <c r="GO184" s="43" t="str">
        <f aca="false">IF(Tasks[[#This Row],[_LeafCritical]],Tasks[[#This Row],[_ShownFcstStart]]+Tasks[[#This Row],[_Row]]/100000,"")</f>
        <v/>
      </c>
      <c r="GP184" s="43" t="n">
        <f aca="false">Tasks[[#This Row],[_LeafWork]]*Tasks[[#This Row],[_LeafProgress]]</f>
        <v>0</v>
      </c>
      <c r="GQ184" s="91" t="str">
        <f aca="false">IF(AND(Tasks[[#This Row],[_IsLeaf]]=1,Tasks[[#This Row],[_LeafProgress]]&gt;=1),IF(N(Tasks[[#This Row],[Actual Finish]])&gt;0,Tasks[[#This Row],[Actual Finish]],Tasks[[#This Row],[_ShownFcstFinish]]),"")</f>
        <v/>
      </c>
      <c r="GR184" s="43" t="n">
        <f aca="false">IF(Tasks[[#This Row],[_IsLeaf]]=1,N(Tasks[[#This Row],[Story Points]]),0)</f>
        <v>0</v>
      </c>
      <c r="GS184" s="43" t="str">
        <f aca="false">""</f>
        <v/>
      </c>
      <c r="GT184" s="90" t="b">
        <f aca="false">IF(Tasks[[#This Row],[Task Name]]="",FALSE(),AND(Tasks[[#This Row],[_IsLeaf]]=1,N(Tasks[[#This Row],[_Days]])=0))</f>
        <v>0</v>
      </c>
      <c r="GU184" s="91" t="n">
        <f aca="false">IF(Tasks[[#This Row],[Task Name]]="",0,IF(AND(Tasks[[#This Row],[_IsLeaf]]=1,NOT(Tasks[[#This Row],[_IsMilestone]]),N(Tasks[[#This Row],[Progress]])&gt;0),Tasks[[#This Row],[Start]],0))</f>
        <v>0</v>
      </c>
      <c r="GV184" s="91" t="n">
        <f aca="false">IF(Tasks[[#This Row],[_DoneFrom]]=0,0,IF(Tasks[[#This Row],[Progress]]&gt;=1,Tasks[[#This Row],[Finish]],MAX(Tasks[[#This Row],[_DoneFrom]],Tasks[[#This Row],[Start]]+ROUND((Tasks[[#This Row],[Finish]]-Tasks[[#This Row],[Start]]+1)*Tasks[[#This Row],[Progress]],0)-1)))</f>
        <v>0</v>
      </c>
      <c r="GW184" s="91" t="n">
        <f aca="false">IF(Tasks[[#This Row],[Task Name]]="",0,IF(OR(NOT(Tasks[[#This Row],[_IsLeaf]]=1),Tasks[[#This Row],[_IsMilestone]],N(Tasks[[#This Row],[Progress]])&gt;=1),0,IF(Tasks[[#This Row],[_DoneTo]]&gt;0,Tasks[[#This Row],[_DoneTo]]+1,Tasks[[#This Row],[Start]])))</f>
        <v>0</v>
      </c>
      <c r="GX184" s="91" t="n">
        <f aca="false">IF(Tasks[[#This Row],[_RemFrom]]=0,0,Tasks[[#This Row],[Finish]])</f>
        <v>0</v>
      </c>
      <c r="GY184" s="90" t="b">
        <f aca="false">IF(Tasks[[#This Row],[Task Name]]="",FALSE(),OR(NOT(BaselineSet),N(Tasks[[#This Row],[Baseline Start]])&gt;0))</f>
        <v>0</v>
      </c>
      <c r="GZ18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4" s="92" t="str">
        <f aca="false">IF(Tasks[[#This Row],[_IsLeaf]]=1,Tasks[[#This Row],[_Row]],"")</f>
        <v/>
      </c>
      <c r="HD184" s="92" t="str">
        <f aca="false">IFERROR(INDEX(Tasks[UID],SMALL(Tasks[_PickKey],Tasks[[#This Row],[_Row]]))&amp;" "&amp;INDEX(Tasks[Task Name],SMALL(Tasks[_PickKey],Tasks[[#This Row],[_Row]])),"")</f>
        <v/>
      </c>
      <c r="HE184" s="43" t="str">
        <f aca="false">IF(Tasks[[#This Row],[Task Name]]="","",IF(Tasks[[#This Row],[_IsSummary]],NETWORKDAYS.INTL(Tasks[[#This Row],[Start]],Tasks[[#This Row],[Finish]],WorkWeek,Holidays),N(Tasks[[#This Row],[_Days]])))</f>
        <v/>
      </c>
      <c r="HF184" s="43" t="n">
        <f aca="false">IF(Tasks[[#This Row],[Expected]]="",0,((Tasks[[#This Row],[Pessimistic]]-Tasks[[#This Row],[Optimistic]])/6)^2)</f>
        <v>0</v>
      </c>
      <c r="HG184" s="43" t="n">
        <f aca="false">IF(Tasks[[#This Row],[Expected]]="",0,Tasks[[#This Row],[Expected]]-N(Tasks[[#This Row],[_Days]]))</f>
        <v>0</v>
      </c>
    </row>
    <row r="185" customFormat="false" ht="15" hidden="false" customHeight="false" outlineLevel="0" collapsed="false">
      <c r="A185" s="21" t="str">
        <f aca="false">IF(Tasks[[#This Row],[Task Name]]="","",COUNTA(Tasks[[#Headers],[Task Name]]:Tasks[[#This Row],[Task Name]])-1)</f>
        <v/>
      </c>
      <c r="B185" s="22" t="n">
        <v>193</v>
      </c>
      <c r="C185" s="22"/>
      <c r="D185" s="23"/>
      <c r="E185" s="22"/>
      <c r="F185" s="23"/>
      <c r="G185" s="22"/>
      <c r="H185" s="22"/>
      <c r="I185" s="23"/>
      <c r="J185" s="22"/>
      <c r="K185" s="22"/>
      <c r="L185" s="23"/>
      <c r="M185" s="22"/>
      <c r="N185" s="22"/>
      <c r="O185" s="23"/>
      <c r="P185" s="22"/>
      <c r="Q185" s="22"/>
      <c r="R185" s="23"/>
      <c r="S185" s="23"/>
      <c r="T185" s="84"/>
      <c r="U185" s="23"/>
      <c r="V185" s="84"/>
      <c r="W185" s="23"/>
      <c r="X185" s="84"/>
      <c r="Y185" s="23"/>
      <c r="Z185" s="84"/>
      <c r="AA185" s="23"/>
      <c r="AB185" s="23"/>
      <c r="AC185" s="7"/>
      <c r="AD185" s="7"/>
      <c r="AE185" s="63" t="str">
        <f aca="false">IF(Tasks[[#This Row],[Task Name]]="","",IF(Tasks[[#This Row],[_IsSummary]],MIN(INDEX(Tasks[_ShownFcstStart],Tasks[[#This Row],[_Row]]+1):INDEX(Tasks[_ShownFcstStart],Tasks[[#This Row],[_Row]]+Tasks[[#This Row],[_Descendants]])),Tasks[[#This Row],[_ShownFcstStart]]))</f>
        <v/>
      </c>
      <c r="AF185" s="63" t="str">
        <f aca="false">IF(Tasks[[#This Row],[Task Name]]="","",IF(Tasks[[#This Row],[_IsSummary]],MAX(INDEX(Tasks[_ShownFcstFinish],Tasks[[#This Row],[_Row]]+1):INDEX(Tasks[_ShownFcstFinish],Tasks[[#This Row],[_Row]]+Tasks[[#This Row],[_Descendants]])),Tasks[[#This Row],[_ShownFcstFinish]]))</f>
        <v/>
      </c>
      <c r="AG185" s="21" t="str">
        <f aca="false">""</f>
        <v/>
      </c>
      <c r="AH185" s="23"/>
      <c r="AI1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5" s="7"/>
      <c r="AK185" s="22"/>
      <c r="AL185" s="23"/>
      <c r="AM185" s="7"/>
      <c r="AN185" s="47" t="str">
        <f aca="false">IF(Tasks[[#This Row],[Task Name]]="","",IF(Tasks[[#This Row],[Finish]]&gt;=Tasks[[#This Row],[Planned Finish]],NETWORKDAYS.INTL(Tasks[[#This Row],[Planned Finish]],Tasks[[#This Row],[Finish]],WorkWeek,Holidays)-1,1-NETWORKDAYS.INTL(Tasks[[#This Row],[Finish]],Tasks[[#This Row],[Planned Finish]],WorkWeek,Holidays)))</f>
        <v/>
      </c>
      <c r="AO185" s="21" t="str">
        <f aca="false">IF(Tasks[[#This Row],[Task Name]]="","",IF(Tasks[[#This Row],[Progress]]&gt;=1,"Complete",IF(OR(N(Tasks[[#This Row],[Actual Start]])&gt;0,Tasks[[#This Row],[Progress]]&gt;0),IF(Tasks[[#This Row],[Finish Var]]&gt;0,"Behind","In Progress"),IF(Tasks[[#This Row],[Planned Start]]&lt;StatusDate,"Late Start","Not Started"))))</f>
        <v/>
      </c>
      <c r="AP185" s="21" t="str">
        <f aca="false">IF(Tasks[[#This Row],[Task Name]]="","",IF(IF(Tasks[[#This Row],[_IsSummary]],COUNTIF(INDEX(Tasks[_LeafCritical],Tasks[[#This Row],[_Row]]+1):INDEX(Tasks[_LeafCritical],Tasks[[#This Row],[_Row]]+Tasks[[#This Row],[_Descendants]]),TRUE())&gt;0,Tasks[[#This Row],[_LeafCritical]]),"Yes",""))</f>
        <v/>
      </c>
      <c r="AQ185" s="63" t="str">
        <f aca="false">IF(Tasks[[#This Row],[Task Name]]="","",IF(N(Tasks[[#This Row],[Baseline Start]])&gt;0,Tasks[[#This Row],[Baseline Start]],Tasks[[#This Row],[_CalcStart]]))</f>
        <v/>
      </c>
      <c r="AR185" s="63" t="str">
        <f aca="false">IF(Tasks[[#This Row],[Task Name]]="","",IF(N(Tasks[[#This Row],[Baseline Finish]])&gt;0,Tasks[[#This Row],[Baseline Finish]],Tasks[[#This Row],[_CalcFinish]]))</f>
        <v/>
      </c>
      <c r="AS185" s="47" t="str">
        <f aca="false">IF(Tasks[[#This Row],[Task Name]]="","",IF(Tasks[[#This Row],[Start]]&gt;=Tasks[[#This Row],[Planned Start]],NETWORKDAYS.INTL(Tasks[[#This Row],[Planned Start]],Tasks[[#This Row],[Start]],WorkWeek,Holidays)-1,1-NETWORKDAYS.INTL(Tasks[[#This Row],[Start]],Tasks[[#This Row],[Planned Start]],WorkWeek,Holidays)))</f>
        <v/>
      </c>
      <c r="AT185" s="63" t="str">
        <f aca="false">IF(Tasks[[#This Row],[Task Name]]="","",IF(Tasks[[#This Row],[_IsSummary]],MIN(INDEX(Tasks[_LeafLateStart],Tasks[[#This Row],[_Row]]+1):INDEX(Tasks[_LeafLateStart],Tasks[[#This Row],[_Row]]+Tasks[[#This Row],[_Descendants]])),Tasks[[#This Row],[_LeafLateStart]]))</f>
        <v/>
      </c>
      <c r="AU185" s="63" t="str">
        <f aca="false">IF(Tasks[[#This Row],[Task Name]]="","",IF(Tasks[[#This Row],[_IsSummary]],MAX(INDEX(Tasks[_LeafLateFinish],Tasks[[#This Row],[_Row]]+1):INDEX(Tasks[_LeafLateFinish],Tasks[[#This Row],[_Row]]+Tasks[[#This Row],[_Descendants]])),Tasks[[#This Row],[_LeafLateFinish]]))</f>
        <v/>
      </c>
      <c r="AV185" s="47" t="str">
        <f aca="false">IF(Tasks[[#This Row],[Task Name]]="","",IF(Tasks[[#This Row],[_IsSummary]],MIN(INDEX(Tasks[_LeafTotalSlack],Tasks[[#This Row],[_Row]]+1):INDEX(Tasks[_LeafTotalSlack],Tasks[[#This Row],[_Row]]+Tasks[[#This Row],[_Descendants]])),Tasks[[#This Row],[_LeafTotalSlack]]))</f>
        <v/>
      </c>
      <c r="AW1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5"/>
      <c r="BA18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t="str">
        <f aca="false">IF(Tasks[[#This Row],[Task Name]]="","",IF(Tasks[[#This Row],[_Level]]&lt;=OutlineShowLevel,"Yes","No"))</f>
        <v/>
      </c>
      <c r="BE185" s="86" t="str">
        <f aca="false">IF(Tasks[[#This Row],[Task Name]]="","",IF(Tasks[[#This Row],[_IsSummary]],SUM(INDEX(Tasks[_LeafTotalWork],Tasks[[#This Row],[_Row]]+1):INDEX(Tasks[_LeafTotalWork],Tasks[[#This Row],[_Row]]+Tasks[[#This Row],[_Descendants]])),Tasks[[#This Row],[_LeafTotalWork]]))</f>
        <v/>
      </c>
      <c r="BF185" s="23"/>
      <c r="BG1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t="str">
        <f aca="false">""</f>
        <v/>
      </c>
      <c r="BI185" s="87"/>
      <c r="BJ185" s="22"/>
      <c r="BK185" s="47" t="str">
        <f aca="false">IF(OR(Tasks[[#This Row],[Task Name]]="",Tasks[[#This Row],[Baseline Duration]]=""),"",Tasks[[#This Row],[_SpanDays]]-N(Tasks[[#This Row],[Baseline Duration]]))</f>
        <v/>
      </c>
      <c r="BL185" s="86" t="str">
        <f aca="false">IF(OR(Tasks[[#This Row],[Task Name]]="",Tasks[[#This Row],[Baseline Work]]=""),"",Tasks[[#This Row],[Work]]-N(Tasks[[#This Row],[Baseline Work]]))</f>
        <v/>
      </c>
      <c r="BM185" s="63" t="str">
        <f aca="false">IF(Tasks[[#This Row],[Task Name]]="","",IF(OR(TakeBaseline="Yes",N(Tasks[[#This Row],[Baseline Start]])=0),Tasks[[#This Row],[Start]],Tasks[[#This Row],[Baseline Start]]))</f>
        <v/>
      </c>
      <c r="BN185" s="63" t="str">
        <f aca="false">IF(Tasks[[#This Row],[Task Name]]="","",IF(OR(TakeBaseline="Yes",N(Tasks[[#This Row],[Baseline Finish]])=0),Tasks[[#This Row],[Finish]],Tasks[[#This Row],[Baseline Finish]]))</f>
        <v/>
      </c>
      <c r="BO185" s="21" t="str">
        <f aca="false">IF(Tasks[[#This Row],[Task Name]]="","",IF(OR(TakeBaseline="Yes",N(Tasks[[#This Row],[Baseline Duration]])=0),Tasks[[#This Row],[_SpanDays]],Tasks[[#This Row],[Baseline Duration]]))</f>
        <v/>
      </c>
      <c r="BP185" s="86" t="str">
        <f aca="false">IF(Tasks[[#This Row],[Task Name]]="","",IF(OR(TakeBaseline="Yes",N(Tasks[[#This Row],[Baseline Work]])=0),Tasks[[#This Row],[Work]],Tasks[[#This Row],[Baseline Work]]))</f>
        <v/>
      </c>
      <c r="BQ185" s="7"/>
      <c r="BR185" s="7"/>
      <c r="BS185" s="22"/>
      <c r="BT185" s="88"/>
      <c r="BU185" s="23"/>
      <c r="BV185" s="23"/>
      <c r="BW185" s="23"/>
      <c r="BX185" s="89" t="str">
        <f aca="false">IF(AND(Tasks[[#This Row],[_IsLeaf]]=1,ISNUMBER(Tasks[[#This Row],[Optimistic]]),ISNUMBER(Tasks[[#This Row],[Pessimistic]])),ROUND((Tasks[[#This Row],[Optimistic]]+4*N(Tasks[[#This Row],[_Days]])+Tasks[[#This Row],[Pessimistic]])/6,1),"")</f>
        <v/>
      </c>
      <c r="BY185" s="87"/>
      <c r="BZ185" s="87"/>
      <c r="CA185" s="22"/>
      <c r="CB185" s="43" t="str">
        <f aca="false">IF(Tasks[[#This Row],[Task Name]]="","",MAX(1,N(Tasks[[#This Row],[Level]])))</f>
        <v/>
      </c>
      <c r="CC185" s="43" t="n">
        <f aca="false">ROW()-ROW(Tasks[[#Headers],[ID]])</f>
        <v>180</v>
      </c>
      <c r="CD185" s="43" t="n">
        <f aca="false">IF(OR(Tasks[[#This Row],[Task Name]]="",Tasks[[#This Row],[_Level]]&lt;=1),0,IFERROR(LOOKUP(2,1/(Tasks[[#Headers],[_Level]]:Tasks[[#This Row],[_Level]]=Tasks[[#This Row],[_Level]]-1),ROW(Tasks[[#Headers],[_Level]]:Tasks[[#This Row],[_Level]])),0))</f>
        <v>0</v>
      </c>
      <c r="CE185" s="43" t="n">
        <f aca="false">IFERROR(N(INDEX(Tasks[_Level],Tasks[[#This Row],[_Row]]+1)),0)</f>
        <v>0</v>
      </c>
      <c r="CF185" s="90" t="b">
        <f aca="false">AND(Tasks[[#This Row],[Task Name]]&lt;&gt;"",Tasks[[#This Row],[_NextLevel]]&gt;Tasks[[#This Row],[_Level]])</f>
        <v>0</v>
      </c>
      <c r="CG185" s="43" t="n">
        <f aca="false">IF(Tasks[[#This Row],[_IsSummary]],COUNTIF(Tasks[WBS],Tasks[[#This Row],[WBS]]&amp;".*"),0)</f>
        <v>0</v>
      </c>
      <c r="CH185" s="43" t="n">
        <f aca="false">IF(AND(Tasks[[#This Row],[Task Name]]&lt;&gt;"",NOT(Tasks[[#This Row],[_IsSummary]])),1,0)</f>
        <v>0</v>
      </c>
      <c r="CI185" s="43" t="n">
        <f aca="false">IF(N(Tasks[[#This Row],[_Pred1UID]])=0,0,IFERROR(MATCH(Tasks[[#This Row],[_Pred1UID]],Tasks[UID],0),-1))</f>
        <v>0</v>
      </c>
      <c r="CJ185" s="43" t="n">
        <f aca="false">IF(N(Tasks[[#This Row],[_Pred2UID]])=0,0,IFERROR(MATCH(Tasks[[#This Row],[_Pred2UID]],Tasks[UID],0),-1))</f>
        <v>0</v>
      </c>
      <c r="CK185" s="43" t="n">
        <f aca="false">IF(N(Tasks[[#This Row],[_Pred3UID]])=0,0,IFERROR(MATCH(Tasks[[#This Row],[_Pred3UID]],Tasks[UID],0),-1))</f>
        <v>0</v>
      </c>
      <c r="CL185" s="43" t="n">
        <f aca="false">IF(N(Tasks[[#This Row],[_Pred4UID]])=0,0,IFERROR(MATCH(Tasks[[#This Row],[_Pred4UID]],Tasks[UID],0),-1))</f>
        <v>0</v>
      </c>
      <c r="CM1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5" s="91" t="n">
        <f aca="false">IF(OR(Tasks[[#This Row],[_ConstraintCode]]=2,Tasks[[#This Row],[_ConstraintCode]]=3,Tasks[[#This Row],[_ConstraintCode]]=4,Tasks[[#This Row],[_ConstraintCode]]=6),Tasks[[#This Row],[_ConstraintStart]],0)</f>
        <v>0</v>
      </c>
      <c r="CP185" s="91" t="n">
        <f aca="false">IF(OR(Tasks[[#This Row],[_ConstraintCode]]=2,Tasks[[#This Row],[_ConstraintCode]]=3,Tasks[[#This Row],[_ConstraintCode]]=5,Tasks[[#This Row],[_ConstraintCode]]=7),Tasks[[#This Row],[_ConstraintStart]],2958465)</f>
        <v>2958465</v>
      </c>
      <c r="CQ1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5" s="91" t="str">
        <f aca="false">IF(NOT(Tasks[[#This Row],[_IsLeaf]]=1),"",IF(N(Tasks[[#This Row],[_Days]])&lt;=0,Tasks[[#This Row],[_LeafCalcStart]],WORKDAY.INTL(Tasks[[#This Row],[_LeafCalcStart]],Tasks[[#This Row],[_Days]]-1,WorkWeek,Holidays)))</f>
        <v/>
      </c>
      <c r="CS1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5" s="43" t="str">
        <f aca="false">IF(Tasks[[#This Row],[_Predecessors]]="","",TRIM(MID(SUBSTITUTE(SUBSTITUTE(SUBSTITUTE(UPPER(Tasks[[#This Row],[_Predecessors]]),";",",")," ",""),",",REPT(" ",99)),1,99)))</f>
        <v/>
      </c>
      <c r="CV185" s="43" t="str">
        <f aca="false">IF(Tasks[[#This Row],[_Pred1Text]]="","",IFERROR(VALUE(LEFT(Tasks[[#This Row],[_Pred1Text]],MIN(FIND("F",Tasks[[#This Row],[_Pred1Text]]&amp;"F"),FIND("S",Tasks[[#This Row],[_Pred1Text]]&amp;"S"),FIND("+",Tasks[[#This Row],[_Pred1Text]]&amp;"+"),FIND("-",Tasks[[#This Row],[_Pred1Text]]&amp;"-"))-1)),""))</f>
        <v/>
      </c>
      <c r="CW1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5" s="43" t="str">
        <f aca="false">IF(Tasks[[#This Row],[_Pred1Text]]="","",TRIM(MID(SUBSTITUTE(SUBSTITUTE(SUBSTITUTE(UPPER(Tasks[[#This Row],[_Predecessors]]),";",",")," ",""),",",REPT(" ",99)),100,99)))</f>
        <v/>
      </c>
      <c r="CZ185" s="43" t="str">
        <f aca="false">IF(Tasks[[#This Row],[_Pred2Text]]="","",IFERROR(VALUE(LEFT(Tasks[[#This Row],[_Pred2Text]],MIN(FIND("F",Tasks[[#This Row],[_Pred2Text]]&amp;"F"),FIND("S",Tasks[[#This Row],[_Pred2Text]]&amp;"S"),FIND("+",Tasks[[#This Row],[_Pred2Text]]&amp;"+"),FIND("-",Tasks[[#This Row],[_Pred2Text]]&amp;"-"))-1)),""))</f>
        <v/>
      </c>
      <c r="DA1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5" s="43" t="str">
        <f aca="false">IF(Tasks[[#This Row],[_Pred2Text]]="","",TRIM(MID(SUBSTITUTE(SUBSTITUTE(SUBSTITUTE(UPPER(Tasks[[#This Row],[_Predecessors]]),";",",")," ",""),",",REPT(" ",99)),199,99)))</f>
        <v/>
      </c>
      <c r="DD185" s="43" t="str">
        <f aca="false">IF(Tasks[[#This Row],[_Pred3Text]]="","",IFERROR(VALUE(LEFT(Tasks[[#This Row],[_Pred3Text]],MIN(FIND("F",Tasks[[#This Row],[_Pred3Text]]&amp;"F"),FIND("S",Tasks[[#This Row],[_Pred3Text]]&amp;"S"),FIND("+",Tasks[[#This Row],[_Pred3Text]]&amp;"+"),FIND("-",Tasks[[#This Row],[_Pred3Text]]&amp;"-"))-1)),""))</f>
        <v/>
      </c>
      <c r="DE1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5" s="43" t="str">
        <f aca="false">IF(Tasks[[#This Row],[_Pred3Text]]="","",TRIM(MID(SUBSTITUTE(SUBSTITUTE(SUBSTITUTE(UPPER(Tasks[[#This Row],[_Predecessors]]),";",",")," ",""),",",REPT(" ",99)),298,99)))</f>
        <v/>
      </c>
      <c r="DH185" s="43" t="str">
        <f aca="false">IF(Tasks[[#This Row],[_Pred4Text]]="","",IFERROR(VALUE(LEFT(Tasks[[#This Row],[_Pred4Text]],MIN(FIND("F",Tasks[[#This Row],[_Pred4Text]]&amp;"F"),FIND("S",Tasks[[#This Row],[_Pred4Text]]&amp;"S"),FIND("+",Tasks[[#This Row],[_Pred4Text]]&amp;"+"),FIND("-",Tasks[[#This Row],[_Pred4Text]]&amp;"-"))-1)),""))</f>
        <v/>
      </c>
      <c r="DI1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5" s="43" t="str">
        <f aca="false">IF(OR(Tasks[[#This Row],[Task Name]]="",Tasks[[#This Row],[_Resources]]=""),"",TRIM(MID(SUBSTITUTE(Tasks[[#This Row],[_Resources]],",",REPT(" ",99)),1,99)))</f>
        <v/>
      </c>
      <c r="DL185" s="43" t="str">
        <f aca="false">IF(Tasks[[#This Row],[_Res1Text]]="","",TRIM(MID(SUBSTITUTE(Tasks[[#This Row],[_Resources]],",",REPT(" ",99)),100,99)))</f>
        <v/>
      </c>
      <c r="DM185" s="43" t="str">
        <f aca="false">IF(Tasks[[#This Row],[_Res2Text]]="","",TRIM(MID(SUBSTITUTE(Tasks[[#This Row],[_Resources]],",",REPT(" ",99)),199,99)))</f>
        <v/>
      </c>
      <c r="DN185" s="43" t="str">
        <f aca="false">IF(Tasks[[#This Row],[_Res3Text]]="","",TRIM(MID(SUBSTITUTE(Tasks[[#This Row],[_Resources]],",",REPT(" ",99)),298,99)))</f>
        <v/>
      </c>
      <c r="DO185" s="43" t="n">
        <f aca="false">IF(Tasks[[#This Row],[_Res1Text]]="",0,IFERROR(MATCH(TRIM(LEFT(Tasks[[#This Row],[_Res1Text]],FIND("[",Tasks[[#This Row],[_Res1Text]]&amp;"[")-1)),res_Name,0),IFERROR(MATCH(TRIM(LEFT(Tasks[[#This Row],[_Res1Text]],FIND("[",Tasks[[#This Row],[_Res1Text]]&amp;"[")-1)),res_Initials,0),0)))</f>
        <v>0</v>
      </c>
      <c r="DP185" s="43" t="n">
        <f aca="false">IF(Tasks[[#This Row],[_Res2Text]]="",0,IFERROR(MATCH(TRIM(LEFT(Tasks[[#This Row],[_Res2Text]],FIND("[",Tasks[[#This Row],[_Res2Text]]&amp;"[")-1)),res_Name,0),IFERROR(MATCH(TRIM(LEFT(Tasks[[#This Row],[_Res2Text]],FIND("[",Tasks[[#This Row],[_Res2Text]]&amp;"[")-1)),res_Initials,0),0)))</f>
        <v>0</v>
      </c>
      <c r="DQ185" s="43" t="n">
        <f aca="false">IF(Tasks[[#This Row],[_Res3Text]]="",0,IFERROR(MATCH(TRIM(LEFT(Tasks[[#This Row],[_Res3Text]],FIND("[",Tasks[[#This Row],[_Res3Text]]&amp;"[")-1)),res_Name,0),IFERROR(MATCH(TRIM(LEFT(Tasks[[#This Row],[_Res3Text]],FIND("[",Tasks[[#This Row],[_Res3Text]]&amp;"[")-1)),res_Initials,0),0)))</f>
        <v>0</v>
      </c>
      <c r="DR185" s="43" t="n">
        <f aca="false">IF(Tasks[[#This Row],[_Res4Text]]="",0,IFERROR(MATCH(TRIM(LEFT(Tasks[[#This Row],[_Res4Text]],FIND("[",Tasks[[#This Row],[_Res4Text]]&amp;"[")-1)),res_Name,0),IFERROR(MATCH(TRIM(LEFT(Tasks[[#This Row],[_Res4Text]],FIND("[",Tasks[[#This Row],[_Res4Text]]&amp;"[")-1)),res_Initials,0),0)))</f>
        <v>0</v>
      </c>
      <c r="DS185" s="43" t="str">
        <f aca="false">IF(Tasks[[#This Row],[_Res1Text]]="","",IF(Tasks[[#This Row],[_Res1Row]]&gt;0,INDEX(res_Name,Tasks[[#This Row],[_Res1Row]]),TRIM(LEFT(Tasks[[#This Row],[_Res1Text]],FIND("[",Tasks[[#This Row],[_Res1Text]]&amp;"[")-1))))</f>
        <v/>
      </c>
      <c r="DT1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5" s="43" t="n">
        <f aca="false">IF(NOT(Tasks[[#This Row],[_IsLeaf]]=1),0,(Tasks[[#This Row],[_Resource1]]&lt;&gt;"")+(Tasks[[#This Row],[_Res2]]&lt;&gt;"")+(Tasks[[#This Row],[_Res3]]&lt;&gt;"")+(Tasks[[#This Row],[_Res4]]&lt;&gt;""))</f>
        <v>0</v>
      </c>
      <c r="DV185" s="43" t="str">
        <f aca="false">IF(Tasks[[#This Row],[_Res2Text]]="","",IF(Tasks[[#This Row],[_Res2Row]]&gt;0,INDEX(res_Name,Tasks[[#This Row],[_Res2Row]]),TRIM(LEFT(Tasks[[#This Row],[_Res2Text]],FIND("[",Tasks[[#This Row],[_Res2Text]]&amp;"[")-1))))</f>
        <v/>
      </c>
      <c r="DW1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5" s="43" t="n">
        <f aca="false">IF(OR(NOT(Tasks[[#This Row],[_IsLeaf]]=1),Tasks[[#This Row],[_Res2Row]]=0),0,N(Tasks[[#This Row],[_Days]])*HoursPerDay*IF(Tasks[[#This Row],[_Res2Units]]="",DefaultUnits,Tasks[[#This Row],[_Res2Units]]))</f>
        <v>0</v>
      </c>
      <c r="DY185" s="43" t="n">
        <f aca="false">IF(AND(AND(Tasks[[#This Row],[_IsLeaf]]=1,Tasks[[#This Row],[_LeafTotalWork]]&gt;0),Tasks[[#This Row],[_Res2Work]]&gt;0),Tasks[[#This Row],[_Res2Work]]/(Tasks[[#This Row],[_FinishWorkday]]-Tasks[[#This Row],[_StartWorkday]]+1),0)</f>
        <v>0</v>
      </c>
      <c r="DZ185" s="43" t="n">
        <f aca="false">Tasks[[#This Row],[_Res2WorkPerWD]]*MAX(0,Tasks[[#This Row],[_StartWorkday]]-1)</f>
        <v>0</v>
      </c>
      <c r="EA185" s="43" t="n">
        <f aca="false">Tasks[[#This Row],[_Res2Work]]*Tasks[[#This Row],[_LeafProgress]]</f>
        <v>0</v>
      </c>
      <c r="EB185" s="43" t="str">
        <f aca="false">IF(Tasks[[#This Row],[_Res3Text]]="","",IF(Tasks[[#This Row],[_Res3Row]]&gt;0,INDEX(res_Name,Tasks[[#This Row],[_Res3Row]]),TRIM(LEFT(Tasks[[#This Row],[_Res3Text]],FIND("[",Tasks[[#This Row],[_Res3Text]]&amp;"[")-1))))</f>
        <v/>
      </c>
      <c r="EC1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5" s="43" t="n">
        <f aca="false">IF(OR(NOT(Tasks[[#This Row],[_IsLeaf]]=1),Tasks[[#This Row],[_Res3Row]]=0),0,N(Tasks[[#This Row],[_Days]])*HoursPerDay*IF(Tasks[[#This Row],[_Res3Units]]="",DefaultUnits,Tasks[[#This Row],[_Res3Units]]))</f>
        <v>0</v>
      </c>
      <c r="EE185" s="43" t="n">
        <f aca="false">IF(AND(AND(Tasks[[#This Row],[_IsLeaf]]=1,Tasks[[#This Row],[_LeafTotalWork]]&gt;0),Tasks[[#This Row],[_Res3Work]]&gt;0),Tasks[[#This Row],[_Res3Work]]/(Tasks[[#This Row],[_FinishWorkday]]-Tasks[[#This Row],[_StartWorkday]]+1),0)</f>
        <v>0</v>
      </c>
      <c r="EF185" s="43" t="n">
        <f aca="false">Tasks[[#This Row],[_Res3WorkPerWD]]*MAX(0,Tasks[[#This Row],[_StartWorkday]]-1)</f>
        <v>0</v>
      </c>
      <c r="EG185" s="43" t="n">
        <f aca="false">Tasks[[#This Row],[_Res3Work]]*Tasks[[#This Row],[_LeafProgress]]</f>
        <v>0</v>
      </c>
      <c r="EH185" s="43" t="str">
        <f aca="false">IF(Tasks[[#This Row],[_Res4Text]]="","",IF(Tasks[[#This Row],[_Res4Row]]&gt;0,INDEX(res_Name,Tasks[[#This Row],[_Res4Row]]),TRIM(LEFT(Tasks[[#This Row],[_Res4Text]],FIND("[",Tasks[[#This Row],[_Res4Text]]&amp;"[")-1))))</f>
        <v/>
      </c>
      <c r="EI1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5" s="43" t="n">
        <f aca="false">IF(OR(NOT(Tasks[[#This Row],[_IsLeaf]]=1),Tasks[[#This Row],[_Res4Row]]=0),0,N(Tasks[[#This Row],[_Days]])*HoursPerDay*IF(Tasks[[#This Row],[_Res4Units]]="",DefaultUnits,Tasks[[#This Row],[_Res4Units]]))</f>
        <v>0</v>
      </c>
      <c r="EK185" s="43" t="n">
        <f aca="false">IF(AND(AND(Tasks[[#This Row],[_IsLeaf]]=1,Tasks[[#This Row],[_LeafTotalWork]]&gt;0),Tasks[[#This Row],[_Res4Work]]&gt;0),Tasks[[#This Row],[_Res4Work]]/(Tasks[[#This Row],[_FinishWorkday]]-Tasks[[#This Row],[_StartWorkday]]+1),0)</f>
        <v>0</v>
      </c>
      <c r="EL185" s="43" t="n">
        <f aca="false">Tasks[[#This Row],[_Res4WorkPerWD]]*MAX(0,Tasks[[#This Row],[_StartWorkday]]-1)</f>
        <v>0</v>
      </c>
      <c r="EM185" s="43" t="n">
        <f aca="false">Tasks[[#This Row],[_Res4Work]]*Tasks[[#This Row],[_LeafProgress]]</f>
        <v>0</v>
      </c>
      <c r="EN185" s="43" t="n">
        <f aca="false">IF(ISNUMBER(Tasks[[#This Row],[% Complete]]),Tasks[[#This Row],[% Complete]],IF(Tasks[[#This Row],[Stage]]="",0,IFERROR(INDEX(stg_Pct,MATCH(Tasks[[#This Row],[Stage]],stg_Name,0)),0)))</f>
        <v>0</v>
      </c>
      <c r="EO185" s="43" t="n">
        <f aca="false">IF(NOT(Tasks[[#This Row],[_IsLeaf]]=1),0,IF(N(Tasks[[#This Row],[Actual Finish]])&gt;0,1,MIN(1,Tasks[[#This Row],[_Pct]])))</f>
        <v>0</v>
      </c>
      <c r="EP185" s="43" t="n">
        <f aca="false">IF(OR(NOT(Tasks[[#This Row],[_IsLeaf]]=1),Tasks[[#This Row],[_Res1Row]]=0),0,N(Tasks[[#This Row],[_Days]])*HoursPerDay*IF(Tasks[[#This Row],[_Units1]]="",DefaultUnits,Tasks[[#This Row],[_Units1]]))</f>
        <v>0</v>
      </c>
      <c r="EQ185" s="43" t="n">
        <f aca="false">Tasks[[#This Row],[_LeafWork]]+Tasks[[#This Row],[_Res2Work]]+Tasks[[#This Row],[_Res3Work]]+Tasks[[#This Row],[_Res4Work]]</f>
        <v>0</v>
      </c>
      <c r="ER18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5" s="43" t="n">
        <f aca="false">IF(NOT(Tasks[[#This Row],[_IsLeaf]]=1),0,MAX(_xlfn.MAXIFS(Tasks[_Row],Tasks[_Pred1UID],Tasks[[#This Row],[UID]]),_xlfn.MAXIFS(Tasks[_Row],Tasks[_Pred2UID],Tasks[[#This Row],[UID]]),_xlfn.MAXIFS(Tasks[_Row],Tasks[_Pred3UID],Tasks[[#This Row],[UID]]),_xlfn.MAXIFS(Tasks[_Row],Tasks[_Pred4UID],Tasks[[#This Row],[UID]])))</f>
        <v>0</v>
      </c>
      <c r="FA1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5" s="91" t="str">
        <f aca="false">IF(NOT(Tasks[[#This Row],[_IsLeaf]]=1),"",IF(N(Tasks[[#This Row],[_Days]])&lt;=0,Tasks[[#This Row],[_LeafLateFinish]],WORKDAY.INTL(Tasks[[#This Row],[_LeafLateFinish]],-(Tasks[[#This Row],[_Days]]-1),WorkWeek,Holidays)))</f>
        <v/>
      </c>
      <c r="FD1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5" s="90" t="b">
        <f aca="false">AND(Tasks[[#This Row],[_IsLeaf]]=1,Tasks[[#This Row],[_LeafProgress]]&lt;1,N(Tasks[[#This Row],[_LeafTotalSlack]])&lt;=CriticalSlackDays)</f>
        <v>0</v>
      </c>
      <c r="FF185" s="43" t="n">
        <f aca="false">IF(AND(Tasks[[#This Row],[_IsLeaf]]=1,Tasks[[#This Row],[_ConstraintCode]]=1,Tasks[[#This Row],[Mode]]&lt;&gt;"Manual",N(Tasks[[#This Row],[Actual Start]])=0),MAX(0,N(Tasks[[#This Row],[Free Slack]])),0)</f>
        <v>0</v>
      </c>
      <c r="FG185" s="91" t="str">
        <f aca="false">IF(NOT(Tasks[[#This Row],[_IsLeaf]]=1),"",IF(Tasks[[#This Row],[_AlapShift]]=0,Tasks[[#This Row],[_LeafCalcStart]],WORKDAY.INTL(Tasks[[#This Row],[_LeafCalcStart]],Tasks[[#This Row],[_AlapShift]],WorkWeek,Holidays)))</f>
        <v/>
      </c>
      <c r="FH185" s="91" t="str">
        <f aca="false">IF(NOT(Tasks[[#This Row],[_IsLeaf]]=1),"",IF(Tasks[[#This Row],[_AlapShift]]=0,Tasks[[#This Row],[_LeafCalcFinish]],WORKDAY.INTL(Tasks[[#This Row],[_LeafCalcFinish]],Tasks[[#This Row],[_AlapShift]],WorkWeek,Holidays)))</f>
        <v/>
      </c>
      <c r="FI185" s="91" t="str">
        <f aca="false">IF(NOT(Tasks[[#This Row],[_IsLeaf]]=1),"",IF(Tasks[[#This Row],[_AlapShift]]=0,Tasks[[#This Row],[_LeafFcstStart]],WORKDAY.INTL(Tasks[[#This Row],[_LeafFcstStart]],Tasks[[#This Row],[_AlapShift]],WorkWeek,Holidays)))</f>
        <v/>
      </c>
      <c r="FJ185" s="91" t="str">
        <f aca="false">IF(NOT(Tasks[[#This Row],[_IsLeaf]]=1),"",IF(Tasks[[#This Row],[_AlapShift]]=0,Tasks[[#This Row],[_LeafFcstFinish]],WORKDAY.INTL(Tasks[[#This Row],[_LeafFcstFinish]],Tasks[[#This Row],[_AlapShift]],WorkWeek,Holidays)))</f>
        <v/>
      </c>
      <c r="FK185" s="91" t="str">
        <f aca="false">IF(Tasks[[#This Row],[Task Name]]="","",IF(Tasks[[#This Row],[_IsSummary]],MIN(INDEX(Tasks[_ShownCalcStart],Tasks[[#This Row],[_Row]]+1):INDEX(Tasks[_ShownCalcStart],Tasks[[#This Row],[_Row]]+Tasks[[#This Row],[_Descendants]])),Tasks[[#This Row],[_ShownCalcStart]]))</f>
        <v/>
      </c>
      <c r="FL185" s="91" t="str">
        <f aca="false">IF(Tasks[[#This Row],[Task Name]]="","",IF(Tasks[[#This Row],[_IsSummary]],MAX(INDEX(Tasks[_ShownCalcFinish],Tasks[[#This Row],[_Row]]+1):INDEX(Tasks[_ShownCalcFinish],Tasks[[#This Row],[_Row]]+Tasks[[#This Row],[_Descendants]])),Tasks[[#This Row],[_ShownCalcFinish]]))</f>
        <v/>
      </c>
      <c r="FM1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5" s="43" t="n">
        <f aca="false">IF(AND(Tasks[[#This Row],[_IsLeaf]]=1,Tasks[[#This Row],[_LeafTotalWork]]&gt;0),NETWORKDAYS.INTL(ProjectStart,Tasks[[#This Row],[_ShownFcstStart]],WorkWeek,Holidays),0)</f>
        <v>0</v>
      </c>
      <c r="FZ185" s="43" t="n">
        <f aca="false">IF(AND(Tasks[[#This Row],[_IsLeaf]]=1,Tasks[[#This Row],[_LeafTotalWork]]&gt;0),MAX(Tasks[[#This Row],[_StartWorkday]],NETWORKDAYS.INTL(ProjectStart,Tasks[[#This Row],[_ShownFcstFinish]],WorkWeek,Holidays)),0)</f>
        <v>0</v>
      </c>
      <c r="GA185" s="43" t="n">
        <f aca="false">IF(AND(Tasks[[#This Row],[_IsLeaf]]=1,Tasks[[#This Row],[_LeafTotalWork]]&gt;0),Tasks[[#This Row],[_LeafWork]]/(Tasks[[#This Row],[_FinishWorkday]]-Tasks[[#This Row],[_StartWorkday]]+1),0)</f>
        <v>0</v>
      </c>
      <c r="GB185" s="43" t="n">
        <f aca="false">Tasks[[#This Row],[_WorkPerWorkday]]*(Tasks[[#This Row],[_StartWorkday]]-1)</f>
        <v>-0</v>
      </c>
      <c r="GC185" s="43" t="n">
        <f aca="false">IF(Tasks[[#This Row],[_IsLeaf]]=1,MAX(N(Tasks[[#This Row],[_Days]]),0.1),0)</f>
        <v>0</v>
      </c>
      <c r="GD185" s="43" t="n">
        <f aca="false">Tasks[[#This Row],[_WeightDur]]*Tasks[[#This Row],[_LeafProgress]]</f>
        <v>0</v>
      </c>
      <c r="GE185" s="43" t="n">
        <f aca="false">Tasks[[#This Row],[_WeightDur]]*Tasks[[#This Row],[_PlannedPct]]</f>
        <v>0</v>
      </c>
      <c r="GF1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5" s="43" t="str">
        <f aca="false">IF(AND(Tasks[[#This Row],[_IsLeaf]]=1,N(Tasks[[#This Row],[_Days]])=0,Tasks[[#This Row],[_LeafProgress]]&lt;1),Tasks[[#This Row],[_ShownFcstFinish]]+Tasks[[#This Row],[_Row]]/100000,"")</f>
        <v/>
      </c>
      <c r="GH1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5" s="43" t="str">
        <f aca="false">IF(Tasks[[#This Row],[Task Name]]="","",LEFT(Tasks[[#This Row],[WBS]],FIND(".",Tasks[[#This Row],[WBS]]&amp;".")-1))</f>
        <v/>
      </c>
      <c r="GJ185" s="43" t="str">
        <f aca="false">IF(AND(Tasks[[#This Row],[Task Name]]&lt;&gt;"",Tasks[[#This Row],[_Level]]=1),Tasks[[#This Row],[_Row]],"")</f>
        <v/>
      </c>
      <c r="GK185" s="43" t="str">
        <f aca="false">IF(AND(Tasks[[#This Row],[_IsLeaf]]=1,N(Tasks[[#This Row],[_Days]])=0),Tasks[[#This Row],[Planned Finish]]+Tasks[[#This Row],[_Row]]/100000,"")</f>
        <v/>
      </c>
      <c r="GL185" s="43" t="str">
        <f aca="false">IF(AND(Tasks[[#This Row],[_IsLeaf]]=1,Tasks[[#This Row],[_LeafProgress]]&lt;1,OR(N(Tasks[[#This Row],[Finish Var]])&gt;0,Tasks[[#This Row],[Status]]="Late Start")),MAX(0,Tasks[[#This Row],[Finish Var]])+1-Tasks[[#This Row],[_Row]]/1000000,"")</f>
        <v/>
      </c>
      <c r="GM185" s="43" t="str">
        <f aca="false">IF(AND(Tasks[[#This Row],[_IsLeaf]]=1,N(Tasks[[#This Row],[Actual Start]])=0,Tasks[[#This Row],[_ShownFcstStart]]&gt;=StatusDate,Tasks[[#This Row],[_ShownFcstStart]]&lt;=LookaheadEnd),Tasks[[#This Row],[_ShownFcstStart]]+Tasks[[#This Row],[_Row]]/100000,"")</f>
        <v/>
      </c>
      <c r="GN185" s="43" t="str">
        <f aca="false">IF(AND(Tasks[[#This Row],[_IsLeaf]]=1,Tasks[[#This Row],[_LeafProgress]]&lt;1,Tasks[[#This Row],[_ShownFcstFinish]]&gt;=StatusDate,Tasks[[#This Row],[_ShownFcstFinish]]&lt;=LookaheadEnd),Tasks[[#This Row],[_ShownFcstFinish]]+Tasks[[#This Row],[_Row]]/100000,"")</f>
        <v/>
      </c>
      <c r="GO185" s="43" t="str">
        <f aca="false">IF(Tasks[[#This Row],[_LeafCritical]],Tasks[[#This Row],[_ShownFcstStart]]+Tasks[[#This Row],[_Row]]/100000,"")</f>
        <v/>
      </c>
      <c r="GP185" s="43" t="n">
        <f aca="false">Tasks[[#This Row],[_LeafWork]]*Tasks[[#This Row],[_LeafProgress]]</f>
        <v>0</v>
      </c>
      <c r="GQ185" s="91" t="str">
        <f aca="false">IF(AND(Tasks[[#This Row],[_IsLeaf]]=1,Tasks[[#This Row],[_LeafProgress]]&gt;=1),IF(N(Tasks[[#This Row],[Actual Finish]])&gt;0,Tasks[[#This Row],[Actual Finish]],Tasks[[#This Row],[_ShownFcstFinish]]),"")</f>
        <v/>
      </c>
      <c r="GR185" s="43" t="n">
        <f aca="false">IF(Tasks[[#This Row],[_IsLeaf]]=1,N(Tasks[[#This Row],[Story Points]]),0)</f>
        <v>0</v>
      </c>
      <c r="GS185" s="43" t="str">
        <f aca="false">""</f>
        <v/>
      </c>
      <c r="GT185" s="90" t="b">
        <f aca="false">IF(Tasks[[#This Row],[Task Name]]="",FALSE(),AND(Tasks[[#This Row],[_IsLeaf]]=1,N(Tasks[[#This Row],[_Days]])=0))</f>
        <v>0</v>
      </c>
      <c r="GU185" s="91" t="n">
        <f aca="false">IF(Tasks[[#This Row],[Task Name]]="",0,IF(AND(Tasks[[#This Row],[_IsLeaf]]=1,NOT(Tasks[[#This Row],[_IsMilestone]]),N(Tasks[[#This Row],[Progress]])&gt;0),Tasks[[#This Row],[Start]],0))</f>
        <v>0</v>
      </c>
      <c r="GV185" s="91" t="n">
        <f aca="false">IF(Tasks[[#This Row],[_DoneFrom]]=0,0,IF(Tasks[[#This Row],[Progress]]&gt;=1,Tasks[[#This Row],[Finish]],MAX(Tasks[[#This Row],[_DoneFrom]],Tasks[[#This Row],[Start]]+ROUND((Tasks[[#This Row],[Finish]]-Tasks[[#This Row],[Start]]+1)*Tasks[[#This Row],[Progress]],0)-1)))</f>
        <v>0</v>
      </c>
      <c r="GW185" s="91" t="n">
        <f aca="false">IF(Tasks[[#This Row],[Task Name]]="",0,IF(OR(NOT(Tasks[[#This Row],[_IsLeaf]]=1),Tasks[[#This Row],[_IsMilestone]],N(Tasks[[#This Row],[Progress]])&gt;=1),0,IF(Tasks[[#This Row],[_DoneTo]]&gt;0,Tasks[[#This Row],[_DoneTo]]+1,Tasks[[#This Row],[Start]])))</f>
        <v>0</v>
      </c>
      <c r="GX185" s="91" t="n">
        <f aca="false">IF(Tasks[[#This Row],[_RemFrom]]=0,0,Tasks[[#This Row],[Finish]])</f>
        <v>0</v>
      </c>
      <c r="GY185" s="90" t="b">
        <f aca="false">IF(Tasks[[#This Row],[Task Name]]="",FALSE(),OR(NOT(BaselineSet),N(Tasks[[#This Row],[Baseline Start]])&gt;0))</f>
        <v>0</v>
      </c>
      <c r="GZ18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5" s="92" t="str">
        <f aca="false">IF(Tasks[[#This Row],[_IsLeaf]]=1,Tasks[[#This Row],[_Row]],"")</f>
        <v/>
      </c>
      <c r="HD185" s="92" t="str">
        <f aca="false">IFERROR(INDEX(Tasks[UID],SMALL(Tasks[_PickKey],Tasks[[#This Row],[_Row]]))&amp;" "&amp;INDEX(Tasks[Task Name],SMALL(Tasks[_PickKey],Tasks[[#This Row],[_Row]])),"")</f>
        <v/>
      </c>
      <c r="HE185" s="43" t="str">
        <f aca="false">IF(Tasks[[#This Row],[Task Name]]="","",IF(Tasks[[#This Row],[_IsSummary]],NETWORKDAYS.INTL(Tasks[[#This Row],[Start]],Tasks[[#This Row],[Finish]],WorkWeek,Holidays),N(Tasks[[#This Row],[_Days]])))</f>
        <v/>
      </c>
      <c r="HF185" s="43" t="n">
        <f aca="false">IF(Tasks[[#This Row],[Expected]]="",0,((Tasks[[#This Row],[Pessimistic]]-Tasks[[#This Row],[Optimistic]])/6)^2)</f>
        <v>0</v>
      </c>
      <c r="HG185" s="43" t="n">
        <f aca="false">IF(Tasks[[#This Row],[Expected]]="",0,Tasks[[#This Row],[Expected]]-N(Tasks[[#This Row],[_Days]]))</f>
        <v>0</v>
      </c>
    </row>
    <row r="186" customFormat="false" ht="15" hidden="false" customHeight="false" outlineLevel="0" collapsed="false">
      <c r="A186" s="21" t="str">
        <f aca="false">IF(Tasks[[#This Row],[Task Name]]="","",COUNTA(Tasks[[#Headers],[Task Name]]:Tasks[[#This Row],[Task Name]])-1)</f>
        <v/>
      </c>
      <c r="B186" s="22" t="n">
        <v>194</v>
      </c>
      <c r="C186" s="22"/>
      <c r="D186" s="23"/>
      <c r="E186" s="22"/>
      <c r="F186" s="23"/>
      <c r="G186" s="22"/>
      <c r="H186" s="22"/>
      <c r="I186" s="23"/>
      <c r="J186" s="22"/>
      <c r="K186" s="22"/>
      <c r="L186" s="23"/>
      <c r="M186" s="22"/>
      <c r="N186" s="22"/>
      <c r="O186" s="23"/>
      <c r="P186" s="22"/>
      <c r="Q186" s="22"/>
      <c r="R186" s="23"/>
      <c r="S186" s="23"/>
      <c r="T186" s="84"/>
      <c r="U186" s="23"/>
      <c r="V186" s="84"/>
      <c r="W186" s="23"/>
      <c r="X186" s="84"/>
      <c r="Y186" s="23"/>
      <c r="Z186" s="84"/>
      <c r="AA186" s="23"/>
      <c r="AB186" s="23"/>
      <c r="AC186" s="7"/>
      <c r="AD186" s="7"/>
      <c r="AE186" s="63" t="str">
        <f aca="false">IF(Tasks[[#This Row],[Task Name]]="","",IF(Tasks[[#This Row],[_IsSummary]],MIN(INDEX(Tasks[_ShownFcstStart],Tasks[[#This Row],[_Row]]+1):INDEX(Tasks[_ShownFcstStart],Tasks[[#This Row],[_Row]]+Tasks[[#This Row],[_Descendants]])),Tasks[[#This Row],[_ShownFcstStart]]))</f>
        <v/>
      </c>
      <c r="AF186" s="63" t="str">
        <f aca="false">IF(Tasks[[#This Row],[Task Name]]="","",IF(Tasks[[#This Row],[_IsSummary]],MAX(INDEX(Tasks[_ShownFcstFinish],Tasks[[#This Row],[_Row]]+1):INDEX(Tasks[_ShownFcstFinish],Tasks[[#This Row],[_Row]]+Tasks[[#This Row],[_Descendants]])),Tasks[[#This Row],[_ShownFcstFinish]]))</f>
        <v/>
      </c>
      <c r="AG186" s="21" t="str">
        <f aca="false">""</f>
        <v/>
      </c>
      <c r="AH186" s="23"/>
      <c r="AI1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6" s="7"/>
      <c r="AK186" s="22"/>
      <c r="AL186" s="23"/>
      <c r="AM186" s="7"/>
      <c r="AN186" s="47" t="str">
        <f aca="false">IF(Tasks[[#This Row],[Task Name]]="","",IF(Tasks[[#This Row],[Finish]]&gt;=Tasks[[#This Row],[Planned Finish]],NETWORKDAYS.INTL(Tasks[[#This Row],[Planned Finish]],Tasks[[#This Row],[Finish]],WorkWeek,Holidays)-1,1-NETWORKDAYS.INTL(Tasks[[#This Row],[Finish]],Tasks[[#This Row],[Planned Finish]],WorkWeek,Holidays)))</f>
        <v/>
      </c>
      <c r="AO186" s="21" t="str">
        <f aca="false">IF(Tasks[[#This Row],[Task Name]]="","",IF(Tasks[[#This Row],[Progress]]&gt;=1,"Complete",IF(OR(N(Tasks[[#This Row],[Actual Start]])&gt;0,Tasks[[#This Row],[Progress]]&gt;0),IF(Tasks[[#This Row],[Finish Var]]&gt;0,"Behind","In Progress"),IF(Tasks[[#This Row],[Planned Start]]&lt;StatusDate,"Late Start","Not Started"))))</f>
        <v/>
      </c>
      <c r="AP186" s="21" t="str">
        <f aca="false">IF(Tasks[[#This Row],[Task Name]]="","",IF(IF(Tasks[[#This Row],[_IsSummary]],COUNTIF(INDEX(Tasks[_LeafCritical],Tasks[[#This Row],[_Row]]+1):INDEX(Tasks[_LeafCritical],Tasks[[#This Row],[_Row]]+Tasks[[#This Row],[_Descendants]]),TRUE())&gt;0,Tasks[[#This Row],[_LeafCritical]]),"Yes",""))</f>
        <v/>
      </c>
      <c r="AQ186" s="63" t="str">
        <f aca="false">IF(Tasks[[#This Row],[Task Name]]="","",IF(N(Tasks[[#This Row],[Baseline Start]])&gt;0,Tasks[[#This Row],[Baseline Start]],Tasks[[#This Row],[_CalcStart]]))</f>
        <v/>
      </c>
      <c r="AR186" s="63" t="str">
        <f aca="false">IF(Tasks[[#This Row],[Task Name]]="","",IF(N(Tasks[[#This Row],[Baseline Finish]])&gt;0,Tasks[[#This Row],[Baseline Finish]],Tasks[[#This Row],[_CalcFinish]]))</f>
        <v/>
      </c>
      <c r="AS186" s="47" t="str">
        <f aca="false">IF(Tasks[[#This Row],[Task Name]]="","",IF(Tasks[[#This Row],[Start]]&gt;=Tasks[[#This Row],[Planned Start]],NETWORKDAYS.INTL(Tasks[[#This Row],[Planned Start]],Tasks[[#This Row],[Start]],WorkWeek,Holidays)-1,1-NETWORKDAYS.INTL(Tasks[[#This Row],[Start]],Tasks[[#This Row],[Planned Start]],WorkWeek,Holidays)))</f>
        <v/>
      </c>
      <c r="AT186" s="63" t="str">
        <f aca="false">IF(Tasks[[#This Row],[Task Name]]="","",IF(Tasks[[#This Row],[_IsSummary]],MIN(INDEX(Tasks[_LeafLateStart],Tasks[[#This Row],[_Row]]+1):INDEX(Tasks[_LeafLateStart],Tasks[[#This Row],[_Row]]+Tasks[[#This Row],[_Descendants]])),Tasks[[#This Row],[_LeafLateStart]]))</f>
        <v/>
      </c>
      <c r="AU186" s="63" t="str">
        <f aca="false">IF(Tasks[[#This Row],[Task Name]]="","",IF(Tasks[[#This Row],[_IsSummary]],MAX(INDEX(Tasks[_LeafLateFinish],Tasks[[#This Row],[_Row]]+1):INDEX(Tasks[_LeafLateFinish],Tasks[[#This Row],[_Row]]+Tasks[[#This Row],[_Descendants]])),Tasks[[#This Row],[_LeafLateFinish]]))</f>
        <v/>
      </c>
      <c r="AV186" s="47" t="str">
        <f aca="false">IF(Tasks[[#This Row],[Task Name]]="","",IF(Tasks[[#This Row],[_IsSummary]],MIN(INDEX(Tasks[_LeafTotalSlack],Tasks[[#This Row],[_Row]]+1):INDEX(Tasks[_LeafTotalSlack],Tasks[[#This Row],[_Row]]+Tasks[[#This Row],[_Descendants]])),Tasks[[#This Row],[_LeafTotalSlack]]))</f>
        <v/>
      </c>
      <c r="AW1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5"/>
      <c r="BA18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t="str">
        <f aca="false">IF(Tasks[[#This Row],[Task Name]]="","",IF(Tasks[[#This Row],[_Level]]&lt;=OutlineShowLevel,"Yes","No"))</f>
        <v/>
      </c>
      <c r="BE186" s="86" t="str">
        <f aca="false">IF(Tasks[[#This Row],[Task Name]]="","",IF(Tasks[[#This Row],[_IsSummary]],SUM(INDEX(Tasks[_LeafTotalWork],Tasks[[#This Row],[_Row]]+1):INDEX(Tasks[_LeafTotalWork],Tasks[[#This Row],[_Row]]+Tasks[[#This Row],[_Descendants]])),Tasks[[#This Row],[_LeafTotalWork]]))</f>
        <v/>
      </c>
      <c r="BF186" s="23"/>
      <c r="BG1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t="str">
        <f aca="false">""</f>
        <v/>
      </c>
      <c r="BI186" s="87"/>
      <c r="BJ186" s="22"/>
      <c r="BK186" s="47" t="str">
        <f aca="false">IF(OR(Tasks[[#This Row],[Task Name]]="",Tasks[[#This Row],[Baseline Duration]]=""),"",Tasks[[#This Row],[_SpanDays]]-N(Tasks[[#This Row],[Baseline Duration]]))</f>
        <v/>
      </c>
      <c r="BL186" s="86" t="str">
        <f aca="false">IF(OR(Tasks[[#This Row],[Task Name]]="",Tasks[[#This Row],[Baseline Work]]=""),"",Tasks[[#This Row],[Work]]-N(Tasks[[#This Row],[Baseline Work]]))</f>
        <v/>
      </c>
      <c r="BM186" s="63" t="str">
        <f aca="false">IF(Tasks[[#This Row],[Task Name]]="","",IF(OR(TakeBaseline="Yes",N(Tasks[[#This Row],[Baseline Start]])=0),Tasks[[#This Row],[Start]],Tasks[[#This Row],[Baseline Start]]))</f>
        <v/>
      </c>
      <c r="BN186" s="63" t="str">
        <f aca="false">IF(Tasks[[#This Row],[Task Name]]="","",IF(OR(TakeBaseline="Yes",N(Tasks[[#This Row],[Baseline Finish]])=0),Tasks[[#This Row],[Finish]],Tasks[[#This Row],[Baseline Finish]]))</f>
        <v/>
      </c>
      <c r="BO186" s="21" t="str">
        <f aca="false">IF(Tasks[[#This Row],[Task Name]]="","",IF(OR(TakeBaseline="Yes",N(Tasks[[#This Row],[Baseline Duration]])=0),Tasks[[#This Row],[_SpanDays]],Tasks[[#This Row],[Baseline Duration]]))</f>
        <v/>
      </c>
      <c r="BP186" s="86" t="str">
        <f aca="false">IF(Tasks[[#This Row],[Task Name]]="","",IF(OR(TakeBaseline="Yes",N(Tasks[[#This Row],[Baseline Work]])=0),Tasks[[#This Row],[Work]],Tasks[[#This Row],[Baseline Work]]))</f>
        <v/>
      </c>
      <c r="BQ186" s="7"/>
      <c r="BR186" s="7"/>
      <c r="BS186" s="22"/>
      <c r="BT186" s="88"/>
      <c r="BU186" s="23"/>
      <c r="BV186" s="23"/>
      <c r="BW186" s="23"/>
      <c r="BX186" s="89" t="str">
        <f aca="false">IF(AND(Tasks[[#This Row],[_IsLeaf]]=1,ISNUMBER(Tasks[[#This Row],[Optimistic]]),ISNUMBER(Tasks[[#This Row],[Pessimistic]])),ROUND((Tasks[[#This Row],[Optimistic]]+4*N(Tasks[[#This Row],[_Days]])+Tasks[[#This Row],[Pessimistic]])/6,1),"")</f>
        <v/>
      </c>
      <c r="BY186" s="87"/>
      <c r="BZ186" s="87"/>
      <c r="CA186" s="22"/>
      <c r="CB186" s="43" t="str">
        <f aca="false">IF(Tasks[[#This Row],[Task Name]]="","",MAX(1,N(Tasks[[#This Row],[Level]])))</f>
        <v/>
      </c>
      <c r="CC186" s="43" t="n">
        <f aca="false">ROW()-ROW(Tasks[[#Headers],[ID]])</f>
        <v>181</v>
      </c>
      <c r="CD186" s="43" t="n">
        <f aca="false">IF(OR(Tasks[[#This Row],[Task Name]]="",Tasks[[#This Row],[_Level]]&lt;=1),0,IFERROR(LOOKUP(2,1/(Tasks[[#Headers],[_Level]]:Tasks[[#This Row],[_Level]]=Tasks[[#This Row],[_Level]]-1),ROW(Tasks[[#Headers],[_Level]]:Tasks[[#This Row],[_Level]])),0))</f>
        <v>0</v>
      </c>
      <c r="CE186" s="43" t="n">
        <f aca="false">IFERROR(N(INDEX(Tasks[_Level],Tasks[[#This Row],[_Row]]+1)),0)</f>
        <v>0</v>
      </c>
      <c r="CF186" s="90" t="b">
        <f aca="false">AND(Tasks[[#This Row],[Task Name]]&lt;&gt;"",Tasks[[#This Row],[_NextLevel]]&gt;Tasks[[#This Row],[_Level]])</f>
        <v>0</v>
      </c>
      <c r="CG186" s="43" t="n">
        <f aca="false">IF(Tasks[[#This Row],[_IsSummary]],COUNTIF(Tasks[WBS],Tasks[[#This Row],[WBS]]&amp;".*"),0)</f>
        <v>0</v>
      </c>
      <c r="CH186" s="43" t="n">
        <f aca="false">IF(AND(Tasks[[#This Row],[Task Name]]&lt;&gt;"",NOT(Tasks[[#This Row],[_IsSummary]])),1,0)</f>
        <v>0</v>
      </c>
      <c r="CI186" s="43" t="n">
        <f aca="false">IF(N(Tasks[[#This Row],[_Pred1UID]])=0,0,IFERROR(MATCH(Tasks[[#This Row],[_Pred1UID]],Tasks[UID],0),-1))</f>
        <v>0</v>
      </c>
      <c r="CJ186" s="43" t="n">
        <f aca="false">IF(N(Tasks[[#This Row],[_Pred2UID]])=0,0,IFERROR(MATCH(Tasks[[#This Row],[_Pred2UID]],Tasks[UID],0),-1))</f>
        <v>0</v>
      </c>
      <c r="CK186" s="43" t="n">
        <f aca="false">IF(N(Tasks[[#This Row],[_Pred3UID]])=0,0,IFERROR(MATCH(Tasks[[#This Row],[_Pred3UID]],Tasks[UID],0),-1))</f>
        <v>0</v>
      </c>
      <c r="CL186" s="43" t="n">
        <f aca="false">IF(N(Tasks[[#This Row],[_Pred4UID]])=0,0,IFERROR(MATCH(Tasks[[#This Row],[_Pred4UID]],Tasks[UID],0),-1))</f>
        <v>0</v>
      </c>
      <c r="CM1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6" s="91" t="n">
        <f aca="false">IF(OR(Tasks[[#This Row],[_ConstraintCode]]=2,Tasks[[#This Row],[_ConstraintCode]]=3,Tasks[[#This Row],[_ConstraintCode]]=4,Tasks[[#This Row],[_ConstraintCode]]=6),Tasks[[#This Row],[_ConstraintStart]],0)</f>
        <v>0</v>
      </c>
      <c r="CP186" s="91" t="n">
        <f aca="false">IF(OR(Tasks[[#This Row],[_ConstraintCode]]=2,Tasks[[#This Row],[_ConstraintCode]]=3,Tasks[[#This Row],[_ConstraintCode]]=5,Tasks[[#This Row],[_ConstraintCode]]=7),Tasks[[#This Row],[_ConstraintStart]],2958465)</f>
        <v>2958465</v>
      </c>
      <c r="CQ1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6" s="91" t="str">
        <f aca="false">IF(NOT(Tasks[[#This Row],[_IsLeaf]]=1),"",IF(N(Tasks[[#This Row],[_Days]])&lt;=0,Tasks[[#This Row],[_LeafCalcStart]],WORKDAY.INTL(Tasks[[#This Row],[_LeafCalcStart]],Tasks[[#This Row],[_Days]]-1,WorkWeek,Holidays)))</f>
        <v/>
      </c>
      <c r="CS1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6" s="43" t="str">
        <f aca="false">IF(Tasks[[#This Row],[_Predecessors]]="","",TRIM(MID(SUBSTITUTE(SUBSTITUTE(SUBSTITUTE(UPPER(Tasks[[#This Row],[_Predecessors]]),";",",")," ",""),",",REPT(" ",99)),1,99)))</f>
        <v/>
      </c>
      <c r="CV186" s="43" t="str">
        <f aca="false">IF(Tasks[[#This Row],[_Pred1Text]]="","",IFERROR(VALUE(LEFT(Tasks[[#This Row],[_Pred1Text]],MIN(FIND("F",Tasks[[#This Row],[_Pred1Text]]&amp;"F"),FIND("S",Tasks[[#This Row],[_Pred1Text]]&amp;"S"),FIND("+",Tasks[[#This Row],[_Pred1Text]]&amp;"+"),FIND("-",Tasks[[#This Row],[_Pred1Text]]&amp;"-"))-1)),""))</f>
        <v/>
      </c>
      <c r="CW1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6" s="43" t="str">
        <f aca="false">IF(Tasks[[#This Row],[_Pred1Text]]="","",TRIM(MID(SUBSTITUTE(SUBSTITUTE(SUBSTITUTE(UPPER(Tasks[[#This Row],[_Predecessors]]),";",",")," ",""),",",REPT(" ",99)),100,99)))</f>
        <v/>
      </c>
      <c r="CZ186" s="43" t="str">
        <f aca="false">IF(Tasks[[#This Row],[_Pred2Text]]="","",IFERROR(VALUE(LEFT(Tasks[[#This Row],[_Pred2Text]],MIN(FIND("F",Tasks[[#This Row],[_Pred2Text]]&amp;"F"),FIND("S",Tasks[[#This Row],[_Pred2Text]]&amp;"S"),FIND("+",Tasks[[#This Row],[_Pred2Text]]&amp;"+"),FIND("-",Tasks[[#This Row],[_Pred2Text]]&amp;"-"))-1)),""))</f>
        <v/>
      </c>
      <c r="DA1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6" s="43" t="str">
        <f aca="false">IF(Tasks[[#This Row],[_Pred2Text]]="","",TRIM(MID(SUBSTITUTE(SUBSTITUTE(SUBSTITUTE(UPPER(Tasks[[#This Row],[_Predecessors]]),";",",")," ",""),",",REPT(" ",99)),199,99)))</f>
        <v/>
      </c>
      <c r="DD186" s="43" t="str">
        <f aca="false">IF(Tasks[[#This Row],[_Pred3Text]]="","",IFERROR(VALUE(LEFT(Tasks[[#This Row],[_Pred3Text]],MIN(FIND("F",Tasks[[#This Row],[_Pred3Text]]&amp;"F"),FIND("S",Tasks[[#This Row],[_Pred3Text]]&amp;"S"),FIND("+",Tasks[[#This Row],[_Pred3Text]]&amp;"+"),FIND("-",Tasks[[#This Row],[_Pred3Text]]&amp;"-"))-1)),""))</f>
        <v/>
      </c>
      <c r="DE1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6" s="43" t="str">
        <f aca="false">IF(Tasks[[#This Row],[_Pred3Text]]="","",TRIM(MID(SUBSTITUTE(SUBSTITUTE(SUBSTITUTE(UPPER(Tasks[[#This Row],[_Predecessors]]),";",",")," ",""),",",REPT(" ",99)),298,99)))</f>
        <v/>
      </c>
      <c r="DH186" s="43" t="str">
        <f aca="false">IF(Tasks[[#This Row],[_Pred4Text]]="","",IFERROR(VALUE(LEFT(Tasks[[#This Row],[_Pred4Text]],MIN(FIND("F",Tasks[[#This Row],[_Pred4Text]]&amp;"F"),FIND("S",Tasks[[#This Row],[_Pred4Text]]&amp;"S"),FIND("+",Tasks[[#This Row],[_Pred4Text]]&amp;"+"),FIND("-",Tasks[[#This Row],[_Pred4Text]]&amp;"-"))-1)),""))</f>
        <v/>
      </c>
      <c r="DI1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6" s="43" t="str">
        <f aca="false">IF(OR(Tasks[[#This Row],[Task Name]]="",Tasks[[#This Row],[_Resources]]=""),"",TRIM(MID(SUBSTITUTE(Tasks[[#This Row],[_Resources]],",",REPT(" ",99)),1,99)))</f>
        <v/>
      </c>
      <c r="DL186" s="43" t="str">
        <f aca="false">IF(Tasks[[#This Row],[_Res1Text]]="","",TRIM(MID(SUBSTITUTE(Tasks[[#This Row],[_Resources]],",",REPT(" ",99)),100,99)))</f>
        <v/>
      </c>
      <c r="DM186" s="43" t="str">
        <f aca="false">IF(Tasks[[#This Row],[_Res2Text]]="","",TRIM(MID(SUBSTITUTE(Tasks[[#This Row],[_Resources]],",",REPT(" ",99)),199,99)))</f>
        <v/>
      </c>
      <c r="DN186" s="43" t="str">
        <f aca="false">IF(Tasks[[#This Row],[_Res3Text]]="","",TRIM(MID(SUBSTITUTE(Tasks[[#This Row],[_Resources]],",",REPT(" ",99)),298,99)))</f>
        <v/>
      </c>
      <c r="DO186" s="43" t="n">
        <f aca="false">IF(Tasks[[#This Row],[_Res1Text]]="",0,IFERROR(MATCH(TRIM(LEFT(Tasks[[#This Row],[_Res1Text]],FIND("[",Tasks[[#This Row],[_Res1Text]]&amp;"[")-1)),res_Name,0),IFERROR(MATCH(TRIM(LEFT(Tasks[[#This Row],[_Res1Text]],FIND("[",Tasks[[#This Row],[_Res1Text]]&amp;"[")-1)),res_Initials,0),0)))</f>
        <v>0</v>
      </c>
      <c r="DP186" s="43" t="n">
        <f aca="false">IF(Tasks[[#This Row],[_Res2Text]]="",0,IFERROR(MATCH(TRIM(LEFT(Tasks[[#This Row],[_Res2Text]],FIND("[",Tasks[[#This Row],[_Res2Text]]&amp;"[")-1)),res_Name,0),IFERROR(MATCH(TRIM(LEFT(Tasks[[#This Row],[_Res2Text]],FIND("[",Tasks[[#This Row],[_Res2Text]]&amp;"[")-1)),res_Initials,0),0)))</f>
        <v>0</v>
      </c>
      <c r="DQ186" s="43" t="n">
        <f aca="false">IF(Tasks[[#This Row],[_Res3Text]]="",0,IFERROR(MATCH(TRIM(LEFT(Tasks[[#This Row],[_Res3Text]],FIND("[",Tasks[[#This Row],[_Res3Text]]&amp;"[")-1)),res_Name,0),IFERROR(MATCH(TRIM(LEFT(Tasks[[#This Row],[_Res3Text]],FIND("[",Tasks[[#This Row],[_Res3Text]]&amp;"[")-1)),res_Initials,0),0)))</f>
        <v>0</v>
      </c>
      <c r="DR186" s="43" t="n">
        <f aca="false">IF(Tasks[[#This Row],[_Res4Text]]="",0,IFERROR(MATCH(TRIM(LEFT(Tasks[[#This Row],[_Res4Text]],FIND("[",Tasks[[#This Row],[_Res4Text]]&amp;"[")-1)),res_Name,0),IFERROR(MATCH(TRIM(LEFT(Tasks[[#This Row],[_Res4Text]],FIND("[",Tasks[[#This Row],[_Res4Text]]&amp;"[")-1)),res_Initials,0),0)))</f>
        <v>0</v>
      </c>
      <c r="DS186" s="43" t="str">
        <f aca="false">IF(Tasks[[#This Row],[_Res1Text]]="","",IF(Tasks[[#This Row],[_Res1Row]]&gt;0,INDEX(res_Name,Tasks[[#This Row],[_Res1Row]]),TRIM(LEFT(Tasks[[#This Row],[_Res1Text]],FIND("[",Tasks[[#This Row],[_Res1Text]]&amp;"[")-1))))</f>
        <v/>
      </c>
      <c r="DT1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6" s="43" t="n">
        <f aca="false">IF(NOT(Tasks[[#This Row],[_IsLeaf]]=1),0,(Tasks[[#This Row],[_Resource1]]&lt;&gt;"")+(Tasks[[#This Row],[_Res2]]&lt;&gt;"")+(Tasks[[#This Row],[_Res3]]&lt;&gt;"")+(Tasks[[#This Row],[_Res4]]&lt;&gt;""))</f>
        <v>0</v>
      </c>
      <c r="DV186" s="43" t="str">
        <f aca="false">IF(Tasks[[#This Row],[_Res2Text]]="","",IF(Tasks[[#This Row],[_Res2Row]]&gt;0,INDEX(res_Name,Tasks[[#This Row],[_Res2Row]]),TRIM(LEFT(Tasks[[#This Row],[_Res2Text]],FIND("[",Tasks[[#This Row],[_Res2Text]]&amp;"[")-1))))</f>
        <v/>
      </c>
      <c r="DW1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6" s="43" t="n">
        <f aca="false">IF(OR(NOT(Tasks[[#This Row],[_IsLeaf]]=1),Tasks[[#This Row],[_Res2Row]]=0),0,N(Tasks[[#This Row],[_Days]])*HoursPerDay*IF(Tasks[[#This Row],[_Res2Units]]="",DefaultUnits,Tasks[[#This Row],[_Res2Units]]))</f>
        <v>0</v>
      </c>
      <c r="DY186" s="43" t="n">
        <f aca="false">IF(AND(AND(Tasks[[#This Row],[_IsLeaf]]=1,Tasks[[#This Row],[_LeafTotalWork]]&gt;0),Tasks[[#This Row],[_Res2Work]]&gt;0),Tasks[[#This Row],[_Res2Work]]/(Tasks[[#This Row],[_FinishWorkday]]-Tasks[[#This Row],[_StartWorkday]]+1),0)</f>
        <v>0</v>
      </c>
      <c r="DZ186" s="43" t="n">
        <f aca="false">Tasks[[#This Row],[_Res2WorkPerWD]]*MAX(0,Tasks[[#This Row],[_StartWorkday]]-1)</f>
        <v>0</v>
      </c>
      <c r="EA186" s="43" t="n">
        <f aca="false">Tasks[[#This Row],[_Res2Work]]*Tasks[[#This Row],[_LeafProgress]]</f>
        <v>0</v>
      </c>
      <c r="EB186" s="43" t="str">
        <f aca="false">IF(Tasks[[#This Row],[_Res3Text]]="","",IF(Tasks[[#This Row],[_Res3Row]]&gt;0,INDEX(res_Name,Tasks[[#This Row],[_Res3Row]]),TRIM(LEFT(Tasks[[#This Row],[_Res3Text]],FIND("[",Tasks[[#This Row],[_Res3Text]]&amp;"[")-1))))</f>
        <v/>
      </c>
      <c r="EC1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6" s="43" t="n">
        <f aca="false">IF(OR(NOT(Tasks[[#This Row],[_IsLeaf]]=1),Tasks[[#This Row],[_Res3Row]]=0),0,N(Tasks[[#This Row],[_Days]])*HoursPerDay*IF(Tasks[[#This Row],[_Res3Units]]="",DefaultUnits,Tasks[[#This Row],[_Res3Units]]))</f>
        <v>0</v>
      </c>
      <c r="EE186" s="43" t="n">
        <f aca="false">IF(AND(AND(Tasks[[#This Row],[_IsLeaf]]=1,Tasks[[#This Row],[_LeafTotalWork]]&gt;0),Tasks[[#This Row],[_Res3Work]]&gt;0),Tasks[[#This Row],[_Res3Work]]/(Tasks[[#This Row],[_FinishWorkday]]-Tasks[[#This Row],[_StartWorkday]]+1),0)</f>
        <v>0</v>
      </c>
      <c r="EF186" s="43" t="n">
        <f aca="false">Tasks[[#This Row],[_Res3WorkPerWD]]*MAX(0,Tasks[[#This Row],[_StartWorkday]]-1)</f>
        <v>0</v>
      </c>
      <c r="EG186" s="43" t="n">
        <f aca="false">Tasks[[#This Row],[_Res3Work]]*Tasks[[#This Row],[_LeafProgress]]</f>
        <v>0</v>
      </c>
      <c r="EH186" s="43" t="str">
        <f aca="false">IF(Tasks[[#This Row],[_Res4Text]]="","",IF(Tasks[[#This Row],[_Res4Row]]&gt;0,INDEX(res_Name,Tasks[[#This Row],[_Res4Row]]),TRIM(LEFT(Tasks[[#This Row],[_Res4Text]],FIND("[",Tasks[[#This Row],[_Res4Text]]&amp;"[")-1))))</f>
        <v/>
      </c>
      <c r="EI1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6" s="43" t="n">
        <f aca="false">IF(OR(NOT(Tasks[[#This Row],[_IsLeaf]]=1),Tasks[[#This Row],[_Res4Row]]=0),0,N(Tasks[[#This Row],[_Days]])*HoursPerDay*IF(Tasks[[#This Row],[_Res4Units]]="",DefaultUnits,Tasks[[#This Row],[_Res4Units]]))</f>
        <v>0</v>
      </c>
      <c r="EK186" s="43" t="n">
        <f aca="false">IF(AND(AND(Tasks[[#This Row],[_IsLeaf]]=1,Tasks[[#This Row],[_LeafTotalWork]]&gt;0),Tasks[[#This Row],[_Res4Work]]&gt;0),Tasks[[#This Row],[_Res4Work]]/(Tasks[[#This Row],[_FinishWorkday]]-Tasks[[#This Row],[_StartWorkday]]+1),0)</f>
        <v>0</v>
      </c>
      <c r="EL186" s="43" t="n">
        <f aca="false">Tasks[[#This Row],[_Res4WorkPerWD]]*MAX(0,Tasks[[#This Row],[_StartWorkday]]-1)</f>
        <v>0</v>
      </c>
      <c r="EM186" s="43" t="n">
        <f aca="false">Tasks[[#This Row],[_Res4Work]]*Tasks[[#This Row],[_LeafProgress]]</f>
        <v>0</v>
      </c>
      <c r="EN186" s="43" t="n">
        <f aca="false">IF(ISNUMBER(Tasks[[#This Row],[% Complete]]),Tasks[[#This Row],[% Complete]],IF(Tasks[[#This Row],[Stage]]="",0,IFERROR(INDEX(stg_Pct,MATCH(Tasks[[#This Row],[Stage]],stg_Name,0)),0)))</f>
        <v>0</v>
      </c>
      <c r="EO186" s="43" t="n">
        <f aca="false">IF(NOT(Tasks[[#This Row],[_IsLeaf]]=1),0,IF(N(Tasks[[#This Row],[Actual Finish]])&gt;0,1,MIN(1,Tasks[[#This Row],[_Pct]])))</f>
        <v>0</v>
      </c>
      <c r="EP186" s="43" t="n">
        <f aca="false">IF(OR(NOT(Tasks[[#This Row],[_IsLeaf]]=1),Tasks[[#This Row],[_Res1Row]]=0),0,N(Tasks[[#This Row],[_Days]])*HoursPerDay*IF(Tasks[[#This Row],[_Units1]]="",DefaultUnits,Tasks[[#This Row],[_Units1]]))</f>
        <v>0</v>
      </c>
      <c r="EQ186" s="43" t="n">
        <f aca="false">Tasks[[#This Row],[_LeafWork]]+Tasks[[#This Row],[_Res2Work]]+Tasks[[#This Row],[_Res3Work]]+Tasks[[#This Row],[_Res4Work]]</f>
        <v>0</v>
      </c>
      <c r="ER18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6" s="43" t="n">
        <f aca="false">IF(NOT(Tasks[[#This Row],[_IsLeaf]]=1),0,MAX(_xlfn.MAXIFS(Tasks[_Row],Tasks[_Pred1UID],Tasks[[#This Row],[UID]]),_xlfn.MAXIFS(Tasks[_Row],Tasks[_Pred2UID],Tasks[[#This Row],[UID]]),_xlfn.MAXIFS(Tasks[_Row],Tasks[_Pred3UID],Tasks[[#This Row],[UID]]),_xlfn.MAXIFS(Tasks[_Row],Tasks[_Pred4UID],Tasks[[#This Row],[UID]])))</f>
        <v>0</v>
      </c>
      <c r="FA1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6" s="91" t="str">
        <f aca="false">IF(NOT(Tasks[[#This Row],[_IsLeaf]]=1),"",IF(N(Tasks[[#This Row],[_Days]])&lt;=0,Tasks[[#This Row],[_LeafLateFinish]],WORKDAY.INTL(Tasks[[#This Row],[_LeafLateFinish]],-(Tasks[[#This Row],[_Days]]-1),WorkWeek,Holidays)))</f>
        <v/>
      </c>
      <c r="FD1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6" s="90" t="b">
        <f aca="false">AND(Tasks[[#This Row],[_IsLeaf]]=1,Tasks[[#This Row],[_LeafProgress]]&lt;1,N(Tasks[[#This Row],[_LeafTotalSlack]])&lt;=CriticalSlackDays)</f>
        <v>0</v>
      </c>
      <c r="FF186" s="43" t="n">
        <f aca="false">IF(AND(Tasks[[#This Row],[_IsLeaf]]=1,Tasks[[#This Row],[_ConstraintCode]]=1,Tasks[[#This Row],[Mode]]&lt;&gt;"Manual",N(Tasks[[#This Row],[Actual Start]])=0),MAX(0,N(Tasks[[#This Row],[Free Slack]])),0)</f>
        <v>0</v>
      </c>
      <c r="FG186" s="91" t="str">
        <f aca="false">IF(NOT(Tasks[[#This Row],[_IsLeaf]]=1),"",IF(Tasks[[#This Row],[_AlapShift]]=0,Tasks[[#This Row],[_LeafCalcStart]],WORKDAY.INTL(Tasks[[#This Row],[_LeafCalcStart]],Tasks[[#This Row],[_AlapShift]],WorkWeek,Holidays)))</f>
        <v/>
      </c>
      <c r="FH186" s="91" t="str">
        <f aca="false">IF(NOT(Tasks[[#This Row],[_IsLeaf]]=1),"",IF(Tasks[[#This Row],[_AlapShift]]=0,Tasks[[#This Row],[_LeafCalcFinish]],WORKDAY.INTL(Tasks[[#This Row],[_LeafCalcFinish]],Tasks[[#This Row],[_AlapShift]],WorkWeek,Holidays)))</f>
        <v/>
      </c>
      <c r="FI186" s="91" t="str">
        <f aca="false">IF(NOT(Tasks[[#This Row],[_IsLeaf]]=1),"",IF(Tasks[[#This Row],[_AlapShift]]=0,Tasks[[#This Row],[_LeafFcstStart]],WORKDAY.INTL(Tasks[[#This Row],[_LeafFcstStart]],Tasks[[#This Row],[_AlapShift]],WorkWeek,Holidays)))</f>
        <v/>
      </c>
      <c r="FJ186" s="91" t="str">
        <f aca="false">IF(NOT(Tasks[[#This Row],[_IsLeaf]]=1),"",IF(Tasks[[#This Row],[_AlapShift]]=0,Tasks[[#This Row],[_LeafFcstFinish]],WORKDAY.INTL(Tasks[[#This Row],[_LeafFcstFinish]],Tasks[[#This Row],[_AlapShift]],WorkWeek,Holidays)))</f>
        <v/>
      </c>
      <c r="FK186" s="91" t="str">
        <f aca="false">IF(Tasks[[#This Row],[Task Name]]="","",IF(Tasks[[#This Row],[_IsSummary]],MIN(INDEX(Tasks[_ShownCalcStart],Tasks[[#This Row],[_Row]]+1):INDEX(Tasks[_ShownCalcStart],Tasks[[#This Row],[_Row]]+Tasks[[#This Row],[_Descendants]])),Tasks[[#This Row],[_ShownCalcStart]]))</f>
        <v/>
      </c>
      <c r="FL186" s="91" t="str">
        <f aca="false">IF(Tasks[[#This Row],[Task Name]]="","",IF(Tasks[[#This Row],[_IsSummary]],MAX(INDEX(Tasks[_ShownCalcFinish],Tasks[[#This Row],[_Row]]+1):INDEX(Tasks[_ShownCalcFinish],Tasks[[#This Row],[_Row]]+Tasks[[#This Row],[_Descendants]])),Tasks[[#This Row],[_ShownCalcFinish]]))</f>
        <v/>
      </c>
      <c r="FM1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6" s="43" t="n">
        <f aca="false">IF(AND(Tasks[[#This Row],[_IsLeaf]]=1,Tasks[[#This Row],[_LeafTotalWork]]&gt;0),NETWORKDAYS.INTL(ProjectStart,Tasks[[#This Row],[_ShownFcstStart]],WorkWeek,Holidays),0)</f>
        <v>0</v>
      </c>
      <c r="FZ186" s="43" t="n">
        <f aca="false">IF(AND(Tasks[[#This Row],[_IsLeaf]]=1,Tasks[[#This Row],[_LeafTotalWork]]&gt;0),MAX(Tasks[[#This Row],[_StartWorkday]],NETWORKDAYS.INTL(ProjectStart,Tasks[[#This Row],[_ShownFcstFinish]],WorkWeek,Holidays)),0)</f>
        <v>0</v>
      </c>
      <c r="GA186" s="43" t="n">
        <f aca="false">IF(AND(Tasks[[#This Row],[_IsLeaf]]=1,Tasks[[#This Row],[_LeafTotalWork]]&gt;0),Tasks[[#This Row],[_LeafWork]]/(Tasks[[#This Row],[_FinishWorkday]]-Tasks[[#This Row],[_StartWorkday]]+1),0)</f>
        <v>0</v>
      </c>
      <c r="GB186" s="43" t="n">
        <f aca="false">Tasks[[#This Row],[_WorkPerWorkday]]*(Tasks[[#This Row],[_StartWorkday]]-1)</f>
        <v>-0</v>
      </c>
      <c r="GC186" s="43" t="n">
        <f aca="false">IF(Tasks[[#This Row],[_IsLeaf]]=1,MAX(N(Tasks[[#This Row],[_Days]]),0.1),0)</f>
        <v>0</v>
      </c>
      <c r="GD186" s="43" t="n">
        <f aca="false">Tasks[[#This Row],[_WeightDur]]*Tasks[[#This Row],[_LeafProgress]]</f>
        <v>0</v>
      </c>
      <c r="GE186" s="43" t="n">
        <f aca="false">Tasks[[#This Row],[_WeightDur]]*Tasks[[#This Row],[_PlannedPct]]</f>
        <v>0</v>
      </c>
      <c r="GF1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6" s="43" t="str">
        <f aca="false">IF(AND(Tasks[[#This Row],[_IsLeaf]]=1,N(Tasks[[#This Row],[_Days]])=0,Tasks[[#This Row],[_LeafProgress]]&lt;1),Tasks[[#This Row],[_ShownFcstFinish]]+Tasks[[#This Row],[_Row]]/100000,"")</f>
        <v/>
      </c>
      <c r="GH1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6" s="43" t="str">
        <f aca="false">IF(Tasks[[#This Row],[Task Name]]="","",LEFT(Tasks[[#This Row],[WBS]],FIND(".",Tasks[[#This Row],[WBS]]&amp;".")-1))</f>
        <v/>
      </c>
      <c r="GJ186" s="43" t="str">
        <f aca="false">IF(AND(Tasks[[#This Row],[Task Name]]&lt;&gt;"",Tasks[[#This Row],[_Level]]=1),Tasks[[#This Row],[_Row]],"")</f>
        <v/>
      </c>
      <c r="GK186" s="43" t="str">
        <f aca="false">IF(AND(Tasks[[#This Row],[_IsLeaf]]=1,N(Tasks[[#This Row],[_Days]])=0),Tasks[[#This Row],[Planned Finish]]+Tasks[[#This Row],[_Row]]/100000,"")</f>
        <v/>
      </c>
      <c r="GL186" s="43" t="str">
        <f aca="false">IF(AND(Tasks[[#This Row],[_IsLeaf]]=1,Tasks[[#This Row],[_LeafProgress]]&lt;1,OR(N(Tasks[[#This Row],[Finish Var]])&gt;0,Tasks[[#This Row],[Status]]="Late Start")),MAX(0,Tasks[[#This Row],[Finish Var]])+1-Tasks[[#This Row],[_Row]]/1000000,"")</f>
        <v/>
      </c>
      <c r="GM186" s="43" t="str">
        <f aca="false">IF(AND(Tasks[[#This Row],[_IsLeaf]]=1,N(Tasks[[#This Row],[Actual Start]])=0,Tasks[[#This Row],[_ShownFcstStart]]&gt;=StatusDate,Tasks[[#This Row],[_ShownFcstStart]]&lt;=LookaheadEnd),Tasks[[#This Row],[_ShownFcstStart]]+Tasks[[#This Row],[_Row]]/100000,"")</f>
        <v/>
      </c>
      <c r="GN186" s="43" t="str">
        <f aca="false">IF(AND(Tasks[[#This Row],[_IsLeaf]]=1,Tasks[[#This Row],[_LeafProgress]]&lt;1,Tasks[[#This Row],[_ShownFcstFinish]]&gt;=StatusDate,Tasks[[#This Row],[_ShownFcstFinish]]&lt;=LookaheadEnd),Tasks[[#This Row],[_ShownFcstFinish]]+Tasks[[#This Row],[_Row]]/100000,"")</f>
        <v/>
      </c>
      <c r="GO186" s="43" t="str">
        <f aca="false">IF(Tasks[[#This Row],[_LeafCritical]],Tasks[[#This Row],[_ShownFcstStart]]+Tasks[[#This Row],[_Row]]/100000,"")</f>
        <v/>
      </c>
      <c r="GP186" s="43" t="n">
        <f aca="false">Tasks[[#This Row],[_LeafWork]]*Tasks[[#This Row],[_LeafProgress]]</f>
        <v>0</v>
      </c>
      <c r="GQ186" s="91" t="str">
        <f aca="false">IF(AND(Tasks[[#This Row],[_IsLeaf]]=1,Tasks[[#This Row],[_LeafProgress]]&gt;=1),IF(N(Tasks[[#This Row],[Actual Finish]])&gt;0,Tasks[[#This Row],[Actual Finish]],Tasks[[#This Row],[_ShownFcstFinish]]),"")</f>
        <v/>
      </c>
      <c r="GR186" s="43" t="n">
        <f aca="false">IF(Tasks[[#This Row],[_IsLeaf]]=1,N(Tasks[[#This Row],[Story Points]]),0)</f>
        <v>0</v>
      </c>
      <c r="GS186" s="43" t="str">
        <f aca="false">""</f>
        <v/>
      </c>
      <c r="GT186" s="90" t="b">
        <f aca="false">IF(Tasks[[#This Row],[Task Name]]="",FALSE(),AND(Tasks[[#This Row],[_IsLeaf]]=1,N(Tasks[[#This Row],[_Days]])=0))</f>
        <v>0</v>
      </c>
      <c r="GU186" s="91" t="n">
        <f aca="false">IF(Tasks[[#This Row],[Task Name]]="",0,IF(AND(Tasks[[#This Row],[_IsLeaf]]=1,NOT(Tasks[[#This Row],[_IsMilestone]]),N(Tasks[[#This Row],[Progress]])&gt;0),Tasks[[#This Row],[Start]],0))</f>
        <v>0</v>
      </c>
      <c r="GV186" s="91" t="n">
        <f aca="false">IF(Tasks[[#This Row],[_DoneFrom]]=0,0,IF(Tasks[[#This Row],[Progress]]&gt;=1,Tasks[[#This Row],[Finish]],MAX(Tasks[[#This Row],[_DoneFrom]],Tasks[[#This Row],[Start]]+ROUND((Tasks[[#This Row],[Finish]]-Tasks[[#This Row],[Start]]+1)*Tasks[[#This Row],[Progress]],0)-1)))</f>
        <v>0</v>
      </c>
      <c r="GW186" s="91" t="n">
        <f aca="false">IF(Tasks[[#This Row],[Task Name]]="",0,IF(OR(NOT(Tasks[[#This Row],[_IsLeaf]]=1),Tasks[[#This Row],[_IsMilestone]],N(Tasks[[#This Row],[Progress]])&gt;=1),0,IF(Tasks[[#This Row],[_DoneTo]]&gt;0,Tasks[[#This Row],[_DoneTo]]+1,Tasks[[#This Row],[Start]])))</f>
        <v>0</v>
      </c>
      <c r="GX186" s="91" t="n">
        <f aca="false">IF(Tasks[[#This Row],[_RemFrom]]=0,0,Tasks[[#This Row],[Finish]])</f>
        <v>0</v>
      </c>
      <c r="GY186" s="90" t="b">
        <f aca="false">IF(Tasks[[#This Row],[Task Name]]="",FALSE(),OR(NOT(BaselineSet),N(Tasks[[#This Row],[Baseline Start]])&gt;0))</f>
        <v>0</v>
      </c>
      <c r="GZ18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6" s="92" t="str">
        <f aca="false">IF(Tasks[[#This Row],[_IsLeaf]]=1,Tasks[[#This Row],[_Row]],"")</f>
        <v/>
      </c>
      <c r="HD186" s="92" t="str">
        <f aca="false">IFERROR(INDEX(Tasks[UID],SMALL(Tasks[_PickKey],Tasks[[#This Row],[_Row]]))&amp;" "&amp;INDEX(Tasks[Task Name],SMALL(Tasks[_PickKey],Tasks[[#This Row],[_Row]])),"")</f>
        <v/>
      </c>
      <c r="HE186" s="43" t="str">
        <f aca="false">IF(Tasks[[#This Row],[Task Name]]="","",IF(Tasks[[#This Row],[_IsSummary]],NETWORKDAYS.INTL(Tasks[[#This Row],[Start]],Tasks[[#This Row],[Finish]],WorkWeek,Holidays),N(Tasks[[#This Row],[_Days]])))</f>
        <v/>
      </c>
      <c r="HF186" s="43" t="n">
        <f aca="false">IF(Tasks[[#This Row],[Expected]]="",0,((Tasks[[#This Row],[Pessimistic]]-Tasks[[#This Row],[Optimistic]])/6)^2)</f>
        <v>0</v>
      </c>
      <c r="HG186" s="43" t="n">
        <f aca="false">IF(Tasks[[#This Row],[Expected]]="",0,Tasks[[#This Row],[Expected]]-N(Tasks[[#This Row],[_Days]]))</f>
        <v>0</v>
      </c>
    </row>
    <row r="187" customFormat="false" ht="15" hidden="false" customHeight="false" outlineLevel="0" collapsed="false">
      <c r="A187" s="21" t="str">
        <f aca="false">IF(Tasks[[#This Row],[Task Name]]="","",COUNTA(Tasks[[#Headers],[Task Name]]:Tasks[[#This Row],[Task Name]])-1)</f>
        <v/>
      </c>
      <c r="B187" s="22" t="n">
        <v>195</v>
      </c>
      <c r="C187" s="22"/>
      <c r="D187" s="23"/>
      <c r="E187" s="22"/>
      <c r="F187" s="23"/>
      <c r="G187" s="22"/>
      <c r="H187" s="22"/>
      <c r="I187" s="23"/>
      <c r="J187" s="22"/>
      <c r="K187" s="22"/>
      <c r="L187" s="23"/>
      <c r="M187" s="22"/>
      <c r="N187" s="22"/>
      <c r="O187" s="23"/>
      <c r="P187" s="22"/>
      <c r="Q187" s="22"/>
      <c r="R187" s="23"/>
      <c r="S187" s="23"/>
      <c r="T187" s="84"/>
      <c r="U187" s="23"/>
      <c r="V187" s="84"/>
      <c r="W187" s="23"/>
      <c r="X187" s="84"/>
      <c r="Y187" s="23"/>
      <c r="Z187" s="84"/>
      <c r="AA187" s="23"/>
      <c r="AB187" s="23"/>
      <c r="AC187" s="7"/>
      <c r="AD187" s="7"/>
      <c r="AE187" s="63" t="str">
        <f aca="false">IF(Tasks[[#This Row],[Task Name]]="","",IF(Tasks[[#This Row],[_IsSummary]],MIN(INDEX(Tasks[_ShownFcstStart],Tasks[[#This Row],[_Row]]+1):INDEX(Tasks[_ShownFcstStart],Tasks[[#This Row],[_Row]]+Tasks[[#This Row],[_Descendants]])),Tasks[[#This Row],[_ShownFcstStart]]))</f>
        <v/>
      </c>
      <c r="AF187" s="63" t="str">
        <f aca="false">IF(Tasks[[#This Row],[Task Name]]="","",IF(Tasks[[#This Row],[_IsSummary]],MAX(INDEX(Tasks[_ShownFcstFinish],Tasks[[#This Row],[_Row]]+1):INDEX(Tasks[_ShownFcstFinish],Tasks[[#This Row],[_Row]]+Tasks[[#This Row],[_Descendants]])),Tasks[[#This Row],[_ShownFcstFinish]]))</f>
        <v/>
      </c>
      <c r="AG187" s="21" t="str">
        <f aca="false">""</f>
        <v/>
      </c>
      <c r="AH187" s="23"/>
      <c r="AI1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7" s="7"/>
      <c r="AK187" s="22"/>
      <c r="AL187" s="23"/>
      <c r="AM187" s="7"/>
      <c r="AN187" s="47" t="str">
        <f aca="false">IF(Tasks[[#This Row],[Task Name]]="","",IF(Tasks[[#This Row],[Finish]]&gt;=Tasks[[#This Row],[Planned Finish]],NETWORKDAYS.INTL(Tasks[[#This Row],[Planned Finish]],Tasks[[#This Row],[Finish]],WorkWeek,Holidays)-1,1-NETWORKDAYS.INTL(Tasks[[#This Row],[Finish]],Tasks[[#This Row],[Planned Finish]],WorkWeek,Holidays)))</f>
        <v/>
      </c>
      <c r="AO187" s="21" t="str">
        <f aca="false">IF(Tasks[[#This Row],[Task Name]]="","",IF(Tasks[[#This Row],[Progress]]&gt;=1,"Complete",IF(OR(N(Tasks[[#This Row],[Actual Start]])&gt;0,Tasks[[#This Row],[Progress]]&gt;0),IF(Tasks[[#This Row],[Finish Var]]&gt;0,"Behind","In Progress"),IF(Tasks[[#This Row],[Planned Start]]&lt;StatusDate,"Late Start","Not Started"))))</f>
        <v/>
      </c>
      <c r="AP187" s="21" t="str">
        <f aca="false">IF(Tasks[[#This Row],[Task Name]]="","",IF(IF(Tasks[[#This Row],[_IsSummary]],COUNTIF(INDEX(Tasks[_LeafCritical],Tasks[[#This Row],[_Row]]+1):INDEX(Tasks[_LeafCritical],Tasks[[#This Row],[_Row]]+Tasks[[#This Row],[_Descendants]]),TRUE())&gt;0,Tasks[[#This Row],[_LeafCritical]]),"Yes",""))</f>
        <v/>
      </c>
      <c r="AQ187" s="63" t="str">
        <f aca="false">IF(Tasks[[#This Row],[Task Name]]="","",IF(N(Tasks[[#This Row],[Baseline Start]])&gt;0,Tasks[[#This Row],[Baseline Start]],Tasks[[#This Row],[_CalcStart]]))</f>
        <v/>
      </c>
      <c r="AR187" s="63" t="str">
        <f aca="false">IF(Tasks[[#This Row],[Task Name]]="","",IF(N(Tasks[[#This Row],[Baseline Finish]])&gt;0,Tasks[[#This Row],[Baseline Finish]],Tasks[[#This Row],[_CalcFinish]]))</f>
        <v/>
      </c>
      <c r="AS187" s="47" t="str">
        <f aca="false">IF(Tasks[[#This Row],[Task Name]]="","",IF(Tasks[[#This Row],[Start]]&gt;=Tasks[[#This Row],[Planned Start]],NETWORKDAYS.INTL(Tasks[[#This Row],[Planned Start]],Tasks[[#This Row],[Start]],WorkWeek,Holidays)-1,1-NETWORKDAYS.INTL(Tasks[[#This Row],[Start]],Tasks[[#This Row],[Planned Start]],WorkWeek,Holidays)))</f>
        <v/>
      </c>
      <c r="AT187" s="63" t="str">
        <f aca="false">IF(Tasks[[#This Row],[Task Name]]="","",IF(Tasks[[#This Row],[_IsSummary]],MIN(INDEX(Tasks[_LeafLateStart],Tasks[[#This Row],[_Row]]+1):INDEX(Tasks[_LeafLateStart],Tasks[[#This Row],[_Row]]+Tasks[[#This Row],[_Descendants]])),Tasks[[#This Row],[_LeafLateStart]]))</f>
        <v/>
      </c>
      <c r="AU187" s="63" t="str">
        <f aca="false">IF(Tasks[[#This Row],[Task Name]]="","",IF(Tasks[[#This Row],[_IsSummary]],MAX(INDEX(Tasks[_LeafLateFinish],Tasks[[#This Row],[_Row]]+1):INDEX(Tasks[_LeafLateFinish],Tasks[[#This Row],[_Row]]+Tasks[[#This Row],[_Descendants]])),Tasks[[#This Row],[_LeafLateFinish]]))</f>
        <v/>
      </c>
      <c r="AV187" s="47" t="str">
        <f aca="false">IF(Tasks[[#This Row],[Task Name]]="","",IF(Tasks[[#This Row],[_IsSummary]],MIN(INDEX(Tasks[_LeafTotalSlack],Tasks[[#This Row],[_Row]]+1):INDEX(Tasks[_LeafTotalSlack],Tasks[[#This Row],[_Row]]+Tasks[[#This Row],[_Descendants]])),Tasks[[#This Row],[_LeafTotalSlack]]))</f>
        <v/>
      </c>
      <c r="AW1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5"/>
      <c r="BA18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t="str">
        <f aca="false">IF(Tasks[[#This Row],[Task Name]]="","",IF(Tasks[[#This Row],[_Level]]&lt;=OutlineShowLevel,"Yes","No"))</f>
        <v/>
      </c>
      <c r="BE187" s="86" t="str">
        <f aca="false">IF(Tasks[[#This Row],[Task Name]]="","",IF(Tasks[[#This Row],[_IsSummary]],SUM(INDEX(Tasks[_LeafTotalWork],Tasks[[#This Row],[_Row]]+1):INDEX(Tasks[_LeafTotalWork],Tasks[[#This Row],[_Row]]+Tasks[[#This Row],[_Descendants]])),Tasks[[#This Row],[_LeafTotalWork]]))</f>
        <v/>
      </c>
      <c r="BF187" s="23"/>
      <c r="BG1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t="str">
        <f aca="false">""</f>
        <v/>
      </c>
      <c r="BI187" s="87"/>
      <c r="BJ187" s="22"/>
      <c r="BK187" s="47" t="str">
        <f aca="false">IF(OR(Tasks[[#This Row],[Task Name]]="",Tasks[[#This Row],[Baseline Duration]]=""),"",Tasks[[#This Row],[_SpanDays]]-N(Tasks[[#This Row],[Baseline Duration]]))</f>
        <v/>
      </c>
      <c r="BL187" s="86" t="str">
        <f aca="false">IF(OR(Tasks[[#This Row],[Task Name]]="",Tasks[[#This Row],[Baseline Work]]=""),"",Tasks[[#This Row],[Work]]-N(Tasks[[#This Row],[Baseline Work]]))</f>
        <v/>
      </c>
      <c r="BM187" s="63" t="str">
        <f aca="false">IF(Tasks[[#This Row],[Task Name]]="","",IF(OR(TakeBaseline="Yes",N(Tasks[[#This Row],[Baseline Start]])=0),Tasks[[#This Row],[Start]],Tasks[[#This Row],[Baseline Start]]))</f>
        <v/>
      </c>
      <c r="BN187" s="63" t="str">
        <f aca="false">IF(Tasks[[#This Row],[Task Name]]="","",IF(OR(TakeBaseline="Yes",N(Tasks[[#This Row],[Baseline Finish]])=0),Tasks[[#This Row],[Finish]],Tasks[[#This Row],[Baseline Finish]]))</f>
        <v/>
      </c>
      <c r="BO187" s="21" t="str">
        <f aca="false">IF(Tasks[[#This Row],[Task Name]]="","",IF(OR(TakeBaseline="Yes",N(Tasks[[#This Row],[Baseline Duration]])=0),Tasks[[#This Row],[_SpanDays]],Tasks[[#This Row],[Baseline Duration]]))</f>
        <v/>
      </c>
      <c r="BP187" s="86" t="str">
        <f aca="false">IF(Tasks[[#This Row],[Task Name]]="","",IF(OR(TakeBaseline="Yes",N(Tasks[[#This Row],[Baseline Work]])=0),Tasks[[#This Row],[Work]],Tasks[[#This Row],[Baseline Work]]))</f>
        <v/>
      </c>
      <c r="BQ187" s="7"/>
      <c r="BR187" s="7"/>
      <c r="BS187" s="22"/>
      <c r="BT187" s="88"/>
      <c r="BU187" s="23"/>
      <c r="BV187" s="23"/>
      <c r="BW187" s="23"/>
      <c r="BX187" s="89" t="str">
        <f aca="false">IF(AND(Tasks[[#This Row],[_IsLeaf]]=1,ISNUMBER(Tasks[[#This Row],[Optimistic]]),ISNUMBER(Tasks[[#This Row],[Pessimistic]])),ROUND((Tasks[[#This Row],[Optimistic]]+4*N(Tasks[[#This Row],[_Days]])+Tasks[[#This Row],[Pessimistic]])/6,1),"")</f>
        <v/>
      </c>
      <c r="BY187" s="87"/>
      <c r="BZ187" s="87"/>
      <c r="CA187" s="22"/>
      <c r="CB187" s="43" t="str">
        <f aca="false">IF(Tasks[[#This Row],[Task Name]]="","",MAX(1,N(Tasks[[#This Row],[Level]])))</f>
        <v/>
      </c>
      <c r="CC187" s="43" t="n">
        <f aca="false">ROW()-ROW(Tasks[[#Headers],[ID]])</f>
        <v>182</v>
      </c>
      <c r="CD187" s="43" t="n">
        <f aca="false">IF(OR(Tasks[[#This Row],[Task Name]]="",Tasks[[#This Row],[_Level]]&lt;=1),0,IFERROR(LOOKUP(2,1/(Tasks[[#Headers],[_Level]]:Tasks[[#This Row],[_Level]]=Tasks[[#This Row],[_Level]]-1),ROW(Tasks[[#Headers],[_Level]]:Tasks[[#This Row],[_Level]])),0))</f>
        <v>0</v>
      </c>
      <c r="CE187" s="43" t="n">
        <f aca="false">IFERROR(N(INDEX(Tasks[_Level],Tasks[[#This Row],[_Row]]+1)),0)</f>
        <v>0</v>
      </c>
      <c r="CF187" s="90" t="b">
        <f aca="false">AND(Tasks[[#This Row],[Task Name]]&lt;&gt;"",Tasks[[#This Row],[_NextLevel]]&gt;Tasks[[#This Row],[_Level]])</f>
        <v>0</v>
      </c>
      <c r="CG187" s="43" t="n">
        <f aca="false">IF(Tasks[[#This Row],[_IsSummary]],COUNTIF(Tasks[WBS],Tasks[[#This Row],[WBS]]&amp;".*"),0)</f>
        <v>0</v>
      </c>
      <c r="CH187" s="43" t="n">
        <f aca="false">IF(AND(Tasks[[#This Row],[Task Name]]&lt;&gt;"",NOT(Tasks[[#This Row],[_IsSummary]])),1,0)</f>
        <v>0</v>
      </c>
      <c r="CI187" s="43" t="n">
        <f aca="false">IF(N(Tasks[[#This Row],[_Pred1UID]])=0,0,IFERROR(MATCH(Tasks[[#This Row],[_Pred1UID]],Tasks[UID],0),-1))</f>
        <v>0</v>
      </c>
      <c r="CJ187" s="43" t="n">
        <f aca="false">IF(N(Tasks[[#This Row],[_Pred2UID]])=0,0,IFERROR(MATCH(Tasks[[#This Row],[_Pred2UID]],Tasks[UID],0),-1))</f>
        <v>0</v>
      </c>
      <c r="CK187" s="43" t="n">
        <f aca="false">IF(N(Tasks[[#This Row],[_Pred3UID]])=0,0,IFERROR(MATCH(Tasks[[#This Row],[_Pred3UID]],Tasks[UID],0),-1))</f>
        <v>0</v>
      </c>
      <c r="CL187" s="43" t="n">
        <f aca="false">IF(N(Tasks[[#This Row],[_Pred4UID]])=0,0,IFERROR(MATCH(Tasks[[#This Row],[_Pred4UID]],Tasks[UID],0),-1))</f>
        <v>0</v>
      </c>
      <c r="CM1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7" s="91" t="n">
        <f aca="false">IF(OR(Tasks[[#This Row],[_ConstraintCode]]=2,Tasks[[#This Row],[_ConstraintCode]]=3,Tasks[[#This Row],[_ConstraintCode]]=4,Tasks[[#This Row],[_ConstraintCode]]=6),Tasks[[#This Row],[_ConstraintStart]],0)</f>
        <v>0</v>
      </c>
      <c r="CP187" s="91" t="n">
        <f aca="false">IF(OR(Tasks[[#This Row],[_ConstraintCode]]=2,Tasks[[#This Row],[_ConstraintCode]]=3,Tasks[[#This Row],[_ConstraintCode]]=5,Tasks[[#This Row],[_ConstraintCode]]=7),Tasks[[#This Row],[_ConstraintStart]],2958465)</f>
        <v>2958465</v>
      </c>
      <c r="CQ1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7" s="91" t="str">
        <f aca="false">IF(NOT(Tasks[[#This Row],[_IsLeaf]]=1),"",IF(N(Tasks[[#This Row],[_Days]])&lt;=0,Tasks[[#This Row],[_LeafCalcStart]],WORKDAY.INTL(Tasks[[#This Row],[_LeafCalcStart]],Tasks[[#This Row],[_Days]]-1,WorkWeek,Holidays)))</f>
        <v/>
      </c>
      <c r="CS1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7" s="43" t="str">
        <f aca="false">IF(Tasks[[#This Row],[_Predecessors]]="","",TRIM(MID(SUBSTITUTE(SUBSTITUTE(SUBSTITUTE(UPPER(Tasks[[#This Row],[_Predecessors]]),";",",")," ",""),",",REPT(" ",99)),1,99)))</f>
        <v/>
      </c>
      <c r="CV187" s="43" t="str">
        <f aca="false">IF(Tasks[[#This Row],[_Pred1Text]]="","",IFERROR(VALUE(LEFT(Tasks[[#This Row],[_Pred1Text]],MIN(FIND("F",Tasks[[#This Row],[_Pred1Text]]&amp;"F"),FIND("S",Tasks[[#This Row],[_Pred1Text]]&amp;"S"),FIND("+",Tasks[[#This Row],[_Pred1Text]]&amp;"+"),FIND("-",Tasks[[#This Row],[_Pred1Text]]&amp;"-"))-1)),""))</f>
        <v/>
      </c>
      <c r="CW1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7" s="43" t="str">
        <f aca="false">IF(Tasks[[#This Row],[_Pred1Text]]="","",TRIM(MID(SUBSTITUTE(SUBSTITUTE(SUBSTITUTE(UPPER(Tasks[[#This Row],[_Predecessors]]),";",",")," ",""),",",REPT(" ",99)),100,99)))</f>
        <v/>
      </c>
      <c r="CZ187" s="43" t="str">
        <f aca="false">IF(Tasks[[#This Row],[_Pred2Text]]="","",IFERROR(VALUE(LEFT(Tasks[[#This Row],[_Pred2Text]],MIN(FIND("F",Tasks[[#This Row],[_Pred2Text]]&amp;"F"),FIND("S",Tasks[[#This Row],[_Pred2Text]]&amp;"S"),FIND("+",Tasks[[#This Row],[_Pred2Text]]&amp;"+"),FIND("-",Tasks[[#This Row],[_Pred2Text]]&amp;"-"))-1)),""))</f>
        <v/>
      </c>
      <c r="DA1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7" s="43" t="str">
        <f aca="false">IF(Tasks[[#This Row],[_Pred2Text]]="","",TRIM(MID(SUBSTITUTE(SUBSTITUTE(SUBSTITUTE(UPPER(Tasks[[#This Row],[_Predecessors]]),";",",")," ",""),",",REPT(" ",99)),199,99)))</f>
        <v/>
      </c>
      <c r="DD187" s="43" t="str">
        <f aca="false">IF(Tasks[[#This Row],[_Pred3Text]]="","",IFERROR(VALUE(LEFT(Tasks[[#This Row],[_Pred3Text]],MIN(FIND("F",Tasks[[#This Row],[_Pred3Text]]&amp;"F"),FIND("S",Tasks[[#This Row],[_Pred3Text]]&amp;"S"),FIND("+",Tasks[[#This Row],[_Pred3Text]]&amp;"+"),FIND("-",Tasks[[#This Row],[_Pred3Text]]&amp;"-"))-1)),""))</f>
        <v/>
      </c>
      <c r="DE1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7" s="43" t="str">
        <f aca="false">IF(Tasks[[#This Row],[_Pred3Text]]="","",TRIM(MID(SUBSTITUTE(SUBSTITUTE(SUBSTITUTE(UPPER(Tasks[[#This Row],[_Predecessors]]),";",",")," ",""),",",REPT(" ",99)),298,99)))</f>
        <v/>
      </c>
      <c r="DH187" s="43" t="str">
        <f aca="false">IF(Tasks[[#This Row],[_Pred4Text]]="","",IFERROR(VALUE(LEFT(Tasks[[#This Row],[_Pred4Text]],MIN(FIND("F",Tasks[[#This Row],[_Pred4Text]]&amp;"F"),FIND("S",Tasks[[#This Row],[_Pred4Text]]&amp;"S"),FIND("+",Tasks[[#This Row],[_Pred4Text]]&amp;"+"),FIND("-",Tasks[[#This Row],[_Pred4Text]]&amp;"-"))-1)),""))</f>
        <v/>
      </c>
      <c r="DI1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7" s="43" t="str">
        <f aca="false">IF(OR(Tasks[[#This Row],[Task Name]]="",Tasks[[#This Row],[_Resources]]=""),"",TRIM(MID(SUBSTITUTE(Tasks[[#This Row],[_Resources]],",",REPT(" ",99)),1,99)))</f>
        <v/>
      </c>
      <c r="DL187" s="43" t="str">
        <f aca="false">IF(Tasks[[#This Row],[_Res1Text]]="","",TRIM(MID(SUBSTITUTE(Tasks[[#This Row],[_Resources]],",",REPT(" ",99)),100,99)))</f>
        <v/>
      </c>
      <c r="DM187" s="43" t="str">
        <f aca="false">IF(Tasks[[#This Row],[_Res2Text]]="","",TRIM(MID(SUBSTITUTE(Tasks[[#This Row],[_Resources]],",",REPT(" ",99)),199,99)))</f>
        <v/>
      </c>
      <c r="DN187" s="43" t="str">
        <f aca="false">IF(Tasks[[#This Row],[_Res3Text]]="","",TRIM(MID(SUBSTITUTE(Tasks[[#This Row],[_Resources]],",",REPT(" ",99)),298,99)))</f>
        <v/>
      </c>
      <c r="DO187" s="43" t="n">
        <f aca="false">IF(Tasks[[#This Row],[_Res1Text]]="",0,IFERROR(MATCH(TRIM(LEFT(Tasks[[#This Row],[_Res1Text]],FIND("[",Tasks[[#This Row],[_Res1Text]]&amp;"[")-1)),res_Name,0),IFERROR(MATCH(TRIM(LEFT(Tasks[[#This Row],[_Res1Text]],FIND("[",Tasks[[#This Row],[_Res1Text]]&amp;"[")-1)),res_Initials,0),0)))</f>
        <v>0</v>
      </c>
      <c r="DP187" s="43" t="n">
        <f aca="false">IF(Tasks[[#This Row],[_Res2Text]]="",0,IFERROR(MATCH(TRIM(LEFT(Tasks[[#This Row],[_Res2Text]],FIND("[",Tasks[[#This Row],[_Res2Text]]&amp;"[")-1)),res_Name,0),IFERROR(MATCH(TRIM(LEFT(Tasks[[#This Row],[_Res2Text]],FIND("[",Tasks[[#This Row],[_Res2Text]]&amp;"[")-1)),res_Initials,0),0)))</f>
        <v>0</v>
      </c>
      <c r="DQ187" s="43" t="n">
        <f aca="false">IF(Tasks[[#This Row],[_Res3Text]]="",0,IFERROR(MATCH(TRIM(LEFT(Tasks[[#This Row],[_Res3Text]],FIND("[",Tasks[[#This Row],[_Res3Text]]&amp;"[")-1)),res_Name,0),IFERROR(MATCH(TRIM(LEFT(Tasks[[#This Row],[_Res3Text]],FIND("[",Tasks[[#This Row],[_Res3Text]]&amp;"[")-1)),res_Initials,0),0)))</f>
        <v>0</v>
      </c>
      <c r="DR187" s="43" t="n">
        <f aca="false">IF(Tasks[[#This Row],[_Res4Text]]="",0,IFERROR(MATCH(TRIM(LEFT(Tasks[[#This Row],[_Res4Text]],FIND("[",Tasks[[#This Row],[_Res4Text]]&amp;"[")-1)),res_Name,0),IFERROR(MATCH(TRIM(LEFT(Tasks[[#This Row],[_Res4Text]],FIND("[",Tasks[[#This Row],[_Res4Text]]&amp;"[")-1)),res_Initials,0),0)))</f>
        <v>0</v>
      </c>
      <c r="DS187" s="43" t="str">
        <f aca="false">IF(Tasks[[#This Row],[_Res1Text]]="","",IF(Tasks[[#This Row],[_Res1Row]]&gt;0,INDEX(res_Name,Tasks[[#This Row],[_Res1Row]]),TRIM(LEFT(Tasks[[#This Row],[_Res1Text]],FIND("[",Tasks[[#This Row],[_Res1Text]]&amp;"[")-1))))</f>
        <v/>
      </c>
      <c r="DT1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7" s="43" t="n">
        <f aca="false">IF(NOT(Tasks[[#This Row],[_IsLeaf]]=1),0,(Tasks[[#This Row],[_Resource1]]&lt;&gt;"")+(Tasks[[#This Row],[_Res2]]&lt;&gt;"")+(Tasks[[#This Row],[_Res3]]&lt;&gt;"")+(Tasks[[#This Row],[_Res4]]&lt;&gt;""))</f>
        <v>0</v>
      </c>
      <c r="DV187" s="43" t="str">
        <f aca="false">IF(Tasks[[#This Row],[_Res2Text]]="","",IF(Tasks[[#This Row],[_Res2Row]]&gt;0,INDEX(res_Name,Tasks[[#This Row],[_Res2Row]]),TRIM(LEFT(Tasks[[#This Row],[_Res2Text]],FIND("[",Tasks[[#This Row],[_Res2Text]]&amp;"[")-1))))</f>
        <v/>
      </c>
      <c r="DW1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7" s="43" t="n">
        <f aca="false">IF(OR(NOT(Tasks[[#This Row],[_IsLeaf]]=1),Tasks[[#This Row],[_Res2Row]]=0),0,N(Tasks[[#This Row],[_Days]])*HoursPerDay*IF(Tasks[[#This Row],[_Res2Units]]="",DefaultUnits,Tasks[[#This Row],[_Res2Units]]))</f>
        <v>0</v>
      </c>
      <c r="DY187" s="43" t="n">
        <f aca="false">IF(AND(AND(Tasks[[#This Row],[_IsLeaf]]=1,Tasks[[#This Row],[_LeafTotalWork]]&gt;0),Tasks[[#This Row],[_Res2Work]]&gt;0),Tasks[[#This Row],[_Res2Work]]/(Tasks[[#This Row],[_FinishWorkday]]-Tasks[[#This Row],[_StartWorkday]]+1),0)</f>
        <v>0</v>
      </c>
      <c r="DZ187" s="43" t="n">
        <f aca="false">Tasks[[#This Row],[_Res2WorkPerWD]]*MAX(0,Tasks[[#This Row],[_StartWorkday]]-1)</f>
        <v>0</v>
      </c>
      <c r="EA187" s="43" t="n">
        <f aca="false">Tasks[[#This Row],[_Res2Work]]*Tasks[[#This Row],[_LeafProgress]]</f>
        <v>0</v>
      </c>
      <c r="EB187" s="43" t="str">
        <f aca="false">IF(Tasks[[#This Row],[_Res3Text]]="","",IF(Tasks[[#This Row],[_Res3Row]]&gt;0,INDEX(res_Name,Tasks[[#This Row],[_Res3Row]]),TRIM(LEFT(Tasks[[#This Row],[_Res3Text]],FIND("[",Tasks[[#This Row],[_Res3Text]]&amp;"[")-1))))</f>
        <v/>
      </c>
      <c r="EC1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7" s="43" t="n">
        <f aca="false">IF(OR(NOT(Tasks[[#This Row],[_IsLeaf]]=1),Tasks[[#This Row],[_Res3Row]]=0),0,N(Tasks[[#This Row],[_Days]])*HoursPerDay*IF(Tasks[[#This Row],[_Res3Units]]="",DefaultUnits,Tasks[[#This Row],[_Res3Units]]))</f>
        <v>0</v>
      </c>
      <c r="EE187" s="43" t="n">
        <f aca="false">IF(AND(AND(Tasks[[#This Row],[_IsLeaf]]=1,Tasks[[#This Row],[_LeafTotalWork]]&gt;0),Tasks[[#This Row],[_Res3Work]]&gt;0),Tasks[[#This Row],[_Res3Work]]/(Tasks[[#This Row],[_FinishWorkday]]-Tasks[[#This Row],[_StartWorkday]]+1),0)</f>
        <v>0</v>
      </c>
      <c r="EF187" s="43" t="n">
        <f aca="false">Tasks[[#This Row],[_Res3WorkPerWD]]*MAX(0,Tasks[[#This Row],[_StartWorkday]]-1)</f>
        <v>0</v>
      </c>
      <c r="EG187" s="43" t="n">
        <f aca="false">Tasks[[#This Row],[_Res3Work]]*Tasks[[#This Row],[_LeafProgress]]</f>
        <v>0</v>
      </c>
      <c r="EH187" s="43" t="str">
        <f aca="false">IF(Tasks[[#This Row],[_Res4Text]]="","",IF(Tasks[[#This Row],[_Res4Row]]&gt;0,INDEX(res_Name,Tasks[[#This Row],[_Res4Row]]),TRIM(LEFT(Tasks[[#This Row],[_Res4Text]],FIND("[",Tasks[[#This Row],[_Res4Text]]&amp;"[")-1))))</f>
        <v/>
      </c>
      <c r="EI1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7" s="43" t="n">
        <f aca="false">IF(OR(NOT(Tasks[[#This Row],[_IsLeaf]]=1),Tasks[[#This Row],[_Res4Row]]=0),0,N(Tasks[[#This Row],[_Days]])*HoursPerDay*IF(Tasks[[#This Row],[_Res4Units]]="",DefaultUnits,Tasks[[#This Row],[_Res4Units]]))</f>
        <v>0</v>
      </c>
      <c r="EK187" s="43" t="n">
        <f aca="false">IF(AND(AND(Tasks[[#This Row],[_IsLeaf]]=1,Tasks[[#This Row],[_LeafTotalWork]]&gt;0),Tasks[[#This Row],[_Res4Work]]&gt;0),Tasks[[#This Row],[_Res4Work]]/(Tasks[[#This Row],[_FinishWorkday]]-Tasks[[#This Row],[_StartWorkday]]+1),0)</f>
        <v>0</v>
      </c>
      <c r="EL187" s="43" t="n">
        <f aca="false">Tasks[[#This Row],[_Res4WorkPerWD]]*MAX(0,Tasks[[#This Row],[_StartWorkday]]-1)</f>
        <v>0</v>
      </c>
      <c r="EM187" s="43" t="n">
        <f aca="false">Tasks[[#This Row],[_Res4Work]]*Tasks[[#This Row],[_LeafProgress]]</f>
        <v>0</v>
      </c>
      <c r="EN187" s="43" t="n">
        <f aca="false">IF(ISNUMBER(Tasks[[#This Row],[% Complete]]),Tasks[[#This Row],[% Complete]],IF(Tasks[[#This Row],[Stage]]="",0,IFERROR(INDEX(stg_Pct,MATCH(Tasks[[#This Row],[Stage]],stg_Name,0)),0)))</f>
        <v>0</v>
      </c>
      <c r="EO187" s="43" t="n">
        <f aca="false">IF(NOT(Tasks[[#This Row],[_IsLeaf]]=1),0,IF(N(Tasks[[#This Row],[Actual Finish]])&gt;0,1,MIN(1,Tasks[[#This Row],[_Pct]])))</f>
        <v>0</v>
      </c>
      <c r="EP187" s="43" t="n">
        <f aca="false">IF(OR(NOT(Tasks[[#This Row],[_IsLeaf]]=1),Tasks[[#This Row],[_Res1Row]]=0),0,N(Tasks[[#This Row],[_Days]])*HoursPerDay*IF(Tasks[[#This Row],[_Units1]]="",DefaultUnits,Tasks[[#This Row],[_Units1]]))</f>
        <v>0</v>
      </c>
      <c r="EQ187" s="43" t="n">
        <f aca="false">Tasks[[#This Row],[_LeafWork]]+Tasks[[#This Row],[_Res2Work]]+Tasks[[#This Row],[_Res3Work]]+Tasks[[#This Row],[_Res4Work]]</f>
        <v>0</v>
      </c>
      <c r="ER18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7" s="43" t="n">
        <f aca="false">IF(NOT(Tasks[[#This Row],[_IsLeaf]]=1),0,MAX(_xlfn.MAXIFS(Tasks[_Row],Tasks[_Pred1UID],Tasks[[#This Row],[UID]]),_xlfn.MAXIFS(Tasks[_Row],Tasks[_Pred2UID],Tasks[[#This Row],[UID]]),_xlfn.MAXIFS(Tasks[_Row],Tasks[_Pred3UID],Tasks[[#This Row],[UID]]),_xlfn.MAXIFS(Tasks[_Row],Tasks[_Pred4UID],Tasks[[#This Row],[UID]])))</f>
        <v>0</v>
      </c>
      <c r="FA1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7" s="91" t="str">
        <f aca="false">IF(NOT(Tasks[[#This Row],[_IsLeaf]]=1),"",IF(N(Tasks[[#This Row],[_Days]])&lt;=0,Tasks[[#This Row],[_LeafLateFinish]],WORKDAY.INTL(Tasks[[#This Row],[_LeafLateFinish]],-(Tasks[[#This Row],[_Days]]-1),WorkWeek,Holidays)))</f>
        <v/>
      </c>
      <c r="FD1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7" s="90" t="b">
        <f aca="false">AND(Tasks[[#This Row],[_IsLeaf]]=1,Tasks[[#This Row],[_LeafProgress]]&lt;1,N(Tasks[[#This Row],[_LeafTotalSlack]])&lt;=CriticalSlackDays)</f>
        <v>0</v>
      </c>
      <c r="FF187" s="43" t="n">
        <f aca="false">IF(AND(Tasks[[#This Row],[_IsLeaf]]=1,Tasks[[#This Row],[_ConstraintCode]]=1,Tasks[[#This Row],[Mode]]&lt;&gt;"Manual",N(Tasks[[#This Row],[Actual Start]])=0),MAX(0,N(Tasks[[#This Row],[Free Slack]])),0)</f>
        <v>0</v>
      </c>
      <c r="FG187" s="91" t="str">
        <f aca="false">IF(NOT(Tasks[[#This Row],[_IsLeaf]]=1),"",IF(Tasks[[#This Row],[_AlapShift]]=0,Tasks[[#This Row],[_LeafCalcStart]],WORKDAY.INTL(Tasks[[#This Row],[_LeafCalcStart]],Tasks[[#This Row],[_AlapShift]],WorkWeek,Holidays)))</f>
        <v/>
      </c>
      <c r="FH187" s="91" t="str">
        <f aca="false">IF(NOT(Tasks[[#This Row],[_IsLeaf]]=1),"",IF(Tasks[[#This Row],[_AlapShift]]=0,Tasks[[#This Row],[_LeafCalcFinish]],WORKDAY.INTL(Tasks[[#This Row],[_LeafCalcFinish]],Tasks[[#This Row],[_AlapShift]],WorkWeek,Holidays)))</f>
        <v/>
      </c>
      <c r="FI187" s="91" t="str">
        <f aca="false">IF(NOT(Tasks[[#This Row],[_IsLeaf]]=1),"",IF(Tasks[[#This Row],[_AlapShift]]=0,Tasks[[#This Row],[_LeafFcstStart]],WORKDAY.INTL(Tasks[[#This Row],[_LeafFcstStart]],Tasks[[#This Row],[_AlapShift]],WorkWeek,Holidays)))</f>
        <v/>
      </c>
      <c r="FJ187" s="91" t="str">
        <f aca="false">IF(NOT(Tasks[[#This Row],[_IsLeaf]]=1),"",IF(Tasks[[#This Row],[_AlapShift]]=0,Tasks[[#This Row],[_LeafFcstFinish]],WORKDAY.INTL(Tasks[[#This Row],[_LeafFcstFinish]],Tasks[[#This Row],[_AlapShift]],WorkWeek,Holidays)))</f>
        <v/>
      </c>
      <c r="FK187" s="91" t="str">
        <f aca="false">IF(Tasks[[#This Row],[Task Name]]="","",IF(Tasks[[#This Row],[_IsSummary]],MIN(INDEX(Tasks[_ShownCalcStart],Tasks[[#This Row],[_Row]]+1):INDEX(Tasks[_ShownCalcStart],Tasks[[#This Row],[_Row]]+Tasks[[#This Row],[_Descendants]])),Tasks[[#This Row],[_ShownCalcStart]]))</f>
        <v/>
      </c>
      <c r="FL187" s="91" t="str">
        <f aca="false">IF(Tasks[[#This Row],[Task Name]]="","",IF(Tasks[[#This Row],[_IsSummary]],MAX(INDEX(Tasks[_ShownCalcFinish],Tasks[[#This Row],[_Row]]+1):INDEX(Tasks[_ShownCalcFinish],Tasks[[#This Row],[_Row]]+Tasks[[#This Row],[_Descendants]])),Tasks[[#This Row],[_ShownCalcFinish]]))</f>
        <v/>
      </c>
      <c r="FM1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7" s="43" t="n">
        <f aca="false">IF(AND(Tasks[[#This Row],[_IsLeaf]]=1,Tasks[[#This Row],[_LeafTotalWork]]&gt;0),NETWORKDAYS.INTL(ProjectStart,Tasks[[#This Row],[_ShownFcstStart]],WorkWeek,Holidays),0)</f>
        <v>0</v>
      </c>
      <c r="FZ187" s="43" t="n">
        <f aca="false">IF(AND(Tasks[[#This Row],[_IsLeaf]]=1,Tasks[[#This Row],[_LeafTotalWork]]&gt;0),MAX(Tasks[[#This Row],[_StartWorkday]],NETWORKDAYS.INTL(ProjectStart,Tasks[[#This Row],[_ShownFcstFinish]],WorkWeek,Holidays)),0)</f>
        <v>0</v>
      </c>
      <c r="GA187" s="43" t="n">
        <f aca="false">IF(AND(Tasks[[#This Row],[_IsLeaf]]=1,Tasks[[#This Row],[_LeafTotalWork]]&gt;0),Tasks[[#This Row],[_LeafWork]]/(Tasks[[#This Row],[_FinishWorkday]]-Tasks[[#This Row],[_StartWorkday]]+1),0)</f>
        <v>0</v>
      </c>
      <c r="GB187" s="43" t="n">
        <f aca="false">Tasks[[#This Row],[_WorkPerWorkday]]*(Tasks[[#This Row],[_StartWorkday]]-1)</f>
        <v>-0</v>
      </c>
      <c r="GC187" s="43" t="n">
        <f aca="false">IF(Tasks[[#This Row],[_IsLeaf]]=1,MAX(N(Tasks[[#This Row],[_Days]]),0.1),0)</f>
        <v>0</v>
      </c>
      <c r="GD187" s="43" t="n">
        <f aca="false">Tasks[[#This Row],[_WeightDur]]*Tasks[[#This Row],[_LeafProgress]]</f>
        <v>0</v>
      </c>
      <c r="GE187" s="43" t="n">
        <f aca="false">Tasks[[#This Row],[_WeightDur]]*Tasks[[#This Row],[_PlannedPct]]</f>
        <v>0</v>
      </c>
      <c r="GF1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7" s="43" t="str">
        <f aca="false">IF(AND(Tasks[[#This Row],[_IsLeaf]]=1,N(Tasks[[#This Row],[_Days]])=0,Tasks[[#This Row],[_LeafProgress]]&lt;1),Tasks[[#This Row],[_ShownFcstFinish]]+Tasks[[#This Row],[_Row]]/100000,"")</f>
        <v/>
      </c>
      <c r="GH1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7" s="43" t="str">
        <f aca="false">IF(Tasks[[#This Row],[Task Name]]="","",LEFT(Tasks[[#This Row],[WBS]],FIND(".",Tasks[[#This Row],[WBS]]&amp;".")-1))</f>
        <v/>
      </c>
      <c r="GJ187" s="43" t="str">
        <f aca="false">IF(AND(Tasks[[#This Row],[Task Name]]&lt;&gt;"",Tasks[[#This Row],[_Level]]=1),Tasks[[#This Row],[_Row]],"")</f>
        <v/>
      </c>
      <c r="GK187" s="43" t="str">
        <f aca="false">IF(AND(Tasks[[#This Row],[_IsLeaf]]=1,N(Tasks[[#This Row],[_Days]])=0),Tasks[[#This Row],[Planned Finish]]+Tasks[[#This Row],[_Row]]/100000,"")</f>
        <v/>
      </c>
      <c r="GL187" s="43" t="str">
        <f aca="false">IF(AND(Tasks[[#This Row],[_IsLeaf]]=1,Tasks[[#This Row],[_LeafProgress]]&lt;1,OR(N(Tasks[[#This Row],[Finish Var]])&gt;0,Tasks[[#This Row],[Status]]="Late Start")),MAX(0,Tasks[[#This Row],[Finish Var]])+1-Tasks[[#This Row],[_Row]]/1000000,"")</f>
        <v/>
      </c>
      <c r="GM187" s="43" t="str">
        <f aca="false">IF(AND(Tasks[[#This Row],[_IsLeaf]]=1,N(Tasks[[#This Row],[Actual Start]])=0,Tasks[[#This Row],[_ShownFcstStart]]&gt;=StatusDate,Tasks[[#This Row],[_ShownFcstStart]]&lt;=LookaheadEnd),Tasks[[#This Row],[_ShownFcstStart]]+Tasks[[#This Row],[_Row]]/100000,"")</f>
        <v/>
      </c>
      <c r="GN187" s="43" t="str">
        <f aca="false">IF(AND(Tasks[[#This Row],[_IsLeaf]]=1,Tasks[[#This Row],[_LeafProgress]]&lt;1,Tasks[[#This Row],[_ShownFcstFinish]]&gt;=StatusDate,Tasks[[#This Row],[_ShownFcstFinish]]&lt;=LookaheadEnd),Tasks[[#This Row],[_ShownFcstFinish]]+Tasks[[#This Row],[_Row]]/100000,"")</f>
        <v/>
      </c>
      <c r="GO187" s="43" t="str">
        <f aca="false">IF(Tasks[[#This Row],[_LeafCritical]],Tasks[[#This Row],[_ShownFcstStart]]+Tasks[[#This Row],[_Row]]/100000,"")</f>
        <v/>
      </c>
      <c r="GP187" s="43" t="n">
        <f aca="false">Tasks[[#This Row],[_LeafWork]]*Tasks[[#This Row],[_LeafProgress]]</f>
        <v>0</v>
      </c>
      <c r="GQ187" s="91" t="str">
        <f aca="false">IF(AND(Tasks[[#This Row],[_IsLeaf]]=1,Tasks[[#This Row],[_LeafProgress]]&gt;=1),IF(N(Tasks[[#This Row],[Actual Finish]])&gt;0,Tasks[[#This Row],[Actual Finish]],Tasks[[#This Row],[_ShownFcstFinish]]),"")</f>
        <v/>
      </c>
      <c r="GR187" s="43" t="n">
        <f aca="false">IF(Tasks[[#This Row],[_IsLeaf]]=1,N(Tasks[[#This Row],[Story Points]]),0)</f>
        <v>0</v>
      </c>
      <c r="GS187" s="43" t="str">
        <f aca="false">""</f>
        <v/>
      </c>
      <c r="GT187" s="90" t="b">
        <f aca="false">IF(Tasks[[#This Row],[Task Name]]="",FALSE(),AND(Tasks[[#This Row],[_IsLeaf]]=1,N(Tasks[[#This Row],[_Days]])=0))</f>
        <v>0</v>
      </c>
      <c r="GU187" s="91" t="n">
        <f aca="false">IF(Tasks[[#This Row],[Task Name]]="",0,IF(AND(Tasks[[#This Row],[_IsLeaf]]=1,NOT(Tasks[[#This Row],[_IsMilestone]]),N(Tasks[[#This Row],[Progress]])&gt;0),Tasks[[#This Row],[Start]],0))</f>
        <v>0</v>
      </c>
      <c r="GV187" s="91" t="n">
        <f aca="false">IF(Tasks[[#This Row],[_DoneFrom]]=0,0,IF(Tasks[[#This Row],[Progress]]&gt;=1,Tasks[[#This Row],[Finish]],MAX(Tasks[[#This Row],[_DoneFrom]],Tasks[[#This Row],[Start]]+ROUND((Tasks[[#This Row],[Finish]]-Tasks[[#This Row],[Start]]+1)*Tasks[[#This Row],[Progress]],0)-1)))</f>
        <v>0</v>
      </c>
      <c r="GW187" s="91" t="n">
        <f aca="false">IF(Tasks[[#This Row],[Task Name]]="",0,IF(OR(NOT(Tasks[[#This Row],[_IsLeaf]]=1),Tasks[[#This Row],[_IsMilestone]],N(Tasks[[#This Row],[Progress]])&gt;=1),0,IF(Tasks[[#This Row],[_DoneTo]]&gt;0,Tasks[[#This Row],[_DoneTo]]+1,Tasks[[#This Row],[Start]])))</f>
        <v>0</v>
      </c>
      <c r="GX187" s="91" t="n">
        <f aca="false">IF(Tasks[[#This Row],[_RemFrom]]=0,0,Tasks[[#This Row],[Finish]])</f>
        <v>0</v>
      </c>
      <c r="GY187" s="90" t="b">
        <f aca="false">IF(Tasks[[#This Row],[Task Name]]="",FALSE(),OR(NOT(BaselineSet),N(Tasks[[#This Row],[Baseline Start]])&gt;0))</f>
        <v>0</v>
      </c>
      <c r="GZ18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7" s="92" t="str">
        <f aca="false">IF(Tasks[[#This Row],[_IsLeaf]]=1,Tasks[[#This Row],[_Row]],"")</f>
        <v/>
      </c>
      <c r="HD187" s="92" t="str">
        <f aca="false">IFERROR(INDEX(Tasks[UID],SMALL(Tasks[_PickKey],Tasks[[#This Row],[_Row]]))&amp;" "&amp;INDEX(Tasks[Task Name],SMALL(Tasks[_PickKey],Tasks[[#This Row],[_Row]])),"")</f>
        <v/>
      </c>
      <c r="HE187" s="43" t="str">
        <f aca="false">IF(Tasks[[#This Row],[Task Name]]="","",IF(Tasks[[#This Row],[_IsSummary]],NETWORKDAYS.INTL(Tasks[[#This Row],[Start]],Tasks[[#This Row],[Finish]],WorkWeek,Holidays),N(Tasks[[#This Row],[_Days]])))</f>
        <v/>
      </c>
      <c r="HF187" s="43" t="n">
        <f aca="false">IF(Tasks[[#This Row],[Expected]]="",0,((Tasks[[#This Row],[Pessimistic]]-Tasks[[#This Row],[Optimistic]])/6)^2)</f>
        <v>0</v>
      </c>
      <c r="HG187" s="43" t="n">
        <f aca="false">IF(Tasks[[#This Row],[Expected]]="",0,Tasks[[#This Row],[Expected]]-N(Tasks[[#This Row],[_Days]]))</f>
        <v>0</v>
      </c>
    </row>
    <row r="188" customFormat="false" ht="15" hidden="false" customHeight="false" outlineLevel="0" collapsed="false">
      <c r="A188" s="21" t="str">
        <f aca="false">IF(Tasks[[#This Row],[Task Name]]="","",COUNTA(Tasks[[#Headers],[Task Name]]:Tasks[[#This Row],[Task Name]])-1)</f>
        <v/>
      </c>
      <c r="B188" s="22" t="n">
        <v>196</v>
      </c>
      <c r="C188" s="22"/>
      <c r="D188" s="23"/>
      <c r="E188" s="22"/>
      <c r="F188" s="23"/>
      <c r="G188" s="22"/>
      <c r="H188" s="22"/>
      <c r="I188" s="23"/>
      <c r="J188" s="22"/>
      <c r="K188" s="22"/>
      <c r="L188" s="23"/>
      <c r="M188" s="22"/>
      <c r="N188" s="22"/>
      <c r="O188" s="23"/>
      <c r="P188" s="22"/>
      <c r="Q188" s="22"/>
      <c r="R188" s="23"/>
      <c r="S188" s="23"/>
      <c r="T188" s="84"/>
      <c r="U188" s="23"/>
      <c r="V188" s="84"/>
      <c r="W188" s="23"/>
      <c r="X188" s="84"/>
      <c r="Y188" s="23"/>
      <c r="Z188" s="84"/>
      <c r="AA188" s="23"/>
      <c r="AB188" s="23"/>
      <c r="AC188" s="7"/>
      <c r="AD188" s="7"/>
      <c r="AE188" s="63" t="str">
        <f aca="false">IF(Tasks[[#This Row],[Task Name]]="","",IF(Tasks[[#This Row],[_IsSummary]],MIN(INDEX(Tasks[_ShownFcstStart],Tasks[[#This Row],[_Row]]+1):INDEX(Tasks[_ShownFcstStart],Tasks[[#This Row],[_Row]]+Tasks[[#This Row],[_Descendants]])),Tasks[[#This Row],[_ShownFcstStart]]))</f>
        <v/>
      </c>
      <c r="AF188" s="63" t="str">
        <f aca="false">IF(Tasks[[#This Row],[Task Name]]="","",IF(Tasks[[#This Row],[_IsSummary]],MAX(INDEX(Tasks[_ShownFcstFinish],Tasks[[#This Row],[_Row]]+1):INDEX(Tasks[_ShownFcstFinish],Tasks[[#This Row],[_Row]]+Tasks[[#This Row],[_Descendants]])),Tasks[[#This Row],[_ShownFcstFinish]]))</f>
        <v/>
      </c>
      <c r="AG188" s="21" t="str">
        <f aca="false">""</f>
        <v/>
      </c>
      <c r="AH188" s="23"/>
      <c r="AI1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8" s="7"/>
      <c r="AK188" s="22"/>
      <c r="AL188" s="23"/>
      <c r="AM188" s="7"/>
      <c r="AN188" s="47" t="str">
        <f aca="false">IF(Tasks[[#This Row],[Task Name]]="","",IF(Tasks[[#This Row],[Finish]]&gt;=Tasks[[#This Row],[Planned Finish]],NETWORKDAYS.INTL(Tasks[[#This Row],[Planned Finish]],Tasks[[#This Row],[Finish]],WorkWeek,Holidays)-1,1-NETWORKDAYS.INTL(Tasks[[#This Row],[Finish]],Tasks[[#This Row],[Planned Finish]],WorkWeek,Holidays)))</f>
        <v/>
      </c>
      <c r="AO188" s="21" t="str">
        <f aca="false">IF(Tasks[[#This Row],[Task Name]]="","",IF(Tasks[[#This Row],[Progress]]&gt;=1,"Complete",IF(OR(N(Tasks[[#This Row],[Actual Start]])&gt;0,Tasks[[#This Row],[Progress]]&gt;0),IF(Tasks[[#This Row],[Finish Var]]&gt;0,"Behind","In Progress"),IF(Tasks[[#This Row],[Planned Start]]&lt;StatusDate,"Late Start","Not Started"))))</f>
        <v/>
      </c>
      <c r="AP188" s="21" t="str">
        <f aca="false">IF(Tasks[[#This Row],[Task Name]]="","",IF(IF(Tasks[[#This Row],[_IsSummary]],COUNTIF(INDEX(Tasks[_LeafCritical],Tasks[[#This Row],[_Row]]+1):INDEX(Tasks[_LeafCritical],Tasks[[#This Row],[_Row]]+Tasks[[#This Row],[_Descendants]]),TRUE())&gt;0,Tasks[[#This Row],[_LeafCritical]]),"Yes",""))</f>
        <v/>
      </c>
      <c r="AQ188" s="63" t="str">
        <f aca="false">IF(Tasks[[#This Row],[Task Name]]="","",IF(N(Tasks[[#This Row],[Baseline Start]])&gt;0,Tasks[[#This Row],[Baseline Start]],Tasks[[#This Row],[_CalcStart]]))</f>
        <v/>
      </c>
      <c r="AR188" s="63" t="str">
        <f aca="false">IF(Tasks[[#This Row],[Task Name]]="","",IF(N(Tasks[[#This Row],[Baseline Finish]])&gt;0,Tasks[[#This Row],[Baseline Finish]],Tasks[[#This Row],[_CalcFinish]]))</f>
        <v/>
      </c>
      <c r="AS188" s="47" t="str">
        <f aca="false">IF(Tasks[[#This Row],[Task Name]]="","",IF(Tasks[[#This Row],[Start]]&gt;=Tasks[[#This Row],[Planned Start]],NETWORKDAYS.INTL(Tasks[[#This Row],[Planned Start]],Tasks[[#This Row],[Start]],WorkWeek,Holidays)-1,1-NETWORKDAYS.INTL(Tasks[[#This Row],[Start]],Tasks[[#This Row],[Planned Start]],WorkWeek,Holidays)))</f>
        <v/>
      </c>
      <c r="AT188" s="63" t="str">
        <f aca="false">IF(Tasks[[#This Row],[Task Name]]="","",IF(Tasks[[#This Row],[_IsSummary]],MIN(INDEX(Tasks[_LeafLateStart],Tasks[[#This Row],[_Row]]+1):INDEX(Tasks[_LeafLateStart],Tasks[[#This Row],[_Row]]+Tasks[[#This Row],[_Descendants]])),Tasks[[#This Row],[_LeafLateStart]]))</f>
        <v/>
      </c>
      <c r="AU188" s="63" t="str">
        <f aca="false">IF(Tasks[[#This Row],[Task Name]]="","",IF(Tasks[[#This Row],[_IsSummary]],MAX(INDEX(Tasks[_LeafLateFinish],Tasks[[#This Row],[_Row]]+1):INDEX(Tasks[_LeafLateFinish],Tasks[[#This Row],[_Row]]+Tasks[[#This Row],[_Descendants]])),Tasks[[#This Row],[_LeafLateFinish]]))</f>
        <v/>
      </c>
      <c r="AV188" s="47" t="str">
        <f aca="false">IF(Tasks[[#This Row],[Task Name]]="","",IF(Tasks[[#This Row],[_IsSummary]],MIN(INDEX(Tasks[_LeafTotalSlack],Tasks[[#This Row],[_Row]]+1):INDEX(Tasks[_LeafTotalSlack],Tasks[[#This Row],[_Row]]+Tasks[[#This Row],[_Descendants]])),Tasks[[#This Row],[_LeafTotalSlack]]))</f>
        <v/>
      </c>
      <c r="AW1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5"/>
      <c r="BA18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t="str">
        <f aca="false">IF(Tasks[[#This Row],[Task Name]]="","",IF(Tasks[[#This Row],[_Level]]&lt;=OutlineShowLevel,"Yes","No"))</f>
        <v/>
      </c>
      <c r="BE188" s="86" t="str">
        <f aca="false">IF(Tasks[[#This Row],[Task Name]]="","",IF(Tasks[[#This Row],[_IsSummary]],SUM(INDEX(Tasks[_LeafTotalWork],Tasks[[#This Row],[_Row]]+1):INDEX(Tasks[_LeafTotalWork],Tasks[[#This Row],[_Row]]+Tasks[[#This Row],[_Descendants]])),Tasks[[#This Row],[_LeafTotalWork]]))</f>
        <v/>
      </c>
      <c r="BF188" s="23"/>
      <c r="BG1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t="str">
        <f aca="false">""</f>
        <v/>
      </c>
      <c r="BI188" s="87"/>
      <c r="BJ188" s="22"/>
      <c r="BK188" s="47" t="str">
        <f aca="false">IF(OR(Tasks[[#This Row],[Task Name]]="",Tasks[[#This Row],[Baseline Duration]]=""),"",Tasks[[#This Row],[_SpanDays]]-N(Tasks[[#This Row],[Baseline Duration]]))</f>
        <v/>
      </c>
      <c r="BL188" s="86" t="str">
        <f aca="false">IF(OR(Tasks[[#This Row],[Task Name]]="",Tasks[[#This Row],[Baseline Work]]=""),"",Tasks[[#This Row],[Work]]-N(Tasks[[#This Row],[Baseline Work]]))</f>
        <v/>
      </c>
      <c r="BM188" s="63" t="str">
        <f aca="false">IF(Tasks[[#This Row],[Task Name]]="","",IF(OR(TakeBaseline="Yes",N(Tasks[[#This Row],[Baseline Start]])=0),Tasks[[#This Row],[Start]],Tasks[[#This Row],[Baseline Start]]))</f>
        <v/>
      </c>
      <c r="BN188" s="63" t="str">
        <f aca="false">IF(Tasks[[#This Row],[Task Name]]="","",IF(OR(TakeBaseline="Yes",N(Tasks[[#This Row],[Baseline Finish]])=0),Tasks[[#This Row],[Finish]],Tasks[[#This Row],[Baseline Finish]]))</f>
        <v/>
      </c>
      <c r="BO188" s="21" t="str">
        <f aca="false">IF(Tasks[[#This Row],[Task Name]]="","",IF(OR(TakeBaseline="Yes",N(Tasks[[#This Row],[Baseline Duration]])=0),Tasks[[#This Row],[_SpanDays]],Tasks[[#This Row],[Baseline Duration]]))</f>
        <v/>
      </c>
      <c r="BP188" s="86" t="str">
        <f aca="false">IF(Tasks[[#This Row],[Task Name]]="","",IF(OR(TakeBaseline="Yes",N(Tasks[[#This Row],[Baseline Work]])=0),Tasks[[#This Row],[Work]],Tasks[[#This Row],[Baseline Work]]))</f>
        <v/>
      </c>
      <c r="BQ188" s="7"/>
      <c r="BR188" s="7"/>
      <c r="BS188" s="22"/>
      <c r="BT188" s="88"/>
      <c r="BU188" s="23"/>
      <c r="BV188" s="23"/>
      <c r="BW188" s="23"/>
      <c r="BX188" s="89" t="str">
        <f aca="false">IF(AND(Tasks[[#This Row],[_IsLeaf]]=1,ISNUMBER(Tasks[[#This Row],[Optimistic]]),ISNUMBER(Tasks[[#This Row],[Pessimistic]])),ROUND((Tasks[[#This Row],[Optimistic]]+4*N(Tasks[[#This Row],[_Days]])+Tasks[[#This Row],[Pessimistic]])/6,1),"")</f>
        <v/>
      </c>
      <c r="BY188" s="87"/>
      <c r="BZ188" s="87"/>
      <c r="CA188" s="22"/>
      <c r="CB188" s="43" t="str">
        <f aca="false">IF(Tasks[[#This Row],[Task Name]]="","",MAX(1,N(Tasks[[#This Row],[Level]])))</f>
        <v/>
      </c>
      <c r="CC188" s="43" t="n">
        <f aca="false">ROW()-ROW(Tasks[[#Headers],[ID]])</f>
        <v>183</v>
      </c>
      <c r="CD188" s="43" t="n">
        <f aca="false">IF(OR(Tasks[[#This Row],[Task Name]]="",Tasks[[#This Row],[_Level]]&lt;=1),0,IFERROR(LOOKUP(2,1/(Tasks[[#Headers],[_Level]]:Tasks[[#This Row],[_Level]]=Tasks[[#This Row],[_Level]]-1),ROW(Tasks[[#Headers],[_Level]]:Tasks[[#This Row],[_Level]])),0))</f>
        <v>0</v>
      </c>
      <c r="CE188" s="43" t="n">
        <f aca="false">IFERROR(N(INDEX(Tasks[_Level],Tasks[[#This Row],[_Row]]+1)),0)</f>
        <v>0</v>
      </c>
      <c r="CF188" s="90" t="b">
        <f aca="false">AND(Tasks[[#This Row],[Task Name]]&lt;&gt;"",Tasks[[#This Row],[_NextLevel]]&gt;Tasks[[#This Row],[_Level]])</f>
        <v>0</v>
      </c>
      <c r="CG188" s="43" t="n">
        <f aca="false">IF(Tasks[[#This Row],[_IsSummary]],COUNTIF(Tasks[WBS],Tasks[[#This Row],[WBS]]&amp;".*"),0)</f>
        <v>0</v>
      </c>
      <c r="CH188" s="43" t="n">
        <f aca="false">IF(AND(Tasks[[#This Row],[Task Name]]&lt;&gt;"",NOT(Tasks[[#This Row],[_IsSummary]])),1,0)</f>
        <v>0</v>
      </c>
      <c r="CI188" s="43" t="n">
        <f aca="false">IF(N(Tasks[[#This Row],[_Pred1UID]])=0,0,IFERROR(MATCH(Tasks[[#This Row],[_Pred1UID]],Tasks[UID],0),-1))</f>
        <v>0</v>
      </c>
      <c r="CJ188" s="43" t="n">
        <f aca="false">IF(N(Tasks[[#This Row],[_Pred2UID]])=0,0,IFERROR(MATCH(Tasks[[#This Row],[_Pred2UID]],Tasks[UID],0),-1))</f>
        <v>0</v>
      </c>
      <c r="CK188" s="43" t="n">
        <f aca="false">IF(N(Tasks[[#This Row],[_Pred3UID]])=0,0,IFERROR(MATCH(Tasks[[#This Row],[_Pred3UID]],Tasks[UID],0),-1))</f>
        <v>0</v>
      </c>
      <c r="CL188" s="43" t="n">
        <f aca="false">IF(N(Tasks[[#This Row],[_Pred4UID]])=0,0,IFERROR(MATCH(Tasks[[#This Row],[_Pred4UID]],Tasks[UID],0),-1))</f>
        <v>0</v>
      </c>
      <c r="CM1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8" s="91" t="n">
        <f aca="false">IF(OR(Tasks[[#This Row],[_ConstraintCode]]=2,Tasks[[#This Row],[_ConstraintCode]]=3,Tasks[[#This Row],[_ConstraintCode]]=4,Tasks[[#This Row],[_ConstraintCode]]=6),Tasks[[#This Row],[_ConstraintStart]],0)</f>
        <v>0</v>
      </c>
      <c r="CP188" s="91" t="n">
        <f aca="false">IF(OR(Tasks[[#This Row],[_ConstraintCode]]=2,Tasks[[#This Row],[_ConstraintCode]]=3,Tasks[[#This Row],[_ConstraintCode]]=5,Tasks[[#This Row],[_ConstraintCode]]=7),Tasks[[#This Row],[_ConstraintStart]],2958465)</f>
        <v>2958465</v>
      </c>
      <c r="CQ1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8" s="91" t="str">
        <f aca="false">IF(NOT(Tasks[[#This Row],[_IsLeaf]]=1),"",IF(N(Tasks[[#This Row],[_Days]])&lt;=0,Tasks[[#This Row],[_LeafCalcStart]],WORKDAY.INTL(Tasks[[#This Row],[_LeafCalcStart]],Tasks[[#This Row],[_Days]]-1,WorkWeek,Holidays)))</f>
        <v/>
      </c>
      <c r="CS1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8" s="43" t="str">
        <f aca="false">IF(Tasks[[#This Row],[_Predecessors]]="","",TRIM(MID(SUBSTITUTE(SUBSTITUTE(SUBSTITUTE(UPPER(Tasks[[#This Row],[_Predecessors]]),";",",")," ",""),",",REPT(" ",99)),1,99)))</f>
        <v/>
      </c>
      <c r="CV188" s="43" t="str">
        <f aca="false">IF(Tasks[[#This Row],[_Pred1Text]]="","",IFERROR(VALUE(LEFT(Tasks[[#This Row],[_Pred1Text]],MIN(FIND("F",Tasks[[#This Row],[_Pred1Text]]&amp;"F"),FIND("S",Tasks[[#This Row],[_Pred1Text]]&amp;"S"),FIND("+",Tasks[[#This Row],[_Pred1Text]]&amp;"+"),FIND("-",Tasks[[#This Row],[_Pred1Text]]&amp;"-"))-1)),""))</f>
        <v/>
      </c>
      <c r="CW1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8" s="43" t="str">
        <f aca="false">IF(Tasks[[#This Row],[_Pred1Text]]="","",TRIM(MID(SUBSTITUTE(SUBSTITUTE(SUBSTITUTE(UPPER(Tasks[[#This Row],[_Predecessors]]),";",",")," ",""),",",REPT(" ",99)),100,99)))</f>
        <v/>
      </c>
      <c r="CZ188" s="43" t="str">
        <f aca="false">IF(Tasks[[#This Row],[_Pred2Text]]="","",IFERROR(VALUE(LEFT(Tasks[[#This Row],[_Pred2Text]],MIN(FIND("F",Tasks[[#This Row],[_Pred2Text]]&amp;"F"),FIND("S",Tasks[[#This Row],[_Pred2Text]]&amp;"S"),FIND("+",Tasks[[#This Row],[_Pred2Text]]&amp;"+"),FIND("-",Tasks[[#This Row],[_Pred2Text]]&amp;"-"))-1)),""))</f>
        <v/>
      </c>
      <c r="DA1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8" s="43" t="str">
        <f aca="false">IF(Tasks[[#This Row],[_Pred2Text]]="","",TRIM(MID(SUBSTITUTE(SUBSTITUTE(SUBSTITUTE(UPPER(Tasks[[#This Row],[_Predecessors]]),";",",")," ",""),",",REPT(" ",99)),199,99)))</f>
        <v/>
      </c>
      <c r="DD188" s="43" t="str">
        <f aca="false">IF(Tasks[[#This Row],[_Pred3Text]]="","",IFERROR(VALUE(LEFT(Tasks[[#This Row],[_Pred3Text]],MIN(FIND("F",Tasks[[#This Row],[_Pred3Text]]&amp;"F"),FIND("S",Tasks[[#This Row],[_Pred3Text]]&amp;"S"),FIND("+",Tasks[[#This Row],[_Pred3Text]]&amp;"+"),FIND("-",Tasks[[#This Row],[_Pred3Text]]&amp;"-"))-1)),""))</f>
        <v/>
      </c>
      <c r="DE1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8" s="43" t="str">
        <f aca="false">IF(Tasks[[#This Row],[_Pred3Text]]="","",TRIM(MID(SUBSTITUTE(SUBSTITUTE(SUBSTITUTE(UPPER(Tasks[[#This Row],[_Predecessors]]),";",",")," ",""),",",REPT(" ",99)),298,99)))</f>
        <v/>
      </c>
      <c r="DH188" s="43" t="str">
        <f aca="false">IF(Tasks[[#This Row],[_Pred4Text]]="","",IFERROR(VALUE(LEFT(Tasks[[#This Row],[_Pred4Text]],MIN(FIND("F",Tasks[[#This Row],[_Pred4Text]]&amp;"F"),FIND("S",Tasks[[#This Row],[_Pred4Text]]&amp;"S"),FIND("+",Tasks[[#This Row],[_Pred4Text]]&amp;"+"),FIND("-",Tasks[[#This Row],[_Pred4Text]]&amp;"-"))-1)),""))</f>
        <v/>
      </c>
      <c r="DI1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8" s="43" t="str">
        <f aca="false">IF(OR(Tasks[[#This Row],[Task Name]]="",Tasks[[#This Row],[_Resources]]=""),"",TRIM(MID(SUBSTITUTE(Tasks[[#This Row],[_Resources]],",",REPT(" ",99)),1,99)))</f>
        <v/>
      </c>
      <c r="DL188" s="43" t="str">
        <f aca="false">IF(Tasks[[#This Row],[_Res1Text]]="","",TRIM(MID(SUBSTITUTE(Tasks[[#This Row],[_Resources]],",",REPT(" ",99)),100,99)))</f>
        <v/>
      </c>
      <c r="DM188" s="43" t="str">
        <f aca="false">IF(Tasks[[#This Row],[_Res2Text]]="","",TRIM(MID(SUBSTITUTE(Tasks[[#This Row],[_Resources]],",",REPT(" ",99)),199,99)))</f>
        <v/>
      </c>
      <c r="DN188" s="43" t="str">
        <f aca="false">IF(Tasks[[#This Row],[_Res3Text]]="","",TRIM(MID(SUBSTITUTE(Tasks[[#This Row],[_Resources]],",",REPT(" ",99)),298,99)))</f>
        <v/>
      </c>
      <c r="DO188" s="43" t="n">
        <f aca="false">IF(Tasks[[#This Row],[_Res1Text]]="",0,IFERROR(MATCH(TRIM(LEFT(Tasks[[#This Row],[_Res1Text]],FIND("[",Tasks[[#This Row],[_Res1Text]]&amp;"[")-1)),res_Name,0),IFERROR(MATCH(TRIM(LEFT(Tasks[[#This Row],[_Res1Text]],FIND("[",Tasks[[#This Row],[_Res1Text]]&amp;"[")-1)),res_Initials,0),0)))</f>
        <v>0</v>
      </c>
      <c r="DP188" s="43" t="n">
        <f aca="false">IF(Tasks[[#This Row],[_Res2Text]]="",0,IFERROR(MATCH(TRIM(LEFT(Tasks[[#This Row],[_Res2Text]],FIND("[",Tasks[[#This Row],[_Res2Text]]&amp;"[")-1)),res_Name,0),IFERROR(MATCH(TRIM(LEFT(Tasks[[#This Row],[_Res2Text]],FIND("[",Tasks[[#This Row],[_Res2Text]]&amp;"[")-1)),res_Initials,0),0)))</f>
        <v>0</v>
      </c>
      <c r="DQ188" s="43" t="n">
        <f aca="false">IF(Tasks[[#This Row],[_Res3Text]]="",0,IFERROR(MATCH(TRIM(LEFT(Tasks[[#This Row],[_Res3Text]],FIND("[",Tasks[[#This Row],[_Res3Text]]&amp;"[")-1)),res_Name,0),IFERROR(MATCH(TRIM(LEFT(Tasks[[#This Row],[_Res3Text]],FIND("[",Tasks[[#This Row],[_Res3Text]]&amp;"[")-1)),res_Initials,0),0)))</f>
        <v>0</v>
      </c>
      <c r="DR188" s="43" t="n">
        <f aca="false">IF(Tasks[[#This Row],[_Res4Text]]="",0,IFERROR(MATCH(TRIM(LEFT(Tasks[[#This Row],[_Res4Text]],FIND("[",Tasks[[#This Row],[_Res4Text]]&amp;"[")-1)),res_Name,0),IFERROR(MATCH(TRIM(LEFT(Tasks[[#This Row],[_Res4Text]],FIND("[",Tasks[[#This Row],[_Res4Text]]&amp;"[")-1)),res_Initials,0),0)))</f>
        <v>0</v>
      </c>
      <c r="DS188" s="43" t="str">
        <f aca="false">IF(Tasks[[#This Row],[_Res1Text]]="","",IF(Tasks[[#This Row],[_Res1Row]]&gt;0,INDEX(res_Name,Tasks[[#This Row],[_Res1Row]]),TRIM(LEFT(Tasks[[#This Row],[_Res1Text]],FIND("[",Tasks[[#This Row],[_Res1Text]]&amp;"[")-1))))</f>
        <v/>
      </c>
      <c r="DT1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8" s="43" t="n">
        <f aca="false">IF(NOT(Tasks[[#This Row],[_IsLeaf]]=1),0,(Tasks[[#This Row],[_Resource1]]&lt;&gt;"")+(Tasks[[#This Row],[_Res2]]&lt;&gt;"")+(Tasks[[#This Row],[_Res3]]&lt;&gt;"")+(Tasks[[#This Row],[_Res4]]&lt;&gt;""))</f>
        <v>0</v>
      </c>
      <c r="DV188" s="43" t="str">
        <f aca="false">IF(Tasks[[#This Row],[_Res2Text]]="","",IF(Tasks[[#This Row],[_Res2Row]]&gt;0,INDEX(res_Name,Tasks[[#This Row],[_Res2Row]]),TRIM(LEFT(Tasks[[#This Row],[_Res2Text]],FIND("[",Tasks[[#This Row],[_Res2Text]]&amp;"[")-1))))</f>
        <v/>
      </c>
      <c r="DW1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8" s="43" t="n">
        <f aca="false">IF(OR(NOT(Tasks[[#This Row],[_IsLeaf]]=1),Tasks[[#This Row],[_Res2Row]]=0),0,N(Tasks[[#This Row],[_Days]])*HoursPerDay*IF(Tasks[[#This Row],[_Res2Units]]="",DefaultUnits,Tasks[[#This Row],[_Res2Units]]))</f>
        <v>0</v>
      </c>
      <c r="DY188" s="43" t="n">
        <f aca="false">IF(AND(AND(Tasks[[#This Row],[_IsLeaf]]=1,Tasks[[#This Row],[_LeafTotalWork]]&gt;0),Tasks[[#This Row],[_Res2Work]]&gt;0),Tasks[[#This Row],[_Res2Work]]/(Tasks[[#This Row],[_FinishWorkday]]-Tasks[[#This Row],[_StartWorkday]]+1),0)</f>
        <v>0</v>
      </c>
      <c r="DZ188" s="43" t="n">
        <f aca="false">Tasks[[#This Row],[_Res2WorkPerWD]]*MAX(0,Tasks[[#This Row],[_StartWorkday]]-1)</f>
        <v>0</v>
      </c>
      <c r="EA188" s="43" t="n">
        <f aca="false">Tasks[[#This Row],[_Res2Work]]*Tasks[[#This Row],[_LeafProgress]]</f>
        <v>0</v>
      </c>
      <c r="EB188" s="43" t="str">
        <f aca="false">IF(Tasks[[#This Row],[_Res3Text]]="","",IF(Tasks[[#This Row],[_Res3Row]]&gt;0,INDEX(res_Name,Tasks[[#This Row],[_Res3Row]]),TRIM(LEFT(Tasks[[#This Row],[_Res3Text]],FIND("[",Tasks[[#This Row],[_Res3Text]]&amp;"[")-1))))</f>
        <v/>
      </c>
      <c r="EC1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8" s="43" t="n">
        <f aca="false">IF(OR(NOT(Tasks[[#This Row],[_IsLeaf]]=1),Tasks[[#This Row],[_Res3Row]]=0),0,N(Tasks[[#This Row],[_Days]])*HoursPerDay*IF(Tasks[[#This Row],[_Res3Units]]="",DefaultUnits,Tasks[[#This Row],[_Res3Units]]))</f>
        <v>0</v>
      </c>
      <c r="EE188" s="43" t="n">
        <f aca="false">IF(AND(AND(Tasks[[#This Row],[_IsLeaf]]=1,Tasks[[#This Row],[_LeafTotalWork]]&gt;0),Tasks[[#This Row],[_Res3Work]]&gt;0),Tasks[[#This Row],[_Res3Work]]/(Tasks[[#This Row],[_FinishWorkday]]-Tasks[[#This Row],[_StartWorkday]]+1),0)</f>
        <v>0</v>
      </c>
      <c r="EF188" s="43" t="n">
        <f aca="false">Tasks[[#This Row],[_Res3WorkPerWD]]*MAX(0,Tasks[[#This Row],[_StartWorkday]]-1)</f>
        <v>0</v>
      </c>
      <c r="EG188" s="43" t="n">
        <f aca="false">Tasks[[#This Row],[_Res3Work]]*Tasks[[#This Row],[_LeafProgress]]</f>
        <v>0</v>
      </c>
      <c r="EH188" s="43" t="str">
        <f aca="false">IF(Tasks[[#This Row],[_Res4Text]]="","",IF(Tasks[[#This Row],[_Res4Row]]&gt;0,INDEX(res_Name,Tasks[[#This Row],[_Res4Row]]),TRIM(LEFT(Tasks[[#This Row],[_Res4Text]],FIND("[",Tasks[[#This Row],[_Res4Text]]&amp;"[")-1))))</f>
        <v/>
      </c>
      <c r="EI1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8" s="43" t="n">
        <f aca="false">IF(OR(NOT(Tasks[[#This Row],[_IsLeaf]]=1),Tasks[[#This Row],[_Res4Row]]=0),0,N(Tasks[[#This Row],[_Days]])*HoursPerDay*IF(Tasks[[#This Row],[_Res4Units]]="",DefaultUnits,Tasks[[#This Row],[_Res4Units]]))</f>
        <v>0</v>
      </c>
      <c r="EK188" s="43" t="n">
        <f aca="false">IF(AND(AND(Tasks[[#This Row],[_IsLeaf]]=1,Tasks[[#This Row],[_LeafTotalWork]]&gt;0),Tasks[[#This Row],[_Res4Work]]&gt;0),Tasks[[#This Row],[_Res4Work]]/(Tasks[[#This Row],[_FinishWorkday]]-Tasks[[#This Row],[_StartWorkday]]+1),0)</f>
        <v>0</v>
      </c>
      <c r="EL188" s="43" t="n">
        <f aca="false">Tasks[[#This Row],[_Res4WorkPerWD]]*MAX(0,Tasks[[#This Row],[_StartWorkday]]-1)</f>
        <v>0</v>
      </c>
      <c r="EM188" s="43" t="n">
        <f aca="false">Tasks[[#This Row],[_Res4Work]]*Tasks[[#This Row],[_LeafProgress]]</f>
        <v>0</v>
      </c>
      <c r="EN188" s="43" t="n">
        <f aca="false">IF(ISNUMBER(Tasks[[#This Row],[% Complete]]),Tasks[[#This Row],[% Complete]],IF(Tasks[[#This Row],[Stage]]="",0,IFERROR(INDEX(stg_Pct,MATCH(Tasks[[#This Row],[Stage]],stg_Name,0)),0)))</f>
        <v>0</v>
      </c>
      <c r="EO188" s="43" t="n">
        <f aca="false">IF(NOT(Tasks[[#This Row],[_IsLeaf]]=1),0,IF(N(Tasks[[#This Row],[Actual Finish]])&gt;0,1,MIN(1,Tasks[[#This Row],[_Pct]])))</f>
        <v>0</v>
      </c>
      <c r="EP188" s="43" t="n">
        <f aca="false">IF(OR(NOT(Tasks[[#This Row],[_IsLeaf]]=1),Tasks[[#This Row],[_Res1Row]]=0),0,N(Tasks[[#This Row],[_Days]])*HoursPerDay*IF(Tasks[[#This Row],[_Units1]]="",DefaultUnits,Tasks[[#This Row],[_Units1]]))</f>
        <v>0</v>
      </c>
      <c r="EQ188" s="43" t="n">
        <f aca="false">Tasks[[#This Row],[_LeafWork]]+Tasks[[#This Row],[_Res2Work]]+Tasks[[#This Row],[_Res3Work]]+Tasks[[#This Row],[_Res4Work]]</f>
        <v>0</v>
      </c>
      <c r="ER18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8" s="43" t="n">
        <f aca="false">IF(NOT(Tasks[[#This Row],[_IsLeaf]]=1),0,MAX(_xlfn.MAXIFS(Tasks[_Row],Tasks[_Pred1UID],Tasks[[#This Row],[UID]]),_xlfn.MAXIFS(Tasks[_Row],Tasks[_Pred2UID],Tasks[[#This Row],[UID]]),_xlfn.MAXIFS(Tasks[_Row],Tasks[_Pred3UID],Tasks[[#This Row],[UID]]),_xlfn.MAXIFS(Tasks[_Row],Tasks[_Pred4UID],Tasks[[#This Row],[UID]])))</f>
        <v>0</v>
      </c>
      <c r="FA1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8" s="91" t="str">
        <f aca="false">IF(NOT(Tasks[[#This Row],[_IsLeaf]]=1),"",IF(N(Tasks[[#This Row],[_Days]])&lt;=0,Tasks[[#This Row],[_LeafLateFinish]],WORKDAY.INTL(Tasks[[#This Row],[_LeafLateFinish]],-(Tasks[[#This Row],[_Days]]-1),WorkWeek,Holidays)))</f>
        <v/>
      </c>
      <c r="FD1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8" s="90" t="b">
        <f aca="false">AND(Tasks[[#This Row],[_IsLeaf]]=1,Tasks[[#This Row],[_LeafProgress]]&lt;1,N(Tasks[[#This Row],[_LeafTotalSlack]])&lt;=CriticalSlackDays)</f>
        <v>0</v>
      </c>
      <c r="FF188" s="43" t="n">
        <f aca="false">IF(AND(Tasks[[#This Row],[_IsLeaf]]=1,Tasks[[#This Row],[_ConstraintCode]]=1,Tasks[[#This Row],[Mode]]&lt;&gt;"Manual",N(Tasks[[#This Row],[Actual Start]])=0),MAX(0,N(Tasks[[#This Row],[Free Slack]])),0)</f>
        <v>0</v>
      </c>
      <c r="FG188" s="91" t="str">
        <f aca="false">IF(NOT(Tasks[[#This Row],[_IsLeaf]]=1),"",IF(Tasks[[#This Row],[_AlapShift]]=0,Tasks[[#This Row],[_LeafCalcStart]],WORKDAY.INTL(Tasks[[#This Row],[_LeafCalcStart]],Tasks[[#This Row],[_AlapShift]],WorkWeek,Holidays)))</f>
        <v/>
      </c>
      <c r="FH188" s="91" t="str">
        <f aca="false">IF(NOT(Tasks[[#This Row],[_IsLeaf]]=1),"",IF(Tasks[[#This Row],[_AlapShift]]=0,Tasks[[#This Row],[_LeafCalcFinish]],WORKDAY.INTL(Tasks[[#This Row],[_LeafCalcFinish]],Tasks[[#This Row],[_AlapShift]],WorkWeek,Holidays)))</f>
        <v/>
      </c>
      <c r="FI188" s="91" t="str">
        <f aca="false">IF(NOT(Tasks[[#This Row],[_IsLeaf]]=1),"",IF(Tasks[[#This Row],[_AlapShift]]=0,Tasks[[#This Row],[_LeafFcstStart]],WORKDAY.INTL(Tasks[[#This Row],[_LeafFcstStart]],Tasks[[#This Row],[_AlapShift]],WorkWeek,Holidays)))</f>
        <v/>
      </c>
      <c r="FJ188" s="91" t="str">
        <f aca="false">IF(NOT(Tasks[[#This Row],[_IsLeaf]]=1),"",IF(Tasks[[#This Row],[_AlapShift]]=0,Tasks[[#This Row],[_LeafFcstFinish]],WORKDAY.INTL(Tasks[[#This Row],[_LeafFcstFinish]],Tasks[[#This Row],[_AlapShift]],WorkWeek,Holidays)))</f>
        <v/>
      </c>
      <c r="FK188" s="91" t="str">
        <f aca="false">IF(Tasks[[#This Row],[Task Name]]="","",IF(Tasks[[#This Row],[_IsSummary]],MIN(INDEX(Tasks[_ShownCalcStart],Tasks[[#This Row],[_Row]]+1):INDEX(Tasks[_ShownCalcStart],Tasks[[#This Row],[_Row]]+Tasks[[#This Row],[_Descendants]])),Tasks[[#This Row],[_ShownCalcStart]]))</f>
        <v/>
      </c>
      <c r="FL188" s="91" t="str">
        <f aca="false">IF(Tasks[[#This Row],[Task Name]]="","",IF(Tasks[[#This Row],[_IsSummary]],MAX(INDEX(Tasks[_ShownCalcFinish],Tasks[[#This Row],[_Row]]+1):INDEX(Tasks[_ShownCalcFinish],Tasks[[#This Row],[_Row]]+Tasks[[#This Row],[_Descendants]])),Tasks[[#This Row],[_ShownCalcFinish]]))</f>
        <v/>
      </c>
      <c r="FM1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8" s="43" t="n">
        <f aca="false">IF(AND(Tasks[[#This Row],[_IsLeaf]]=1,Tasks[[#This Row],[_LeafTotalWork]]&gt;0),NETWORKDAYS.INTL(ProjectStart,Tasks[[#This Row],[_ShownFcstStart]],WorkWeek,Holidays),0)</f>
        <v>0</v>
      </c>
      <c r="FZ188" s="43" t="n">
        <f aca="false">IF(AND(Tasks[[#This Row],[_IsLeaf]]=1,Tasks[[#This Row],[_LeafTotalWork]]&gt;0),MAX(Tasks[[#This Row],[_StartWorkday]],NETWORKDAYS.INTL(ProjectStart,Tasks[[#This Row],[_ShownFcstFinish]],WorkWeek,Holidays)),0)</f>
        <v>0</v>
      </c>
      <c r="GA188" s="43" t="n">
        <f aca="false">IF(AND(Tasks[[#This Row],[_IsLeaf]]=1,Tasks[[#This Row],[_LeafTotalWork]]&gt;0),Tasks[[#This Row],[_LeafWork]]/(Tasks[[#This Row],[_FinishWorkday]]-Tasks[[#This Row],[_StartWorkday]]+1),0)</f>
        <v>0</v>
      </c>
      <c r="GB188" s="43" t="n">
        <f aca="false">Tasks[[#This Row],[_WorkPerWorkday]]*(Tasks[[#This Row],[_StartWorkday]]-1)</f>
        <v>-0</v>
      </c>
      <c r="GC188" s="43" t="n">
        <f aca="false">IF(Tasks[[#This Row],[_IsLeaf]]=1,MAX(N(Tasks[[#This Row],[_Days]]),0.1),0)</f>
        <v>0</v>
      </c>
      <c r="GD188" s="43" t="n">
        <f aca="false">Tasks[[#This Row],[_WeightDur]]*Tasks[[#This Row],[_LeafProgress]]</f>
        <v>0</v>
      </c>
      <c r="GE188" s="43" t="n">
        <f aca="false">Tasks[[#This Row],[_WeightDur]]*Tasks[[#This Row],[_PlannedPct]]</f>
        <v>0</v>
      </c>
      <c r="GF1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8" s="43" t="str">
        <f aca="false">IF(AND(Tasks[[#This Row],[_IsLeaf]]=1,N(Tasks[[#This Row],[_Days]])=0,Tasks[[#This Row],[_LeafProgress]]&lt;1),Tasks[[#This Row],[_ShownFcstFinish]]+Tasks[[#This Row],[_Row]]/100000,"")</f>
        <v/>
      </c>
      <c r="GH1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8" s="43" t="str">
        <f aca="false">IF(Tasks[[#This Row],[Task Name]]="","",LEFT(Tasks[[#This Row],[WBS]],FIND(".",Tasks[[#This Row],[WBS]]&amp;".")-1))</f>
        <v/>
      </c>
      <c r="GJ188" s="43" t="str">
        <f aca="false">IF(AND(Tasks[[#This Row],[Task Name]]&lt;&gt;"",Tasks[[#This Row],[_Level]]=1),Tasks[[#This Row],[_Row]],"")</f>
        <v/>
      </c>
      <c r="GK188" s="43" t="str">
        <f aca="false">IF(AND(Tasks[[#This Row],[_IsLeaf]]=1,N(Tasks[[#This Row],[_Days]])=0),Tasks[[#This Row],[Planned Finish]]+Tasks[[#This Row],[_Row]]/100000,"")</f>
        <v/>
      </c>
      <c r="GL188" s="43" t="str">
        <f aca="false">IF(AND(Tasks[[#This Row],[_IsLeaf]]=1,Tasks[[#This Row],[_LeafProgress]]&lt;1,OR(N(Tasks[[#This Row],[Finish Var]])&gt;0,Tasks[[#This Row],[Status]]="Late Start")),MAX(0,Tasks[[#This Row],[Finish Var]])+1-Tasks[[#This Row],[_Row]]/1000000,"")</f>
        <v/>
      </c>
      <c r="GM188" s="43" t="str">
        <f aca="false">IF(AND(Tasks[[#This Row],[_IsLeaf]]=1,N(Tasks[[#This Row],[Actual Start]])=0,Tasks[[#This Row],[_ShownFcstStart]]&gt;=StatusDate,Tasks[[#This Row],[_ShownFcstStart]]&lt;=LookaheadEnd),Tasks[[#This Row],[_ShownFcstStart]]+Tasks[[#This Row],[_Row]]/100000,"")</f>
        <v/>
      </c>
      <c r="GN188" s="43" t="str">
        <f aca="false">IF(AND(Tasks[[#This Row],[_IsLeaf]]=1,Tasks[[#This Row],[_LeafProgress]]&lt;1,Tasks[[#This Row],[_ShownFcstFinish]]&gt;=StatusDate,Tasks[[#This Row],[_ShownFcstFinish]]&lt;=LookaheadEnd),Tasks[[#This Row],[_ShownFcstFinish]]+Tasks[[#This Row],[_Row]]/100000,"")</f>
        <v/>
      </c>
      <c r="GO188" s="43" t="str">
        <f aca="false">IF(Tasks[[#This Row],[_LeafCritical]],Tasks[[#This Row],[_ShownFcstStart]]+Tasks[[#This Row],[_Row]]/100000,"")</f>
        <v/>
      </c>
      <c r="GP188" s="43" t="n">
        <f aca="false">Tasks[[#This Row],[_LeafWork]]*Tasks[[#This Row],[_LeafProgress]]</f>
        <v>0</v>
      </c>
      <c r="GQ188" s="91" t="str">
        <f aca="false">IF(AND(Tasks[[#This Row],[_IsLeaf]]=1,Tasks[[#This Row],[_LeafProgress]]&gt;=1),IF(N(Tasks[[#This Row],[Actual Finish]])&gt;0,Tasks[[#This Row],[Actual Finish]],Tasks[[#This Row],[_ShownFcstFinish]]),"")</f>
        <v/>
      </c>
      <c r="GR188" s="43" t="n">
        <f aca="false">IF(Tasks[[#This Row],[_IsLeaf]]=1,N(Tasks[[#This Row],[Story Points]]),0)</f>
        <v>0</v>
      </c>
      <c r="GS188" s="43" t="str">
        <f aca="false">""</f>
        <v/>
      </c>
      <c r="GT188" s="90" t="b">
        <f aca="false">IF(Tasks[[#This Row],[Task Name]]="",FALSE(),AND(Tasks[[#This Row],[_IsLeaf]]=1,N(Tasks[[#This Row],[_Days]])=0))</f>
        <v>0</v>
      </c>
      <c r="GU188" s="91" t="n">
        <f aca="false">IF(Tasks[[#This Row],[Task Name]]="",0,IF(AND(Tasks[[#This Row],[_IsLeaf]]=1,NOT(Tasks[[#This Row],[_IsMilestone]]),N(Tasks[[#This Row],[Progress]])&gt;0),Tasks[[#This Row],[Start]],0))</f>
        <v>0</v>
      </c>
      <c r="GV188" s="91" t="n">
        <f aca="false">IF(Tasks[[#This Row],[_DoneFrom]]=0,0,IF(Tasks[[#This Row],[Progress]]&gt;=1,Tasks[[#This Row],[Finish]],MAX(Tasks[[#This Row],[_DoneFrom]],Tasks[[#This Row],[Start]]+ROUND((Tasks[[#This Row],[Finish]]-Tasks[[#This Row],[Start]]+1)*Tasks[[#This Row],[Progress]],0)-1)))</f>
        <v>0</v>
      </c>
      <c r="GW188" s="91" t="n">
        <f aca="false">IF(Tasks[[#This Row],[Task Name]]="",0,IF(OR(NOT(Tasks[[#This Row],[_IsLeaf]]=1),Tasks[[#This Row],[_IsMilestone]],N(Tasks[[#This Row],[Progress]])&gt;=1),0,IF(Tasks[[#This Row],[_DoneTo]]&gt;0,Tasks[[#This Row],[_DoneTo]]+1,Tasks[[#This Row],[Start]])))</f>
        <v>0</v>
      </c>
      <c r="GX188" s="91" t="n">
        <f aca="false">IF(Tasks[[#This Row],[_RemFrom]]=0,0,Tasks[[#This Row],[Finish]])</f>
        <v>0</v>
      </c>
      <c r="GY188" s="90" t="b">
        <f aca="false">IF(Tasks[[#This Row],[Task Name]]="",FALSE(),OR(NOT(BaselineSet),N(Tasks[[#This Row],[Baseline Start]])&gt;0))</f>
        <v>0</v>
      </c>
      <c r="GZ18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8" s="92" t="str">
        <f aca="false">IF(Tasks[[#This Row],[_IsLeaf]]=1,Tasks[[#This Row],[_Row]],"")</f>
        <v/>
      </c>
      <c r="HD188" s="92" t="str">
        <f aca="false">IFERROR(INDEX(Tasks[UID],SMALL(Tasks[_PickKey],Tasks[[#This Row],[_Row]]))&amp;" "&amp;INDEX(Tasks[Task Name],SMALL(Tasks[_PickKey],Tasks[[#This Row],[_Row]])),"")</f>
        <v/>
      </c>
      <c r="HE188" s="43" t="str">
        <f aca="false">IF(Tasks[[#This Row],[Task Name]]="","",IF(Tasks[[#This Row],[_IsSummary]],NETWORKDAYS.INTL(Tasks[[#This Row],[Start]],Tasks[[#This Row],[Finish]],WorkWeek,Holidays),N(Tasks[[#This Row],[_Days]])))</f>
        <v/>
      </c>
      <c r="HF188" s="43" t="n">
        <f aca="false">IF(Tasks[[#This Row],[Expected]]="",0,((Tasks[[#This Row],[Pessimistic]]-Tasks[[#This Row],[Optimistic]])/6)^2)</f>
        <v>0</v>
      </c>
      <c r="HG188" s="43" t="n">
        <f aca="false">IF(Tasks[[#This Row],[Expected]]="",0,Tasks[[#This Row],[Expected]]-N(Tasks[[#This Row],[_Days]]))</f>
        <v>0</v>
      </c>
    </row>
    <row r="189" customFormat="false" ht="15" hidden="false" customHeight="false" outlineLevel="0" collapsed="false">
      <c r="A189" s="21" t="str">
        <f aca="false">IF(Tasks[[#This Row],[Task Name]]="","",COUNTA(Tasks[[#Headers],[Task Name]]:Tasks[[#This Row],[Task Name]])-1)</f>
        <v/>
      </c>
      <c r="B189" s="22" t="n">
        <v>197</v>
      </c>
      <c r="C189" s="22"/>
      <c r="D189" s="23"/>
      <c r="E189" s="22"/>
      <c r="F189" s="23"/>
      <c r="G189" s="22"/>
      <c r="H189" s="22"/>
      <c r="I189" s="23"/>
      <c r="J189" s="22"/>
      <c r="K189" s="22"/>
      <c r="L189" s="23"/>
      <c r="M189" s="22"/>
      <c r="N189" s="22"/>
      <c r="O189" s="23"/>
      <c r="P189" s="22"/>
      <c r="Q189" s="22"/>
      <c r="R189" s="23"/>
      <c r="S189" s="23"/>
      <c r="T189" s="84"/>
      <c r="U189" s="23"/>
      <c r="V189" s="84"/>
      <c r="W189" s="23"/>
      <c r="X189" s="84"/>
      <c r="Y189" s="23"/>
      <c r="Z189" s="84"/>
      <c r="AA189" s="23"/>
      <c r="AB189" s="23"/>
      <c r="AC189" s="7"/>
      <c r="AD189" s="7"/>
      <c r="AE189" s="63" t="str">
        <f aca="false">IF(Tasks[[#This Row],[Task Name]]="","",IF(Tasks[[#This Row],[_IsSummary]],MIN(INDEX(Tasks[_ShownFcstStart],Tasks[[#This Row],[_Row]]+1):INDEX(Tasks[_ShownFcstStart],Tasks[[#This Row],[_Row]]+Tasks[[#This Row],[_Descendants]])),Tasks[[#This Row],[_ShownFcstStart]]))</f>
        <v/>
      </c>
      <c r="AF189" s="63" t="str">
        <f aca="false">IF(Tasks[[#This Row],[Task Name]]="","",IF(Tasks[[#This Row],[_IsSummary]],MAX(INDEX(Tasks[_ShownFcstFinish],Tasks[[#This Row],[_Row]]+1):INDEX(Tasks[_ShownFcstFinish],Tasks[[#This Row],[_Row]]+Tasks[[#This Row],[_Descendants]])),Tasks[[#This Row],[_ShownFcstFinish]]))</f>
        <v/>
      </c>
      <c r="AG189" s="21" t="str">
        <f aca="false">""</f>
        <v/>
      </c>
      <c r="AH189" s="23"/>
      <c r="AI1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9" s="7"/>
      <c r="AK189" s="22"/>
      <c r="AL189" s="23"/>
      <c r="AM189" s="7"/>
      <c r="AN189" s="47" t="str">
        <f aca="false">IF(Tasks[[#This Row],[Task Name]]="","",IF(Tasks[[#This Row],[Finish]]&gt;=Tasks[[#This Row],[Planned Finish]],NETWORKDAYS.INTL(Tasks[[#This Row],[Planned Finish]],Tasks[[#This Row],[Finish]],WorkWeek,Holidays)-1,1-NETWORKDAYS.INTL(Tasks[[#This Row],[Finish]],Tasks[[#This Row],[Planned Finish]],WorkWeek,Holidays)))</f>
        <v/>
      </c>
      <c r="AO189" s="21" t="str">
        <f aca="false">IF(Tasks[[#This Row],[Task Name]]="","",IF(Tasks[[#This Row],[Progress]]&gt;=1,"Complete",IF(OR(N(Tasks[[#This Row],[Actual Start]])&gt;0,Tasks[[#This Row],[Progress]]&gt;0),IF(Tasks[[#This Row],[Finish Var]]&gt;0,"Behind","In Progress"),IF(Tasks[[#This Row],[Planned Start]]&lt;StatusDate,"Late Start","Not Started"))))</f>
        <v/>
      </c>
      <c r="AP189" s="21" t="str">
        <f aca="false">IF(Tasks[[#This Row],[Task Name]]="","",IF(IF(Tasks[[#This Row],[_IsSummary]],COUNTIF(INDEX(Tasks[_LeafCritical],Tasks[[#This Row],[_Row]]+1):INDEX(Tasks[_LeafCritical],Tasks[[#This Row],[_Row]]+Tasks[[#This Row],[_Descendants]]),TRUE())&gt;0,Tasks[[#This Row],[_LeafCritical]]),"Yes",""))</f>
        <v/>
      </c>
      <c r="AQ189" s="63" t="str">
        <f aca="false">IF(Tasks[[#This Row],[Task Name]]="","",IF(N(Tasks[[#This Row],[Baseline Start]])&gt;0,Tasks[[#This Row],[Baseline Start]],Tasks[[#This Row],[_CalcStart]]))</f>
        <v/>
      </c>
      <c r="AR189" s="63" t="str">
        <f aca="false">IF(Tasks[[#This Row],[Task Name]]="","",IF(N(Tasks[[#This Row],[Baseline Finish]])&gt;0,Tasks[[#This Row],[Baseline Finish]],Tasks[[#This Row],[_CalcFinish]]))</f>
        <v/>
      </c>
      <c r="AS189" s="47" t="str">
        <f aca="false">IF(Tasks[[#This Row],[Task Name]]="","",IF(Tasks[[#This Row],[Start]]&gt;=Tasks[[#This Row],[Planned Start]],NETWORKDAYS.INTL(Tasks[[#This Row],[Planned Start]],Tasks[[#This Row],[Start]],WorkWeek,Holidays)-1,1-NETWORKDAYS.INTL(Tasks[[#This Row],[Start]],Tasks[[#This Row],[Planned Start]],WorkWeek,Holidays)))</f>
        <v/>
      </c>
      <c r="AT189" s="63" t="str">
        <f aca="false">IF(Tasks[[#This Row],[Task Name]]="","",IF(Tasks[[#This Row],[_IsSummary]],MIN(INDEX(Tasks[_LeafLateStart],Tasks[[#This Row],[_Row]]+1):INDEX(Tasks[_LeafLateStart],Tasks[[#This Row],[_Row]]+Tasks[[#This Row],[_Descendants]])),Tasks[[#This Row],[_LeafLateStart]]))</f>
        <v/>
      </c>
      <c r="AU189" s="63" t="str">
        <f aca="false">IF(Tasks[[#This Row],[Task Name]]="","",IF(Tasks[[#This Row],[_IsSummary]],MAX(INDEX(Tasks[_LeafLateFinish],Tasks[[#This Row],[_Row]]+1):INDEX(Tasks[_LeafLateFinish],Tasks[[#This Row],[_Row]]+Tasks[[#This Row],[_Descendants]])),Tasks[[#This Row],[_LeafLateFinish]]))</f>
        <v/>
      </c>
      <c r="AV189" s="47" t="str">
        <f aca="false">IF(Tasks[[#This Row],[Task Name]]="","",IF(Tasks[[#This Row],[_IsSummary]],MIN(INDEX(Tasks[_LeafTotalSlack],Tasks[[#This Row],[_Row]]+1):INDEX(Tasks[_LeafTotalSlack],Tasks[[#This Row],[_Row]]+Tasks[[#This Row],[_Descendants]])),Tasks[[#This Row],[_LeafTotalSlack]]))</f>
        <v/>
      </c>
      <c r="AW1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5"/>
      <c r="BA18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t="str">
        <f aca="false">IF(Tasks[[#This Row],[Task Name]]="","",IF(Tasks[[#This Row],[_Level]]&lt;=OutlineShowLevel,"Yes","No"))</f>
        <v/>
      </c>
      <c r="BE189" s="86" t="str">
        <f aca="false">IF(Tasks[[#This Row],[Task Name]]="","",IF(Tasks[[#This Row],[_IsSummary]],SUM(INDEX(Tasks[_LeafTotalWork],Tasks[[#This Row],[_Row]]+1):INDEX(Tasks[_LeafTotalWork],Tasks[[#This Row],[_Row]]+Tasks[[#This Row],[_Descendants]])),Tasks[[#This Row],[_LeafTotalWork]]))</f>
        <v/>
      </c>
      <c r="BF189" s="23"/>
      <c r="BG1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t="str">
        <f aca="false">""</f>
        <v/>
      </c>
      <c r="BI189" s="87"/>
      <c r="BJ189" s="22"/>
      <c r="BK189" s="47" t="str">
        <f aca="false">IF(OR(Tasks[[#This Row],[Task Name]]="",Tasks[[#This Row],[Baseline Duration]]=""),"",Tasks[[#This Row],[_SpanDays]]-N(Tasks[[#This Row],[Baseline Duration]]))</f>
        <v/>
      </c>
      <c r="BL189" s="86" t="str">
        <f aca="false">IF(OR(Tasks[[#This Row],[Task Name]]="",Tasks[[#This Row],[Baseline Work]]=""),"",Tasks[[#This Row],[Work]]-N(Tasks[[#This Row],[Baseline Work]]))</f>
        <v/>
      </c>
      <c r="BM189" s="63" t="str">
        <f aca="false">IF(Tasks[[#This Row],[Task Name]]="","",IF(OR(TakeBaseline="Yes",N(Tasks[[#This Row],[Baseline Start]])=0),Tasks[[#This Row],[Start]],Tasks[[#This Row],[Baseline Start]]))</f>
        <v/>
      </c>
      <c r="BN189" s="63" t="str">
        <f aca="false">IF(Tasks[[#This Row],[Task Name]]="","",IF(OR(TakeBaseline="Yes",N(Tasks[[#This Row],[Baseline Finish]])=0),Tasks[[#This Row],[Finish]],Tasks[[#This Row],[Baseline Finish]]))</f>
        <v/>
      </c>
      <c r="BO189" s="21" t="str">
        <f aca="false">IF(Tasks[[#This Row],[Task Name]]="","",IF(OR(TakeBaseline="Yes",N(Tasks[[#This Row],[Baseline Duration]])=0),Tasks[[#This Row],[_SpanDays]],Tasks[[#This Row],[Baseline Duration]]))</f>
        <v/>
      </c>
      <c r="BP189" s="86" t="str">
        <f aca="false">IF(Tasks[[#This Row],[Task Name]]="","",IF(OR(TakeBaseline="Yes",N(Tasks[[#This Row],[Baseline Work]])=0),Tasks[[#This Row],[Work]],Tasks[[#This Row],[Baseline Work]]))</f>
        <v/>
      </c>
      <c r="BQ189" s="7"/>
      <c r="BR189" s="7"/>
      <c r="BS189" s="22"/>
      <c r="BT189" s="88"/>
      <c r="BU189" s="23"/>
      <c r="BV189" s="23"/>
      <c r="BW189" s="23"/>
      <c r="BX189" s="89" t="str">
        <f aca="false">IF(AND(Tasks[[#This Row],[_IsLeaf]]=1,ISNUMBER(Tasks[[#This Row],[Optimistic]]),ISNUMBER(Tasks[[#This Row],[Pessimistic]])),ROUND((Tasks[[#This Row],[Optimistic]]+4*N(Tasks[[#This Row],[_Days]])+Tasks[[#This Row],[Pessimistic]])/6,1),"")</f>
        <v/>
      </c>
      <c r="BY189" s="87"/>
      <c r="BZ189" s="87"/>
      <c r="CA189" s="22"/>
      <c r="CB189" s="43" t="str">
        <f aca="false">IF(Tasks[[#This Row],[Task Name]]="","",MAX(1,N(Tasks[[#This Row],[Level]])))</f>
        <v/>
      </c>
      <c r="CC189" s="43" t="n">
        <f aca="false">ROW()-ROW(Tasks[[#Headers],[ID]])</f>
        <v>184</v>
      </c>
      <c r="CD189" s="43" t="n">
        <f aca="false">IF(OR(Tasks[[#This Row],[Task Name]]="",Tasks[[#This Row],[_Level]]&lt;=1),0,IFERROR(LOOKUP(2,1/(Tasks[[#Headers],[_Level]]:Tasks[[#This Row],[_Level]]=Tasks[[#This Row],[_Level]]-1),ROW(Tasks[[#Headers],[_Level]]:Tasks[[#This Row],[_Level]])),0))</f>
        <v>0</v>
      </c>
      <c r="CE189" s="43" t="n">
        <f aca="false">IFERROR(N(INDEX(Tasks[_Level],Tasks[[#This Row],[_Row]]+1)),0)</f>
        <v>0</v>
      </c>
      <c r="CF189" s="90" t="b">
        <f aca="false">AND(Tasks[[#This Row],[Task Name]]&lt;&gt;"",Tasks[[#This Row],[_NextLevel]]&gt;Tasks[[#This Row],[_Level]])</f>
        <v>0</v>
      </c>
      <c r="CG189" s="43" t="n">
        <f aca="false">IF(Tasks[[#This Row],[_IsSummary]],COUNTIF(Tasks[WBS],Tasks[[#This Row],[WBS]]&amp;".*"),0)</f>
        <v>0</v>
      </c>
      <c r="CH189" s="43" t="n">
        <f aca="false">IF(AND(Tasks[[#This Row],[Task Name]]&lt;&gt;"",NOT(Tasks[[#This Row],[_IsSummary]])),1,0)</f>
        <v>0</v>
      </c>
      <c r="CI189" s="43" t="n">
        <f aca="false">IF(N(Tasks[[#This Row],[_Pred1UID]])=0,0,IFERROR(MATCH(Tasks[[#This Row],[_Pred1UID]],Tasks[UID],0),-1))</f>
        <v>0</v>
      </c>
      <c r="CJ189" s="43" t="n">
        <f aca="false">IF(N(Tasks[[#This Row],[_Pred2UID]])=0,0,IFERROR(MATCH(Tasks[[#This Row],[_Pred2UID]],Tasks[UID],0),-1))</f>
        <v>0</v>
      </c>
      <c r="CK189" s="43" t="n">
        <f aca="false">IF(N(Tasks[[#This Row],[_Pred3UID]])=0,0,IFERROR(MATCH(Tasks[[#This Row],[_Pred3UID]],Tasks[UID],0),-1))</f>
        <v>0</v>
      </c>
      <c r="CL189" s="43" t="n">
        <f aca="false">IF(N(Tasks[[#This Row],[_Pred4UID]])=0,0,IFERROR(MATCH(Tasks[[#This Row],[_Pred4UID]],Tasks[UID],0),-1))</f>
        <v>0</v>
      </c>
      <c r="CM1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9" s="91" t="n">
        <f aca="false">IF(OR(Tasks[[#This Row],[_ConstraintCode]]=2,Tasks[[#This Row],[_ConstraintCode]]=3,Tasks[[#This Row],[_ConstraintCode]]=4,Tasks[[#This Row],[_ConstraintCode]]=6),Tasks[[#This Row],[_ConstraintStart]],0)</f>
        <v>0</v>
      </c>
      <c r="CP189" s="91" t="n">
        <f aca="false">IF(OR(Tasks[[#This Row],[_ConstraintCode]]=2,Tasks[[#This Row],[_ConstraintCode]]=3,Tasks[[#This Row],[_ConstraintCode]]=5,Tasks[[#This Row],[_ConstraintCode]]=7),Tasks[[#This Row],[_ConstraintStart]],2958465)</f>
        <v>2958465</v>
      </c>
      <c r="CQ1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9" s="91" t="str">
        <f aca="false">IF(NOT(Tasks[[#This Row],[_IsLeaf]]=1),"",IF(N(Tasks[[#This Row],[_Days]])&lt;=0,Tasks[[#This Row],[_LeafCalcStart]],WORKDAY.INTL(Tasks[[#This Row],[_LeafCalcStart]],Tasks[[#This Row],[_Days]]-1,WorkWeek,Holidays)))</f>
        <v/>
      </c>
      <c r="CS1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9" s="43" t="str">
        <f aca="false">IF(Tasks[[#This Row],[_Predecessors]]="","",TRIM(MID(SUBSTITUTE(SUBSTITUTE(SUBSTITUTE(UPPER(Tasks[[#This Row],[_Predecessors]]),";",",")," ",""),",",REPT(" ",99)),1,99)))</f>
        <v/>
      </c>
      <c r="CV189" s="43" t="str">
        <f aca="false">IF(Tasks[[#This Row],[_Pred1Text]]="","",IFERROR(VALUE(LEFT(Tasks[[#This Row],[_Pred1Text]],MIN(FIND("F",Tasks[[#This Row],[_Pred1Text]]&amp;"F"),FIND("S",Tasks[[#This Row],[_Pred1Text]]&amp;"S"),FIND("+",Tasks[[#This Row],[_Pred1Text]]&amp;"+"),FIND("-",Tasks[[#This Row],[_Pred1Text]]&amp;"-"))-1)),""))</f>
        <v/>
      </c>
      <c r="CW1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9" s="43" t="str">
        <f aca="false">IF(Tasks[[#This Row],[_Pred1Text]]="","",TRIM(MID(SUBSTITUTE(SUBSTITUTE(SUBSTITUTE(UPPER(Tasks[[#This Row],[_Predecessors]]),";",",")," ",""),",",REPT(" ",99)),100,99)))</f>
        <v/>
      </c>
      <c r="CZ189" s="43" t="str">
        <f aca="false">IF(Tasks[[#This Row],[_Pred2Text]]="","",IFERROR(VALUE(LEFT(Tasks[[#This Row],[_Pred2Text]],MIN(FIND("F",Tasks[[#This Row],[_Pred2Text]]&amp;"F"),FIND("S",Tasks[[#This Row],[_Pred2Text]]&amp;"S"),FIND("+",Tasks[[#This Row],[_Pred2Text]]&amp;"+"),FIND("-",Tasks[[#This Row],[_Pred2Text]]&amp;"-"))-1)),""))</f>
        <v/>
      </c>
      <c r="DA1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9" s="43" t="str">
        <f aca="false">IF(Tasks[[#This Row],[_Pred2Text]]="","",TRIM(MID(SUBSTITUTE(SUBSTITUTE(SUBSTITUTE(UPPER(Tasks[[#This Row],[_Predecessors]]),";",",")," ",""),",",REPT(" ",99)),199,99)))</f>
        <v/>
      </c>
      <c r="DD189" s="43" t="str">
        <f aca="false">IF(Tasks[[#This Row],[_Pred3Text]]="","",IFERROR(VALUE(LEFT(Tasks[[#This Row],[_Pred3Text]],MIN(FIND("F",Tasks[[#This Row],[_Pred3Text]]&amp;"F"),FIND("S",Tasks[[#This Row],[_Pred3Text]]&amp;"S"),FIND("+",Tasks[[#This Row],[_Pred3Text]]&amp;"+"),FIND("-",Tasks[[#This Row],[_Pred3Text]]&amp;"-"))-1)),""))</f>
        <v/>
      </c>
      <c r="DE1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9" s="43" t="str">
        <f aca="false">IF(Tasks[[#This Row],[_Pred3Text]]="","",TRIM(MID(SUBSTITUTE(SUBSTITUTE(SUBSTITUTE(UPPER(Tasks[[#This Row],[_Predecessors]]),";",",")," ",""),",",REPT(" ",99)),298,99)))</f>
        <v/>
      </c>
      <c r="DH189" s="43" t="str">
        <f aca="false">IF(Tasks[[#This Row],[_Pred4Text]]="","",IFERROR(VALUE(LEFT(Tasks[[#This Row],[_Pred4Text]],MIN(FIND("F",Tasks[[#This Row],[_Pred4Text]]&amp;"F"),FIND("S",Tasks[[#This Row],[_Pred4Text]]&amp;"S"),FIND("+",Tasks[[#This Row],[_Pred4Text]]&amp;"+"),FIND("-",Tasks[[#This Row],[_Pred4Text]]&amp;"-"))-1)),""))</f>
        <v/>
      </c>
      <c r="DI1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9" s="43" t="str">
        <f aca="false">IF(OR(Tasks[[#This Row],[Task Name]]="",Tasks[[#This Row],[_Resources]]=""),"",TRIM(MID(SUBSTITUTE(Tasks[[#This Row],[_Resources]],",",REPT(" ",99)),1,99)))</f>
        <v/>
      </c>
      <c r="DL189" s="43" t="str">
        <f aca="false">IF(Tasks[[#This Row],[_Res1Text]]="","",TRIM(MID(SUBSTITUTE(Tasks[[#This Row],[_Resources]],",",REPT(" ",99)),100,99)))</f>
        <v/>
      </c>
      <c r="DM189" s="43" t="str">
        <f aca="false">IF(Tasks[[#This Row],[_Res2Text]]="","",TRIM(MID(SUBSTITUTE(Tasks[[#This Row],[_Resources]],",",REPT(" ",99)),199,99)))</f>
        <v/>
      </c>
      <c r="DN189" s="43" t="str">
        <f aca="false">IF(Tasks[[#This Row],[_Res3Text]]="","",TRIM(MID(SUBSTITUTE(Tasks[[#This Row],[_Resources]],",",REPT(" ",99)),298,99)))</f>
        <v/>
      </c>
      <c r="DO189" s="43" t="n">
        <f aca="false">IF(Tasks[[#This Row],[_Res1Text]]="",0,IFERROR(MATCH(TRIM(LEFT(Tasks[[#This Row],[_Res1Text]],FIND("[",Tasks[[#This Row],[_Res1Text]]&amp;"[")-1)),res_Name,0),IFERROR(MATCH(TRIM(LEFT(Tasks[[#This Row],[_Res1Text]],FIND("[",Tasks[[#This Row],[_Res1Text]]&amp;"[")-1)),res_Initials,0),0)))</f>
        <v>0</v>
      </c>
      <c r="DP189" s="43" t="n">
        <f aca="false">IF(Tasks[[#This Row],[_Res2Text]]="",0,IFERROR(MATCH(TRIM(LEFT(Tasks[[#This Row],[_Res2Text]],FIND("[",Tasks[[#This Row],[_Res2Text]]&amp;"[")-1)),res_Name,0),IFERROR(MATCH(TRIM(LEFT(Tasks[[#This Row],[_Res2Text]],FIND("[",Tasks[[#This Row],[_Res2Text]]&amp;"[")-1)),res_Initials,0),0)))</f>
        <v>0</v>
      </c>
      <c r="DQ189" s="43" t="n">
        <f aca="false">IF(Tasks[[#This Row],[_Res3Text]]="",0,IFERROR(MATCH(TRIM(LEFT(Tasks[[#This Row],[_Res3Text]],FIND("[",Tasks[[#This Row],[_Res3Text]]&amp;"[")-1)),res_Name,0),IFERROR(MATCH(TRIM(LEFT(Tasks[[#This Row],[_Res3Text]],FIND("[",Tasks[[#This Row],[_Res3Text]]&amp;"[")-1)),res_Initials,0),0)))</f>
        <v>0</v>
      </c>
      <c r="DR189" s="43" t="n">
        <f aca="false">IF(Tasks[[#This Row],[_Res4Text]]="",0,IFERROR(MATCH(TRIM(LEFT(Tasks[[#This Row],[_Res4Text]],FIND("[",Tasks[[#This Row],[_Res4Text]]&amp;"[")-1)),res_Name,0),IFERROR(MATCH(TRIM(LEFT(Tasks[[#This Row],[_Res4Text]],FIND("[",Tasks[[#This Row],[_Res4Text]]&amp;"[")-1)),res_Initials,0),0)))</f>
        <v>0</v>
      </c>
      <c r="DS189" s="43" t="str">
        <f aca="false">IF(Tasks[[#This Row],[_Res1Text]]="","",IF(Tasks[[#This Row],[_Res1Row]]&gt;0,INDEX(res_Name,Tasks[[#This Row],[_Res1Row]]),TRIM(LEFT(Tasks[[#This Row],[_Res1Text]],FIND("[",Tasks[[#This Row],[_Res1Text]]&amp;"[")-1))))</f>
        <v/>
      </c>
      <c r="DT1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9" s="43" t="n">
        <f aca="false">IF(NOT(Tasks[[#This Row],[_IsLeaf]]=1),0,(Tasks[[#This Row],[_Resource1]]&lt;&gt;"")+(Tasks[[#This Row],[_Res2]]&lt;&gt;"")+(Tasks[[#This Row],[_Res3]]&lt;&gt;"")+(Tasks[[#This Row],[_Res4]]&lt;&gt;""))</f>
        <v>0</v>
      </c>
      <c r="DV189" s="43" t="str">
        <f aca="false">IF(Tasks[[#This Row],[_Res2Text]]="","",IF(Tasks[[#This Row],[_Res2Row]]&gt;0,INDEX(res_Name,Tasks[[#This Row],[_Res2Row]]),TRIM(LEFT(Tasks[[#This Row],[_Res2Text]],FIND("[",Tasks[[#This Row],[_Res2Text]]&amp;"[")-1))))</f>
        <v/>
      </c>
      <c r="DW1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9" s="43" t="n">
        <f aca="false">IF(OR(NOT(Tasks[[#This Row],[_IsLeaf]]=1),Tasks[[#This Row],[_Res2Row]]=0),0,N(Tasks[[#This Row],[_Days]])*HoursPerDay*IF(Tasks[[#This Row],[_Res2Units]]="",DefaultUnits,Tasks[[#This Row],[_Res2Units]]))</f>
        <v>0</v>
      </c>
      <c r="DY189" s="43" t="n">
        <f aca="false">IF(AND(AND(Tasks[[#This Row],[_IsLeaf]]=1,Tasks[[#This Row],[_LeafTotalWork]]&gt;0),Tasks[[#This Row],[_Res2Work]]&gt;0),Tasks[[#This Row],[_Res2Work]]/(Tasks[[#This Row],[_FinishWorkday]]-Tasks[[#This Row],[_StartWorkday]]+1),0)</f>
        <v>0</v>
      </c>
      <c r="DZ189" s="43" t="n">
        <f aca="false">Tasks[[#This Row],[_Res2WorkPerWD]]*MAX(0,Tasks[[#This Row],[_StartWorkday]]-1)</f>
        <v>0</v>
      </c>
      <c r="EA189" s="43" t="n">
        <f aca="false">Tasks[[#This Row],[_Res2Work]]*Tasks[[#This Row],[_LeafProgress]]</f>
        <v>0</v>
      </c>
      <c r="EB189" s="43" t="str">
        <f aca="false">IF(Tasks[[#This Row],[_Res3Text]]="","",IF(Tasks[[#This Row],[_Res3Row]]&gt;0,INDEX(res_Name,Tasks[[#This Row],[_Res3Row]]),TRIM(LEFT(Tasks[[#This Row],[_Res3Text]],FIND("[",Tasks[[#This Row],[_Res3Text]]&amp;"[")-1))))</f>
        <v/>
      </c>
      <c r="EC1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9" s="43" t="n">
        <f aca="false">IF(OR(NOT(Tasks[[#This Row],[_IsLeaf]]=1),Tasks[[#This Row],[_Res3Row]]=0),0,N(Tasks[[#This Row],[_Days]])*HoursPerDay*IF(Tasks[[#This Row],[_Res3Units]]="",DefaultUnits,Tasks[[#This Row],[_Res3Units]]))</f>
        <v>0</v>
      </c>
      <c r="EE189" s="43" t="n">
        <f aca="false">IF(AND(AND(Tasks[[#This Row],[_IsLeaf]]=1,Tasks[[#This Row],[_LeafTotalWork]]&gt;0),Tasks[[#This Row],[_Res3Work]]&gt;0),Tasks[[#This Row],[_Res3Work]]/(Tasks[[#This Row],[_FinishWorkday]]-Tasks[[#This Row],[_StartWorkday]]+1),0)</f>
        <v>0</v>
      </c>
      <c r="EF189" s="43" t="n">
        <f aca="false">Tasks[[#This Row],[_Res3WorkPerWD]]*MAX(0,Tasks[[#This Row],[_StartWorkday]]-1)</f>
        <v>0</v>
      </c>
      <c r="EG189" s="43" t="n">
        <f aca="false">Tasks[[#This Row],[_Res3Work]]*Tasks[[#This Row],[_LeafProgress]]</f>
        <v>0</v>
      </c>
      <c r="EH189" s="43" t="str">
        <f aca="false">IF(Tasks[[#This Row],[_Res4Text]]="","",IF(Tasks[[#This Row],[_Res4Row]]&gt;0,INDEX(res_Name,Tasks[[#This Row],[_Res4Row]]),TRIM(LEFT(Tasks[[#This Row],[_Res4Text]],FIND("[",Tasks[[#This Row],[_Res4Text]]&amp;"[")-1))))</f>
        <v/>
      </c>
      <c r="EI1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9" s="43" t="n">
        <f aca="false">IF(OR(NOT(Tasks[[#This Row],[_IsLeaf]]=1),Tasks[[#This Row],[_Res4Row]]=0),0,N(Tasks[[#This Row],[_Days]])*HoursPerDay*IF(Tasks[[#This Row],[_Res4Units]]="",DefaultUnits,Tasks[[#This Row],[_Res4Units]]))</f>
        <v>0</v>
      </c>
      <c r="EK189" s="43" t="n">
        <f aca="false">IF(AND(AND(Tasks[[#This Row],[_IsLeaf]]=1,Tasks[[#This Row],[_LeafTotalWork]]&gt;0),Tasks[[#This Row],[_Res4Work]]&gt;0),Tasks[[#This Row],[_Res4Work]]/(Tasks[[#This Row],[_FinishWorkday]]-Tasks[[#This Row],[_StartWorkday]]+1),0)</f>
        <v>0</v>
      </c>
      <c r="EL189" s="43" t="n">
        <f aca="false">Tasks[[#This Row],[_Res4WorkPerWD]]*MAX(0,Tasks[[#This Row],[_StartWorkday]]-1)</f>
        <v>0</v>
      </c>
      <c r="EM189" s="43" t="n">
        <f aca="false">Tasks[[#This Row],[_Res4Work]]*Tasks[[#This Row],[_LeafProgress]]</f>
        <v>0</v>
      </c>
      <c r="EN189" s="43" t="n">
        <f aca="false">IF(ISNUMBER(Tasks[[#This Row],[% Complete]]),Tasks[[#This Row],[% Complete]],IF(Tasks[[#This Row],[Stage]]="",0,IFERROR(INDEX(stg_Pct,MATCH(Tasks[[#This Row],[Stage]],stg_Name,0)),0)))</f>
        <v>0</v>
      </c>
      <c r="EO189" s="43" t="n">
        <f aca="false">IF(NOT(Tasks[[#This Row],[_IsLeaf]]=1),0,IF(N(Tasks[[#This Row],[Actual Finish]])&gt;0,1,MIN(1,Tasks[[#This Row],[_Pct]])))</f>
        <v>0</v>
      </c>
      <c r="EP189" s="43" t="n">
        <f aca="false">IF(OR(NOT(Tasks[[#This Row],[_IsLeaf]]=1),Tasks[[#This Row],[_Res1Row]]=0),0,N(Tasks[[#This Row],[_Days]])*HoursPerDay*IF(Tasks[[#This Row],[_Units1]]="",DefaultUnits,Tasks[[#This Row],[_Units1]]))</f>
        <v>0</v>
      </c>
      <c r="EQ189" s="43" t="n">
        <f aca="false">Tasks[[#This Row],[_LeafWork]]+Tasks[[#This Row],[_Res2Work]]+Tasks[[#This Row],[_Res3Work]]+Tasks[[#This Row],[_Res4Work]]</f>
        <v>0</v>
      </c>
      <c r="ER18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9" s="43" t="n">
        <f aca="false">IF(NOT(Tasks[[#This Row],[_IsLeaf]]=1),0,MAX(_xlfn.MAXIFS(Tasks[_Row],Tasks[_Pred1UID],Tasks[[#This Row],[UID]]),_xlfn.MAXIFS(Tasks[_Row],Tasks[_Pred2UID],Tasks[[#This Row],[UID]]),_xlfn.MAXIFS(Tasks[_Row],Tasks[_Pred3UID],Tasks[[#This Row],[UID]]),_xlfn.MAXIFS(Tasks[_Row],Tasks[_Pred4UID],Tasks[[#This Row],[UID]])))</f>
        <v>0</v>
      </c>
      <c r="FA1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9" s="91" t="str">
        <f aca="false">IF(NOT(Tasks[[#This Row],[_IsLeaf]]=1),"",IF(N(Tasks[[#This Row],[_Days]])&lt;=0,Tasks[[#This Row],[_LeafLateFinish]],WORKDAY.INTL(Tasks[[#This Row],[_LeafLateFinish]],-(Tasks[[#This Row],[_Days]]-1),WorkWeek,Holidays)))</f>
        <v/>
      </c>
      <c r="FD1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9" s="90" t="b">
        <f aca="false">AND(Tasks[[#This Row],[_IsLeaf]]=1,Tasks[[#This Row],[_LeafProgress]]&lt;1,N(Tasks[[#This Row],[_LeafTotalSlack]])&lt;=CriticalSlackDays)</f>
        <v>0</v>
      </c>
      <c r="FF189" s="43" t="n">
        <f aca="false">IF(AND(Tasks[[#This Row],[_IsLeaf]]=1,Tasks[[#This Row],[_ConstraintCode]]=1,Tasks[[#This Row],[Mode]]&lt;&gt;"Manual",N(Tasks[[#This Row],[Actual Start]])=0),MAX(0,N(Tasks[[#This Row],[Free Slack]])),0)</f>
        <v>0</v>
      </c>
      <c r="FG189" s="91" t="str">
        <f aca="false">IF(NOT(Tasks[[#This Row],[_IsLeaf]]=1),"",IF(Tasks[[#This Row],[_AlapShift]]=0,Tasks[[#This Row],[_LeafCalcStart]],WORKDAY.INTL(Tasks[[#This Row],[_LeafCalcStart]],Tasks[[#This Row],[_AlapShift]],WorkWeek,Holidays)))</f>
        <v/>
      </c>
      <c r="FH189" s="91" t="str">
        <f aca="false">IF(NOT(Tasks[[#This Row],[_IsLeaf]]=1),"",IF(Tasks[[#This Row],[_AlapShift]]=0,Tasks[[#This Row],[_LeafCalcFinish]],WORKDAY.INTL(Tasks[[#This Row],[_LeafCalcFinish]],Tasks[[#This Row],[_AlapShift]],WorkWeek,Holidays)))</f>
        <v/>
      </c>
      <c r="FI189" s="91" t="str">
        <f aca="false">IF(NOT(Tasks[[#This Row],[_IsLeaf]]=1),"",IF(Tasks[[#This Row],[_AlapShift]]=0,Tasks[[#This Row],[_LeafFcstStart]],WORKDAY.INTL(Tasks[[#This Row],[_LeafFcstStart]],Tasks[[#This Row],[_AlapShift]],WorkWeek,Holidays)))</f>
        <v/>
      </c>
      <c r="FJ189" s="91" t="str">
        <f aca="false">IF(NOT(Tasks[[#This Row],[_IsLeaf]]=1),"",IF(Tasks[[#This Row],[_AlapShift]]=0,Tasks[[#This Row],[_LeafFcstFinish]],WORKDAY.INTL(Tasks[[#This Row],[_LeafFcstFinish]],Tasks[[#This Row],[_AlapShift]],WorkWeek,Holidays)))</f>
        <v/>
      </c>
      <c r="FK189" s="91" t="str">
        <f aca="false">IF(Tasks[[#This Row],[Task Name]]="","",IF(Tasks[[#This Row],[_IsSummary]],MIN(INDEX(Tasks[_ShownCalcStart],Tasks[[#This Row],[_Row]]+1):INDEX(Tasks[_ShownCalcStart],Tasks[[#This Row],[_Row]]+Tasks[[#This Row],[_Descendants]])),Tasks[[#This Row],[_ShownCalcStart]]))</f>
        <v/>
      </c>
      <c r="FL189" s="91" t="str">
        <f aca="false">IF(Tasks[[#This Row],[Task Name]]="","",IF(Tasks[[#This Row],[_IsSummary]],MAX(INDEX(Tasks[_ShownCalcFinish],Tasks[[#This Row],[_Row]]+1):INDEX(Tasks[_ShownCalcFinish],Tasks[[#This Row],[_Row]]+Tasks[[#This Row],[_Descendants]])),Tasks[[#This Row],[_ShownCalcFinish]]))</f>
        <v/>
      </c>
      <c r="FM1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9" s="43" t="n">
        <f aca="false">IF(AND(Tasks[[#This Row],[_IsLeaf]]=1,Tasks[[#This Row],[_LeafTotalWork]]&gt;0),NETWORKDAYS.INTL(ProjectStart,Tasks[[#This Row],[_ShownFcstStart]],WorkWeek,Holidays),0)</f>
        <v>0</v>
      </c>
      <c r="FZ189" s="43" t="n">
        <f aca="false">IF(AND(Tasks[[#This Row],[_IsLeaf]]=1,Tasks[[#This Row],[_LeafTotalWork]]&gt;0),MAX(Tasks[[#This Row],[_StartWorkday]],NETWORKDAYS.INTL(ProjectStart,Tasks[[#This Row],[_ShownFcstFinish]],WorkWeek,Holidays)),0)</f>
        <v>0</v>
      </c>
      <c r="GA189" s="43" t="n">
        <f aca="false">IF(AND(Tasks[[#This Row],[_IsLeaf]]=1,Tasks[[#This Row],[_LeafTotalWork]]&gt;0),Tasks[[#This Row],[_LeafWork]]/(Tasks[[#This Row],[_FinishWorkday]]-Tasks[[#This Row],[_StartWorkday]]+1),0)</f>
        <v>0</v>
      </c>
      <c r="GB189" s="43" t="n">
        <f aca="false">Tasks[[#This Row],[_WorkPerWorkday]]*(Tasks[[#This Row],[_StartWorkday]]-1)</f>
        <v>-0</v>
      </c>
      <c r="GC189" s="43" t="n">
        <f aca="false">IF(Tasks[[#This Row],[_IsLeaf]]=1,MAX(N(Tasks[[#This Row],[_Days]]),0.1),0)</f>
        <v>0</v>
      </c>
      <c r="GD189" s="43" t="n">
        <f aca="false">Tasks[[#This Row],[_WeightDur]]*Tasks[[#This Row],[_LeafProgress]]</f>
        <v>0</v>
      </c>
      <c r="GE189" s="43" t="n">
        <f aca="false">Tasks[[#This Row],[_WeightDur]]*Tasks[[#This Row],[_PlannedPct]]</f>
        <v>0</v>
      </c>
      <c r="GF1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9" s="43" t="str">
        <f aca="false">IF(AND(Tasks[[#This Row],[_IsLeaf]]=1,N(Tasks[[#This Row],[_Days]])=0,Tasks[[#This Row],[_LeafProgress]]&lt;1),Tasks[[#This Row],[_ShownFcstFinish]]+Tasks[[#This Row],[_Row]]/100000,"")</f>
        <v/>
      </c>
      <c r="GH1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9" s="43" t="str">
        <f aca="false">IF(Tasks[[#This Row],[Task Name]]="","",LEFT(Tasks[[#This Row],[WBS]],FIND(".",Tasks[[#This Row],[WBS]]&amp;".")-1))</f>
        <v/>
      </c>
      <c r="GJ189" s="43" t="str">
        <f aca="false">IF(AND(Tasks[[#This Row],[Task Name]]&lt;&gt;"",Tasks[[#This Row],[_Level]]=1),Tasks[[#This Row],[_Row]],"")</f>
        <v/>
      </c>
      <c r="GK189" s="43" t="str">
        <f aca="false">IF(AND(Tasks[[#This Row],[_IsLeaf]]=1,N(Tasks[[#This Row],[_Days]])=0),Tasks[[#This Row],[Planned Finish]]+Tasks[[#This Row],[_Row]]/100000,"")</f>
        <v/>
      </c>
      <c r="GL189" s="43" t="str">
        <f aca="false">IF(AND(Tasks[[#This Row],[_IsLeaf]]=1,Tasks[[#This Row],[_LeafProgress]]&lt;1,OR(N(Tasks[[#This Row],[Finish Var]])&gt;0,Tasks[[#This Row],[Status]]="Late Start")),MAX(0,Tasks[[#This Row],[Finish Var]])+1-Tasks[[#This Row],[_Row]]/1000000,"")</f>
        <v/>
      </c>
      <c r="GM189" s="43" t="str">
        <f aca="false">IF(AND(Tasks[[#This Row],[_IsLeaf]]=1,N(Tasks[[#This Row],[Actual Start]])=0,Tasks[[#This Row],[_ShownFcstStart]]&gt;=StatusDate,Tasks[[#This Row],[_ShownFcstStart]]&lt;=LookaheadEnd),Tasks[[#This Row],[_ShownFcstStart]]+Tasks[[#This Row],[_Row]]/100000,"")</f>
        <v/>
      </c>
      <c r="GN189" s="43" t="str">
        <f aca="false">IF(AND(Tasks[[#This Row],[_IsLeaf]]=1,Tasks[[#This Row],[_LeafProgress]]&lt;1,Tasks[[#This Row],[_ShownFcstFinish]]&gt;=StatusDate,Tasks[[#This Row],[_ShownFcstFinish]]&lt;=LookaheadEnd),Tasks[[#This Row],[_ShownFcstFinish]]+Tasks[[#This Row],[_Row]]/100000,"")</f>
        <v/>
      </c>
      <c r="GO189" s="43" t="str">
        <f aca="false">IF(Tasks[[#This Row],[_LeafCritical]],Tasks[[#This Row],[_ShownFcstStart]]+Tasks[[#This Row],[_Row]]/100000,"")</f>
        <v/>
      </c>
      <c r="GP189" s="43" t="n">
        <f aca="false">Tasks[[#This Row],[_LeafWork]]*Tasks[[#This Row],[_LeafProgress]]</f>
        <v>0</v>
      </c>
      <c r="GQ189" s="91" t="str">
        <f aca="false">IF(AND(Tasks[[#This Row],[_IsLeaf]]=1,Tasks[[#This Row],[_LeafProgress]]&gt;=1),IF(N(Tasks[[#This Row],[Actual Finish]])&gt;0,Tasks[[#This Row],[Actual Finish]],Tasks[[#This Row],[_ShownFcstFinish]]),"")</f>
        <v/>
      </c>
      <c r="GR189" s="43" t="n">
        <f aca="false">IF(Tasks[[#This Row],[_IsLeaf]]=1,N(Tasks[[#This Row],[Story Points]]),0)</f>
        <v>0</v>
      </c>
      <c r="GS189" s="43" t="str">
        <f aca="false">""</f>
        <v/>
      </c>
      <c r="GT189" s="90" t="b">
        <f aca="false">IF(Tasks[[#This Row],[Task Name]]="",FALSE(),AND(Tasks[[#This Row],[_IsLeaf]]=1,N(Tasks[[#This Row],[_Days]])=0))</f>
        <v>0</v>
      </c>
      <c r="GU189" s="91" t="n">
        <f aca="false">IF(Tasks[[#This Row],[Task Name]]="",0,IF(AND(Tasks[[#This Row],[_IsLeaf]]=1,NOT(Tasks[[#This Row],[_IsMilestone]]),N(Tasks[[#This Row],[Progress]])&gt;0),Tasks[[#This Row],[Start]],0))</f>
        <v>0</v>
      </c>
      <c r="GV189" s="91" t="n">
        <f aca="false">IF(Tasks[[#This Row],[_DoneFrom]]=0,0,IF(Tasks[[#This Row],[Progress]]&gt;=1,Tasks[[#This Row],[Finish]],MAX(Tasks[[#This Row],[_DoneFrom]],Tasks[[#This Row],[Start]]+ROUND((Tasks[[#This Row],[Finish]]-Tasks[[#This Row],[Start]]+1)*Tasks[[#This Row],[Progress]],0)-1)))</f>
        <v>0</v>
      </c>
      <c r="GW189" s="91" t="n">
        <f aca="false">IF(Tasks[[#This Row],[Task Name]]="",0,IF(OR(NOT(Tasks[[#This Row],[_IsLeaf]]=1),Tasks[[#This Row],[_IsMilestone]],N(Tasks[[#This Row],[Progress]])&gt;=1),0,IF(Tasks[[#This Row],[_DoneTo]]&gt;0,Tasks[[#This Row],[_DoneTo]]+1,Tasks[[#This Row],[Start]])))</f>
        <v>0</v>
      </c>
      <c r="GX189" s="91" t="n">
        <f aca="false">IF(Tasks[[#This Row],[_RemFrom]]=0,0,Tasks[[#This Row],[Finish]])</f>
        <v>0</v>
      </c>
      <c r="GY189" s="90" t="b">
        <f aca="false">IF(Tasks[[#This Row],[Task Name]]="",FALSE(),OR(NOT(BaselineSet),N(Tasks[[#This Row],[Baseline Start]])&gt;0))</f>
        <v>0</v>
      </c>
      <c r="GZ18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9" s="92" t="str">
        <f aca="false">IF(Tasks[[#This Row],[_IsLeaf]]=1,Tasks[[#This Row],[_Row]],"")</f>
        <v/>
      </c>
      <c r="HD189" s="92" t="str">
        <f aca="false">IFERROR(INDEX(Tasks[UID],SMALL(Tasks[_PickKey],Tasks[[#This Row],[_Row]]))&amp;" "&amp;INDEX(Tasks[Task Name],SMALL(Tasks[_PickKey],Tasks[[#This Row],[_Row]])),"")</f>
        <v/>
      </c>
      <c r="HE189" s="43" t="str">
        <f aca="false">IF(Tasks[[#This Row],[Task Name]]="","",IF(Tasks[[#This Row],[_IsSummary]],NETWORKDAYS.INTL(Tasks[[#This Row],[Start]],Tasks[[#This Row],[Finish]],WorkWeek,Holidays),N(Tasks[[#This Row],[_Days]])))</f>
        <v/>
      </c>
      <c r="HF189" s="43" t="n">
        <f aca="false">IF(Tasks[[#This Row],[Expected]]="",0,((Tasks[[#This Row],[Pessimistic]]-Tasks[[#This Row],[Optimistic]])/6)^2)</f>
        <v>0</v>
      </c>
      <c r="HG189" s="43" t="n">
        <f aca="false">IF(Tasks[[#This Row],[Expected]]="",0,Tasks[[#This Row],[Expected]]-N(Tasks[[#This Row],[_Days]]))</f>
        <v>0</v>
      </c>
    </row>
    <row r="190" customFormat="false" ht="15" hidden="false" customHeight="false" outlineLevel="0" collapsed="false">
      <c r="A190" s="21" t="str">
        <f aca="false">IF(Tasks[[#This Row],[Task Name]]="","",COUNTA(Tasks[[#Headers],[Task Name]]:Tasks[[#This Row],[Task Name]])-1)</f>
        <v/>
      </c>
      <c r="B190" s="22" t="n">
        <v>198</v>
      </c>
      <c r="C190" s="22"/>
      <c r="D190" s="23"/>
      <c r="E190" s="22"/>
      <c r="F190" s="23"/>
      <c r="G190" s="22"/>
      <c r="H190" s="22"/>
      <c r="I190" s="23"/>
      <c r="J190" s="22"/>
      <c r="K190" s="22"/>
      <c r="L190" s="23"/>
      <c r="M190" s="22"/>
      <c r="N190" s="22"/>
      <c r="O190" s="23"/>
      <c r="P190" s="22"/>
      <c r="Q190" s="22"/>
      <c r="R190" s="23"/>
      <c r="S190" s="23"/>
      <c r="T190" s="84"/>
      <c r="U190" s="23"/>
      <c r="V190" s="84"/>
      <c r="W190" s="23"/>
      <c r="X190" s="84"/>
      <c r="Y190" s="23"/>
      <c r="Z190" s="84"/>
      <c r="AA190" s="23"/>
      <c r="AB190" s="23"/>
      <c r="AC190" s="7"/>
      <c r="AD190" s="7"/>
      <c r="AE190" s="63" t="str">
        <f aca="false">IF(Tasks[[#This Row],[Task Name]]="","",IF(Tasks[[#This Row],[_IsSummary]],MIN(INDEX(Tasks[_ShownFcstStart],Tasks[[#This Row],[_Row]]+1):INDEX(Tasks[_ShownFcstStart],Tasks[[#This Row],[_Row]]+Tasks[[#This Row],[_Descendants]])),Tasks[[#This Row],[_ShownFcstStart]]))</f>
        <v/>
      </c>
      <c r="AF190" s="63" t="str">
        <f aca="false">IF(Tasks[[#This Row],[Task Name]]="","",IF(Tasks[[#This Row],[_IsSummary]],MAX(INDEX(Tasks[_ShownFcstFinish],Tasks[[#This Row],[_Row]]+1):INDEX(Tasks[_ShownFcstFinish],Tasks[[#This Row],[_Row]]+Tasks[[#This Row],[_Descendants]])),Tasks[[#This Row],[_ShownFcstFinish]]))</f>
        <v/>
      </c>
      <c r="AG190" s="21" t="str">
        <f aca="false">""</f>
        <v/>
      </c>
      <c r="AH190" s="23"/>
      <c r="AI1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0" s="7"/>
      <c r="AK190" s="22"/>
      <c r="AL190" s="23"/>
      <c r="AM190" s="7"/>
      <c r="AN190" s="47" t="str">
        <f aca="false">IF(Tasks[[#This Row],[Task Name]]="","",IF(Tasks[[#This Row],[Finish]]&gt;=Tasks[[#This Row],[Planned Finish]],NETWORKDAYS.INTL(Tasks[[#This Row],[Planned Finish]],Tasks[[#This Row],[Finish]],WorkWeek,Holidays)-1,1-NETWORKDAYS.INTL(Tasks[[#This Row],[Finish]],Tasks[[#This Row],[Planned Finish]],WorkWeek,Holidays)))</f>
        <v/>
      </c>
      <c r="AO190" s="21" t="str">
        <f aca="false">IF(Tasks[[#This Row],[Task Name]]="","",IF(Tasks[[#This Row],[Progress]]&gt;=1,"Complete",IF(OR(N(Tasks[[#This Row],[Actual Start]])&gt;0,Tasks[[#This Row],[Progress]]&gt;0),IF(Tasks[[#This Row],[Finish Var]]&gt;0,"Behind","In Progress"),IF(Tasks[[#This Row],[Planned Start]]&lt;StatusDate,"Late Start","Not Started"))))</f>
        <v/>
      </c>
      <c r="AP190" s="21" t="str">
        <f aca="false">IF(Tasks[[#This Row],[Task Name]]="","",IF(IF(Tasks[[#This Row],[_IsSummary]],COUNTIF(INDEX(Tasks[_LeafCritical],Tasks[[#This Row],[_Row]]+1):INDEX(Tasks[_LeafCritical],Tasks[[#This Row],[_Row]]+Tasks[[#This Row],[_Descendants]]),TRUE())&gt;0,Tasks[[#This Row],[_LeafCritical]]),"Yes",""))</f>
        <v/>
      </c>
      <c r="AQ190" s="63" t="str">
        <f aca="false">IF(Tasks[[#This Row],[Task Name]]="","",IF(N(Tasks[[#This Row],[Baseline Start]])&gt;0,Tasks[[#This Row],[Baseline Start]],Tasks[[#This Row],[_CalcStart]]))</f>
        <v/>
      </c>
      <c r="AR190" s="63" t="str">
        <f aca="false">IF(Tasks[[#This Row],[Task Name]]="","",IF(N(Tasks[[#This Row],[Baseline Finish]])&gt;0,Tasks[[#This Row],[Baseline Finish]],Tasks[[#This Row],[_CalcFinish]]))</f>
        <v/>
      </c>
      <c r="AS190" s="47" t="str">
        <f aca="false">IF(Tasks[[#This Row],[Task Name]]="","",IF(Tasks[[#This Row],[Start]]&gt;=Tasks[[#This Row],[Planned Start]],NETWORKDAYS.INTL(Tasks[[#This Row],[Planned Start]],Tasks[[#This Row],[Start]],WorkWeek,Holidays)-1,1-NETWORKDAYS.INTL(Tasks[[#This Row],[Start]],Tasks[[#This Row],[Planned Start]],WorkWeek,Holidays)))</f>
        <v/>
      </c>
      <c r="AT190" s="63" t="str">
        <f aca="false">IF(Tasks[[#This Row],[Task Name]]="","",IF(Tasks[[#This Row],[_IsSummary]],MIN(INDEX(Tasks[_LeafLateStart],Tasks[[#This Row],[_Row]]+1):INDEX(Tasks[_LeafLateStart],Tasks[[#This Row],[_Row]]+Tasks[[#This Row],[_Descendants]])),Tasks[[#This Row],[_LeafLateStart]]))</f>
        <v/>
      </c>
      <c r="AU190" s="63" t="str">
        <f aca="false">IF(Tasks[[#This Row],[Task Name]]="","",IF(Tasks[[#This Row],[_IsSummary]],MAX(INDEX(Tasks[_LeafLateFinish],Tasks[[#This Row],[_Row]]+1):INDEX(Tasks[_LeafLateFinish],Tasks[[#This Row],[_Row]]+Tasks[[#This Row],[_Descendants]])),Tasks[[#This Row],[_LeafLateFinish]]))</f>
        <v/>
      </c>
      <c r="AV190" s="47" t="str">
        <f aca="false">IF(Tasks[[#This Row],[Task Name]]="","",IF(Tasks[[#This Row],[_IsSummary]],MIN(INDEX(Tasks[_LeafTotalSlack],Tasks[[#This Row],[_Row]]+1):INDEX(Tasks[_LeafTotalSlack],Tasks[[#This Row],[_Row]]+Tasks[[#This Row],[_Descendants]])),Tasks[[#This Row],[_LeafTotalSlack]]))</f>
        <v/>
      </c>
      <c r="AW1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5"/>
      <c r="BA19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t="str">
        <f aca="false">IF(Tasks[[#This Row],[Task Name]]="","",IF(Tasks[[#This Row],[_Level]]&lt;=OutlineShowLevel,"Yes","No"))</f>
        <v/>
      </c>
      <c r="BE190" s="86" t="str">
        <f aca="false">IF(Tasks[[#This Row],[Task Name]]="","",IF(Tasks[[#This Row],[_IsSummary]],SUM(INDEX(Tasks[_LeafTotalWork],Tasks[[#This Row],[_Row]]+1):INDEX(Tasks[_LeafTotalWork],Tasks[[#This Row],[_Row]]+Tasks[[#This Row],[_Descendants]])),Tasks[[#This Row],[_LeafTotalWork]]))</f>
        <v/>
      </c>
      <c r="BF190" s="23"/>
      <c r="BG1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t="str">
        <f aca="false">""</f>
        <v/>
      </c>
      <c r="BI190" s="87"/>
      <c r="BJ190" s="22"/>
      <c r="BK190" s="47" t="str">
        <f aca="false">IF(OR(Tasks[[#This Row],[Task Name]]="",Tasks[[#This Row],[Baseline Duration]]=""),"",Tasks[[#This Row],[_SpanDays]]-N(Tasks[[#This Row],[Baseline Duration]]))</f>
        <v/>
      </c>
      <c r="BL190" s="86" t="str">
        <f aca="false">IF(OR(Tasks[[#This Row],[Task Name]]="",Tasks[[#This Row],[Baseline Work]]=""),"",Tasks[[#This Row],[Work]]-N(Tasks[[#This Row],[Baseline Work]]))</f>
        <v/>
      </c>
      <c r="BM190" s="63" t="str">
        <f aca="false">IF(Tasks[[#This Row],[Task Name]]="","",IF(OR(TakeBaseline="Yes",N(Tasks[[#This Row],[Baseline Start]])=0),Tasks[[#This Row],[Start]],Tasks[[#This Row],[Baseline Start]]))</f>
        <v/>
      </c>
      <c r="BN190" s="63" t="str">
        <f aca="false">IF(Tasks[[#This Row],[Task Name]]="","",IF(OR(TakeBaseline="Yes",N(Tasks[[#This Row],[Baseline Finish]])=0),Tasks[[#This Row],[Finish]],Tasks[[#This Row],[Baseline Finish]]))</f>
        <v/>
      </c>
      <c r="BO190" s="21" t="str">
        <f aca="false">IF(Tasks[[#This Row],[Task Name]]="","",IF(OR(TakeBaseline="Yes",N(Tasks[[#This Row],[Baseline Duration]])=0),Tasks[[#This Row],[_SpanDays]],Tasks[[#This Row],[Baseline Duration]]))</f>
        <v/>
      </c>
      <c r="BP190" s="86" t="str">
        <f aca="false">IF(Tasks[[#This Row],[Task Name]]="","",IF(OR(TakeBaseline="Yes",N(Tasks[[#This Row],[Baseline Work]])=0),Tasks[[#This Row],[Work]],Tasks[[#This Row],[Baseline Work]]))</f>
        <v/>
      </c>
      <c r="BQ190" s="7"/>
      <c r="BR190" s="7"/>
      <c r="BS190" s="22"/>
      <c r="BT190" s="88"/>
      <c r="BU190" s="23"/>
      <c r="BV190" s="23"/>
      <c r="BW190" s="23"/>
      <c r="BX190" s="89" t="str">
        <f aca="false">IF(AND(Tasks[[#This Row],[_IsLeaf]]=1,ISNUMBER(Tasks[[#This Row],[Optimistic]]),ISNUMBER(Tasks[[#This Row],[Pessimistic]])),ROUND((Tasks[[#This Row],[Optimistic]]+4*N(Tasks[[#This Row],[_Days]])+Tasks[[#This Row],[Pessimistic]])/6,1),"")</f>
        <v/>
      </c>
      <c r="BY190" s="87"/>
      <c r="BZ190" s="87"/>
      <c r="CA190" s="22"/>
      <c r="CB190" s="43" t="str">
        <f aca="false">IF(Tasks[[#This Row],[Task Name]]="","",MAX(1,N(Tasks[[#This Row],[Level]])))</f>
        <v/>
      </c>
      <c r="CC190" s="43" t="n">
        <f aca="false">ROW()-ROW(Tasks[[#Headers],[ID]])</f>
        <v>185</v>
      </c>
      <c r="CD190" s="43" t="n">
        <f aca="false">IF(OR(Tasks[[#This Row],[Task Name]]="",Tasks[[#This Row],[_Level]]&lt;=1),0,IFERROR(LOOKUP(2,1/(Tasks[[#Headers],[_Level]]:Tasks[[#This Row],[_Level]]=Tasks[[#This Row],[_Level]]-1),ROW(Tasks[[#Headers],[_Level]]:Tasks[[#This Row],[_Level]])),0))</f>
        <v>0</v>
      </c>
      <c r="CE190" s="43" t="n">
        <f aca="false">IFERROR(N(INDEX(Tasks[_Level],Tasks[[#This Row],[_Row]]+1)),0)</f>
        <v>0</v>
      </c>
      <c r="CF190" s="90" t="b">
        <f aca="false">AND(Tasks[[#This Row],[Task Name]]&lt;&gt;"",Tasks[[#This Row],[_NextLevel]]&gt;Tasks[[#This Row],[_Level]])</f>
        <v>0</v>
      </c>
      <c r="CG190" s="43" t="n">
        <f aca="false">IF(Tasks[[#This Row],[_IsSummary]],COUNTIF(Tasks[WBS],Tasks[[#This Row],[WBS]]&amp;".*"),0)</f>
        <v>0</v>
      </c>
      <c r="CH190" s="43" t="n">
        <f aca="false">IF(AND(Tasks[[#This Row],[Task Name]]&lt;&gt;"",NOT(Tasks[[#This Row],[_IsSummary]])),1,0)</f>
        <v>0</v>
      </c>
      <c r="CI190" s="43" t="n">
        <f aca="false">IF(N(Tasks[[#This Row],[_Pred1UID]])=0,0,IFERROR(MATCH(Tasks[[#This Row],[_Pred1UID]],Tasks[UID],0),-1))</f>
        <v>0</v>
      </c>
      <c r="CJ190" s="43" t="n">
        <f aca="false">IF(N(Tasks[[#This Row],[_Pred2UID]])=0,0,IFERROR(MATCH(Tasks[[#This Row],[_Pred2UID]],Tasks[UID],0),-1))</f>
        <v>0</v>
      </c>
      <c r="CK190" s="43" t="n">
        <f aca="false">IF(N(Tasks[[#This Row],[_Pred3UID]])=0,0,IFERROR(MATCH(Tasks[[#This Row],[_Pred3UID]],Tasks[UID],0),-1))</f>
        <v>0</v>
      </c>
      <c r="CL190" s="43" t="n">
        <f aca="false">IF(N(Tasks[[#This Row],[_Pred4UID]])=0,0,IFERROR(MATCH(Tasks[[#This Row],[_Pred4UID]],Tasks[UID],0),-1))</f>
        <v>0</v>
      </c>
      <c r="CM1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0" s="91" t="n">
        <f aca="false">IF(OR(Tasks[[#This Row],[_ConstraintCode]]=2,Tasks[[#This Row],[_ConstraintCode]]=3,Tasks[[#This Row],[_ConstraintCode]]=4,Tasks[[#This Row],[_ConstraintCode]]=6),Tasks[[#This Row],[_ConstraintStart]],0)</f>
        <v>0</v>
      </c>
      <c r="CP190" s="91" t="n">
        <f aca="false">IF(OR(Tasks[[#This Row],[_ConstraintCode]]=2,Tasks[[#This Row],[_ConstraintCode]]=3,Tasks[[#This Row],[_ConstraintCode]]=5,Tasks[[#This Row],[_ConstraintCode]]=7),Tasks[[#This Row],[_ConstraintStart]],2958465)</f>
        <v>2958465</v>
      </c>
      <c r="CQ1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0" s="91" t="str">
        <f aca="false">IF(NOT(Tasks[[#This Row],[_IsLeaf]]=1),"",IF(N(Tasks[[#This Row],[_Days]])&lt;=0,Tasks[[#This Row],[_LeafCalcStart]],WORKDAY.INTL(Tasks[[#This Row],[_LeafCalcStart]],Tasks[[#This Row],[_Days]]-1,WorkWeek,Holidays)))</f>
        <v/>
      </c>
      <c r="CS1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0" s="43" t="str">
        <f aca="false">IF(Tasks[[#This Row],[_Predecessors]]="","",TRIM(MID(SUBSTITUTE(SUBSTITUTE(SUBSTITUTE(UPPER(Tasks[[#This Row],[_Predecessors]]),";",",")," ",""),",",REPT(" ",99)),1,99)))</f>
        <v/>
      </c>
      <c r="CV190" s="43" t="str">
        <f aca="false">IF(Tasks[[#This Row],[_Pred1Text]]="","",IFERROR(VALUE(LEFT(Tasks[[#This Row],[_Pred1Text]],MIN(FIND("F",Tasks[[#This Row],[_Pred1Text]]&amp;"F"),FIND("S",Tasks[[#This Row],[_Pred1Text]]&amp;"S"),FIND("+",Tasks[[#This Row],[_Pred1Text]]&amp;"+"),FIND("-",Tasks[[#This Row],[_Pred1Text]]&amp;"-"))-1)),""))</f>
        <v/>
      </c>
      <c r="CW1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0" s="43" t="str">
        <f aca="false">IF(Tasks[[#This Row],[_Pred1Text]]="","",TRIM(MID(SUBSTITUTE(SUBSTITUTE(SUBSTITUTE(UPPER(Tasks[[#This Row],[_Predecessors]]),";",",")," ",""),",",REPT(" ",99)),100,99)))</f>
        <v/>
      </c>
      <c r="CZ190" s="43" t="str">
        <f aca="false">IF(Tasks[[#This Row],[_Pred2Text]]="","",IFERROR(VALUE(LEFT(Tasks[[#This Row],[_Pred2Text]],MIN(FIND("F",Tasks[[#This Row],[_Pred2Text]]&amp;"F"),FIND("S",Tasks[[#This Row],[_Pred2Text]]&amp;"S"),FIND("+",Tasks[[#This Row],[_Pred2Text]]&amp;"+"),FIND("-",Tasks[[#This Row],[_Pred2Text]]&amp;"-"))-1)),""))</f>
        <v/>
      </c>
      <c r="DA1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0" s="43" t="str">
        <f aca="false">IF(Tasks[[#This Row],[_Pred2Text]]="","",TRIM(MID(SUBSTITUTE(SUBSTITUTE(SUBSTITUTE(UPPER(Tasks[[#This Row],[_Predecessors]]),";",",")," ",""),",",REPT(" ",99)),199,99)))</f>
        <v/>
      </c>
      <c r="DD190" s="43" t="str">
        <f aca="false">IF(Tasks[[#This Row],[_Pred3Text]]="","",IFERROR(VALUE(LEFT(Tasks[[#This Row],[_Pred3Text]],MIN(FIND("F",Tasks[[#This Row],[_Pred3Text]]&amp;"F"),FIND("S",Tasks[[#This Row],[_Pred3Text]]&amp;"S"),FIND("+",Tasks[[#This Row],[_Pred3Text]]&amp;"+"),FIND("-",Tasks[[#This Row],[_Pred3Text]]&amp;"-"))-1)),""))</f>
        <v/>
      </c>
      <c r="DE1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0" s="43" t="str">
        <f aca="false">IF(Tasks[[#This Row],[_Pred3Text]]="","",TRIM(MID(SUBSTITUTE(SUBSTITUTE(SUBSTITUTE(UPPER(Tasks[[#This Row],[_Predecessors]]),";",",")," ",""),",",REPT(" ",99)),298,99)))</f>
        <v/>
      </c>
      <c r="DH190" s="43" t="str">
        <f aca="false">IF(Tasks[[#This Row],[_Pred4Text]]="","",IFERROR(VALUE(LEFT(Tasks[[#This Row],[_Pred4Text]],MIN(FIND("F",Tasks[[#This Row],[_Pred4Text]]&amp;"F"),FIND("S",Tasks[[#This Row],[_Pred4Text]]&amp;"S"),FIND("+",Tasks[[#This Row],[_Pred4Text]]&amp;"+"),FIND("-",Tasks[[#This Row],[_Pred4Text]]&amp;"-"))-1)),""))</f>
        <v/>
      </c>
      <c r="DI1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0" s="43" t="str">
        <f aca="false">IF(OR(Tasks[[#This Row],[Task Name]]="",Tasks[[#This Row],[_Resources]]=""),"",TRIM(MID(SUBSTITUTE(Tasks[[#This Row],[_Resources]],",",REPT(" ",99)),1,99)))</f>
        <v/>
      </c>
      <c r="DL190" s="43" t="str">
        <f aca="false">IF(Tasks[[#This Row],[_Res1Text]]="","",TRIM(MID(SUBSTITUTE(Tasks[[#This Row],[_Resources]],",",REPT(" ",99)),100,99)))</f>
        <v/>
      </c>
      <c r="DM190" s="43" t="str">
        <f aca="false">IF(Tasks[[#This Row],[_Res2Text]]="","",TRIM(MID(SUBSTITUTE(Tasks[[#This Row],[_Resources]],",",REPT(" ",99)),199,99)))</f>
        <v/>
      </c>
      <c r="DN190" s="43" t="str">
        <f aca="false">IF(Tasks[[#This Row],[_Res3Text]]="","",TRIM(MID(SUBSTITUTE(Tasks[[#This Row],[_Resources]],",",REPT(" ",99)),298,99)))</f>
        <v/>
      </c>
      <c r="DO190" s="43" t="n">
        <f aca="false">IF(Tasks[[#This Row],[_Res1Text]]="",0,IFERROR(MATCH(TRIM(LEFT(Tasks[[#This Row],[_Res1Text]],FIND("[",Tasks[[#This Row],[_Res1Text]]&amp;"[")-1)),res_Name,0),IFERROR(MATCH(TRIM(LEFT(Tasks[[#This Row],[_Res1Text]],FIND("[",Tasks[[#This Row],[_Res1Text]]&amp;"[")-1)),res_Initials,0),0)))</f>
        <v>0</v>
      </c>
      <c r="DP190" s="43" t="n">
        <f aca="false">IF(Tasks[[#This Row],[_Res2Text]]="",0,IFERROR(MATCH(TRIM(LEFT(Tasks[[#This Row],[_Res2Text]],FIND("[",Tasks[[#This Row],[_Res2Text]]&amp;"[")-1)),res_Name,0),IFERROR(MATCH(TRIM(LEFT(Tasks[[#This Row],[_Res2Text]],FIND("[",Tasks[[#This Row],[_Res2Text]]&amp;"[")-1)),res_Initials,0),0)))</f>
        <v>0</v>
      </c>
      <c r="DQ190" s="43" t="n">
        <f aca="false">IF(Tasks[[#This Row],[_Res3Text]]="",0,IFERROR(MATCH(TRIM(LEFT(Tasks[[#This Row],[_Res3Text]],FIND("[",Tasks[[#This Row],[_Res3Text]]&amp;"[")-1)),res_Name,0),IFERROR(MATCH(TRIM(LEFT(Tasks[[#This Row],[_Res3Text]],FIND("[",Tasks[[#This Row],[_Res3Text]]&amp;"[")-1)),res_Initials,0),0)))</f>
        <v>0</v>
      </c>
      <c r="DR190" s="43" t="n">
        <f aca="false">IF(Tasks[[#This Row],[_Res4Text]]="",0,IFERROR(MATCH(TRIM(LEFT(Tasks[[#This Row],[_Res4Text]],FIND("[",Tasks[[#This Row],[_Res4Text]]&amp;"[")-1)),res_Name,0),IFERROR(MATCH(TRIM(LEFT(Tasks[[#This Row],[_Res4Text]],FIND("[",Tasks[[#This Row],[_Res4Text]]&amp;"[")-1)),res_Initials,0),0)))</f>
        <v>0</v>
      </c>
      <c r="DS190" s="43" t="str">
        <f aca="false">IF(Tasks[[#This Row],[_Res1Text]]="","",IF(Tasks[[#This Row],[_Res1Row]]&gt;0,INDEX(res_Name,Tasks[[#This Row],[_Res1Row]]),TRIM(LEFT(Tasks[[#This Row],[_Res1Text]],FIND("[",Tasks[[#This Row],[_Res1Text]]&amp;"[")-1))))</f>
        <v/>
      </c>
      <c r="DT1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0" s="43" t="n">
        <f aca="false">IF(NOT(Tasks[[#This Row],[_IsLeaf]]=1),0,(Tasks[[#This Row],[_Resource1]]&lt;&gt;"")+(Tasks[[#This Row],[_Res2]]&lt;&gt;"")+(Tasks[[#This Row],[_Res3]]&lt;&gt;"")+(Tasks[[#This Row],[_Res4]]&lt;&gt;""))</f>
        <v>0</v>
      </c>
      <c r="DV190" s="43" t="str">
        <f aca="false">IF(Tasks[[#This Row],[_Res2Text]]="","",IF(Tasks[[#This Row],[_Res2Row]]&gt;0,INDEX(res_Name,Tasks[[#This Row],[_Res2Row]]),TRIM(LEFT(Tasks[[#This Row],[_Res2Text]],FIND("[",Tasks[[#This Row],[_Res2Text]]&amp;"[")-1))))</f>
        <v/>
      </c>
      <c r="DW1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0" s="43" t="n">
        <f aca="false">IF(OR(NOT(Tasks[[#This Row],[_IsLeaf]]=1),Tasks[[#This Row],[_Res2Row]]=0),0,N(Tasks[[#This Row],[_Days]])*HoursPerDay*IF(Tasks[[#This Row],[_Res2Units]]="",DefaultUnits,Tasks[[#This Row],[_Res2Units]]))</f>
        <v>0</v>
      </c>
      <c r="DY190" s="43" t="n">
        <f aca="false">IF(AND(AND(Tasks[[#This Row],[_IsLeaf]]=1,Tasks[[#This Row],[_LeafTotalWork]]&gt;0),Tasks[[#This Row],[_Res2Work]]&gt;0),Tasks[[#This Row],[_Res2Work]]/(Tasks[[#This Row],[_FinishWorkday]]-Tasks[[#This Row],[_StartWorkday]]+1),0)</f>
        <v>0</v>
      </c>
      <c r="DZ190" s="43" t="n">
        <f aca="false">Tasks[[#This Row],[_Res2WorkPerWD]]*MAX(0,Tasks[[#This Row],[_StartWorkday]]-1)</f>
        <v>0</v>
      </c>
      <c r="EA190" s="43" t="n">
        <f aca="false">Tasks[[#This Row],[_Res2Work]]*Tasks[[#This Row],[_LeafProgress]]</f>
        <v>0</v>
      </c>
      <c r="EB190" s="43" t="str">
        <f aca="false">IF(Tasks[[#This Row],[_Res3Text]]="","",IF(Tasks[[#This Row],[_Res3Row]]&gt;0,INDEX(res_Name,Tasks[[#This Row],[_Res3Row]]),TRIM(LEFT(Tasks[[#This Row],[_Res3Text]],FIND("[",Tasks[[#This Row],[_Res3Text]]&amp;"[")-1))))</f>
        <v/>
      </c>
      <c r="EC1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0" s="43" t="n">
        <f aca="false">IF(OR(NOT(Tasks[[#This Row],[_IsLeaf]]=1),Tasks[[#This Row],[_Res3Row]]=0),0,N(Tasks[[#This Row],[_Days]])*HoursPerDay*IF(Tasks[[#This Row],[_Res3Units]]="",DefaultUnits,Tasks[[#This Row],[_Res3Units]]))</f>
        <v>0</v>
      </c>
      <c r="EE190" s="43" t="n">
        <f aca="false">IF(AND(AND(Tasks[[#This Row],[_IsLeaf]]=1,Tasks[[#This Row],[_LeafTotalWork]]&gt;0),Tasks[[#This Row],[_Res3Work]]&gt;0),Tasks[[#This Row],[_Res3Work]]/(Tasks[[#This Row],[_FinishWorkday]]-Tasks[[#This Row],[_StartWorkday]]+1),0)</f>
        <v>0</v>
      </c>
      <c r="EF190" s="43" t="n">
        <f aca="false">Tasks[[#This Row],[_Res3WorkPerWD]]*MAX(0,Tasks[[#This Row],[_StartWorkday]]-1)</f>
        <v>0</v>
      </c>
      <c r="EG190" s="43" t="n">
        <f aca="false">Tasks[[#This Row],[_Res3Work]]*Tasks[[#This Row],[_LeafProgress]]</f>
        <v>0</v>
      </c>
      <c r="EH190" s="43" t="str">
        <f aca="false">IF(Tasks[[#This Row],[_Res4Text]]="","",IF(Tasks[[#This Row],[_Res4Row]]&gt;0,INDEX(res_Name,Tasks[[#This Row],[_Res4Row]]),TRIM(LEFT(Tasks[[#This Row],[_Res4Text]],FIND("[",Tasks[[#This Row],[_Res4Text]]&amp;"[")-1))))</f>
        <v/>
      </c>
      <c r="EI1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0" s="43" t="n">
        <f aca="false">IF(OR(NOT(Tasks[[#This Row],[_IsLeaf]]=1),Tasks[[#This Row],[_Res4Row]]=0),0,N(Tasks[[#This Row],[_Days]])*HoursPerDay*IF(Tasks[[#This Row],[_Res4Units]]="",DefaultUnits,Tasks[[#This Row],[_Res4Units]]))</f>
        <v>0</v>
      </c>
      <c r="EK190" s="43" t="n">
        <f aca="false">IF(AND(AND(Tasks[[#This Row],[_IsLeaf]]=1,Tasks[[#This Row],[_LeafTotalWork]]&gt;0),Tasks[[#This Row],[_Res4Work]]&gt;0),Tasks[[#This Row],[_Res4Work]]/(Tasks[[#This Row],[_FinishWorkday]]-Tasks[[#This Row],[_StartWorkday]]+1),0)</f>
        <v>0</v>
      </c>
      <c r="EL190" s="43" t="n">
        <f aca="false">Tasks[[#This Row],[_Res4WorkPerWD]]*MAX(0,Tasks[[#This Row],[_StartWorkday]]-1)</f>
        <v>0</v>
      </c>
      <c r="EM190" s="43" t="n">
        <f aca="false">Tasks[[#This Row],[_Res4Work]]*Tasks[[#This Row],[_LeafProgress]]</f>
        <v>0</v>
      </c>
      <c r="EN190" s="43" t="n">
        <f aca="false">IF(ISNUMBER(Tasks[[#This Row],[% Complete]]),Tasks[[#This Row],[% Complete]],IF(Tasks[[#This Row],[Stage]]="",0,IFERROR(INDEX(stg_Pct,MATCH(Tasks[[#This Row],[Stage]],stg_Name,0)),0)))</f>
        <v>0</v>
      </c>
      <c r="EO190" s="43" t="n">
        <f aca="false">IF(NOT(Tasks[[#This Row],[_IsLeaf]]=1),0,IF(N(Tasks[[#This Row],[Actual Finish]])&gt;0,1,MIN(1,Tasks[[#This Row],[_Pct]])))</f>
        <v>0</v>
      </c>
      <c r="EP190" s="43" t="n">
        <f aca="false">IF(OR(NOT(Tasks[[#This Row],[_IsLeaf]]=1),Tasks[[#This Row],[_Res1Row]]=0),0,N(Tasks[[#This Row],[_Days]])*HoursPerDay*IF(Tasks[[#This Row],[_Units1]]="",DefaultUnits,Tasks[[#This Row],[_Units1]]))</f>
        <v>0</v>
      </c>
      <c r="EQ190" s="43" t="n">
        <f aca="false">Tasks[[#This Row],[_LeafWork]]+Tasks[[#This Row],[_Res2Work]]+Tasks[[#This Row],[_Res3Work]]+Tasks[[#This Row],[_Res4Work]]</f>
        <v>0</v>
      </c>
      <c r="ER19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0" s="43" t="n">
        <f aca="false">IF(NOT(Tasks[[#This Row],[_IsLeaf]]=1),0,MAX(_xlfn.MAXIFS(Tasks[_Row],Tasks[_Pred1UID],Tasks[[#This Row],[UID]]),_xlfn.MAXIFS(Tasks[_Row],Tasks[_Pred2UID],Tasks[[#This Row],[UID]]),_xlfn.MAXIFS(Tasks[_Row],Tasks[_Pred3UID],Tasks[[#This Row],[UID]]),_xlfn.MAXIFS(Tasks[_Row],Tasks[_Pred4UID],Tasks[[#This Row],[UID]])))</f>
        <v>0</v>
      </c>
      <c r="FA1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0" s="91" t="str">
        <f aca="false">IF(NOT(Tasks[[#This Row],[_IsLeaf]]=1),"",IF(N(Tasks[[#This Row],[_Days]])&lt;=0,Tasks[[#This Row],[_LeafLateFinish]],WORKDAY.INTL(Tasks[[#This Row],[_LeafLateFinish]],-(Tasks[[#This Row],[_Days]]-1),WorkWeek,Holidays)))</f>
        <v/>
      </c>
      <c r="FD1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0" s="90" t="b">
        <f aca="false">AND(Tasks[[#This Row],[_IsLeaf]]=1,Tasks[[#This Row],[_LeafProgress]]&lt;1,N(Tasks[[#This Row],[_LeafTotalSlack]])&lt;=CriticalSlackDays)</f>
        <v>0</v>
      </c>
      <c r="FF190" s="43" t="n">
        <f aca="false">IF(AND(Tasks[[#This Row],[_IsLeaf]]=1,Tasks[[#This Row],[_ConstraintCode]]=1,Tasks[[#This Row],[Mode]]&lt;&gt;"Manual",N(Tasks[[#This Row],[Actual Start]])=0),MAX(0,N(Tasks[[#This Row],[Free Slack]])),0)</f>
        <v>0</v>
      </c>
      <c r="FG190" s="91" t="str">
        <f aca="false">IF(NOT(Tasks[[#This Row],[_IsLeaf]]=1),"",IF(Tasks[[#This Row],[_AlapShift]]=0,Tasks[[#This Row],[_LeafCalcStart]],WORKDAY.INTL(Tasks[[#This Row],[_LeafCalcStart]],Tasks[[#This Row],[_AlapShift]],WorkWeek,Holidays)))</f>
        <v/>
      </c>
      <c r="FH190" s="91" t="str">
        <f aca="false">IF(NOT(Tasks[[#This Row],[_IsLeaf]]=1),"",IF(Tasks[[#This Row],[_AlapShift]]=0,Tasks[[#This Row],[_LeafCalcFinish]],WORKDAY.INTL(Tasks[[#This Row],[_LeafCalcFinish]],Tasks[[#This Row],[_AlapShift]],WorkWeek,Holidays)))</f>
        <v/>
      </c>
      <c r="FI190" s="91" t="str">
        <f aca="false">IF(NOT(Tasks[[#This Row],[_IsLeaf]]=1),"",IF(Tasks[[#This Row],[_AlapShift]]=0,Tasks[[#This Row],[_LeafFcstStart]],WORKDAY.INTL(Tasks[[#This Row],[_LeafFcstStart]],Tasks[[#This Row],[_AlapShift]],WorkWeek,Holidays)))</f>
        <v/>
      </c>
      <c r="FJ190" s="91" t="str">
        <f aca="false">IF(NOT(Tasks[[#This Row],[_IsLeaf]]=1),"",IF(Tasks[[#This Row],[_AlapShift]]=0,Tasks[[#This Row],[_LeafFcstFinish]],WORKDAY.INTL(Tasks[[#This Row],[_LeafFcstFinish]],Tasks[[#This Row],[_AlapShift]],WorkWeek,Holidays)))</f>
        <v/>
      </c>
      <c r="FK190" s="91" t="str">
        <f aca="false">IF(Tasks[[#This Row],[Task Name]]="","",IF(Tasks[[#This Row],[_IsSummary]],MIN(INDEX(Tasks[_ShownCalcStart],Tasks[[#This Row],[_Row]]+1):INDEX(Tasks[_ShownCalcStart],Tasks[[#This Row],[_Row]]+Tasks[[#This Row],[_Descendants]])),Tasks[[#This Row],[_ShownCalcStart]]))</f>
        <v/>
      </c>
      <c r="FL190" s="91" t="str">
        <f aca="false">IF(Tasks[[#This Row],[Task Name]]="","",IF(Tasks[[#This Row],[_IsSummary]],MAX(INDEX(Tasks[_ShownCalcFinish],Tasks[[#This Row],[_Row]]+1):INDEX(Tasks[_ShownCalcFinish],Tasks[[#This Row],[_Row]]+Tasks[[#This Row],[_Descendants]])),Tasks[[#This Row],[_ShownCalcFinish]]))</f>
        <v/>
      </c>
      <c r="FM1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0" s="43" t="n">
        <f aca="false">IF(AND(Tasks[[#This Row],[_IsLeaf]]=1,Tasks[[#This Row],[_LeafTotalWork]]&gt;0),NETWORKDAYS.INTL(ProjectStart,Tasks[[#This Row],[_ShownFcstStart]],WorkWeek,Holidays),0)</f>
        <v>0</v>
      </c>
      <c r="FZ190" s="43" t="n">
        <f aca="false">IF(AND(Tasks[[#This Row],[_IsLeaf]]=1,Tasks[[#This Row],[_LeafTotalWork]]&gt;0),MAX(Tasks[[#This Row],[_StartWorkday]],NETWORKDAYS.INTL(ProjectStart,Tasks[[#This Row],[_ShownFcstFinish]],WorkWeek,Holidays)),0)</f>
        <v>0</v>
      </c>
      <c r="GA190" s="43" t="n">
        <f aca="false">IF(AND(Tasks[[#This Row],[_IsLeaf]]=1,Tasks[[#This Row],[_LeafTotalWork]]&gt;0),Tasks[[#This Row],[_LeafWork]]/(Tasks[[#This Row],[_FinishWorkday]]-Tasks[[#This Row],[_StartWorkday]]+1),0)</f>
        <v>0</v>
      </c>
      <c r="GB190" s="43" t="n">
        <f aca="false">Tasks[[#This Row],[_WorkPerWorkday]]*(Tasks[[#This Row],[_StartWorkday]]-1)</f>
        <v>-0</v>
      </c>
      <c r="GC190" s="43" t="n">
        <f aca="false">IF(Tasks[[#This Row],[_IsLeaf]]=1,MAX(N(Tasks[[#This Row],[_Days]]),0.1),0)</f>
        <v>0</v>
      </c>
      <c r="GD190" s="43" t="n">
        <f aca="false">Tasks[[#This Row],[_WeightDur]]*Tasks[[#This Row],[_LeafProgress]]</f>
        <v>0</v>
      </c>
      <c r="GE190" s="43" t="n">
        <f aca="false">Tasks[[#This Row],[_WeightDur]]*Tasks[[#This Row],[_PlannedPct]]</f>
        <v>0</v>
      </c>
      <c r="GF1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0" s="43" t="str">
        <f aca="false">IF(AND(Tasks[[#This Row],[_IsLeaf]]=1,N(Tasks[[#This Row],[_Days]])=0,Tasks[[#This Row],[_LeafProgress]]&lt;1),Tasks[[#This Row],[_ShownFcstFinish]]+Tasks[[#This Row],[_Row]]/100000,"")</f>
        <v/>
      </c>
      <c r="GH1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0" s="43" t="str">
        <f aca="false">IF(Tasks[[#This Row],[Task Name]]="","",LEFT(Tasks[[#This Row],[WBS]],FIND(".",Tasks[[#This Row],[WBS]]&amp;".")-1))</f>
        <v/>
      </c>
      <c r="GJ190" s="43" t="str">
        <f aca="false">IF(AND(Tasks[[#This Row],[Task Name]]&lt;&gt;"",Tasks[[#This Row],[_Level]]=1),Tasks[[#This Row],[_Row]],"")</f>
        <v/>
      </c>
      <c r="GK190" s="43" t="str">
        <f aca="false">IF(AND(Tasks[[#This Row],[_IsLeaf]]=1,N(Tasks[[#This Row],[_Days]])=0),Tasks[[#This Row],[Planned Finish]]+Tasks[[#This Row],[_Row]]/100000,"")</f>
        <v/>
      </c>
      <c r="GL190" s="43" t="str">
        <f aca="false">IF(AND(Tasks[[#This Row],[_IsLeaf]]=1,Tasks[[#This Row],[_LeafProgress]]&lt;1,OR(N(Tasks[[#This Row],[Finish Var]])&gt;0,Tasks[[#This Row],[Status]]="Late Start")),MAX(0,Tasks[[#This Row],[Finish Var]])+1-Tasks[[#This Row],[_Row]]/1000000,"")</f>
        <v/>
      </c>
      <c r="GM190" s="43" t="str">
        <f aca="false">IF(AND(Tasks[[#This Row],[_IsLeaf]]=1,N(Tasks[[#This Row],[Actual Start]])=0,Tasks[[#This Row],[_ShownFcstStart]]&gt;=StatusDate,Tasks[[#This Row],[_ShownFcstStart]]&lt;=LookaheadEnd),Tasks[[#This Row],[_ShownFcstStart]]+Tasks[[#This Row],[_Row]]/100000,"")</f>
        <v/>
      </c>
      <c r="GN190" s="43" t="str">
        <f aca="false">IF(AND(Tasks[[#This Row],[_IsLeaf]]=1,Tasks[[#This Row],[_LeafProgress]]&lt;1,Tasks[[#This Row],[_ShownFcstFinish]]&gt;=StatusDate,Tasks[[#This Row],[_ShownFcstFinish]]&lt;=LookaheadEnd),Tasks[[#This Row],[_ShownFcstFinish]]+Tasks[[#This Row],[_Row]]/100000,"")</f>
        <v/>
      </c>
      <c r="GO190" s="43" t="str">
        <f aca="false">IF(Tasks[[#This Row],[_LeafCritical]],Tasks[[#This Row],[_ShownFcstStart]]+Tasks[[#This Row],[_Row]]/100000,"")</f>
        <v/>
      </c>
      <c r="GP190" s="43" t="n">
        <f aca="false">Tasks[[#This Row],[_LeafWork]]*Tasks[[#This Row],[_LeafProgress]]</f>
        <v>0</v>
      </c>
      <c r="GQ190" s="91" t="str">
        <f aca="false">IF(AND(Tasks[[#This Row],[_IsLeaf]]=1,Tasks[[#This Row],[_LeafProgress]]&gt;=1),IF(N(Tasks[[#This Row],[Actual Finish]])&gt;0,Tasks[[#This Row],[Actual Finish]],Tasks[[#This Row],[_ShownFcstFinish]]),"")</f>
        <v/>
      </c>
      <c r="GR190" s="43" t="n">
        <f aca="false">IF(Tasks[[#This Row],[_IsLeaf]]=1,N(Tasks[[#This Row],[Story Points]]),0)</f>
        <v>0</v>
      </c>
      <c r="GS190" s="43" t="str">
        <f aca="false">""</f>
        <v/>
      </c>
      <c r="GT190" s="90" t="b">
        <f aca="false">IF(Tasks[[#This Row],[Task Name]]="",FALSE(),AND(Tasks[[#This Row],[_IsLeaf]]=1,N(Tasks[[#This Row],[_Days]])=0))</f>
        <v>0</v>
      </c>
      <c r="GU190" s="91" t="n">
        <f aca="false">IF(Tasks[[#This Row],[Task Name]]="",0,IF(AND(Tasks[[#This Row],[_IsLeaf]]=1,NOT(Tasks[[#This Row],[_IsMilestone]]),N(Tasks[[#This Row],[Progress]])&gt;0),Tasks[[#This Row],[Start]],0))</f>
        <v>0</v>
      </c>
      <c r="GV190" s="91" t="n">
        <f aca="false">IF(Tasks[[#This Row],[_DoneFrom]]=0,0,IF(Tasks[[#This Row],[Progress]]&gt;=1,Tasks[[#This Row],[Finish]],MAX(Tasks[[#This Row],[_DoneFrom]],Tasks[[#This Row],[Start]]+ROUND((Tasks[[#This Row],[Finish]]-Tasks[[#This Row],[Start]]+1)*Tasks[[#This Row],[Progress]],0)-1)))</f>
        <v>0</v>
      </c>
      <c r="GW190" s="91" t="n">
        <f aca="false">IF(Tasks[[#This Row],[Task Name]]="",0,IF(OR(NOT(Tasks[[#This Row],[_IsLeaf]]=1),Tasks[[#This Row],[_IsMilestone]],N(Tasks[[#This Row],[Progress]])&gt;=1),0,IF(Tasks[[#This Row],[_DoneTo]]&gt;0,Tasks[[#This Row],[_DoneTo]]+1,Tasks[[#This Row],[Start]])))</f>
        <v>0</v>
      </c>
      <c r="GX190" s="91" t="n">
        <f aca="false">IF(Tasks[[#This Row],[_RemFrom]]=0,0,Tasks[[#This Row],[Finish]])</f>
        <v>0</v>
      </c>
      <c r="GY190" s="90" t="b">
        <f aca="false">IF(Tasks[[#This Row],[Task Name]]="",FALSE(),OR(NOT(BaselineSet),N(Tasks[[#This Row],[Baseline Start]])&gt;0))</f>
        <v>0</v>
      </c>
      <c r="GZ19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0" s="92" t="str">
        <f aca="false">IF(Tasks[[#This Row],[_IsLeaf]]=1,Tasks[[#This Row],[_Row]],"")</f>
        <v/>
      </c>
      <c r="HD190" s="92" t="str">
        <f aca="false">IFERROR(INDEX(Tasks[UID],SMALL(Tasks[_PickKey],Tasks[[#This Row],[_Row]]))&amp;" "&amp;INDEX(Tasks[Task Name],SMALL(Tasks[_PickKey],Tasks[[#This Row],[_Row]])),"")</f>
        <v/>
      </c>
      <c r="HE190" s="43" t="str">
        <f aca="false">IF(Tasks[[#This Row],[Task Name]]="","",IF(Tasks[[#This Row],[_IsSummary]],NETWORKDAYS.INTL(Tasks[[#This Row],[Start]],Tasks[[#This Row],[Finish]],WorkWeek,Holidays),N(Tasks[[#This Row],[_Days]])))</f>
        <v/>
      </c>
      <c r="HF190" s="43" t="n">
        <f aca="false">IF(Tasks[[#This Row],[Expected]]="",0,((Tasks[[#This Row],[Pessimistic]]-Tasks[[#This Row],[Optimistic]])/6)^2)</f>
        <v>0</v>
      </c>
      <c r="HG190" s="43" t="n">
        <f aca="false">IF(Tasks[[#This Row],[Expected]]="",0,Tasks[[#This Row],[Expected]]-N(Tasks[[#This Row],[_Days]]))</f>
        <v>0</v>
      </c>
    </row>
    <row r="191" customFormat="false" ht="15" hidden="false" customHeight="false" outlineLevel="0" collapsed="false">
      <c r="A191" s="21" t="str">
        <f aca="false">IF(Tasks[[#This Row],[Task Name]]="","",COUNTA(Tasks[[#Headers],[Task Name]]:Tasks[[#This Row],[Task Name]])-1)</f>
        <v/>
      </c>
      <c r="B191" s="22" t="n">
        <v>199</v>
      </c>
      <c r="C191" s="22"/>
      <c r="D191" s="23"/>
      <c r="E191" s="22"/>
      <c r="F191" s="23"/>
      <c r="G191" s="22"/>
      <c r="H191" s="22"/>
      <c r="I191" s="23"/>
      <c r="J191" s="22"/>
      <c r="K191" s="22"/>
      <c r="L191" s="23"/>
      <c r="M191" s="22"/>
      <c r="N191" s="22"/>
      <c r="O191" s="23"/>
      <c r="P191" s="22"/>
      <c r="Q191" s="22"/>
      <c r="R191" s="23"/>
      <c r="S191" s="23"/>
      <c r="T191" s="84"/>
      <c r="U191" s="23"/>
      <c r="V191" s="84"/>
      <c r="W191" s="23"/>
      <c r="X191" s="84"/>
      <c r="Y191" s="23"/>
      <c r="Z191" s="84"/>
      <c r="AA191" s="23"/>
      <c r="AB191" s="23"/>
      <c r="AC191" s="7"/>
      <c r="AD191" s="7"/>
      <c r="AE191" s="63" t="str">
        <f aca="false">IF(Tasks[[#This Row],[Task Name]]="","",IF(Tasks[[#This Row],[_IsSummary]],MIN(INDEX(Tasks[_ShownFcstStart],Tasks[[#This Row],[_Row]]+1):INDEX(Tasks[_ShownFcstStart],Tasks[[#This Row],[_Row]]+Tasks[[#This Row],[_Descendants]])),Tasks[[#This Row],[_ShownFcstStart]]))</f>
        <v/>
      </c>
      <c r="AF191" s="63" t="str">
        <f aca="false">IF(Tasks[[#This Row],[Task Name]]="","",IF(Tasks[[#This Row],[_IsSummary]],MAX(INDEX(Tasks[_ShownFcstFinish],Tasks[[#This Row],[_Row]]+1):INDEX(Tasks[_ShownFcstFinish],Tasks[[#This Row],[_Row]]+Tasks[[#This Row],[_Descendants]])),Tasks[[#This Row],[_ShownFcstFinish]]))</f>
        <v/>
      </c>
      <c r="AG191" s="21" t="str">
        <f aca="false">""</f>
        <v/>
      </c>
      <c r="AH191" s="23"/>
      <c r="AI1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1" s="7"/>
      <c r="AK191" s="22"/>
      <c r="AL191" s="23"/>
      <c r="AM191" s="7"/>
      <c r="AN191" s="47" t="str">
        <f aca="false">IF(Tasks[[#This Row],[Task Name]]="","",IF(Tasks[[#This Row],[Finish]]&gt;=Tasks[[#This Row],[Planned Finish]],NETWORKDAYS.INTL(Tasks[[#This Row],[Planned Finish]],Tasks[[#This Row],[Finish]],WorkWeek,Holidays)-1,1-NETWORKDAYS.INTL(Tasks[[#This Row],[Finish]],Tasks[[#This Row],[Planned Finish]],WorkWeek,Holidays)))</f>
        <v/>
      </c>
      <c r="AO191" s="21" t="str">
        <f aca="false">IF(Tasks[[#This Row],[Task Name]]="","",IF(Tasks[[#This Row],[Progress]]&gt;=1,"Complete",IF(OR(N(Tasks[[#This Row],[Actual Start]])&gt;0,Tasks[[#This Row],[Progress]]&gt;0),IF(Tasks[[#This Row],[Finish Var]]&gt;0,"Behind","In Progress"),IF(Tasks[[#This Row],[Planned Start]]&lt;StatusDate,"Late Start","Not Started"))))</f>
        <v/>
      </c>
      <c r="AP191" s="21" t="str">
        <f aca="false">IF(Tasks[[#This Row],[Task Name]]="","",IF(IF(Tasks[[#This Row],[_IsSummary]],COUNTIF(INDEX(Tasks[_LeafCritical],Tasks[[#This Row],[_Row]]+1):INDEX(Tasks[_LeafCritical],Tasks[[#This Row],[_Row]]+Tasks[[#This Row],[_Descendants]]),TRUE())&gt;0,Tasks[[#This Row],[_LeafCritical]]),"Yes",""))</f>
        <v/>
      </c>
      <c r="AQ191" s="63" t="str">
        <f aca="false">IF(Tasks[[#This Row],[Task Name]]="","",IF(N(Tasks[[#This Row],[Baseline Start]])&gt;0,Tasks[[#This Row],[Baseline Start]],Tasks[[#This Row],[_CalcStart]]))</f>
        <v/>
      </c>
      <c r="AR191" s="63" t="str">
        <f aca="false">IF(Tasks[[#This Row],[Task Name]]="","",IF(N(Tasks[[#This Row],[Baseline Finish]])&gt;0,Tasks[[#This Row],[Baseline Finish]],Tasks[[#This Row],[_CalcFinish]]))</f>
        <v/>
      </c>
      <c r="AS191" s="47" t="str">
        <f aca="false">IF(Tasks[[#This Row],[Task Name]]="","",IF(Tasks[[#This Row],[Start]]&gt;=Tasks[[#This Row],[Planned Start]],NETWORKDAYS.INTL(Tasks[[#This Row],[Planned Start]],Tasks[[#This Row],[Start]],WorkWeek,Holidays)-1,1-NETWORKDAYS.INTL(Tasks[[#This Row],[Start]],Tasks[[#This Row],[Planned Start]],WorkWeek,Holidays)))</f>
        <v/>
      </c>
      <c r="AT191" s="63" t="str">
        <f aca="false">IF(Tasks[[#This Row],[Task Name]]="","",IF(Tasks[[#This Row],[_IsSummary]],MIN(INDEX(Tasks[_LeafLateStart],Tasks[[#This Row],[_Row]]+1):INDEX(Tasks[_LeafLateStart],Tasks[[#This Row],[_Row]]+Tasks[[#This Row],[_Descendants]])),Tasks[[#This Row],[_LeafLateStart]]))</f>
        <v/>
      </c>
      <c r="AU191" s="63" t="str">
        <f aca="false">IF(Tasks[[#This Row],[Task Name]]="","",IF(Tasks[[#This Row],[_IsSummary]],MAX(INDEX(Tasks[_LeafLateFinish],Tasks[[#This Row],[_Row]]+1):INDEX(Tasks[_LeafLateFinish],Tasks[[#This Row],[_Row]]+Tasks[[#This Row],[_Descendants]])),Tasks[[#This Row],[_LeafLateFinish]]))</f>
        <v/>
      </c>
      <c r="AV191" s="47" t="str">
        <f aca="false">IF(Tasks[[#This Row],[Task Name]]="","",IF(Tasks[[#This Row],[_IsSummary]],MIN(INDEX(Tasks[_LeafTotalSlack],Tasks[[#This Row],[_Row]]+1):INDEX(Tasks[_LeafTotalSlack],Tasks[[#This Row],[_Row]]+Tasks[[#This Row],[_Descendants]])),Tasks[[#This Row],[_LeafTotalSlack]]))</f>
        <v/>
      </c>
      <c r="AW1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5"/>
      <c r="BA19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t="str">
        <f aca="false">IF(Tasks[[#This Row],[Task Name]]="","",IF(Tasks[[#This Row],[_Level]]&lt;=OutlineShowLevel,"Yes","No"))</f>
        <v/>
      </c>
      <c r="BE191" s="86" t="str">
        <f aca="false">IF(Tasks[[#This Row],[Task Name]]="","",IF(Tasks[[#This Row],[_IsSummary]],SUM(INDEX(Tasks[_LeafTotalWork],Tasks[[#This Row],[_Row]]+1):INDEX(Tasks[_LeafTotalWork],Tasks[[#This Row],[_Row]]+Tasks[[#This Row],[_Descendants]])),Tasks[[#This Row],[_LeafTotalWork]]))</f>
        <v/>
      </c>
      <c r="BF191" s="23"/>
      <c r="BG1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t="str">
        <f aca="false">""</f>
        <v/>
      </c>
      <c r="BI191" s="87"/>
      <c r="BJ191" s="22"/>
      <c r="BK191" s="47" t="str">
        <f aca="false">IF(OR(Tasks[[#This Row],[Task Name]]="",Tasks[[#This Row],[Baseline Duration]]=""),"",Tasks[[#This Row],[_SpanDays]]-N(Tasks[[#This Row],[Baseline Duration]]))</f>
        <v/>
      </c>
      <c r="BL191" s="86" t="str">
        <f aca="false">IF(OR(Tasks[[#This Row],[Task Name]]="",Tasks[[#This Row],[Baseline Work]]=""),"",Tasks[[#This Row],[Work]]-N(Tasks[[#This Row],[Baseline Work]]))</f>
        <v/>
      </c>
      <c r="BM191" s="63" t="str">
        <f aca="false">IF(Tasks[[#This Row],[Task Name]]="","",IF(OR(TakeBaseline="Yes",N(Tasks[[#This Row],[Baseline Start]])=0),Tasks[[#This Row],[Start]],Tasks[[#This Row],[Baseline Start]]))</f>
        <v/>
      </c>
      <c r="BN191" s="63" t="str">
        <f aca="false">IF(Tasks[[#This Row],[Task Name]]="","",IF(OR(TakeBaseline="Yes",N(Tasks[[#This Row],[Baseline Finish]])=0),Tasks[[#This Row],[Finish]],Tasks[[#This Row],[Baseline Finish]]))</f>
        <v/>
      </c>
      <c r="BO191" s="21" t="str">
        <f aca="false">IF(Tasks[[#This Row],[Task Name]]="","",IF(OR(TakeBaseline="Yes",N(Tasks[[#This Row],[Baseline Duration]])=0),Tasks[[#This Row],[_SpanDays]],Tasks[[#This Row],[Baseline Duration]]))</f>
        <v/>
      </c>
      <c r="BP191" s="86" t="str">
        <f aca="false">IF(Tasks[[#This Row],[Task Name]]="","",IF(OR(TakeBaseline="Yes",N(Tasks[[#This Row],[Baseline Work]])=0),Tasks[[#This Row],[Work]],Tasks[[#This Row],[Baseline Work]]))</f>
        <v/>
      </c>
      <c r="BQ191" s="7"/>
      <c r="BR191" s="7"/>
      <c r="BS191" s="22"/>
      <c r="BT191" s="88"/>
      <c r="BU191" s="23"/>
      <c r="BV191" s="23"/>
      <c r="BW191" s="23"/>
      <c r="BX191" s="89" t="str">
        <f aca="false">IF(AND(Tasks[[#This Row],[_IsLeaf]]=1,ISNUMBER(Tasks[[#This Row],[Optimistic]]),ISNUMBER(Tasks[[#This Row],[Pessimistic]])),ROUND((Tasks[[#This Row],[Optimistic]]+4*N(Tasks[[#This Row],[_Days]])+Tasks[[#This Row],[Pessimistic]])/6,1),"")</f>
        <v/>
      </c>
      <c r="BY191" s="87"/>
      <c r="BZ191" s="87"/>
      <c r="CA191" s="22"/>
      <c r="CB191" s="43" t="str">
        <f aca="false">IF(Tasks[[#This Row],[Task Name]]="","",MAX(1,N(Tasks[[#This Row],[Level]])))</f>
        <v/>
      </c>
      <c r="CC191" s="43" t="n">
        <f aca="false">ROW()-ROW(Tasks[[#Headers],[ID]])</f>
        <v>186</v>
      </c>
      <c r="CD191" s="43" t="n">
        <f aca="false">IF(OR(Tasks[[#This Row],[Task Name]]="",Tasks[[#This Row],[_Level]]&lt;=1),0,IFERROR(LOOKUP(2,1/(Tasks[[#Headers],[_Level]]:Tasks[[#This Row],[_Level]]=Tasks[[#This Row],[_Level]]-1),ROW(Tasks[[#Headers],[_Level]]:Tasks[[#This Row],[_Level]])),0))</f>
        <v>0</v>
      </c>
      <c r="CE191" s="43" t="n">
        <f aca="false">IFERROR(N(INDEX(Tasks[_Level],Tasks[[#This Row],[_Row]]+1)),0)</f>
        <v>0</v>
      </c>
      <c r="CF191" s="90" t="b">
        <f aca="false">AND(Tasks[[#This Row],[Task Name]]&lt;&gt;"",Tasks[[#This Row],[_NextLevel]]&gt;Tasks[[#This Row],[_Level]])</f>
        <v>0</v>
      </c>
      <c r="CG191" s="43" t="n">
        <f aca="false">IF(Tasks[[#This Row],[_IsSummary]],COUNTIF(Tasks[WBS],Tasks[[#This Row],[WBS]]&amp;".*"),0)</f>
        <v>0</v>
      </c>
      <c r="CH191" s="43" t="n">
        <f aca="false">IF(AND(Tasks[[#This Row],[Task Name]]&lt;&gt;"",NOT(Tasks[[#This Row],[_IsSummary]])),1,0)</f>
        <v>0</v>
      </c>
      <c r="CI191" s="43" t="n">
        <f aca="false">IF(N(Tasks[[#This Row],[_Pred1UID]])=0,0,IFERROR(MATCH(Tasks[[#This Row],[_Pred1UID]],Tasks[UID],0),-1))</f>
        <v>0</v>
      </c>
      <c r="CJ191" s="43" t="n">
        <f aca="false">IF(N(Tasks[[#This Row],[_Pred2UID]])=0,0,IFERROR(MATCH(Tasks[[#This Row],[_Pred2UID]],Tasks[UID],0),-1))</f>
        <v>0</v>
      </c>
      <c r="CK191" s="43" t="n">
        <f aca="false">IF(N(Tasks[[#This Row],[_Pred3UID]])=0,0,IFERROR(MATCH(Tasks[[#This Row],[_Pred3UID]],Tasks[UID],0),-1))</f>
        <v>0</v>
      </c>
      <c r="CL191" s="43" t="n">
        <f aca="false">IF(N(Tasks[[#This Row],[_Pred4UID]])=0,0,IFERROR(MATCH(Tasks[[#This Row],[_Pred4UID]],Tasks[UID],0),-1))</f>
        <v>0</v>
      </c>
      <c r="CM1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1" s="91" t="n">
        <f aca="false">IF(OR(Tasks[[#This Row],[_ConstraintCode]]=2,Tasks[[#This Row],[_ConstraintCode]]=3,Tasks[[#This Row],[_ConstraintCode]]=4,Tasks[[#This Row],[_ConstraintCode]]=6),Tasks[[#This Row],[_ConstraintStart]],0)</f>
        <v>0</v>
      </c>
      <c r="CP191" s="91" t="n">
        <f aca="false">IF(OR(Tasks[[#This Row],[_ConstraintCode]]=2,Tasks[[#This Row],[_ConstraintCode]]=3,Tasks[[#This Row],[_ConstraintCode]]=5,Tasks[[#This Row],[_ConstraintCode]]=7),Tasks[[#This Row],[_ConstraintStart]],2958465)</f>
        <v>2958465</v>
      </c>
      <c r="CQ1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1" s="91" t="str">
        <f aca="false">IF(NOT(Tasks[[#This Row],[_IsLeaf]]=1),"",IF(N(Tasks[[#This Row],[_Days]])&lt;=0,Tasks[[#This Row],[_LeafCalcStart]],WORKDAY.INTL(Tasks[[#This Row],[_LeafCalcStart]],Tasks[[#This Row],[_Days]]-1,WorkWeek,Holidays)))</f>
        <v/>
      </c>
      <c r="CS1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1" s="43" t="str">
        <f aca="false">IF(Tasks[[#This Row],[_Predecessors]]="","",TRIM(MID(SUBSTITUTE(SUBSTITUTE(SUBSTITUTE(UPPER(Tasks[[#This Row],[_Predecessors]]),";",",")," ",""),",",REPT(" ",99)),1,99)))</f>
        <v/>
      </c>
      <c r="CV191" s="43" t="str">
        <f aca="false">IF(Tasks[[#This Row],[_Pred1Text]]="","",IFERROR(VALUE(LEFT(Tasks[[#This Row],[_Pred1Text]],MIN(FIND("F",Tasks[[#This Row],[_Pred1Text]]&amp;"F"),FIND("S",Tasks[[#This Row],[_Pred1Text]]&amp;"S"),FIND("+",Tasks[[#This Row],[_Pred1Text]]&amp;"+"),FIND("-",Tasks[[#This Row],[_Pred1Text]]&amp;"-"))-1)),""))</f>
        <v/>
      </c>
      <c r="CW1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1" s="43" t="str">
        <f aca="false">IF(Tasks[[#This Row],[_Pred1Text]]="","",TRIM(MID(SUBSTITUTE(SUBSTITUTE(SUBSTITUTE(UPPER(Tasks[[#This Row],[_Predecessors]]),";",",")," ",""),",",REPT(" ",99)),100,99)))</f>
        <v/>
      </c>
      <c r="CZ191" s="43" t="str">
        <f aca="false">IF(Tasks[[#This Row],[_Pred2Text]]="","",IFERROR(VALUE(LEFT(Tasks[[#This Row],[_Pred2Text]],MIN(FIND("F",Tasks[[#This Row],[_Pred2Text]]&amp;"F"),FIND("S",Tasks[[#This Row],[_Pred2Text]]&amp;"S"),FIND("+",Tasks[[#This Row],[_Pred2Text]]&amp;"+"),FIND("-",Tasks[[#This Row],[_Pred2Text]]&amp;"-"))-1)),""))</f>
        <v/>
      </c>
      <c r="DA1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1" s="43" t="str">
        <f aca="false">IF(Tasks[[#This Row],[_Pred2Text]]="","",TRIM(MID(SUBSTITUTE(SUBSTITUTE(SUBSTITUTE(UPPER(Tasks[[#This Row],[_Predecessors]]),";",",")," ",""),",",REPT(" ",99)),199,99)))</f>
        <v/>
      </c>
      <c r="DD191" s="43" t="str">
        <f aca="false">IF(Tasks[[#This Row],[_Pred3Text]]="","",IFERROR(VALUE(LEFT(Tasks[[#This Row],[_Pred3Text]],MIN(FIND("F",Tasks[[#This Row],[_Pred3Text]]&amp;"F"),FIND("S",Tasks[[#This Row],[_Pred3Text]]&amp;"S"),FIND("+",Tasks[[#This Row],[_Pred3Text]]&amp;"+"),FIND("-",Tasks[[#This Row],[_Pred3Text]]&amp;"-"))-1)),""))</f>
        <v/>
      </c>
      <c r="DE1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1" s="43" t="str">
        <f aca="false">IF(Tasks[[#This Row],[_Pred3Text]]="","",TRIM(MID(SUBSTITUTE(SUBSTITUTE(SUBSTITUTE(UPPER(Tasks[[#This Row],[_Predecessors]]),";",",")," ",""),",",REPT(" ",99)),298,99)))</f>
        <v/>
      </c>
      <c r="DH191" s="43" t="str">
        <f aca="false">IF(Tasks[[#This Row],[_Pred4Text]]="","",IFERROR(VALUE(LEFT(Tasks[[#This Row],[_Pred4Text]],MIN(FIND("F",Tasks[[#This Row],[_Pred4Text]]&amp;"F"),FIND("S",Tasks[[#This Row],[_Pred4Text]]&amp;"S"),FIND("+",Tasks[[#This Row],[_Pred4Text]]&amp;"+"),FIND("-",Tasks[[#This Row],[_Pred4Text]]&amp;"-"))-1)),""))</f>
        <v/>
      </c>
      <c r="DI1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1" s="43" t="str">
        <f aca="false">IF(OR(Tasks[[#This Row],[Task Name]]="",Tasks[[#This Row],[_Resources]]=""),"",TRIM(MID(SUBSTITUTE(Tasks[[#This Row],[_Resources]],",",REPT(" ",99)),1,99)))</f>
        <v/>
      </c>
      <c r="DL191" s="43" t="str">
        <f aca="false">IF(Tasks[[#This Row],[_Res1Text]]="","",TRIM(MID(SUBSTITUTE(Tasks[[#This Row],[_Resources]],",",REPT(" ",99)),100,99)))</f>
        <v/>
      </c>
      <c r="DM191" s="43" t="str">
        <f aca="false">IF(Tasks[[#This Row],[_Res2Text]]="","",TRIM(MID(SUBSTITUTE(Tasks[[#This Row],[_Resources]],",",REPT(" ",99)),199,99)))</f>
        <v/>
      </c>
      <c r="DN191" s="43" t="str">
        <f aca="false">IF(Tasks[[#This Row],[_Res3Text]]="","",TRIM(MID(SUBSTITUTE(Tasks[[#This Row],[_Resources]],",",REPT(" ",99)),298,99)))</f>
        <v/>
      </c>
      <c r="DO191" s="43" t="n">
        <f aca="false">IF(Tasks[[#This Row],[_Res1Text]]="",0,IFERROR(MATCH(TRIM(LEFT(Tasks[[#This Row],[_Res1Text]],FIND("[",Tasks[[#This Row],[_Res1Text]]&amp;"[")-1)),res_Name,0),IFERROR(MATCH(TRIM(LEFT(Tasks[[#This Row],[_Res1Text]],FIND("[",Tasks[[#This Row],[_Res1Text]]&amp;"[")-1)),res_Initials,0),0)))</f>
        <v>0</v>
      </c>
      <c r="DP191" s="43" t="n">
        <f aca="false">IF(Tasks[[#This Row],[_Res2Text]]="",0,IFERROR(MATCH(TRIM(LEFT(Tasks[[#This Row],[_Res2Text]],FIND("[",Tasks[[#This Row],[_Res2Text]]&amp;"[")-1)),res_Name,0),IFERROR(MATCH(TRIM(LEFT(Tasks[[#This Row],[_Res2Text]],FIND("[",Tasks[[#This Row],[_Res2Text]]&amp;"[")-1)),res_Initials,0),0)))</f>
        <v>0</v>
      </c>
      <c r="DQ191" s="43" t="n">
        <f aca="false">IF(Tasks[[#This Row],[_Res3Text]]="",0,IFERROR(MATCH(TRIM(LEFT(Tasks[[#This Row],[_Res3Text]],FIND("[",Tasks[[#This Row],[_Res3Text]]&amp;"[")-1)),res_Name,0),IFERROR(MATCH(TRIM(LEFT(Tasks[[#This Row],[_Res3Text]],FIND("[",Tasks[[#This Row],[_Res3Text]]&amp;"[")-1)),res_Initials,0),0)))</f>
        <v>0</v>
      </c>
      <c r="DR191" s="43" t="n">
        <f aca="false">IF(Tasks[[#This Row],[_Res4Text]]="",0,IFERROR(MATCH(TRIM(LEFT(Tasks[[#This Row],[_Res4Text]],FIND("[",Tasks[[#This Row],[_Res4Text]]&amp;"[")-1)),res_Name,0),IFERROR(MATCH(TRIM(LEFT(Tasks[[#This Row],[_Res4Text]],FIND("[",Tasks[[#This Row],[_Res4Text]]&amp;"[")-1)),res_Initials,0),0)))</f>
        <v>0</v>
      </c>
      <c r="DS191" s="43" t="str">
        <f aca="false">IF(Tasks[[#This Row],[_Res1Text]]="","",IF(Tasks[[#This Row],[_Res1Row]]&gt;0,INDEX(res_Name,Tasks[[#This Row],[_Res1Row]]),TRIM(LEFT(Tasks[[#This Row],[_Res1Text]],FIND("[",Tasks[[#This Row],[_Res1Text]]&amp;"[")-1))))</f>
        <v/>
      </c>
      <c r="DT1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1" s="43" t="n">
        <f aca="false">IF(NOT(Tasks[[#This Row],[_IsLeaf]]=1),0,(Tasks[[#This Row],[_Resource1]]&lt;&gt;"")+(Tasks[[#This Row],[_Res2]]&lt;&gt;"")+(Tasks[[#This Row],[_Res3]]&lt;&gt;"")+(Tasks[[#This Row],[_Res4]]&lt;&gt;""))</f>
        <v>0</v>
      </c>
      <c r="DV191" s="43" t="str">
        <f aca="false">IF(Tasks[[#This Row],[_Res2Text]]="","",IF(Tasks[[#This Row],[_Res2Row]]&gt;0,INDEX(res_Name,Tasks[[#This Row],[_Res2Row]]),TRIM(LEFT(Tasks[[#This Row],[_Res2Text]],FIND("[",Tasks[[#This Row],[_Res2Text]]&amp;"[")-1))))</f>
        <v/>
      </c>
      <c r="DW1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1" s="43" t="n">
        <f aca="false">IF(OR(NOT(Tasks[[#This Row],[_IsLeaf]]=1),Tasks[[#This Row],[_Res2Row]]=0),0,N(Tasks[[#This Row],[_Days]])*HoursPerDay*IF(Tasks[[#This Row],[_Res2Units]]="",DefaultUnits,Tasks[[#This Row],[_Res2Units]]))</f>
        <v>0</v>
      </c>
      <c r="DY191" s="43" t="n">
        <f aca="false">IF(AND(AND(Tasks[[#This Row],[_IsLeaf]]=1,Tasks[[#This Row],[_LeafTotalWork]]&gt;0),Tasks[[#This Row],[_Res2Work]]&gt;0),Tasks[[#This Row],[_Res2Work]]/(Tasks[[#This Row],[_FinishWorkday]]-Tasks[[#This Row],[_StartWorkday]]+1),0)</f>
        <v>0</v>
      </c>
      <c r="DZ191" s="43" t="n">
        <f aca="false">Tasks[[#This Row],[_Res2WorkPerWD]]*MAX(0,Tasks[[#This Row],[_StartWorkday]]-1)</f>
        <v>0</v>
      </c>
      <c r="EA191" s="43" t="n">
        <f aca="false">Tasks[[#This Row],[_Res2Work]]*Tasks[[#This Row],[_LeafProgress]]</f>
        <v>0</v>
      </c>
      <c r="EB191" s="43" t="str">
        <f aca="false">IF(Tasks[[#This Row],[_Res3Text]]="","",IF(Tasks[[#This Row],[_Res3Row]]&gt;0,INDEX(res_Name,Tasks[[#This Row],[_Res3Row]]),TRIM(LEFT(Tasks[[#This Row],[_Res3Text]],FIND("[",Tasks[[#This Row],[_Res3Text]]&amp;"[")-1))))</f>
        <v/>
      </c>
      <c r="EC1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1" s="43" t="n">
        <f aca="false">IF(OR(NOT(Tasks[[#This Row],[_IsLeaf]]=1),Tasks[[#This Row],[_Res3Row]]=0),0,N(Tasks[[#This Row],[_Days]])*HoursPerDay*IF(Tasks[[#This Row],[_Res3Units]]="",DefaultUnits,Tasks[[#This Row],[_Res3Units]]))</f>
        <v>0</v>
      </c>
      <c r="EE191" s="43" t="n">
        <f aca="false">IF(AND(AND(Tasks[[#This Row],[_IsLeaf]]=1,Tasks[[#This Row],[_LeafTotalWork]]&gt;0),Tasks[[#This Row],[_Res3Work]]&gt;0),Tasks[[#This Row],[_Res3Work]]/(Tasks[[#This Row],[_FinishWorkday]]-Tasks[[#This Row],[_StartWorkday]]+1),0)</f>
        <v>0</v>
      </c>
      <c r="EF191" s="43" t="n">
        <f aca="false">Tasks[[#This Row],[_Res3WorkPerWD]]*MAX(0,Tasks[[#This Row],[_StartWorkday]]-1)</f>
        <v>0</v>
      </c>
      <c r="EG191" s="43" t="n">
        <f aca="false">Tasks[[#This Row],[_Res3Work]]*Tasks[[#This Row],[_LeafProgress]]</f>
        <v>0</v>
      </c>
      <c r="EH191" s="43" t="str">
        <f aca="false">IF(Tasks[[#This Row],[_Res4Text]]="","",IF(Tasks[[#This Row],[_Res4Row]]&gt;0,INDEX(res_Name,Tasks[[#This Row],[_Res4Row]]),TRIM(LEFT(Tasks[[#This Row],[_Res4Text]],FIND("[",Tasks[[#This Row],[_Res4Text]]&amp;"[")-1))))</f>
        <v/>
      </c>
      <c r="EI1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1" s="43" t="n">
        <f aca="false">IF(OR(NOT(Tasks[[#This Row],[_IsLeaf]]=1),Tasks[[#This Row],[_Res4Row]]=0),0,N(Tasks[[#This Row],[_Days]])*HoursPerDay*IF(Tasks[[#This Row],[_Res4Units]]="",DefaultUnits,Tasks[[#This Row],[_Res4Units]]))</f>
        <v>0</v>
      </c>
      <c r="EK191" s="43" t="n">
        <f aca="false">IF(AND(AND(Tasks[[#This Row],[_IsLeaf]]=1,Tasks[[#This Row],[_LeafTotalWork]]&gt;0),Tasks[[#This Row],[_Res4Work]]&gt;0),Tasks[[#This Row],[_Res4Work]]/(Tasks[[#This Row],[_FinishWorkday]]-Tasks[[#This Row],[_StartWorkday]]+1),0)</f>
        <v>0</v>
      </c>
      <c r="EL191" s="43" t="n">
        <f aca="false">Tasks[[#This Row],[_Res4WorkPerWD]]*MAX(0,Tasks[[#This Row],[_StartWorkday]]-1)</f>
        <v>0</v>
      </c>
      <c r="EM191" s="43" t="n">
        <f aca="false">Tasks[[#This Row],[_Res4Work]]*Tasks[[#This Row],[_LeafProgress]]</f>
        <v>0</v>
      </c>
      <c r="EN191" s="43" t="n">
        <f aca="false">IF(ISNUMBER(Tasks[[#This Row],[% Complete]]),Tasks[[#This Row],[% Complete]],IF(Tasks[[#This Row],[Stage]]="",0,IFERROR(INDEX(stg_Pct,MATCH(Tasks[[#This Row],[Stage]],stg_Name,0)),0)))</f>
        <v>0</v>
      </c>
      <c r="EO191" s="43" t="n">
        <f aca="false">IF(NOT(Tasks[[#This Row],[_IsLeaf]]=1),0,IF(N(Tasks[[#This Row],[Actual Finish]])&gt;0,1,MIN(1,Tasks[[#This Row],[_Pct]])))</f>
        <v>0</v>
      </c>
      <c r="EP191" s="43" t="n">
        <f aca="false">IF(OR(NOT(Tasks[[#This Row],[_IsLeaf]]=1),Tasks[[#This Row],[_Res1Row]]=0),0,N(Tasks[[#This Row],[_Days]])*HoursPerDay*IF(Tasks[[#This Row],[_Units1]]="",DefaultUnits,Tasks[[#This Row],[_Units1]]))</f>
        <v>0</v>
      </c>
      <c r="EQ191" s="43" t="n">
        <f aca="false">Tasks[[#This Row],[_LeafWork]]+Tasks[[#This Row],[_Res2Work]]+Tasks[[#This Row],[_Res3Work]]+Tasks[[#This Row],[_Res4Work]]</f>
        <v>0</v>
      </c>
      <c r="ER19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1" s="43" t="n">
        <f aca="false">IF(NOT(Tasks[[#This Row],[_IsLeaf]]=1),0,MAX(_xlfn.MAXIFS(Tasks[_Row],Tasks[_Pred1UID],Tasks[[#This Row],[UID]]),_xlfn.MAXIFS(Tasks[_Row],Tasks[_Pred2UID],Tasks[[#This Row],[UID]]),_xlfn.MAXIFS(Tasks[_Row],Tasks[_Pred3UID],Tasks[[#This Row],[UID]]),_xlfn.MAXIFS(Tasks[_Row],Tasks[_Pred4UID],Tasks[[#This Row],[UID]])))</f>
        <v>0</v>
      </c>
      <c r="FA1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1" s="91" t="str">
        <f aca="false">IF(NOT(Tasks[[#This Row],[_IsLeaf]]=1),"",IF(N(Tasks[[#This Row],[_Days]])&lt;=0,Tasks[[#This Row],[_LeafLateFinish]],WORKDAY.INTL(Tasks[[#This Row],[_LeafLateFinish]],-(Tasks[[#This Row],[_Days]]-1),WorkWeek,Holidays)))</f>
        <v/>
      </c>
      <c r="FD1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1" s="90" t="b">
        <f aca="false">AND(Tasks[[#This Row],[_IsLeaf]]=1,Tasks[[#This Row],[_LeafProgress]]&lt;1,N(Tasks[[#This Row],[_LeafTotalSlack]])&lt;=CriticalSlackDays)</f>
        <v>0</v>
      </c>
      <c r="FF191" s="43" t="n">
        <f aca="false">IF(AND(Tasks[[#This Row],[_IsLeaf]]=1,Tasks[[#This Row],[_ConstraintCode]]=1,Tasks[[#This Row],[Mode]]&lt;&gt;"Manual",N(Tasks[[#This Row],[Actual Start]])=0),MAX(0,N(Tasks[[#This Row],[Free Slack]])),0)</f>
        <v>0</v>
      </c>
      <c r="FG191" s="91" t="str">
        <f aca="false">IF(NOT(Tasks[[#This Row],[_IsLeaf]]=1),"",IF(Tasks[[#This Row],[_AlapShift]]=0,Tasks[[#This Row],[_LeafCalcStart]],WORKDAY.INTL(Tasks[[#This Row],[_LeafCalcStart]],Tasks[[#This Row],[_AlapShift]],WorkWeek,Holidays)))</f>
        <v/>
      </c>
      <c r="FH191" s="91" t="str">
        <f aca="false">IF(NOT(Tasks[[#This Row],[_IsLeaf]]=1),"",IF(Tasks[[#This Row],[_AlapShift]]=0,Tasks[[#This Row],[_LeafCalcFinish]],WORKDAY.INTL(Tasks[[#This Row],[_LeafCalcFinish]],Tasks[[#This Row],[_AlapShift]],WorkWeek,Holidays)))</f>
        <v/>
      </c>
      <c r="FI191" s="91" t="str">
        <f aca="false">IF(NOT(Tasks[[#This Row],[_IsLeaf]]=1),"",IF(Tasks[[#This Row],[_AlapShift]]=0,Tasks[[#This Row],[_LeafFcstStart]],WORKDAY.INTL(Tasks[[#This Row],[_LeafFcstStart]],Tasks[[#This Row],[_AlapShift]],WorkWeek,Holidays)))</f>
        <v/>
      </c>
      <c r="FJ191" s="91" t="str">
        <f aca="false">IF(NOT(Tasks[[#This Row],[_IsLeaf]]=1),"",IF(Tasks[[#This Row],[_AlapShift]]=0,Tasks[[#This Row],[_LeafFcstFinish]],WORKDAY.INTL(Tasks[[#This Row],[_LeafFcstFinish]],Tasks[[#This Row],[_AlapShift]],WorkWeek,Holidays)))</f>
        <v/>
      </c>
      <c r="FK191" s="91" t="str">
        <f aca="false">IF(Tasks[[#This Row],[Task Name]]="","",IF(Tasks[[#This Row],[_IsSummary]],MIN(INDEX(Tasks[_ShownCalcStart],Tasks[[#This Row],[_Row]]+1):INDEX(Tasks[_ShownCalcStart],Tasks[[#This Row],[_Row]]+Tasks[[#This Row],[_Descendants]])),Tasks[[#This Row],[_ShownCalcStart]]))</f>
        <v/>
      </c>
      <c r="FL191" s="91" t="str">
        <f aca="false">IF(Tasks[[#This Row],[Task Name]]="","",IF(Tasks[[#This Row],[_IsSummary]],MAX(INDEX(Tasks[_ShownCalcFinish],Tasks[[#This Row],[_Row]]+1):INDEX(Tasks[_ShownCalcFinish],Tasks[[#This Row],[_Row]]+Tasks[[#This Row],[_Descendants]])),Tasks[[#This Row],[_ShownCalcFinish]]))</f>
        <v/>
      </c>
      <c r="FM1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1" s="43" t="n">
        <f aca="false">IF(AND(Tasks[[#This Row],[_IsLeaf]]=1,Tasks[[#This Row],[_LeafTotalWork]]&gt;0),NETWORKDAYS.INTL(ProjectStart,Tasks[[#This Row],[_ShownFcstStart]],WorkWeek,Holidays),0)</f>
        <v>0</v>
      </c>
      <c r="FZ191" s="43" t="n">
        <f aca="false">IF(AND(Tasks[[#This Row],[_IsLeaf]]=1,Tasks[[#This Row],[_LeafTotalWork]]&gt;0),MAX(Tasks[[#This Row],[_StartWorkday]],NETWORKDAYS.INTL(ProjectStart,Tasks[[#This Row],[_ShownFcstFinish]],WorkWeek,Holidays)),0)</f>
        <v>0</v>
      </c>
      <c r="GA191" s="43" t="n">
        <f aca="false">IF(AND(Tasks[[#This Row],[_IsLeaf]]=1,Tasks[[#This Row],[_LeafTotalWork]]&gt;0),Tasks[[#This Row],[_LeafWork]]/(Tasks[[#This Row],[_FinishWorkday]]-Tasks[[#This Row],[_StartWorkday]]+1),0)</f>
        <v>0</v>
      </c>
      <c r="GB191" s="43" t="n">
        <f aca="false">Tasks[[#This Row],[_WorkPerWorkday]]*(Tasks[[#This Row],[_StartWorkday]]-1)</f>
        <v>-0</v>
      </c>
      <c r="GC191" s="43" t="n">
        <f aca="false">IF(Tasks[[#This Row],[_IsLeaf]]=1,MAX(N(Tasks[[#This Row],[_Days]]),0.1),0)</f>
        <v>0</v>
      </c>
      <c r="GD191" s="43" t="n">
        <f aca="false">Tasks[[#This Row],[_WeightDur]]*Tasks[[#This Row],[_LeafProgress]]</f>
        <v>0</v>
      </c>
      <c r="GE191" s="43" t="n">
        <f aca="false">Tasks[[#This Row],[_WeightDur]]*Tasks[[#This Row],[_PlannedPct]]</f>
        <v>0</v>
      </c>
      <c r="GF1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1" s="43" t="str">
        <f aca="false">IF(AND(Tasks[[#This Row],[_IsLeaf]]=1,N(Tasks[[#This Row],[_Days]])=0,Tasks[[#This Row],[_LeafProgress]]&lt;1),Tasks[[#This Row],[_ShownFcstFinish]]+Tasks[[#This Row],[_Row]]/100000,"")</f>
        <v/>
      </c>
      <c r="GH1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1" s="43" t="str">
        <f aca="false">IF(Tasks[[#This Row],[Task Name]]="","",LEFT(Tasks[[#This Row],[WBS]],FIND(".",Tasks[[#This Row],[WBS]]&amp;".")-1))</f>
        <v/>
      </c>
      <c r="GJ191" s="43" t="str">
        <f aca="false">IF(AND(Tasks[[#This Row],[Task Name]]&lt;&gt;"",Tasks[[#This Row],[_Level]]=1),Tasks[[#This Row],[_Row]],"")</f>
        <v/>
      </c>
      <c r="GK191" s="43" t="str">
        <f aca="false">IF(AND(Tasks[[#This Row],[_IsLeaf]]=1,N(Tasks[[#This Row],[_Days]])=0),Tasks[[#This Row],[Planned Finish]]+Tasks[[#This Row],[_Row]]/100000,"")</f>
        <v/>
      </c>
      <c r="GL191" s="43" t="str">
        <f aca="false">IF(AND(Tasks[[#This Row],[_IsLeaf]]=1,Tasks[[#This Row],[_LeafProgress]]&lt;1,OR(N(Tasks[[#This Row],[Finish Var]])&gt;0,Tasks[[#This Row],[Status]]="Late Start")),MAX(0,Tasks[[#This Row],[Finish Var]])+1-Tasks[[#This Row],[_Row]]/1000000,"")</f>
        <v/>
      </c>
      <c r="GM191" s="43" t="str">
        <f aca="false">IF(AND(Tasks[[#This Row],[_IsLeaf]]=1,N(Tasks[[#This Row],[Actual Start]])=0,Tasks[[#This Row],[_ShownFcstStart]]&gt;=StatusDate,Tasks[[#This Row],[_ShownFcstStart]]&lt;=LookaheadEnd),Tasks[[#This Row],[_ShownFcstStart]]+Tasks[[#This Row],[_Row]]/100000,"")</f>
        <v/>
      </c>
      <c r="GN191" s="43" t="str">
        <f aca="false">IF(AND(Tasks[[#This Row],[_IsLeaf]]=1,Tasks[[#This Row],[_LeafProgress]]&lt;1,Tasks[[#This Row],[_ShownFcstFinish]]&gt;=StatusDate,Tasks[[#This Row],[_ShownFcstFinish]]&lt;=LookaheadEnd),Tasks[[#This Row],[_ShownFcstFinish]]+Tasks[[#This Row],[_Row]]/100000,"")</f>
        <v/>
      </c>
      <c r="GO191" s="43" t="str">
        <f aca="false">IF(Tasks[[#This Row],[_LeafCritical]],Tasks[[#This Row],[_ShownFcstStart]]+Tasks[[#This Row],[_Row]]/100000,"")</f>
        <v/>
      </c>
      <c r="GP191" s="43" t="n">
        <f aca="false">Tasks[[#This Row],[_LeafWork]]*Tasks[[#This Row],[_LeafProgress]]</f>
        <v>0</v>
      </c>
      <c r="GQ191" s="91" t="str">
        <f aca="false">IF(AND(Tasks[[#This Row],[_IsLeaf]]=1,Tasks[[#This Row],[_LeafProgress]]&gt;=1),IF(N(Tasks[[#This Row],[Actual Finish]])&gt;0,Tasks[[#This Row],[Actual Finish]],Tasks[[#This Row],[_ShownFcstFinish]]),"")</f>
        <v/>
      </c>
      <c r="GR191" s="43" t="n">
        <f aca="false">IF(Tasks[[#This Row],[_IsLeaf]]=1,N(Tasks[[#This Row],[Story Points]]),0)</f>
        <v>0</v>
      </c>
      <c r="GS191" s="43" t="str">
        <f aca="false">""</f>
        <v/>
      </c>
      <c r="GT191" s="90" t="b">
        <f aca="false">IF(Tasks[[#This Row],[Task Name]]="",FALSE(),AND(Tasks[[#This Row],[_IsLeaf]]=1,N(Tasks[[#This Row],[_Days]])=0))</f>
        <v>0</v>
      </c>
      <c r="GU191" s="91" t="n">
        <f aca="false">IF(Tasks[[#This Row],[Task Name]]="",0,IF(AND(Tasks[[#This Row],[_IsLeaf]]=1,NOT(Tasks[[#This Row],[_IsMilestone]]),N(Tasks[[#This Row],[Progress]])&gt;0),Tasks[[#This Row],[Start]],0))</f>
        <v>0</v>
      </c>
      <c r="GV191" s="91" t="n">
        <f aca="false">IF(Tasks[[#This Row],[_DoneFrom]]=0,0,IF(Tasks[[#This Row],[Progress]]&gt;=1,Tasks[[#This Row],[Finish]],MAX(Tasks[[#This Row],[_DoneFrom]],Tasks[[#This Row],[Start]]+ROUND((Tasks[[#This Row],[Finish]]-Tasks[[#This Row],[Start]]+1)*Tasks[[#This Row],[Progress]],0)-1)))</f>
        <v>0</v>
      </c>
      <c r="GW191" s="91" t="n">
        <f aca="false">IF(Tasks[[#This Row],[Task Name]]="",0,IF(OR(NOT(Tasks[[#This Row],[_IsLeaf]]=1),Tasks[[#This Row],[_IsMilestone]],N(Tasks[[#This Row],[Progress]])&gt;=1),0,IF(Tasks[[#This Row],[_DoneTo]]&gt;0,Tasks[[#This Row],[_DoneTo]]+1,Tasks[[#This Row],[Start]])))</f>
        <v>0</v>
      </c>
      <c r="GX191" s="91" t="n">
        <f aca="false">IF(Tasks[[#This Row],[_RemFrom]]=0,0,Tasks[[#This Row],[Finish]])</f>
        <v>0</v>
      </c>
      <c r="GY191" s="90" t="b">
        <f aca="false">IF(Tasks[[#This Row],[Task Name]]="",FALSE(),OR(NOT(BaselineSet),N(Tasks[[#This Row],[Baseline Start]])&gt;0))</f>
        <v>0</v>
      </c>
      <c r="GZ19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1" s="92" t="str">
        <f aca="false">IF(Tasks[[#This Row],[_IsLeaf]]=1,Tasks[[#This Row],[_Row]],"")</f>
        <v/>
      </c>
      <c r="HD191" s="92" t="str">
        <f aca="false">IFERROR(INDEX(Tasks[UID],SMALL(Tasks[_PickKey],Tasks[[#This Row],[_Row]]))&amp;" "&amp;INDEX(Tasks[Task Name],SMALL(Tasks[_PickKey],Tasks[[#This Row],[_Row]])),"")</f>
        <v/>
      </c>
      <c r="HE191" s="43" t="str">
        <f aca="false">IF(Tasks[[#This Row],[Task Name]]="","",IF(Tasks[[#This Row],[_IsSummary]],NETWORKDAYS.INTL(Tasks[[#This Row],[Start]],Tasks[[#This Row],[Finish]],WorkWeek,Holidays),N(Tasks[[#This Row],[_Days]])))</f>
        <v/>
      </c>
      <c r="HF191" s="43" t="n">
        <f aca="false">IF(Tasks[[#This Row],[Expected]]="",0,((Tasks[[#This Row],[Pessimistic]]-Tasks[[#This Row],[Optimistic]])/6)^2)</f>
        <v>0</v>
      </c>
      <c r="HG191" s="43" t="n">
        <f aca="false">IF(Tasks[[#This Row],[Expected]]="",0,Tasks[[#This Row],[Expected]]-N(Tasks[[#This Row],[_Days]]))</f>
        <v>0</v>
      </c>
    </row>
    <row r="192" customFormat="false" ht="15" hidden="false" customHeight="false" outlineLevel="0" collapsed="false">
      <c r="A192" s="21" t="str">
        <f aca="false">IF(Tasks[[#This Row],[Task Name]]="","",COUNTA(Tasks[[#Headers],[Task Name]]:Tasks[[#This Row],[Task Name]])-1)</f>
        <v/>
      </c>
      <c r="B192" s="22" t="n">
        <v>200</v>
      </c>
      <c r="C192" s="22"/>
      <c r="D192" s="23"/>
      <c r="E192" s="22"/>
      <c r="F192" s="23"/>
      <c r="G192" s="22"/>
      <c r="H192" s="22"/>
      <c r="I192" s="23"/>
      <c r="J192" s="22"/>
      <c r="K192" s="22"/>
      <c r="L192" s="23"/>
      <c r="M192" s="22"/>
      <c r="N192" s="22"/>
      <c r="O192" s="23"/>
      <c r="P192" s="22"/>
      <c r="Q192" s="22"/>
      <c r="R192" s="23"/>
      <c r="S192" s="23"/>
      <c r="T192" s="84"/>
      <c r="U192" s="23"/>
      <c r="V192" s="84"/>
      <c r="W192" s="23"/>
      <c r="X192" s="84"/>
      <c r="Y192" s="23"/>
      <c r="Z192" s="84"/>
      <c r="AA192" s="23"/>
      <c r="AB192" s="23"/>
      <c r="AC192" s="7"/>
      <c r="AD192" s="7"/>
      <c r="AE192" s="63" t="str">
        <f aca="false">IF(Tasks[[#This Row],[Task Name]]="","",IF(Tasks[[#This Row],[_IsSummary]],MIN(INDEX(Tasks[_ShownFcstStart],Tasks[[#This Row],[_Row]]+1):INDEX(Tasks[_ShownFcstStart],Tasks[[#This Row],[_Row]]+Tasks[[#This Row],[_Descendants]])),Tasks[[#This Row],[_ShownFcstStart]]))</f>
        <v/>
      </c>
      <c r="AF192" s="63" t="str">
        <f aca="false">IF(Tasks[[#This Row],[Task Name]]="","",IF(Tasks[[#This Row],[_IsSummary]],MAX(INDEX(Tasks[_ShownFcstFinish],Tasks[[#This Row],[_Row]]+1):INDEX(Tasks[_ShownFcstFinish],Tasks[[#This Row],[_Row]]+Tasks[[#This Row],[_Descendants]])),Tasks[[#This Row],[_ShownFcstFinish]]))</f>
        <v/>
      </c>
      <c r="AG192" s="21" t="str">
        <f aca="false">""</f>
        <v/>
      </c>
      <c r="AH192" s="23"/>
      <c r="AI1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2" s="7"/>
      <c r="AK192" s="22"/>
      <c r="AL192" s="23"/>
      <c r="AM192" s="7"/>
      <c r="AN192" s="47" t="str">
        <f aca="false">IF(Tasks[[#This Row],[Task Name]]="","",IF(Tasks[[#This Row],[Finish]]&gt;=Tasks[[#This Row],[Planned Finish]],NETWORKDAYS.INTL(Tasks[[#This Row],[Planned Finish]],Tasks[[#This Row],[Finish]],WorkWeek,Holidays)-1,1-NETWORKDAYS.INTL(Tasks[[#This Row],[Finish]],Tasks[[#This Row],[Planned Finish]],WorkWeek,Holidays)))</f>
        <v/>
      </c>
      <c r="AO192" s="21" t="str">
        <f aca="false">IF(Tasks[[#This Row],[Task Name]]="","",IF(Tasks[[#This Row],[Progress]]&gt;=1,"Complete",IF(OR(N(Tasks[[#This Row],[Actual Start]])&gt;0,Tasks[[#This Row],[Progress]]&gt;0),IF(Tasks[[#This Row],[Finish Var]]&gt;0,"Behind","In Progress"),IF(Tasks[[#This Row],[Planned Start]]&lt;StatusDate,"Late Start","Not Started"))))</f>
        <v/>
      </c>
      <c r="AP192" s="21" t="str">
        <f aca="false">IF(Tasks[[#This Row],[Task Name]]="","",IF(IF(Tasks[[#This Row],[_IsSummary]],COUNTIF(INDEX(Tasks[_LeafCritical],Tasks[[#This Row],[_Row]]+1):INDEX(Tasks[_LeafCritical],Tasks[[#This Row],[_Row]]+Tasks[[#This Row],[_Descendants]]),TRUE())&gt;0,Tasks[[#This Row],[_LeafCritical]]),"Yes",""))</f>
        <v/>
      </c>
      <c r="AQ192" s="63" t="str">
        <f aca="false">IF(Tasks[[#This Row],[Task Name]]="","",IF(N(Tasks[[#This Row],[Baseline Start]])&gt;0,Tasks[[#This Row],[Baseline Start]],Tasks[[#This Row],[_CalcStart]]))</f>
        <v/>
      </c>
      <c r="AR192" s="63" t="str">
        <f aca="false">IF(Tasks[[#This Row],[Task Name]]="","",IF(N(Tasks[[#This Row],[Baseline Finish]])&gt;0,Tasks[[#This Row],[Baseline Finish]],Tasks[[#This Row],[_CalcFinish]]))</f>
        <v/>
      </c>
      <c r="AS192" s="47" t="str">
        <f aca="false">IF(Tasks[[#This Row],[Task Name]]="","",IF(Tasks[[#This Row],[Start]]&gt;=Tasks[[#This Row],[Planned Start]],NETWORKDAYS.INTL(Tasks[[#This Row],[Planned Start]],Tasks[[#This Row],[Start]],WorkWeek,Holidays)-1,1-NETWORKDAYS.INTL(Tasks[[#This Row],[Start]],Tasks[[#This Row],[Planned Start]],WorkWeek,Holidays)))</f>
        <v/>
      </c>
      <c r="AT192" s="63" t="str">
        <f aca="false">IF(Tasks[[#This Row],[Task Name]]="","",IF(Tasks[[#This Row],[_IsSummary]],MIN(INDEX(Tasks[_LeafLateStart],Tasks[[#This Row],[_Row]]+1):INDEX(Tasks[_LeafLateStart],Tasks[[#This Row],[_Row]]+Tasks[[#This Row],[_Descendants]])),Tasks[[#This Row],[_LeafLateStart]]))</f>
        <v/>
      </c>
      <c r="AU192" s="63" t="str">
        <f aca="false">IF(Tasks[[#This Row],[Task Name]]="","",IF(Tasks[[#This Row],[_IsSummary]],MAX(INDEX(Tasks[_LeafLateFinish],Tasks[[#This Row],[_Row]]+1):INDEX(Tasks[_LeafLateFinish],Tasks[[#This Row],[_Row]]+Tasks[[#This Row],[_Descendants]])),Tasks[[#This Row],[_LeafLateFinish]]))</f>
        <v/>
      </c>
      <c r="AV192" s="47" t="str">
        <f aca="false">IF(Tasks[[#This Row],[Task Name]]="","",IF(Tasks[[#This Row],[_IsSummary]],MIN(INDEX(Tasks[_LeafTotalSlack],Tasks[[#This Row],[_Row]]+1):INDEX(Tasks[_LeafTotalSlack],Tasks[[#This Row],[_Row]]+Tasks[[#This Row],[_Descendants]])),Tasks[[#This Row],[_LeafTotalSlack]]))</f>
        <v/>
      </c>
      <c r="AW1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5"/>
      <c r="BA19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t="str">
        <f aca="false">IF(Tasks[[#This Row],[Task Name]]="","",IF(Tasks[[#This Row],[_Level]]&lt;=OutlineShowLevel,"Yes","No"))</f>
        <v/>
      </c>
      <c r="BE192" s="86" t="str">
        <f aca="false">IF(Tasks[[#This Row],[Task Name]]="","",IF(Tasks[[#This Row],[_IsSummary]],SUM(INDEX(Tasks[_LeafTotalWork],Tasks[[#This Row],[_Row]]+1):INDEX(Tasks[_LeafTotalWork],Tasks[[#This Row],[_Row]]+Tasks[[#This Row],[_Descendants]])),Tasks[[#This Row],[_LeafTotalWork]]))</f>
        <v/>
      </c>
      <c r="BF192" s="23"/>
      <c r="BG1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t="str">
        <f aca="false">""</f>
        <v/>
      </c>
      <c r="BI192" s="87"/>
      <c r="BJ192" s="22"/>
      <c r="BK192" s="47" t="str">
        <f aca="false">IF(OR(Tasks[[#This Row],[Task Name]]="",Tasks[[#This Row],[Baseline Duration]]=""),"",Tasks[[#This Row],[_SpanDays]]-N(Tasks[[#This Row],[Baseline Duration]]))</f>
        <v/>
      </c>
      <c r="BL192" s="86" t="str">
        <f aca="false">IF(OR(Tasks[[#This Row],[Task Name]]="",Tasks[[#This Row],[Baseline Work]]=""),"",Tasks[[#This Row],[Work]]-N(Tasks[[#This Row],[Baseline Work]]))</f>
        <v/>
      </c>
      <c r="BM192" s="63" t="str">
        <f aca="false">IF(Tasks[[#This Row],[Task Name]]="","",IF(OR(TakeBaseline="Yes",N(Tasks[[#This Row],[Baseline Start]])=0),Tasks[[#This Row],[Start]],Tasks[[#This Row],[Baseline Start]]))</f>
        <v/>
      </c>
      <c r="BN192" s="63" t="str">
        <f aca="false">IF(Tasks[[#This Row],[Task Name]]="","",IF(OR(TakeBaseline="Yes",N(Tasks[[#This Row],[Baseline Finish]])=0),Tasks[[#This Row],[Finish]],Tasks[[#This Row],[Baseline Finish]]))</f>
        <v/>
      </c>
      <c r="BO192" s="21" t="str">
        <f aca="false">IF(Tasks[[#This Row],[Task Name]]="","",IF(OR(TakeBaseline="Yes",N(Tasks[[#This Row],[Baseline Duration]])=0),Tasks[[#This Row],[_SpanDays]],Tasks[[#This Row],[Baseline Duration]]))</f>
        <v/>
      </c>
      <c r="BP192" s="86" t="str">
        <f aca="false">IF(Tasks[[#This Row],[Task Name]]="","",IF(OR(TakeBaseline="Yes",N(Tasks[[#This Row],[Baseline Work]])=0),Tasks[[#This Row],[Work]],Tasks[[#This Row],[Baseline Work]]))</f>
        <v/>
      </c>
      <c r="BQ192" s="7"/>
      <c r="BR192" s="7"/>
      <c r="BS192" s="22"/>
      <c r="BT192" s="88"/>
      <c r="BU192" s="23"/>
      <c r="BV192" s="23"/>
      <c r="BW192" s="23"/>
      <c r="BX192" s="89" t="str">
        <f aca="false">IF(AND(Tasks[[#This Row],[_IsLeaf]]=1,ISNUMBER(Tasks[[#This Row],[Optimistic]]),ISNUMBER(Tasks[[#This Row],[Pessimistic]])),ROUND((Tasks[[#This Row],[Optimistic]]+4*N(Tasks[[#This Row],[_Days]])+Tasks[[#This Row],[Pessimistic]])/6,1),"")</f>
        <v/>
      </c>
      <c r="BY192" s="87"/>
      <c r="BZ192" s="87"/>
      <c r="CA192" s="22"/>
      <c r="CB192" s="43" t="str">
        <f aca="false">IF(Tasks[[#This Row],[Task Name]]="","",MAX(1,N(Tasks[[#This Row],[Level]])))</f>
        <v/>
      </c>
      <c r="CC192" s="43" t="n">
        <f aca="false">ROW()-ROW(Tasks[[#Headers],[ID]])</f>
        <v>187</v>
      </c>
      <c r="CD192" s="43" t="n">
        <f aca="false">IF(OR(Tasks[[#This Row],[Task Name]]="",Tasks[[#This Row],[_Level]]&lt;=1),0,IFERROR(LOOKUP(2,1/(Tasks[[#Headers],[_Level]]:Tasks[[#This Row],[_Level]]=Tasks[[#This Row],[_Level]]-1),ROW(Tasks[[#Headers],[_Level]]:Tasks[[#This Row],[_Level]])),0))</f>
        <v>0</v>
      </c>
      <c r="CE192" s="43" t="n">
        <f aca="false">IFERROR(N(INDEX(Tasks[_Level],Tasks[[#This Row],[_Row]]+1)),0)</f>
        <v>0</v>
      </c>
      <c r="CF192" s="90" t="b">
        <f aca="false">AND(Tasks[[#This Row],[Task Name]]&lt;&gt;"",Tasks[[#This Row],[_NextLevel]]&gt;Tasks[[#This Row],[_Level]])</f>
        <v>0</v>
      </c>
      <c r="CG192" s="43" t="n">
        <f aca="false">IF(Tasks[[#This Row],[_IsSummary]],COUNTIF(Tasks[WBS],Tasks[[#This Row],[WBS]]&amp;".*"),0)</f>
        <v>0</v>
      </c>
      <c r="CH192" s="43" t="n">
        <f aca="false">IF(AND(Tasks[[#This Row],[Task Name]]&lt;&gt;"",NOT(Tasks[[#This Row],[_IsSummary]])),1,0)</f>
        <v>0</v>
      </c>
      <c r="CI192" s="43" t="n">
        <f aca="false">IF(N(Tasks[[#This Row],[_Pred1UID]])=0,0,IFERROR(MATCH(Tasks[[#This Row],[_Pred1UID]],Tasks[UID],0),-1))</f>
        <v>0</v>
      </c>
      <c r="CJ192" s="43" t="n">
        <f aca="false">IF(N(Tasks[[#This Row],[_Pred2UID]])=0,0,IFERROR(MATCH(Tasks[[#This Row],[_Pred2UID]],Tasks[UID],0),-1))</f>
        <v>0</v>
      </c>
      <c r="CK192" s="43" t="n">
        <f aca="false">IF(N(Tasks[[#This Row],[_Pred3UID]])=0,0,IFERROR(MATCH(Tasks[[#This Row],[_Pred3UID]],Tasks[UID],0),-1))</f>
        <v>0</v>
      </c>
      <c r="CL192" s="43" t="n">
        <f aca="false">IF(N(Tasks[[#This Row],[_Pred4UID]])=0,0,IFERROR(MATCH(Tasks[[#This Row],[_Pred4UID]],Tasks[UID],0),-1))</f>
        <v>0</v>
      </c>
      <c r="CM1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2" s="91" t="n">
        <f aca="false">IF(OR(Tasks[[#This Row],[_ConstraintCode]]=2,Tasks[[#This Row],[_ConstraintCode]]=3,Tasks[[#This Row],[_ConstraintCode]]=4,Tasks[[#This Row],[_ConstraintCode]]=6),Tasks[[#This Row],[_ConstraintStart]],0)</f>
        <v>0</v>
      </c>
      <c r="CP192" s="91" t="n">
        <f aca="false">IF(OR(Tasks[[#This Row],[_ConstraintCode]]=2,Tasks[[#This Row],[_ConstraintCode]]=3,Tasks[[#This Row],[_ConstraintCode]]=5,Tasks[[#This Row],[_ConstraintCode]]=7),Tasks[[#This Row],[_ConstraintStart]],2958465)</f>
        <v>2958465</v>
      </c>
      <c r="CQ1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2" s="91" t="str">
        <f aca="false">IF(NOT(Tasks[[#This Row],[_IsLeaf]]=1),"",IF(N(Tasks[[#This Row],[_Days]])&lt;=0,Tasks[[#This Row],[_LeafCalcStart]],WORKDAY.INTL(Tasks[[#This Row],[_LeafCalcStart]],Tasks[[#This Row],[_Days]]-1,WorkWeek,Holidays)))</f>
        <v/>
      </c>
      <c r="CS1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2" s="43" t="str">
        <f aca="false">IF(Tasks[[#This Row],[_Predecessors]]="","",TRIM(MID(SUBSTITUTE(SUBSTITUTE(SUBSTITUTE(UPPER(Tasks[[#This Row],[_Predecessors]]),";",",")," ",""),",",REPT(" ",99)),1,99)))</f>
        <v/>
      </c>
      <c r="CV192" s="43" t="str">
        <f aca="false">IF(Tasks[[#This Row],[_Pred1Text]]="","",IFERROR(VALUE(LEFT(Tasks[[#This Row],[_Pred1Text]],MIN(FIND("F",Tasks[[#This Row],[_Pred1Text]]&amp;"F"),FIND("S",Tasks[[#This Row],[_Pred1Text]]&amp;"S"),FIND("+",Tasks[[#This Row],[_Pred1Text]]&amp;"+"),FIND("-",Tasks[[#This Row],[_Pred1Text]]&amp;"-"))-1)),""))</f>
        <v/>
      </c>
      <c r="CW1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2" s="43" t="str">
        <f aca="false">IF(Tasks[[#This Row],[_Pred1Text]]="","",TRIM(MID(SUBSTITUTE(SUBSTITUTE(SUBSTITUTE(UPPER(Tasks[[#This Row],[_Predecessors]]),";",",")," ",""),",",REPT(" ",99)),100,99)))</f>
        <v/>
      </c>
      <c r="CZ192" s="43" t="str">
        <f aca="false">IF(Tasks[[#This Row],[_Pred2Text]]="","",IFERROR(VALUE(LEFT(Tasks[[#This Row],[_Pred2Text]],MIN(FIND("F",Tasks[[#This Row],[_Pred2Text]]&amp;"F"),FIND("S",Tasks[[#This Row],[_Pred2Text]]&amp;"S"),FIND("+",Tasks[[#This Row],[_Pred2Text]]&amp;"+"),FIND("-",Tasks[[#This Row],[_Pred2Text]]&amp;"-"))-1)),""))</f>
        <v/>
      </c>
      <c r="DA1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2" s="43" t="str">
        <f aca="false">IF(Tasks[[#This Row],[_Pred2Text]]="","",TRIM(MID(SUBSTITUTE(SUBSTITUTE(SUBSTITUTE(UPPER(Tasks[[#This Row],[_Predecessors]]),";",",")," ",""),",",REPT(" ",99)),199,99)))</f>
        <v/>
      </c>
      <c r="DD192" s="43" t="str">
        <f aca="false">IF(Tasks[[#This Row],[_Pred3Text]]="","",IFERROR(VALUE(LEFT(Tasks[[#This Row],[_Pred3Text]],MIN(FIND("F",Tasks[[#This Row],[_Pred3Text]]&amp;"F"),FIND("S",Tasks[[#This Row],[_Pred3Text]]&amp;"S"),FIND("+",Tasks[[#This Row],[_Pred3Text]]&amp;"+"),FIND("-",Tasks[[#This Row],[_Pred3Text]]&amp;"-"))-1)),""))</f>
        <v/>
      </c>
      <c r="DE1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2" s="43" t="str">
        <f aca="false">IF(Tasks[[#This Row],[_Pred3Text]]="","",TRIM(MID(SUBSTITUTE(SUBSTITUTE(SUBSTITUTE(UPPER(Tasks[[#This Row],[_Predecessors]]),";",",")," ",""),",",REPT(" ",99)),298,99)))</f>
        <v/>
      </c>
      <c r="DH192" s="43" t="str">
        <f aca="false">IF(Tasks[[#This Row],[_Pred4Text]]="","",IFERROR(VALUE(LEFT(Tasks[[#This Row],[_Pred4Text]],MIN(FIND("F",Tasks[[#This Row],[_Pred4Text]]&amp;"F"),FIND("S",Tasks[[#This Row],[_Pred4Text]]&amp;"S"),FIND("+",Tasks[[#This Row],[_Pred4Text]]&amp;"+"),FIND("-",Tasks[[#This Row],[_Pred4Text]]&amp;"-"))-1)),""))</f>
        <v/>
      </c>
      <c r="DI1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2" s="43" t="str">
        <f aca="false">IF(OR(Tasks[[#This Row],[Task Name]]="",Tasks[[#This Row],[_Resources]]=""),"",TRIM(MID(SUBSTITUTE(Tasks[[#This Row],[_Resources]],",",REPT(" ",99)),1,99)))</f>
        <v/>
      </c>
      <c r="DL192" s="43" t="str">
        <f aca="false">IF(Tasks[[#This Row],[_Res1Text]]="","",TRIM(MID(SUBSTITUTE(Tasks[[#This Row],[_Resources]],",",REPT(" ",99)),100,99)))</f>
        <v/>
      </c>
      <c r="DM192" s="43" t="str">
        <f aca="false">IF(Tasks[[#This Row],[_Res2Text]]="","",TRIM(MID(SUBSTITUTE(Tasks[[#This Row],[_Resources]],",",REPT(" ",99)),199,99)))</f>
        <v/>
      </c>
      <c r="DN192" s="43" t="str">
        <f aca="false">IF(Tasks[[#This Row],[_Res3Text]]="","",TRIM(MID(SUBSTITUTE(Tasks[[#This Row],[_Resources]],",",REPT(" ",99)),298,99)))</f>
        <v/>
      </c>
      <c r="DO192" s="43" t="n">
        <f aca="false">IF(Tasks[[#This Row],[_Res1Text]]="",0,IFERROR(MATCH(TRIM(LEFT(Tasks[[#This Row],[_Res1Text]],FIND("[",Tasks[[#This Row],[_Res1Text]]&amp;"[")-1)),res_Name,0),IFERROR(MATCH(TRIM(LEFT(Tasks[[#This Row],[_Res1Text]],FIND("[",Tasks[[#This Row],[_Res1Text]]&amp;"[")-1)),res_Initials,0),0)))</f>
        <v>0</v>
      </c>
      <c r="DP192" s="43" t="n">
        <f aca="false">IF(Tasks[[#This Row],[_Res2Text]]="",0,IFERROR(MATCH(TRIM(LEFT(Tasks[[#This Row],[_Res2Text]],FIND("[",Tasks[[#This Row],[_Res2Text]]&amp;"[")-1)),res_Name,0),IFERROR(MATCH(TRIM(LEFT(Tasks[[#This Row],[_Res2Text]],FIND("[",Tasks[[#This Row],[_Res2Text]]&amp;"[")-1)),res_Initials,0),0)))</f>
        <v>0</v>
      </c>
      <c r="DQ192" s="43" t="n">
        <f aca="false">IF(Tasks[[#This Row],[_Res3Text]]="",0,IFERROR(MATCH(TRIM(LEFT(Tasks[[#This Row],[_Res3Text]],FIND("[",Tasks[[#This Row],[_Res3Text]]&amp;"[")-1)),res_Name,0),IFERROR(MATCH(TRIM(LEFT(Tasks[[#This Row],[_Res3Text]],FIND("[",Tasks[[#This Row],[_Res3Text]]&amp;"[")-1)),res_Initials,0),0)))</f>
        <v>0</v>
      </c>
      <c r="DR192" s="43" t="n">
        <f aca="false">IF(Tasks[[#This Row],[_Res4Text]]="",0,IFERROR(MATCH(TRIM(LEFT(Tasks[[#This Row],[_Res4Text]],FIND("[",Tasks[[#This Row],[_Res4Text]]&amp;"[")-1)),res_Name,0),IFERROR(MATCH(TRIM(LEFT(Tasks[[#This Row],[_Res4Text]],FIND("[",Tasks[[#This Row],[_Res4Text]]&amp;"[")-1)),res_Initials,0),0)))</f>
        <v>0</v>
      </c>
      <c r="DS192" s="43" t="str">
        <f aca="false">IF(Tasks[[#This Row],[_Res1Text]]="","",IF(Tasks[[#This Row],[_Res1Row]]&gt;0,INDEX(res_Name,Tasks[[#This Row],[_Res1Row]]),TRIM(LEFT(Tasks[[#This Row],[_Res1Text]],FIND("[",Tasks[[#This Row],[_Res1Text]]&amp;"[")-1))))</f>
        <v/>
      </c>
      <c r="DT1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2" s="43" t="n">
        <f aca="false">IF(NOT(Tasks[[#This Row],[_IsLeaf]]=1),0,(Tasks[[#This Row],[_Resource1]]&lt;&gt;"")+(Tasks[[#This Row],[_Res2]]&lt;&gt;"")+(Tasks[[#This Row],[_Res3]]&lt;&gt;"")+(Tasks[[#This Row],[_Res4]]&lt;&gt;""))</f>
        <v>0</v>
      </c>
      <c r="DV192" s="43" t="str">
        <f aca="false">IF(Tasks[[#This Row],[_Res2Text]]="","",IF(Tasks[[#This Row],[_Res2Row]]&gt;0,INDEX(res_Name,Tasks[[#This Row],[_Res2Row]]),TRIM(LEFT(Tasks[[#This Row],[_Res2Text]],FIND("[",Tasks[[#This Row],[_Res2Text]]&amp;"[")-1))))</f>
        <v/>
      </c>
      <c r="DW1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2" s="43" t="n">
        <f aca="false">IF(OR(NOT(Tasks[[#This Row],[_IsLeaf]]=1),Tasks[[#This Row],[_Res2Row]]=0),0,N(Tasks[[#This Row],[_Days]])*HoursPerDay*IF(Tasks[[#This Row],[_Res2Units]]="",DefaultUnits,Tasks[[#This Row],[_Res2Units]]))</f>
        <v>0</v>
      </c>
      <c r="DY192" s="43" t="n">
        <f aca="false">IF(AND(AND(Tasks[[#This Row],[_IsLeaf]]=1,Tasks[[#This Row],[_LeafTotalWork]]&gt;0),Tasks[[#This Row],[_Res2Work]]&gt;0),Tasks[[#This Row],[_Res2Work]]/(Tasks[[#This Row],[_FinishWorkday]]-Tasks[[#This Row],[_StartWorkday]]+1),0)</f>
        <v>0</v>
      </c>
      <c r="DZ192" s="43" t="n">
        <f aca="false">Tasks[[#This Row],[_Res2WorkPerWD]]*MAX(0,Tasks[[#This Row],[_StartWorkday]]-1)</f>
        <v>0</v>
      </c>
      <c r="EA192" s="43" t="n">
        <f aca="false">Tasks[[#This Row],[_Res2Work]]*Tasks[[#This Row],[_LeafProgress]]</f>
        <v>0</v>
      </c>
      <c r="EB192" s="43" t="str">
        <f aca="false">IF(Tasks[[#This Row],[_Res3Text]]="","",IF(Tasks[[#This Row],[_Res3Row]]&gt;0,INDEX(res_Name,Tasks[[#This Row],[_Res3Row]]),TRIM(LEFT(Tasks[[#This Row],[_Res3Text]],FIND("[",Tasks[[#This Row],[_Res3Text]]&amp;"[")-1))))</f>
        <v/>
      </c>
      <c r="EC1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2" s="43" t="n">
        <f aca="false">IF(OR(NOT(Tasks[[#This Row],[_IsLeaf]]=1),Tasks[[#This Row],[_Res3Row]]=0),0,N(Tasks[[#This Row],[_Days]])*HoursPerDay*IF(Tasks[[#This Row],[_Res3Units]]="",DefaultUnits,Tasks[[#This Row],[_Res3Units]]))</f>
        <v>0</v>
      </c>
      <c r="EE192" s="43" t="n">
        <f aca="false">IF(AND(AND(Tasks[[#This Row],[_IsLeaf]]=1,Tasks[[#This Row],[_LeafTotalWork]]&gt;0),Tasks[[#This Row],[_Res3Work]]&gt;0),Tasks[[#This Row],[_Res3Work]]/(Tasks[[#This Row],[_FinishWorkday]]-Tasks[[#This Row],[_StartWorkday]]+1),0)</f>
        <v>0</v>
      </c>
      <c r="EF192" s="43" t="n">
        <f aca="false">Tasks[[#This Row],[_Res3WorkPerWD]]*MAX(0,Tasks[[#This Row],[_StartWorkday]]-1)</f>
        <v>0</v>
      </c>
      <c r="EG192" s="43" t="n">
        <f aca="false">Tasks[[#This Row],[_Res3Work]]*Tasks[[#This Row],[_LeafProgress]]</f>
        <v>0</v>
      </c>
      <c r="EH192" s="43" t="str">
        <f aca="false">IF(Tasks[[#This Row],[_Res4Text]]="","",IF(Tasks[[#This Row],[_Res4Row]]&gt;0,INDEX(res_Name,Tasks[[#This Row],[_Res4Row]]),TRIM(LEFT(Tasks[[#This Row],[_Res4Text]],FIND("[",Tasks[[#This Row],[_Res4Text]]&amp;"[")-1))))</f>
        <v/>
      </c>
      <c r="EI1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2" s="43" t="n">
        <f aca="false">IF(OR(NOT(Tasks[[#This Row],[_IsLeaf]]=1),Tasks[[#This Row],[_Res4Row]]=0),0,N(Tasks[[#This Row],[_Days]])*HoursPerDay*IF(Tasks[[#This Row],[_Res4Units]]="",DefaultUnits,Tasks[[#This Row],[_Res4Units]]))</f>
        <v>0</v>
      </c>
      <c r="EK192" s="43" t="n">
        <f aca="false">IF(AND(AND(Tasks[[#This Row],[_IsLeaf]]=1,Tasks[[#This Row],[_LeafTotalWork]]&gt;0),Tasks[[#This Row],[_Res4Work]]&gt;0),Tasks[[#This Row],[_Res4Work]]/(Tasks[[#This Row],[_FinishWorkday]]-Tasks[[#This Row],[_StartWorkday]]+1),0)</f>
        <v>0</v>
      </c>
      <c r="EL192" s="43" t="n">
        <f aca="false">Tasks[[#This Row],[_Res4WorkPerWD]]*MAX(0,Tasks[[#This Row],[_StartWorkday]]-1)</f>
        <v>0</v>
      </c>
      <c r="EM192" s="43" t="n">
        <f aca="false">Tasks[[#This Row],[_Res4Work]]*Tasks[[#This Row],[_LeafProgress]]</f>
        <v>0</v>
      </c>
      <c r="EN192" s="43" t="n">
        <f aca="false">IF(ISNUMBER(Tasks[[#This Row],[% Complete]]),Tasks[[#This Row],[% Complete]],IF(Tasks[[#This Row],[Stage]]="",0,IFERROR(INDEX(stg_Pct,MATCH(Tasks[[#This Row],[Stage]],stg_Name,0)),0)))</f>
        <v>0</v>
      </c>
      <c r="EO192" s="43" t="n">
        <f aca="false">IF(NOT(Tasks[[#This Row],[_IsLeaf]]=1),0,IF(N(Tasks[[#This Row],[Actual Finish]])&gt;0,1,MIN(1,Tasks[[#This Row],[_Pct]])))</f>
        <v>0</v>
      </c>
      <c r="EP192" s="43" t="n">
        <f aca="false">IF(OR(NOT(Tasks[[#This Row],[_IsLeaf]]=1),Tasks[[#This Row],[_Res1Row]]=0),0,N(Tasks[[#This Row],[_Days]])*HoursPerDay*IF(Tasks[[#This Row],[_Units1]]="",DefaultUnits,Tasks[[#This Row],[_Units1]]))</f>
        <v>0</v>
      </c>
      <c r="EQ192" s="43" t="n">
        <f aca="false">Tasks[[#This Row],[_LeafWork]]+Tasks[[#This Row],[_Res2Work]]+Tasks[[#This Row],[_Res3Work]]+Tasks[[#This Row],[_Res4Work]]</f>
        <v>0</v>
      </c>
      <c r="ER19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2" s="43" t="n">
        <f aca="false">IF(NOT(Tasks[[#This Row],[_IsLeaf]]=1),0,MAX(_xlfn.MAXIFS(Tasks[_Row],Tasks[_Pred1UID],Tasks[[#This Row],[UID]]),_xlfn.MAXIFS(Tasks[_Row],Tasks[_Pred2UID],Tasks[[#This Row],[UID]]),_xlfn.MAXIFS(Tasks[_Row],Tasks[_Pred3UID],Tasks[[#This Row],[UID]]),_xlfn.MAXIFS(Tasks[_Row],Tasks[_Pred4UID],Tasks[[#This Row],[UID]])))</f>
        <v>0</v>
      </c>
      <c r="FA1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2" s="91" t="str">
        <f aca="false">IF(NOT(Tasks[[#This Row],[_IsLeaf]]=1),"",IF(N(Tasks[[#This Row],[_Days]])&lt;=0,Tasks[[#This Row],[_LeafLateFinish]],WORKDAY.INTL(Tasks[[#This Row],[_LeafLateFinish]],-(Tasks[[#This Row],[_Days]]-1),WorkWeek,Holidays)))</f>
        <v/>
      </c>
      <c r="FD1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2" s="90" t="b">
        <f aca="false">AND(Tasks[[#This Row],[_IsLeaf]]=1,Tasks[[#This Row],[_LeafProgress]]&lt;1,N(Tasks[[#This Row],[_LeafTotalSlack]])&lt;=CriticalSlackDays)</f>
        <v>0</v>
      </c>
      <c r="FF192" s="43" t="n">
        <f aca="false">IF(AND(Tasks[[#This Row],[_IsLeaf]]=1,Tasks[[#This Row],[_ConstraintCode]]=1,Tasks[[#This Row],[Mode]]&lt;&gt;"Manual",N(Tasks[[#This Row],[Actual Start]])=0),MAX(0,N(Tasks[[#This Row],[Free Slack]])),0)</f>
        <v>0</v>
      </c>
      <c r="FG192" s="91" t="str">
        <f aca="false">IF(NOT(Tasks[[#This Row],[_IsLeaf]]=1),"",IF(Tasks[[#This Row],[_AlapShift]]=0,Tasks[[#This Row],[_LeafCalcStart]],WORKDAY.INTL(Tasks[[#This Row],[_LeafCalcStart]],Tasks[[#This Row],[_AlapShift]],WorkWeek,Holidays)))</f>
        <v/>
      </c>
      <c r="FH192" s="91" t="str">
        <f aca="false">IF(NOT(Tasks[[#This Row],[_IsLeaf]]=1),"",IF(Tasks[[#This Row],[_AlapShift]]=0,Tasks[[#This Row],[_LeafCalcFinish]],WORKDAY.INTL(Tasks[[#This Row],[_LeafCalcFinish]],Tasks[[#This Row],[_AlapShift]],WorkWeek,Holidays)))</f>
        <v/>
      </c>
      <c r="FI192" s="91" t="str">
        <f aca="false">IF(NOT(Tasks[[#This Row],[_IsLeaf]]=1),"",IF(Tasks[[#This Row],[_AlapShift]]=0,Tasks[[#This Row],[_LeafFcstStart]],WORKDAY.INTL(Tasks[[#This Row],[_LeafFcstStart]],Tasks[[#This Row],[_AlapShift]],WorkWeek,Holidays)))</f>
        <v/>
      </c>
      <c r="FJ192" s="91" t="str">
        <f aca="false">IF(NOT(Tasks[[#This Row],[_IsLeaf]]=1),"",IF(Tasks[[#This Row],[_AlapShift]]=0,Tasks[[#This Row],[_LeafFcstFinish]],WORKDAY.INTL(Tasks[[#This Row],[_LeafFcstFinish]],Tasks[[#This Row],[_AlapShift]],WorkWeek,Holidays)))</f>
        <v/>
      </c>
      <c r="FK192" s="91" t="str">
        <f aca="false">IF(Tasks[[#This Row],[Task Name]]="","",IF(Tasks[[#This Row],[_IsSummary]],MIN(INDEX(Tasks[_ShownCalcStart],Tasks[[#This Row],[_Row]]+1):INDEX(Tasks[_ShownCalcStart],Tasks[[#This Row],[_Row]]+Tasks[[#This Row],[_Descendants]])),Tasks[[#This Row],[_ShownCalcStart]]))</f>
        <v/>
      </c>
      <c r="FL192" s="91" t="str">
        <f aca="false">IF(Tasks[[#This Row],[Task Name]]="","",IF(Tasks[[#This Row],[_IsSummary]],MAX(INDEX(Tasks[_ShownCalcFinish],Tasks[[#This Row],[_Row]]+1):INDEX(Tasks[_ShownCalcFinish],Tasks[[#This Row],[_Row]]+Tasks[[#This Row],[_Descendants]])),Tasks[[#This Row],[_ShownCalcFinish]]))</f>
        <v/>
      </c>
      <c r="FM1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2" s="43" t="n">
        <f aca="false">IF(AND(Tasks[[#This Row],[_IsLeaf]]=1,Tasks[[#This Row],[_LeafTotalWork]]&gt;0),NETWORKDAYS.INTL(ProjectStart,Tasks[[#This Row],[_ShownFcstStart]],WorkWeek,Holidays),0)</f>
        <v>0</v>
      </c>
      <c r="FZ192" s="43" t="n">
        <f aca="false">IF(AND(Tasks[[#This Row],[_IsLeaf]]=1,Tasks[[#This Row],[_LeafTotalWork]]&gt;0),MAX(Tasks[[#This Row],[_StartWorkday]],NETWORKDAYS.INTL(ProjectStart,Tasks[[#This Row],[_ShownFcstFinish]],WorkWeek,Holidays)),0)</f>
        <v>0</v>
      </c>
      <c r="GA192" s="43" t="n">
        <f aca="false">IF(AND(Tasks[[#This Row],[_IsLeaf]]=1,Tasks[[#This Row],[_LeafTotalWork]]&gt;0),Tasks[[#This Row],[_LeafWork]]/(Tasks[[#This Row],[_FinishWorkday]]-Tasks[[#This Row],[_StartWorkday]]+1),0)</f>
        <v>0</v>
      </c>
      <c r="GB192" s="43" t="n">
        <f aca="false">Tasks[[#This Row],[_WorkPerWorkday]]*(Tasks[[#This Row],[_StartWorkday]]-1)</f>
        <v>-0</v>
      </c>
      <c r="GC192" s="43" t="n">
        <f aca="false">IF(Tasks[[#This Row],[_IsLeaf]]=1,MAX(N(Tasks[[#This Row],[_Days]]),0.1),0)</f>
        <v>0</v>
      </c>
      <c r="GD192" s="43" t="n">
        <f aca="false">Tasks[[#This Row],[_WeightDur]]*Tasks[[#This Row],[_LeafProgress]]</f>
        <v>0</v>
      </c>
      <c r="GE192" s="43" t="n">
        <f aca="false">Tasks[[#This Row],[_WeightDur]]*Tasks[[#This Row],[_PlannedPct]]</f>
        <v>0</v>
      </c>
      <c r="GF1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2" s="43" t="str">
        <f aca="false">IF(AND(Tasks[[#This Row],[_IsLeaf]]=1,N(Tasks[[#This Row],[_Days]])=0,Tasks[[#This Row],[_LeafProgress]]&lt;1),Tasks[[#This Row],[_ShownFcstFinish]]+Tasks[[#This Row],[_Row]]/100000,"")</f>
        <v/>
      </c>
      <c r="GH1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2" s="43" t="str">
        <f aca="false">IF(Tasks[[#This Row],[Task Name]]="","",LEFT(Tasks[[#This Row],[WBS]],FIND(".",Tasks[[#This Row],[WBS]]&amp;".")-1))</f>
        <v/>
      </c>
      <c r="GJ192" s="43" t="str">
        <f aca="false">IF(AND(Tasks[[#This Row],[Task Name]]&lt;&gt;"",Tasks[[#This Row],[_Level]]=1),Tasks[[#This Row],[_Row]],"")</f>
        <v/>
      </c>
      <c r="GK192" s="43" t="str">
        <f aca="false">IF(AND(Tasks[[#This Row],[_IsLeaf]]=1,N(Tasks[[#This Row],[_Days]])=0),Tasks[[#This Row],[Planned Finish]]+Tasks[[#This Row],[_Row]]/100000,"")</f>
        <v/>
      </c>
      <c r="GL192" s="43" t="str">
        <f aca="false">IF(AND(Tasks[[#This Row],[_IsLeaf]]=1,Tasks[[#This Row],[_LeafProgress]]&lt;1,OR(N(Tasks[[#This Row],[Finish Var]])&gt;0,Tasks[[#This Row],[Status]]="Late Start")),MAX(0,Tasks[[#This Row],[Finish Var]])+1-Tasks[[#This Row],[_Row]]/1000000,"")</f>
        <v/>
      </c>
      <c r="GM192" s="43" t="str">
        <f aca="false">IF(AND(Tasks[[#This Row],[_IsLeaf]]=1,N(Tasks[[#This Row],[Actual Start]])=0,Tasks[[#This Row],[_ShownFcstStart]]&gt;=StatusDate,Tasks[[#This Row],[_ShownFcstStart]]&lt;=LookaheadEnd),Tasks[[#This Row],[_ShownFcstStart]]+Tasks[[#This Row],[_Row]]/100000,"")</f>
        <v/>
      </c>
      <c r="GN192" s="43" t="str">
        <f aca="false">IF(AND(Tasks[[#This Row],[_IsLeaf]]=1,Tasks[[#This Row],[_LeafProgress]]&lt;1,Tasks[[#This Row],[_ShownFcstFinish]]&gt;=StatusDate,Tasks[[#This Row],[_ShownFcstFinish]]&lt;=LookaheadEnd),Tasks[[#This Row],[_ShownFcstFinish]]+Tasks[[#This Row],[_Row]]/100000,"")</f>
        <v/>
      </c>
      <c r="GO192" s="43" t="str">
        <f aca="false">IF(Tasks[[#This Row],[_LeafCritical]],Tasks[[#This Row],[_ShownFcstStart]]+Tasks[[#This Row],[_Row]]/100000,"")</f>
        <v/>
      </c>
      <c r="GP192" s="43" t="n">
        <f aca="false">Tasks[[#This Row],[_LeafWork]]*Tasks[[#This Row],[_LeafProgress]]</f>
        <v>0</v>
      </c>
      <c r="GQ192" s="91" t="str">
        <f aca="false">IF(AND(Tasks[[#This Row],[_IsLeaf]]=1,Tasks[[#This Row],[_LeafProgress]]&gt;=1),IF(N(Tasks[[#This Row],[Actual Finish]])&gt;0,Tasks[[#This Row],[Actual Finish]],Tasks[[#This Row],[_ShownFcstFinish]]),"")</f>
        <v/>
      </c>
      <c r="GR192" s="43" t="n">
        <f aca="false">IF(Tasks[[#This Row],[_IsLeaf]]=1,N(Tasks[[#This Row],[Story Points]]),0)</f>
        <v>0</v>
      </c>
      <c r="GS192" s="43" t="str">
        <f aca="false">""</f>
        <v/>
      </c>
      <c r="GT192" s="90" t="b">
        <f aca="false">IF(Tasks[[#This Row],[Task Name]]="",FALSE(),AND(Tasks[[#This Row],[_IsLeaf]]=1,N(Tasks[[#This Row],[_Days]])=0))</f>
        <v>0</v>
      </c>
      <c r="GU192" s="91" t="n">
        <f aca="false">IF(Tasks[[#This Row],[Task Name]]="",0,IF(AND(Tasks[[#This Row],[_IsLeaf]]=1,NOT(Tasks[[#This Row],[_IsMilestone]]),N(Tasks[[#This Row],[Progress]])&gt;0),Tasks[[#This Row],[Start]],0))</f>
        <v>0</v>
      </c>
      <c r="GV192" s="91" t="n">
        <f aca="false">IF(Tasks[[#This Row],[_DoneFrom]]=0,0,IF(Tasks[[#This Row],[Progress]]&gt;=1,Tasks[[#This Row],[Finish]],MAX(Tasks[[#This Row],[_DoneFrom]],Tasks[[#This Row],[Start]]+ROUND((Tasks[[#This Row],[Finish]]-Tasks[[#This Row],[Start]]+1)*Tasks[[#This Row],[Progress]],0)-1)))</f>
        <v>0</v>
      </c>
      <c r="GW192" s="91" t="n">
        <f aca="false">IF(Tasks[[#This Row],[Task Name]]="",0,IF(OR(NOT(Tasks[[#This Row],[_IsLeaf]]=1),Tasks[[#This Row],[_IsMilestone]],N(Tasks[[#This Row],[Progress]])&gt;=1),0,IF(Tasks[[#This Row],[_DoneTo]]&gt;0,Tasks[[#This Row],[_DoneTo]]+1,Tasks[[#This Row],[Start]])))</f>
        <v>0</v>
      </c>
      <c r="GX192" s="91" t="n">
        <f aca="false">IF(Tasks[[#This Row],[_RemFrom]]=0,0,Tasks[[#This Row],[Finish]])</f>
        <v>0</v>
      </c>
      <c r="GY192" s="90" t="b">
        <f aca="false">IF(Tasks[[#This Row],[Task Name]]="",FALSE(),OR(NOT(BaselineSet),N(Tasks[[#This Row],[Baseline Start]])&gt;0))</f>
        <v>0</v>
      </c>
      <c r="GZ19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2" s="92" t="str">
        <f aca="false">IF(Tasks[[#This Row],[_IsLeaf]]=1,Tasks[[#This Row],[_Row]],"")</f>
        <v/>
      </c>
      <c r="HD192" s="92" t="str">
        <f aca="false">IFERROR(INDEX(Tasks[UID],SMALL(Tasks[_PickKey],Tasks[[#This Row],[_Row]]))&amp;" "&amp;INDEX(Tasks[Task Name],SMALL(Tasks[_PickKey],Tasks[[#This Row],[_Row]])),"")</f>
        <v/>
      </c>
      <c r="HE192" s="43" t="str">
        <f aca="false">IF(Tasks[[#This Row],[Task Name]]="","",IF(Tasks[[#This Row],[_IsSummary]],NETWORKDAYS.INTL(Tasks[[#This Row],[Start]],Tasks[[#This Row],[Finish]],WorkWeek,Holidays),N(Tasks[[#This Row],[_Days]])))</f>
        <v/>
      </c>
      <c r="HF192" s="43" t="n">
        <f aca="false">IF(Tasks[[#This Row],[Expected]]="",0,((Tasks[[#This Row],[Pessimistic]]-Tasks[[#This Row],[Optimistic]])/6)^2)</f>
        <v>0</v>
      </c>
      <c r="HG192" s="43" t="n">
        <f aca="false">IF(Tasks[[#This Row],[Expected]]="",0,Tasks[[#This Row],[Expected]]-N(Tasks[[#This Row],[_Days]]))</f>
        <v>0</v>
      </c>
    </row>
    <row r="193" customFormat="false" ht="15" hidden="false" customHeight="false" outlineLevel="0" collapsed="false">
      <c r="A193" s="21" t="str">
        <f aca="false">IF(Tasks[[#This Row],[Task Name]]="","",COUNTA(Tasks[[#Headers],[Task Name]]:Tasks[[#This Row],[Task Name]])-1)</f>
        <v/>
      </c>
      <c r="B193" s="22" t="n">
        <v>201</v>
      </c>
      <c r="C193" s="22"/>
      <c r="D193" s="23"/>
      <c r="E193" s="22"/>
      <c r="F193" s="23"/>
      <c r="G193" s="22"/>
      <c r="H193" s="22"/>
      <c r="I193" s="23"/>
      <c r="J193" s="22"/>
      <c r="K193" s="22"/>
      <c r="L193" s="23"/>
      <c r="M193" s="22"/>
      <c r="N193" s="22"/>
      <c r="O193" s="23"/>
      <c r="P193" s="22"/>
      <c r="Q193" s="22"/>
      <c r="R193" s="23"/>
      <c r="S193" s="23"/>
      <c r="T193" s="84"/>
      <c r="U193" s="23"/>
      <c r="V193" s="84"/>
      <c r="W193" s="23"/>
      <c r="X193" s="84"/>
      <c r="Y193" s="23"/>
      <c r="Z193" s="84"/>
      <c r="AA193" s="23"/>
      <c r="AB193" s="23"/>
      <c r="AC193" s="7"/>
      <c r="AD193" s="7"/>
      <c r="AE193" s="63" t="str">
        <f aca="false">IF(Tasks[[#This Row],[Task Name]]="","",IF(Tasks[[#This Row],[_IsSummary]],MIN(INDEX(Tasks[_ShownFcstStart],Tasks[[#This Row],[_Row]]+1):INDEX(Tasks[_ShownFcstStart],Tasks[[#This Row],[_Row]]+Tasks[[#This Row],[_Descendants]])),Tasks[[#This Row],[_ShownFcstStart]]))</f>
        <v/>
      </c>
      <c r="AF193" s="63" t="str">
        <f aca="false">IF(Tasks[[#This Row],[Task Name]]="","",IF(Tasks[[#This Row],[_IsSummary]],MAX(INDEX(Tasks[_ShownFcstFinish],Tasks[[#This Row],[_Row]]+1):INDEX(Tasks[_ShownFcstFinish],Tasks[[#This Row],[_Row]]+Tasks[[#This Row],[_Descendants]])),Tasks[[#This Row],[_ShownFcstFinish]]))</f>
        <v/>
      </c>
      <c r="AG193" s="21" t="str">
        <f aca="false">""</f>
        <v/>
      </c>
      <c r="AH193" s="23"/>
      <c r="AI1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3" s="7"/>
      <c r="AK193" s="22"/>
      <c r="AL193" s="23"/>
      <c r="AM193" s="7"/>
      <c r="AN193" s="47" t="str">
        <f aca="false">IF(Tasks[[#This Row],[Task Name]]="","",IF(Tasks[[#This Row],[Finish]]&gt;=Tasks[[#This Row],[Planned Finish]],NETWORKDAYS.INTL(Tasks[[#This Row],[Planned Finish]],Tasks[[#This Row],[Finish]],WorkWeek,Holidays)-1,1-NETWORKDAYS.INTL(Tasks[[#This Row],[Finish]],Tasks[[#This Row],[Planned Finish]],WorkWeek,Holidays)))</f>
        <v/>
      </c>
      <c r="AO193" s="21" t="str">
        <f aca="false">IF(Tasks[[#This Row],[Task Name]]="","",IF(Tasks[[#This Row],[Progress]]&gt;=1,"Complete",IF(OR(N(Tasks[[#This Row],[Actual Start]])&gt;0,Tasks[[#This Row],[Progress]]&gt;0),IF(Tasks[[#This Row],[Finish Var]]&gt;0,"Behind","In Progress"),IF(Tasks[[#This Row],[Planned Start]]&lt;StatusDate,"Late Start","Not Started"))))</f>
        <v/>
      </c>
      <c r="AP193" s="21" t="str">
        <f aca="false">IF(Tasks[[#This Row],[Task Name]]="","",IF(IF(Tasks[[#This Row],[_IsSummary]],COUNTIF(INDEX(Tasks[_LeafCritical],Tasks[[#This Row],[_Row]]+1):INDEX(Tasks[_LeafCritical],Tasks[[#This Row],[_Row]]+Tasks[[#This Row],[_Descendants]]),TRUE())&gt;0,Tasks[[#This Row],[_LeafCritical]]),"Yes",""))</f>
        <v/>
      </c>
      <c r="AQ193" s="63" t="str">
        <f aca="false">IF(Tasks[[#This Row],[Task Name]]="","",IF(N(Tasks[[#This Row],[Baseline Start]])&gt;0,Tasks[[#This Row],[Baseline Start]],Tasks[[#This Row],[_CalcStart]]))</f>
        <v/>
      </c>
      <c r="AR193" s="63" t="str">
        <f aca="false">IF(Tasks[[#This Row],[Task Name]]="","",IF(N(Tasks[[#This Row],[Baseline Finish]])&gt;0,Tasks[[#This Row],[Baseline Finish]],Tasks[[#This Row],[_CalcFinish]]))</f>
        <v/>
      </c>
      <c r="AS193" s="47" t="str">
        <f aca="false">IF(Tasks[[#This Row],[Task Name]]="","",IF(Tasks[[#This Row],[Start]]&gt;=Tasks[[#This Row],[Planned Start]],NETWORKDAYS.INTL(Tasks[[#This Row],[Planned Start]],Tasks[[#This Row],[Start]],WorkWeek,Holidays)-1,1-NETWORKDAYS.INTL(Tasks[[#This Row],[Start]],Tasks[[#This Row],[Planned Start]],WorkWeek,Holidays)))</f>
        <v/>
      </c>
      <c r="AT193" s="63" t="str">
        <f aca="false">IF(Tasks[[#This Row],[Task Name]]="","",IF(Tasks[[#This Row],[_IsSummary]],MIN(INDEX(Tasks[_LeafLateStart],Tasks[[#This Row],[_Row]]+1):INDEX(Tasks[_LeafLateStart],Tasks[[#This Row],[_Row]]+Tasks[[#This Row],[_Descendants]])),Tasks[[#This Row],[_LeafLateStart]]))</f>
        <v/>
      </c>
      <c r="AU193" s="63" t="str">
        <f aca="false">IF(Tasks[[#This Row],[Task Name]]="","",IF(Tasks[[#This Row],[_IsSummary]],MAX(INDEX(Tasks[_LeafLateFinish],Tasks[[#This Row],[_Row]]+1):INDEX(Tasks[_LeafLateFinish],Tasks[[#This Row],[_Row]]+Tasks[[#This Row],[_Descendants]])),Tasks[[#This Row],[_LeafLateFinish]]))</f>
        <v/>
      </c>
      <c r="AV193" s="47" t="str">
        <f aca="false">IF(Tasks[[#This Row],[Task Name]]="","",IF(Tasks[[#This Row],[_IsSummary]],MIN(INDEX(Tasks[_LeafTotalSlack],Tasks[[#This Row],[_Row]]+1):INDEX(Tasks[_LeafTotalSlack],Tasks[[#This Row],[_Row]]+Tasks[[#This Row],[_Descendants]])),Tasks[[#This Row],[_LeafTotalSlack]]))</f>
        <v/>
      </c>
      <c r="AW1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5"/>
      <c r="BA19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t="str">
        <f aca="false">IF(Tasks[[#This Row],[Task Name]]="","",IF(Tasks[[#This Row],[_Level]]&lt;=OutlineShowLevel,"Yes","No"))</f>
        <v/>
      </c>
      <c r="BE193" s="86" t="str">
        <f aca="false">IF(Tasks[[#This Row],[Task Name]]="","",IF(Tasks[[#This Row],[_IsSummary]],SUM(INDEX(Tasks[_LeafTotalWork],Tasks[[#This Row],[_Row]]+1):INDEX(Tasks[_LeafTotalWork],Tasks[[#This Row],[_Row]]+Tasks[[#This Row],[_Descendants]])),Tasks[[#This Row],[_LeafTotalWork]]))</f>
        <v/>
      </c>
      <c r="BF193" s="23"/>
      <c r="BG1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t="str">
        <f aca="false">""</f>
        <v/>
      </c>
      <c r="BI193" s="87"/>
      <c r="BJ193" s="22"/>
      <c r="BK193" s="47" t="str">
        <f aca="false">IF(OR(Tasks[[#This Row],[Task Name]]="",Tasks[[#This Row],[Baseline Duration]]=""),"",Tasks[[#This Row],[_SpanDays]]-N(Tasks[[#This Row],[Baseline Duration]]))</f>
        <v/>
      </c>
      <c r="BL193" s="86" t="str">
        <f aca="false">IF(OR(Tasks[[#This Row],[Task Name]]="",Tasks[[#This Row],[Baseline Work]]=""),"",Tasks[[#This Row],[Work]]-N(Tasks[[#This Row],[Baseline Work]]))</f>
        <v/>
      </c>
      <c r="BM193" s="63" t="str">
        <f aca="false">IF(Tasks[[#This Row],[Task Name]]="","",IF(OR(TakeBaseline="Yes",N(Tasks[[#This Row],[Baseline Start]])=0),Tasks[[#This Row],[Start]],Tasks[[#This Row],[Baseline Start]]))</f>
        <v/>
      </c>
      <c r="BN193" s="63" t="str">
        <f aca="false">IF(Tasks[[#This Row],[Task Name]]="","",IF(OR(TakeBaseline="Yes",N(Tasks[[#This Row],[Baseline Finish]])=0),Tasks[[#This Row],[Finish]],Tasks[[#This Row],[Baseline Finish]]))</f>
        <v/>
      </c>
      <c r="BO193" s="21" t="str">
        <f aca="false">IF(Tasks[[#This Row],[Task Name]]="","",IF(OR(TakeBaseline="Yes",N(Tasks[[#This Row],[Baseline Duration]])=0),Tasks[[#This Row],[_SpanDays]],Tasks[[#This Row],[Baseline Duration]]))</f>
        <v/>
      </c>
      <c r="BP193" s="86" t="str">
        <f aca="false">IF(Tasks[[#This Row],[Task Name]]="","",IF(OR(TakeBaseline="Yes",N(Tasks[[#This Row],[Baseline Work]])=0),Tasks[[#This Row],[Work]],Tasks[[#This Row],[Baseline Work]]))</f>
        <v/>
      </c>
      <c r="BQ193" s="7"/>
      <c r="BR193" s="7"/>
      <c r="BS193" s="22"/>
      <c r="BT193" s="88"/>
      <c r="BU193" s="23"/>
      <c r="BV193" s="23"/>
      <c r="BW193" s="23"/>
      <c r="BX193" s="89" t="str">
        <f aca="false">IF(AND(Tasks[[#This Row],[_IsLeaf]]=1,ISNUMBER(Tasks[[#This Row],[Optimistic]]),ISNUMBER(Tasks[[#This Row],[Pessimistic]])),ROUND((Tasks[[#This Row],[Optimistic]]+4*N(Tasks[[#This Row],[_Days]])+Tasks[[#This Row],[Pessimistic]])/6,1),"")</f>
        <v/>
      </c>
      <c r="BY193" s="87"/>
      <c r="BZ193" s="87"/>
      <c r="CA193" s="22"/>
      <c r="CB193" s="43" t="str">
        <f aca="false">IF(Tasks[[#This Row],[Task Name]]="","",MAX(1,N(Tasks[[#This Row],[Level]])))</f>
        <v/>
      </c>
      <c r="CC193" s="43" t="n">
        <f aca="false">ROW()-ROW(Tasks[[#Headers],[ID]])</f>
        <v>188</v>
      </c>
      <c r="CD193" s="43" t="n">
        <f aca="false">IF(OR(Tasks[[#This Row],[Task Name]]="",Tasks[[#This Row],[_Level]]&lt;=1),0,IFERROR(LOOKUP(2,1/(Tasks[[#Headers],[_Level]]:Tasks[[#This Row],[_Level]]=Tasks[[#This Row],[_Level]]-1),ROW(Tasks[[#Headers],[_Level]]:Tasks[[#This Row],[_Level]])),0))</f>
        <v>0</v>
      </c>
      <c r="CE193" s="43" t="n">
        <f aca="false">IFERROR(N(INDEX(Tasks[_Level],Tasks[[#This Row],[_Row]]+1)),0)</f>
        <v>0</v>
      </c>
      <c r="CF193" s="90" t="b">
        <f aca="false">AND(Tasks[[#This Row],[Task Name]]&lt;&gt;"",Tasks[[#This Row],[_NextLevel]]&gt;Tasks[[#This Row],[_Level]])</f>
        <v>0</v>
      </c>
      <c r="CG193" s="43" t="n">
        <f aca="false">IF(Tasks[[#This Row],[_IsSummary]],COUNTIF(Tasks[WBS],Tasks[[#This Row],[WBS]]&amp;".*"),0)</f>
        <v>0</v>
      </c>
      <c r="CH193" s="43" t="n">
        <f aca="false">IF(AND(Tasks[[#This Row],[Task Name]]&lt;&gt;"",NOT(Tasks[[#This Row],[_IsSummary]])),1,0)</f>
        <v>0</v>
      </c>
      <c r="CI193" s="43" t="n">
        <f aca="false">IF(N(Tasks[[#This Row],[_Pred1UID]])=0,0,IFERROR(MATCH(Tasks[[#This Row],[_Pred1UID]],Tasks[UID],0),-1))</f>
        <v>0</v>
      </c>
      <c r="CJ193" s="43" t="n">
        <f aca="false">IF(N(Tasks[[#This Row],[_Pred2UID]])=0,0,IFERROR(MATCH(Tasks[[#This Row],[_Pred2UID]],Tasks[UID],0),-1))</f>
        <v>0</v>
      </c>
      <c r="CK193" s="43" t="n">
        <f aca="false">IF(N(Tasks[[#This Row],[_Pred3UID]])=0,0,IFERROR(MATCH(Tasks[[#This Row],[_Pred3UID]],Tasks[UID],0),-1))</f>
        <v>0</v>
      </c>
      <c r="CL193" s="43" t="n">
        <f aca="false">IF(N(Tasks[[#This Row],[_Pred4UID]])=0,0,IFERROR(MATCH(Tasks[[#This Row],[_Pred4UID]],Tasks[UID],0),-1))</f>
        <v>0</v>
      </c>
      <c r="CM1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3" s="91" t="n">
        <f aca="false">IF(OR(Tasks[[#This Row],[_ConstraintCode]]=2,Tasks[[#This Row],[_ConstraintCode]]=3,Tasks[[#This Row],[_ConstraintCode]]=4,Tasks[[#This Row],[_ConstraintCode]]=6),Tasks[[#This Row],[_ConstraintStart]],0)</f>
        <v>0</v>
      </c>
      <c r="CP193" s="91" t="n">
        <f aca="false">IF(OR(Tasks[[#This Row],[_ConstraintCode]]=2,Tasks[[#This Row],[_ConstraintCode]]=3,Tasks[[#This Row],[_ConstraintCode]]=5,Tasks[[#This Row],[_ConstraintCode]]=7),Tasks[[#This Row],[_ConstraintStart]],2958465)</f>
        <v>2958465</v>
      </c>
      <c r="CQ1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3" s="91" t="str">
        <f aca="false">IF(NOT(Tasks[[#This Row],[_IsLeaf]]=1),"",IF(N(Tasks[[#This Row],[_Days]])&lt;=0,Tasks[[#This Row],[_LeafCalcStart]],WORKDAY.INTL(Tasks[[#This Row],[_LeafCalcStart]],Tasks[[#This Row],[_Days]]-1,WorkWeek,Holidays)))</f>
        <v/>
      </c>
      <c r="CS1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3" s="43" t="str">
        <f aca="false">IF(Tasks[[#This Row],[_Predecessors]]="","",TRIM(MID(SUBSTITUTE(SUBSTITUTE(SUBSTITUTE(UPPER(Tasks[[#This Row],[_Predecessors]]),";",",")," ",""),",",REPT(" ",99)),1,99)))</f>
        <v/>
      </c>
      <c r="CV193" s="43" t="str">
        <f aca="false">IF(Tasks[[#This Row],[_Pred1Text]]="","",IFERROR(VALUE(LEFT(Tasks[[#This Row],[_Pred1Text]],MIN(FIND("F",Tasks[[#This Row],[_Pred1Text]]&amp;"F"),FIND("S",Tasks[[#This Row],[_Pred1Text]]&amp;"S"),FIND("+",Tasks[[#This Row],[_Pred1Text]]&amp;"+"),FIND("-",Tasks[[#This Row],[_Pred1Text]]&amp;"-"))-1)),""))</f>
        <v/>
      </c>
      <c r="CW1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3" s="43" t="str">
        <f aca="false">IF(Tasks[[#This Row],[_Pred1Text]]="","",TRIM(MID(SUBSTITUTE(SUBSTITUTE(SUBSTITUTE(UPPER(Tasks[[#This Row],[_Predecessors]]),";",",")," ",""),",",REPT(" ",99)),100,99)))</f>
        <v/>
      </c>
      <c r="CZ193" s="43" t="str">
        <f aca="false">IF(Tasks[[#This Row],[_Pred2Text]]="","",IFERROR(VALUE(LEFT(Tasks[[#This Row],[_Pred2Text]],MIN(FIND("F",Tasks[[#This Row],[_Pred2Text]]&amp;"F"),FIND("S",Tasks[[#This Row],[_Pred2Text]]&amp;"S"),FIND("+",Tasks[[#This Row],[_Pred2Text]]&amp;"+"),FIND("-",Tasks[[#This Row],[_Pred2Text]]&amp;"-"))-1)),""))</f>
        <v/>
      </c>
      <c r="DA1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3" s="43" t="str">
        <f aca="false">IF(Tasks[[#This Row],[_Pred2Text]]="","",TRIM(MID(SUBSTITUTE(SUBSTITUTE(SUBSTITUTE(UPPER(Tasks[[#This Row],[_Predecessors]]),";",",")," ",""),",",REPT(" ",99)),199,99)))</f>
        <v/>
      </c>
      <c r="DD193" s="43" t="str">
        <f aca="false">IF(Tasks[[#This Row],[_Pred3Text]]="","",IFERROR(VALUE(LEFT(Tasks[[#This Row],[_Pred3Text]],MIN(FIND("F",Tasks[[#This Row],[_Pred3Text]]&amp;"F"),FIND("S",Tasks[[#This Row],[_Pred3Text]]&amp;"S"),FIND("+",Tasks[[#This Row],[_Pred3Text]]&amp;"+"),FIND("-",Tasks[[#This Row],[_Pred3Text]]&amp;"-"))-1)),""))</f>
        <v/>
      </c>
      <c r="DE1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3" s="43" t="str">
        <f aca="false">IF(Tasks[[#This Row],[_Pred3Text]]="","",TRIM(MID(SUBSTITUTE(SUBSTITUTE(SUBSTITUTE(UPPER(Tasks[[#This Row],[_Predecessors]]),";",",")," ",""),",",REPT(" ",99)),298,99)))</f>
        <v/>
      </c>
      <c r="DH193" s="43" t="str">
        <f aca="false">IF(Tasks[[#This Row],[_Pred4Text]]="","",IFERROR(VALUE(LEFT(Tasks[[#This Row],[_Pred4Text]],MIN(FIND("F",Tasks[[#This Row],[_Pred4Text]]&amp;"F"),FIND("S",Tasks[[#This Row],[_Pred4Text]]&amp;"S"),FIND("+",Tasks[[#This Row],[_Pred4Text]]&amp;"+"),FIND("-",Tasks[[#This Row],[_Pred4Text]]&amp;"-"))-1)),""))</f>
        <v/>
      </c>
      <c r="DI1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3" s="43" t="str">
        <f aca="false">IF(OR(Tasks[[#This Row],[Task Name]]="",Tasks[[#This Row],[_Resources]]=""),"",TRIM(MID(SUBSTITUTE(Tasks[[#This Row],[_Resources]],",",REPT(" ",99)),1,99)))</f>
        <v/>
      </c>
      <c r="DL193" s="43" t="str">
        <f aca="false">IF(Tasks[[#This Row],[_Res1Text]]="","",TRIM(MID(SUBSTITUTE(Tasks[[#This Row],[_Resources]],",",REPT(" ",99)),100,99)))</f>
        <v/>
      </c>
      <c r="DM193" s="43" t="str">
        <f aca="false">IF(Tasks[[#This Row],[_Res2Text]]="","",TRIM(MID(SUBSTITUTE(Tasks[[#This Row],[_Resources]],",",REPT(" ",99)),199,99)))</f>
        <v/>
      </c>
      <c r="DN193" s="43" t="str">
        <f aca="false">IF(Tasks[[#This Row],[_Res3Text]]="","",TRIM(MID(SUBSTITUTE(Tasks[[#This Row],[_Resources]],",",REPT(" ",99)),298,99)))</f>
        <v/>
      </c>
      <c r="DO193" s="43" t="n">
        <f aca="false">IF(Tasks[[#This Row],[_Res1Text]]="",0,IFERROR(MATCH(TRIM(LEFT(Tasks[[#This Row],[_Res1Text]],FIND("[",Tasks[[#This Row],[_Res1Text]]&amp;"[")-1)),res_Name,0),IFERROR(MATCH(TRIM(LEFT(Tasks[[#This Row],[_Res1Text]],FIND("[",Tasks[[#This Row],[_Res1Text]]&amp;"[")-1)),res_Initials,0),0)))</f>
        <v>0</v>
      </c>
      <c r="DP193" s="43" t="n">
        <f aca="false">IF(Tasks[[#This Row],[_Res2Text]]="",0,IFERROR(MATCH(TRIM(LEFT(Tasks[[#This Row],[_Res2Text]],FIND("[",Tasks[[#This Row],[_Res2Text]]&amp;"[")-1)),res_Name,0),IFERROR(MATCH(TRIM(LEFT(Tasks[[#This Row],[_Res2Text]],FIND("[",Tasks[[#This Row],[_Res2Text]]&amp;"[")-1)),res_Initials,0),0)))</f>
        <v>0</v>
      </c>
      <c r="DQ193" s="43" t="n">
        <f aca="false">IF(Tasks[[#This Row],[_Res3Text]]="",0,IFERROR(MATCH(TRIM(LEFT(Tasks[[#This Row],[_Res3Text]],FIND("[",Tasks[[#This Row],[_Res3Text]]&amp;"[")-1)),res_Name,0),IFERROR(MATCH(TRIM(LEFT(Tasks[[#This Row],[_Res3Text]],FIND("[",Tasks[[#This Row],[_Res3Text]]&amp;"[")-1)),res_Initials,0),0)))</f>
        <v>0</v>
      </c>
      <c r="DR193" s="43" t="n">
        <f aca="false">IF(Tasks[[#This Row],[_Res4Text]]="",0,IFERROR(MATCH(TRIM(LEFT(Tasks[[#This Row],[_Res4Text]],FIND("[",Tasks[[#This Row],[_Res4Text]]&amp;"[")-1)),res_Name,0),IFERROR(MATCH(TRIM(LEFT(Tasks[[#This Row],[_Res4Text]],FIND("[",Tasks[[#This Row],[_Res4Text]]&amp;"[")-1)),res_Initials,0),0)))</f>
        <v>0</v>
      </c>
      <c r="DS193" s="43" t="str">
        <f aca="false">IF(Tasks[[#This Row],[_Res1Text]]="","",IF(Tasks[[#This Row],[_Res1Row]]&gt;0,INDEX(res_Name,Tasks[[#This Row],[_Res1Row]]),TRIM(LEFT(Tasks[[#This Row],[_Res1Text]],FIND("[",Tasks[[#This Row],[_Res1Text]]&amp;"[")-1))))</f>
        <v/>
      </c>
      <c r="DT1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3" s="43" t="n">
        <f aca="false">IF(NOT(Tasks[[#This Row],[_IsLeaf]]=1),0,(Tasks[[#This Row],[_Resource1]]&lt;&gt;"")+(Tasks[[#This Row],[_Res2]]&lt;&gt;"")+(Tasks[[#This Row],[_Res3]]&lt;&gt;"")+(Tasks[[#This Row],[_Res4]]&lt;&gt;""))</f>
        <v>0</v>
      </c>
      <c r="DV193" s="43" t="str">
        <f aca="false">IF(Tasks[[#This Row],[_Res2Text]]="","",IF(Tasks[[#This Row],[_Res2Row]]&gt;0,INDEX(res_Name,Tasks[[#This Row],[_Res2Row]]),TRIM(LEFT(Tasks[[#This Row],[_Res2Text]],FIND("[",Tasks[[#This Row],[_Res2Text]]&amp;"[")-1))))</f>
        <v/>
      </c>
      <c r="DW1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3" s="43" t="n">
        <f aca="false">IF(OR(NOT(Tasks[[#This Row],[_IsLeaf]]=1),Tasks[[#This Row],[_Res2Row]]=0),0,N(Tasks[[#This Row],[_Days]])*HoursPerDay*IF(Tasks[[#This Row],[_Res2Units]]="",DefaultUnits,Tasks[[#This Row],[_Res2Units]]))</f>
        <v>0</v>
      </c>
      <c r="DY193" s="43" t="n">
        <f aca="false">IF(AND(AND(Tasks[[#This Row],[_IsLeaf]]=1,Tasks[[#This Row],[_LeafTotalWork]]&gt;0),Tasks[[#This Row],[_Res2Work]]&gt;0),Tasks[[#This Row],[_Res2Work]]/(Tasks[[#This Row],[_FinishWorkday]]-Tasks[[#This Row],[_StartWorkday]]+1),0)</f>
        <v>0</v>
      </c>
      <c r="DZ193" s="43" t="n">
        <f aca="false">Tasks[[#This Row],[_Res2WorkPerWD]]*MAX(0,Tasks[[#This Row],[_StartWorkday]]-1)</f>
        <v>0</v>
      </c>
      <c r="EA193" s="43" t="n">
        <f aca="false">Tasks[[#This Row],[_Res2Work]]*Tasks[[#This Row],[_LeafProgress]]</f>
        <v>0</v>
      </c>
      <c r="EB193" s="43" t="str">
        <f aca="false">IF(Tasks[[#This Row],[_Res3Text]]="","",IF(Tasks[[#This Row],[_Res3Row]]&gt;0,INDEX(res_Name,Tasks[[#This Row],[_Res3Row]]),TRIM(LEFT(Tasks[[#This Row],[_Res3Text]],FIND("[",Tasks[[#This Row],[_Res3Text]]&amp;"[")-1))))</f>
        <v/>
      </c>
      <c r="EC1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3" s="43" t="n">
        <f aca="false">IF(OR(NOT(Tasks[[#This Row],[_IsLeaf]]=1),Tasks[[#This Row],[_Res3Row]]=0),0,N(Tasks[[#This Row],[_Days]])*HoursPerDay*IF(Tasks[[#This Row],[_Res3Units]]="",DefaultUnits,Tasks[[#This Row],[_Res3Units]]))</f>
        <v>0</v>
      </c>
      <c r="EE193" s="43" t="n">
        <f aca="false">IF(AND(AND(Tasks[[#This Row],[_IsLeaf]]=1,Tasks[[#This Row],[_LeafTotalWork]]&gt;0),Tasks[[#This Row],[_Res3Work]]&gt;0),Tasks[[#This Row],[_Res3Work]]/(Tasks[[#This Row],[_FinishWorkday]]-Tasks[[#This Row],[_StartWorkday]]+1),0)</f>
        <v>0</v>
      </c>
      <c r="EF193" s="43" t="n">
        <f aca="false">Tasks[[#This Row],[_Res3WorkPerWD]]*MAX(0,Tasks[[#This Row],[_StartWorkday]]-1)</f>
        <v>0</v>
      </c>
      <c r="EG193" s="43" t="n">
        <f aca="false">Tasks[[#This Row],[_Res3Work]]*Tasks[[#This Row],[_LeafProgress]]</f>
        <v>0</v>
      </c>
      <c r="EH193" s="43" t="str">
        <f aca="false">IF(Tasks[[#This Row],[_Res4Text]]="","",IF(Tasks[[#This Row],[_Res4Row]]&gt;0,INDEX(res_Name,Tasks[[#This Row],[_Res4Row]]),TRIM(LEFT(Tasks[[#This Row],[_Res4Text]],FIND("[",Tasks[[#This Row],[_Res4Text]]&amp;"[")-1))))</f>
        <v/>
      </c>
      <c r="EI1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3" s="43" t="n">
        <f aca="false">IF(OR(NOT(Tasks[[#This Row],[_IsLeaf]]=1),Tasks[[#This Row],[_Res4Row]]=0),0,N(Tasks[[#This Row],[_Days]])*HoursPerDay*IF(Tasks[[#This Row],[_Res4Units]]="",DefaultUnits,Tasks[[#This Row],[_Res4Units]]))</f>
        <v>0</v>
      </c>
      <c r="EK193" s="43" t="n">
        <f aca="false">IF(AND(AND(Tasks[[#This Row],[_IsLeaf]]=1,Tasks[[#This Row],[_LeafTotalWork]]&gt;0),Tasks[[#This Row],[_Res4Work]]&gt;0),Tasks[[#This Row],[_Res4Work]]/(Tasks[[#This Row],[_FinishWorkday]]-Tasks[[#This Row],[_StartWorkday]]+1),0)</f>
        <v>0</v>
      </c>
      <c r="EL193" s="43" t="n">
        <f aca="false">Tasks[[#This Row],[_Res4WorkPerWD]]*MAX(0,Tasks[[#This Row],[_StartWorkday]]-1)</f>
        <v>0</v>
      </c>
      <c r="EM193" s="43" t="n">
        <f aca="false">Tasks[[#This Row],[_Res4Work]]*Tasks[[#This Row],[_LeafProgress]]</f>
        <v>0</v>
      </c>
      <c r="EN193" s="43" t="n">
        <f aca="false">IF(ISNUMBER(Tasks[[#This Row],[% Complete]]),Tasks[[#This Row],[% Complete]],IF(Tasks[[#This Row],[Stage]]="",0,IFERROR(INDEX(stg_Pct,MATCH(Tasks[[#This Row],[Stage]],stg_Name,0)),0)))</f>
        <v>0</v>
      </c>
      <c r="EO193" s="43" t="n">
        <f aca="false">IF(NOT(Tasks[[#This Row],[_IsLeaf]]=1),0,IF(N(Tasks[[#This Row],[Actual Finish]])&gt;0,1,MIN(1,Tasks[[#This Row],[_Pct]])))</f>
        <v>0</v>
      </c>
      <c r="EP193" s="43" t="n">
        <f aca="false">IF(OR(NOT(Tasks[[#This Row],[_IsLeaf]]=1),Tasks[[#This Row],[_Res1Row]]=0),0,N(Tasks[[#This Row],[_Days]])*HoursPerDay*IF(Tasks[[#This Row],[_Units1]]="",DefaultUnits,Tasks[[#This Row],[_Units1]]))</f>
        <v>0</v>
      </c>
      <c r="EQ193" s="43" t="n">
        <f aca="false">Tasks[[#This Row],[_LeafWork]]+Tasks[[#This Row],[_Res2Work]]+Tasks[[#This Row],[_Res3Work]]+Tasks[[#This Row],[_Res4Work]]</f>
        <v>0</v>
      </c>
      <c r="ER19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3" s="43" t="n">
        <f aca="false">IF(NOT(Tasks[[#This Row],[_IsLeaf]]=1),0,MAX(_xlfn.MAXIFS(Tasks[_Row],Tasks[_Pred1UID],Tasks[[#This Row],[UID]]),_xlfn.MAXIFS(Tasks[_Row],Tasks[_Pred2UID],Tasks[[#This Row],[UID]]),_xlfn.MAXIFS(Tasks[_Row],Tasks[_Pred3UID],Tasks[[#This Row],[UID]]),_xlfn.MAXIFS(Tasks[_Row],Tasks[_Pred4UID],Tasks[[#This Row],[UID]])))</f>
        <v>0</v>
      </c>
      <c r="FA1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3" s="91" t="str">
        <f aca="false">IF(NOT(Tasks[[#This Row],[_IsLeaf]]=1),"",IF(N(Tasks[[#This Row],[_Days]])&lt;=0,Tasks[[#This Row],[_LeafLateFinish]],WORKDAY.INTL(Tasks[[#This Row],[_LeafLateFinish]],-(Tasks[[#This Row],[_Days]]-1),WorkWeek,Holidays)))</f>
        <v/>
      </c>
      <c r="FD1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3" s="90" t="b">
        <f aca="false">AND(Tasks[[#This Row],[_IsLeaf]]=1,Tasks[[#This Row],[_LeafProgress]]&lt;1,N(Tasks[[#This Row],[_LeafTotalSlack]])&lt;=CriticalSlackDays)</f>
        <v>0</v>
      </c>
      <c r="FF193" s="43" t="n">
        <f aca="false">IF(AND(Tasks[[#This Row],[_IsLeaf]]=1,Tasks[[#This Row],[_ConstraintCode]]=1,Tasks[[#This Row],[Mode]]&lt;&gt;"Manual",N(Tasks[[#This Row],[Actual Start]])=0),MAX(0,N(Tasks[[#This Row],[Free Slack]])),0)</f>
        <v>0</v>
      </c>
      <c r="FG193" s="91" t="str">
        <f aca="false">IF(NOT(Tasks[[#This Row],[_IsLeaf]]=1),"",IF(Tasks[[#This Row],[_AlapShift]]=0,Tasks[[#This Row],[_LeafCalcStart]],WORKDAY.INTL(Tasks[[#This Row],[_LeafCalcStart]],Tasks[[#This Row],[_AlapShift]],WorkWeek,Holidays)))</f>
        <v/>
      </c>
      <c r="FH193" s="91" t="str">
        <f aca="false">IF(NOT(Tasks[[#This Row],[_IsLeaf]]=1),"",IF(Tasks[[#This Row],[_AlapShift]]=0,Tasks[[#This Row],[_LeafCalcFinish]],WORKDAY.INTL(Tasks[[#This Row],[_LeafCalcFinish]],Tasks[[#This Row],[_AlapShift]],WorkWeek,Holidays)))</f>
        <v/>
      </c>
      <c r="FI193" s="91" t="str">
        <f aca="false">IF(NOT(Tasks[[#This Row],[_IsLeaf]]=1),"",IF(Tasks[[#This Row],[_AlapShift]]=0,Tasks[[#This Row],[_LeafFcstStart]],WORKDAY.INTL(Tasks[[#This Row],[_LeafFcstStart]],Tasks[[#This Row],[_AlapShift]],WorkWeek,Holidays)))</f>
        <v/>
      </c>
      <c r="FJ193" s="91" t="str">
        <f aca="false">IF(NOT(Tasks[[#This Row],[_IsLeaf]]=1),"",IF(Tasks[[#This Row],[_AlapShift]]=0,Tasks[[#This Row],[_LeafFcstFinish]],WORKDAY.INTL(Tasks[[#This Row],[_LeafFcstFinish]],Tasks[[#This Row],[_AlapShift]],WorkWeek,Holidays)))</f>
        <v/>
      </c>
      <c r="FK193" s="91" t="str">
        <f aca="false">IF(Tasks[[#This Row],[Task Name]]="","",IF(Tasks[[#This Row],[_IsSummary]],MIN(INDEX(Tasks[_ShownCalcStart],Tasks[[#This Row],[_Row]]+1):INDEX(Tasks[_ShownCalcStart],Tasks[[#This Row],[_Row]]+Tasks[[#This Row],[_Descendants]])),Tasks[[#This Row],[_ShownCalcStart]]))</f>
        <v/>
      </c>
      <c r="FL193" s="91" t="str">
        <f aca="false">IF(Tasks[[#This Row],[Task Name]]="","",IF(Tasks[[#This Row],[_IsSummary]],MAX(INDEX(Tasks[_ShownCalcFinish],Tasks[[#This Row],[_Row]]+1):INDEX(Tasks[_ShownCalcFinish],Tasks[[#This Row],[_Row]]+Tasks[[#This Row],[_Descendants]])),Tasks[[#This Row],[_ShownCalcFinish]]))</f>
        <v/>
      </c>
      <c r="FM1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3" s="43" t="n">
        <f aca="false">IF(AND(Tasks[[#This Row],[_IsLeaf]]=1,Tasks[[#This Row],[_LeafTotalWork]]&gt;0),NETWORKDAYS.INTL(ProjectStart,Tasks[[#This Row],[_ShownFcstStart]],WorkWeek,Holidays),0)</f>
        <v>0</v>
      </c>
      <c r="FZ193" s="43" t="n">
        <f aca="false">IF(AND(Tasks[[#This Row],[_IsLeaf]]=1,Tasks[[#This Row],[_LeafTotalWork]]&gt;0),MAX(Tasks[[#This Row],[_StartWorkday]],NETWORKDAYS.INTL(ProjectStart,Tasks[[#This Row],[_ShownFcstFinish]],WorkWeek,Holidays)),0)</f>
        <v>0</v>
      </c>
      <c r="GA193" s="43" t="n">
        <f aca="false">IF(AND(Tasks[[#This Row],[_IsLeaf]]=1,Tasks[[#This Row],[_LeafTotalWork]]&gt;0),Tasks[[#This Row],[_LeafWork]]/(Tasks[[#This Row],[_FinishWorkday]]-Tasks[[#This Row],[_StartWorkday]]+1),0)</f>
        <v>0</v>
      </c>
      <c r="GB193" s="43" t="n">
        <f aca="false">Tasks[[#This Row],[_WorkPerWorkday]]*(Tasks[[#This Row],[_StartWorkday]]-1)</f>
        <v>-0</v>
      </c>
      <c r="GC193" s="43" t="n">
        <f aca="false">IF(Tasks[[#This Row],[_IsLeaf]]=1,MAX(N(Tasks[[#This Row],[_Days]]),0.1),0)</f>
        <v>0</v>
      </c>
      <c r="GD193" s="43" t="n">
        <f aca="false">Tasks[[#This Row],[_WeightDur]]*Tasks[[#This Row],[_LeafProgress]]</f>
        <v>0</v>
      </c>
      <c r="GE193" s="43" t="n">
        <f aca="false">Tasks[[#This Row],[_WeightDur]]*Tasks[[#This Row],[_PlannedPct]]</f>
        <v>0</v>
      </c>
      <c r="GF1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3" s="43" t="str">
        <f aca="false">IF(AND(Tasks[[#This Row],[_IsLeaf]]=1,N(Tasks[[#This Row],[_Days]])=0,Tasks[[#This Row],[_LeafProgress]]&lt;1),Tasks[[#This Row],[_ShownFcstFinish]]+Tasks[[#This Row],[_Row]]/100000,"")</f>
        <v/>
      </c>
      <c r="GH1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3" s="43" t="str">
        <f aca="false">IF(Tasks[[#This Row],[Task Name]]="","",LEFT(Tasks[[#This Row],[WBS]],FIND(".",Tasks[[#This Row],[WBS]]&amp;".")-1))</f>
        <v/>
      </c>
      <c r="GJ193" s="43" t="str">
        <f aca="false">IF(AND(Tasks[[#This Row],[Task Name]]&lt;&gt;"",Tasks[[#This Row],[_Level]]=1),Tasks[[#This Row],[_Row]],"")</f>
        <v/>
      </c>
      <c r="GK193" s="43" t="str">
        <f aca="false">IF(AND(Tasks[[#This Row],[_IsLeaf]]=1,N(Tasks[[#This Row],[_Days]])=0),Tasks[[#This Row],[Planned Finish]]+Tasks[[#This Row],[_Row]]/100000,"")</f>
        <v/>
      </c>
      <c r="GL193" s="43" t="str">
        <f aca="false">IF(AND(Tasks[[#This Row],[_IsLeaf]]=1,Tasks[[#This Row],[_LeafProgress]]&lt;1,OR(N(Tasks[[#This Row],[Finish Var]])&gt;0,Tasks[[#This Row],[Status]]="Late Start")),MAX(0,Tasks[[#This Row],[Finish Var]])+1-Tasks[[#This Row],[_Row]]/1000000,"")</f>
        <v/>
      </c>
      <c r="GM193" s="43" t="str">
        <f aca="false">IF(AND(Tasks[[#This Row],[_IsLeaf]]=1,N(Tasks[[#This Row],[Actual Start]])=0,Tasks[[#This Row],[_ShownFcstStart]]&gt;=StatusDate,Tasks[[#This Row],[_ShownFcstStart]]&lt;=LookaheadEnd),Tasks[[#This Row],[_ShownFcstStart]]+Tasks[[#This Row],[_Row]]/100000,"")</f>
        <v/>
      </c>
      <c r="GN193" s="43" t="str">
        <f aca="false">IF(AND(Tasks[[#This Row],[_IsLeaf]]=1,Tasks[[#This Row],[_LeafProgress]]&lt;1,Tasks[[#This Row],[_ShownFcstFinish]]&gt;=StatusDate,Tasks[[#This Row],[_ShownFcstFinish]]&lt;=LookaheadEnd),Tasks[[#This Row],[_ShownFcstFinish]]+Tasks[[#This Row],[_Row]]/100000,"")</f>
        <v/>
      </c>
      <c r="GO193" s="43" t="str">
        <f aca="false">IF(Tasks[[#This Row],[_LeafCritical]],Tasks[[#This Row],[_ShownFcstStart]]+Tasks[[#This Row],[_Row]]/100000,"")</f>
        <v/>
      </c>
      <c r="GP193" s="43" t="n">
        <f aca="false">Tasks[[#This Row],[_LeafWork]]*Tasks[[#This Row],[_LeafProgress]]</f>
        <v>0</v>
      </c>
      <c r="GQ193" s="91" t="str">
        <f aca="false">IF(AND(Tasks[[#This Row],[_IsLeaf]]=1,Tasks[[#This Row],[_LeafProgress]]&gt;=1),IF(N(Tasks[[#This Row],[Actual Finish]])&gt;0,Tasks[[#This Row],[Actual Finish]],Tasks[[#This Row],[_ShownFcstFinish]]),"")</f>
        <v/>
      </c>
      <c r="GR193" s="43" t="n">
        <f aca="false">IF(Tasks[[#This Row],[_IsLeaf]]=1,N(Tasks[[#This Row],[Story Points]]),0)</f>
        <v>0</v>
      </c>
      <c r="GS193" s="43" t="str">
        <f aca="false">""</f>
        <v/>
      </c>
      <c r="GT193" s="90" t="b">
        <f aca="false">IF(Tasks[[#This Row],[Task Name]]="",FALSE(),AND(Tasks[[#This Row],[_IsLeaf]]=1,N(Tasks[[#This Row],[_Days]])=0))</f>
        <v>0</v>
      </c>
      <c r="GU193" s="91" t="n">
        <f aca="false">IF(Tasks[[#This Row],[Task Name]]="",0,IF(AND(Tasks[[#This Row],[_IsLeaf]]=1,NOT(Tasks[[#This Row],[_IsMilestone]]),N(Tasks[[#This Row],[Progress]])&gt;0),Tasks[[#This Row],[Start]],0))</f>
        <v>0</v>
      </c>
      <c r="GV193" s="91" t="n">
        <f aca="false">IF(Tasks[[#This Row],[_DoneFrom]]=0,0,IF(Tasks[[#This Row],[Progress]]&gt;=1,Tasks[[#This Row],[Finish]],MAX(Tasks[[#This Row],[_DoneFrom]],Tasks[[#This Row],[Start]]+ROUND((Tasks[[#This Row],[Finish]]-Tasks[[#This Row],[Start]]+1)*Tasks[[#This Row],[Progress]],0)-1)))</f>
        <v>0</v>
      </c>
      <c r="GW193" s="91" t="n">
        <f aca="false">IF(Tasks[[#This Row],[Task Name]]="",0,IF(OR(NOT(Tasks[[#This Row],[_IsLeaf]]=1),Tasks[[#This Row],[_IsMilestone]],N(Tasks[[#This Row],[Progress]])&gt;=1),0,IF(Tasks[[#This Row],[_DoneTo]]&gt;0,Tasks[[#This Row],[_DoneTo]]+1,Tasks[[#This Row],[Start]])))</f>
        <v>0</v>
      </c>
      <c r="GX193" s="91" t="n">
        <f aca="false">IF(Tasks[[#This Row],[_RemFrom]]=0,0,Tasks[[#This Row],[Finish]])</f>
        <v>0</v>
      </c>
      <c r="GY193" s="90" t="b">
        <f aca="false">IF(Tasks[[#This Row],[Task Name]]="",FALSE(),OR(NOT(BaselineSet),N(Tasks[[#This Row],[Baseline Start]])&gt;0))</f>
        <v>0</v>
      </c>
      <c r="GZ19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3" s="92" t="str">
        <f aca="false">IF(Tasks[[#This Row],[_IsLeaf]]=1,Tasks[[#This Row],[_Row]],"")</f>
        <v/>
      </c>
      <c r="HD193" s="92" t="str">
        <f aca="false">IFERROR(INDEX(Tasks[UID],SMALL(Tasks[_PickKey],Tasks[[#This Row],[_Row]]))&amp;" "&amp;INDEX(Tasks[Task Name],SMALL(Tasks[_PickKey],Tasks[[#This Row],[_Row]])),"")</f>
        <v/>
      </c>
      <c r="HE193" s="43" t="str">
        <f aca="false">IF(Tasks[[#This Row],[Task Name]]="","",IF(Tasks[[#This Row],[_IsSummary]],NETWORKDAYS.INTL(Tasks[[#This Row],[Start]],Tasks[[#This Row],[Finish]],WorkWeek,Holidays),N(Tasks[[#This Row],[_Days]])))</f>
        <v/>
      </c>
      <c r="HF193" s="43" t="n">
        <f aca="false">IF(Tasks[[#This Row],[Expected]]="",0,((Tasks[[#This Row],[Pessimistic]]-Tasks[[#This Row],[Optimistic]])/6)^2)</f>
        <v>0</v>
      </c>
      <c r="HG193" s="43" t="n">
        <f aca="false">IF(Tasks[[#This Row],[Expected]]="",0,Tasks[[#This Row],[Expected]]-N(Tasks[[#This Row],[_Days]]))</f>
        <v>0</v>
      </c>
    </row>
    <row r="194" customFormat="false" ht="15" hidden="false" customHeight="false" outlineLevel="0" collapsed="false">
      <c r="A194" s="21" t="str">
        <f aca="false">IF(Tasks[[#This Row],[Task Name]]="","",COUNTA(Tasks[[#Headers],[Task Name]]:Tasks[[#This Row],[Task Name]])-1)</f>
        <v/>
      </c>
      <c r="B194" s="22" t="n">
        <v>202</v>
      </c>
      <c r="C194" s="22"/>
      <c r="D194" s="23"/>
      <c r="E194" s="22"/>
      <c r="F194" s="23"/>
      <c r="G194" s="22"/>
      <c r="H194" s="22"/>
      <c r="I194" s="23"/>
      <c r="J194" s="22"/>
      <c r="K194" s="22"/>
      <c r="L194" s="23"/>
      <c r="M194" s="22"/>
      <c r="N194" s="22"/>
      <c r="O194" s="23"/>
      <c r="P194" s="22"/>
      <c r="Q194" s="22"/>
      <c r="R194" s="23"/>
      <c r="S194" s="23"/>
      <c r="T194" s="84"/>
      <c r="U194" s="23"/>
      <c r="V194" s="84"/>
      <c r="W194" s="23"/>
      <c r="X194" s="84"/>
      <c r="Y194" s="23"/>
      <c r="Z194" s="84"/>
      <c r="AA194" s="23"/>
      <c r="AB194" s="23"/>
      <c r="AC194" s="7"/>
      <c r="AD194" s="7"/>
      <c r="AE194" s="63" t="str">
        <f aca="false">IF(Tasks[[#This Row],[Task Name]]="","",IF(Tasks[[#This Row],[_IsSummary]],MIN(INDEX(Tasks[_ShownFcstStart],Tasks[[#This Row],[_Row]]+1):INDEX(Tasks[_ShownFcstStart],Tasks[[#This Row],[_Row]]+Tasks[[#This Row],[_Descendants]])),Tasks[[#This Row],[_ShownFcstStart]]))</f>
        <v/>
      </c>
      <c r="AF194" s="63" t="str">
        <f aca="false">IF(Tasks[[#This Row],[Task Name]]="","",IF(Tasks[[#This Row],[_IsSummary]],MAX(INDEX(Tasks[_ShownFcstFinish],Tasks[[#This Row],[_Row]]+1):INDEX(Tasks[_ShownFcstFinish],Tasks[[#This Row],[_Row]]+Tasks[[#This Row],[_Descendants]])),Tasks[[#This Row],[_ShownFcstFinish]]))</f>
        <v/>
      </c>
      <c r="AG194" s="21" t="str">
        <f aca="false">""</f>
        <v/>
      </c>
      <c r="AH194" s="23"/>
      <c r="AI1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4" s="7"/>
      <c r="AK194" s="22"/>
      <c r="AL194" s="23"/>
      <c r="AM194" s="7"/>
      <c r="AN194" s="47" t="str">
        <f aca="false">IF(Tasks[[#This Row],[Task Name]]="","",IF(Tasks[[#This Row],[Finish]]&gt;=Tasks[[#This Row],[Planned Finish]],NETWORKDAYS.INTL(Tasks[[#This Row],[Planned Finish]],Tasks[[#This Row],[Finish]],WorkWeek,Holidays)-1,1-NETWORKDAYS.INTL(Tasks[[#This Row],[Finish]],Tasks[[#This Row],[Planned Finish]],WorkWeek,Holidays)))</f>
        <v/>
      </c>
      <c r="AO194" s="21" t="str">
        <f aca="false">IF(Tasks[[#This Row],[Task Name]]="","",IF(Tasks[[#This Row],[Progress]]&gt;=1,"Complete",IF(OR(N(Tasks[[#This Row],[Actual Start]])&gt;0,Tasks[[#This Row],[Progress]]&gt;0),IF(Tasks[[#This Row],[Finish Var]]&gt;0,"Behind","In Progress"),IF(Tasks[[#This Row],[Planned Start]]&lt;StatusDate,"Late Start","Not Started"))))</f>
        <v/>
      </c>
      <c r="AP194" s="21" t="str">
        <f aca="false">IF(Tasks[[#This Row],[Task Name]]="","",IF(IF(Tasks[[#This Row],[_IsSummary]],COUNTIF(INDEX(Tasks[_LeafCritical],Tasks[[#This Row],[_Row]]+1):INDEX(Tasks[_LeafCritical],Tasks[[#This Row],[_Row]]+Tasks[[#This Row],[_Descendants]]),TRUE())&gt;0,Tasks[[#This Row],[_LeafCritical]]),"Yes",""))</f>
        <v/>
      </c>
      <c r="AQ194" s="63" t="str">
        <f aca="false">IF(Tasks[[#This Row],[Task Name]]="","",IF(N(Tasks[[#This Row],[Baseline Start]])&gt;0,Tasks[[#This Row],[Baseline Start]],Tasks[[#This Row],[_CalcStart]]))</f>
        <v/>
      </c>
      <c r="AR194" s="63" t="str">
        <f aca="false">IF(Tasks[[#This Row],[Task Name]]="","",IF(N(Tasks[[#This Row],[Baseline Finish]])&gt;0,Tasks[[#This Row],[Baseline Finish]],Tasks[[#This Row],[_CalcFinish]]))</f>
        <v/>
      </c>
      <c r="AS194" s="47" t="str">
        <f aca="false">IF(Tasks[[#This Row],[Task Name]]="","",IF(Tasks[[#This Row],[Start]]&gt;=Tasks[[#This Row],[Planned Start]],NETWORKDAYS.INTL(Tasks[[#This Row],[Planned Start]],Tasks[[#This Row],[Start]],WorkWeek,Holidays)-1,1-NETWORKDAYS.INTL(Tasks[[#This Row],[Start]],Tasks[[#This Row],[Planned Start]],WorkWeek,Holidays)))</f>
        <v/>
      </c>
      <c r="AT194" s="63" t="str">
        <f aca="false">IF(Tasks[[#This Row],[Task Name]]="","",IF(Tasks[[#This Row],[_IsSummary]],MIN(INDEX(Tasks[_LeafLateStart],Tasks[[#This Row],[_Row]]+1):INDEX(Tasks[_LeafLateStart],Tasks[[#This Row],[_Row]]+Tasks[[#This Row],[_Descendants]])),Tasks[[#This Row],[_LeafLateStart]]))</f>
        <v/>
      </c>
      <c r="AU194" s="63" t="str">
        <f aca="false">IF(Tasks[[#This Row],[Task Name]]="","",IF(Tasks[[#This Row],[_IsSummary]],MAX(INDEX(Tasks[_LeafLateFinish],Tasks[[#This Row],[_Row]]+1):INDEX(Tasks[_LeafLateFinish],Tasks[[#This Row],[_Row]]+Tasks[[#This Row],[_Descendants]])),Tasks[[#This Row],[_LeafLateFinish]]))</f>
        <v/>
      </c>
      <c r="AV194" s="47" t="str">
        <f aca="false">IF(Tasks[[#This Row],[Task Name]]="","",IF(Tasks[[#This Row],[_IsSummary]],MIN(INDEX(Tasks[_LeafTotalSlack],Tasks[[#This Row],[_Row]]+1):INDEX(Tasks[_LeafTotalSlack],Tasks[[#This Row],[_Row]]+Tasks[[#This Row],[_Descendants]])),Tasks[[#This Row],[_LeafTotalSlack]]))</f>
        <v/>
      </c>
      <c r="AW1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5"/>
      <c r="BA19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t="str">
        <f aca="false">IF(Tasks[[#This Row],[Task Name]]="","",IF(Tasks[[#This Row],[_Level]]&lt;=OutlineShowLevel,"Yes","No"))</f>
        <v/>
      </c>
      <c r="BE194" s="86" t="str">
        <f aca="false">IF(Tasks[[#This Row],[Task Name]]="","",IF(Tasks[[#This Row],[_IsSummary]],SUM(INDEX(Tasks[_LeafTotalWork],Tasks[[#This Row],[_Row]]+1):INDEX(Tasks[_LeafTotalWork],Tasks[[#This Row],[_Row]]+Tasks[[#This Row],[_Descendants]])),Tasks[[#This Row],[_LeafTotalWork]]))</f>
        <v/>
      </c>
      <c r="BF194" s="23"/>
      <c r="BG1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t="str">
        <f aca="false">""</f>
        <v/>
      </c>
      <c r="BI194" s="87"/>
      <c r="BJ194" s="22"/>
      <c r="BK194" s="47" t="str">
        <f aca="false">IF(OR(Tasks[[#This Row],[Task Name]]="",Tasks[[#This Row],[Baseline Duration]]=""),"",Tasks[[#This Row],[_SpanDays]]-N(Tasks[[#This Row],[Baseline Duration]]))</f>
        <v/>
      </c>
      <c r="BL194" s="86" t="str">
        <f aca="false">IF(OR(Tasks[[#This Row],[Task Name]]="",Tasks[[#This Row],[Baseline Work]]=""),"",Tasks[[#This Row],[Work]]-N(Tasks[[#This Row],[Baseline Work]]))</f>
        <v/>
      </c>
      <c r="BM194" s="63" t="str">
        <f aca="false">IF(Tasks[[#This Row],[Task Name]]="","",IF(OR(TakeBaseline="Yes",N(Tasks[[#This Row],[Baseline Start]])=0),Tasks[[#This Row],[Start]],Tasks[[#This Row],[Baseline Start]]))</f>
        <v/>
      </c>
      <c r="BN194" s="63" t="str">
        <f aca="false">IF(Tasks[[#This Row],[Task Name]]="","",IF(OR(TakeBaseline="Yes",N(Tasks[[#This Row],[Baseline Finish]])=0),Tasks[[#This Row],[Finish]],Tasks[[#This Row],[Baseline Finish]]))</f>
        <v/>
      </c>
      <c r="BO194" s="21" t="str">
        <f aca="false">IF(Tasks[[#This Row],[Task Name]]="","",IF(OR(TakeBaseline="Yes",N(Tasks[[#This Row],[Baseline Duration]])=0),Tasks[[#This Row],[_SpanDays]],Tasks[[#This Row],[Baseline Duration]]))</f>
        <v/>
      </c>
      <c r="BP194" s="86" t="str">
        <f aca="false">IF(Tasks[[#This Row],[Task Name]]="","",IF(OR(TakeBaseline="Yes",N(Tasks[[#This Row],[Baseline Work]])=0),Tasks[[#This Row],[Work]],Tasks[[#This Row],[Baseline Work]]))</f>
        <v/>
      </c>
      <c r="BQ194" s="7"/>
      <c r="BR194" s="7"/>
      <c r="BS194" s="22"/>
      <c r="BT194" s="88"/>
      <c r="BU194" s="23"/>
      <c r="BV194" s="23"/>
      <c r="BW194" s="23"/>
      <c r="BX194" s="89" t="str">
        <f aca="false">IF(AND(Tasks[[#This Row],[_IsLeaf]]=1,ISNUMBER(Tasks[[#This Row],[Optimistic]]),ISNUMBER(Tasks[[#This Row],[Pessimistic]])),ROUND((Tasks[[#This Row],[Optimistic]]+4*N(Tasks[[#This Row],[_Days]])+Tasks[[#This Row],[Pessimistic]])/6,1),"")</f>
        <v/>
      </c>
      <c r="BY194" s="87"/>
      <c r="BZ194" s="87"/>
      <c r="CA194" s="22"/>
      <c r="CB194" s="43" t="str">
        <f aca="false">IF(Tasks[[#This Row],[Task Name]]="","",MAX(1,N(Tasks[[#This Row],[Level]])))</f>
        <v/>
      </c>
      <c r="CC194" s="43" t="n">
        <f aca="false">ROW()-ROW(Tasks[[#Headers],[ID]])</f>
        <v>189</v>
      </c>
      <c r="CD194" s="43" t="n">
        <f aca="false">IF(OR(Tasks[[#This Row],[Task Name]]="",Tasks[[#This Row],[_Level]]&lt;=1),0,IFERROR(LOOKUP(2,1/(Tasks[[#Headers],[_Level]]:Tasks[[#This Row],[_Level]]=Tasks[[#This Row],[_Level]]-1),ROW(Tasks[[#Headers],[_Level]]:Tasks[[#This Row],[_Level]])),0))</f>
        <v>0</v>
      </c>
      <c r="CE194" s="43" t="n">
        <f aca="false">IFERROR(N(INDEX(Tasks[_Level],Tasks[[#This Row],[_Row]]+1)),0)</f>
        <v>0</v>
      </c>
      <c r="CF194" s="90" t="b">
        <f aca="false">AND(Tasks[[#This Row],[Task Name]]&lt;&gt;"",Tasks[[#This Row],[_NextLevel]]&gt;Tasks[[#This Row],[_Level]])</f>
        <v>0</v>
      </c>
      <c r="CG194" s="43" t="n">
        <f aca="false">IF(Tasks[[#This Row],[_IsSummary]],COUNTIF(Tasks[WBS],Tasks[[#This Row],[WBS]]&amp;".*"),0)</f>
        <v>0</v>
      </c>
      <c r="CH194" s="43" t="n">
        <f aca="false">IF(AND(Tasks[[#This Row],[Task Name]]&lt;&gt;"",NOT(Tasks[[#This Row],[_IsSummary]])),1,0)</f>
        <v>0</v>
      </c>
      <c r="CI194" s="43" t="n">
        <f aca="false">IF(N(Tasks[[#This Row],[_Pred1UID]])=0,0,IFERROR(MATCH(Tasks[[#This Row],[_Pred1UID]],Tasks[UID],0),-1))</f>
        <v>0</v>
      </c>
      <c r="CJ194" s="43" t="n">
        <f aca="false">IF(N(Tasks[[#This Row],[_Pred2UID]])=0,0,IFERROR(MATCH(Tasks[[#This Row],[_Pred2UID]],Tasks[UID],0),-1))</f>
        <v>0</v>
      </c>
      <c r="CK194" s="43" t="n">
        <f aca="false">IF(N(Tasks[[#This Row],[_Pred3UID]])=0,0,IFERROR(MATCH(Tasks[[#This Row],[_Pred3UID]],Tasks[UID],0),-1))</f>
        <v>0</v>
      </c>
      <c r="CL194" s="43" t="n">
        <f aca="false">IF(N(Tasks[[#This Row],[_Pred4UID]])=0,0,IFERROR(MATCH(Tasks[[#This Row],[_Pred4UID]],Tasks[UID],0),-1))</f>
        <v>0</v>
      </c>
      <c r="CM1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4" s="91" t="n">
        <f aca="false">IF(OR(Tasks[[#This Row],[_ConstraintCode]]=2,Tasks[[#This Row],[_ConstraintCode]]=3,Tasks[[#This Row],[_ConstraintCode]]=4,Tasks[[#This Row],[_ConstraintCode]]=6),Tasks[[#This Row],[_ConstraintStart]],0)</f>
        <v>0</v>
      </c>
      <c r="CP194" s="91" t="n">
        <f aca="false">IF(OR(Tasks[[#This Row],[_ConstraintCode]]=2,Tasks[[#This Row],[_ConstraintCode]]=3,Tasks[[#This Row],[_ConstraintCode]]=5,Tasks[[#This Row],[_ConstraintCode]]=7),Tasks[[#This Row],[_ConstraintStart]],2958465)</f>
        <v>2958465</v>
      </c>
      <c r="CQ1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4" s="91" t="str">
        <f aca="false">IF(NOT(Tasks[[#This Row],[_IsLeaf]]=1),"",IF(N(Tasks[[#This Row],[_Days]])&lt;=0,Tasks[[#This Row],[_LeafCalcStart]],WORKDAY.INTL(Tasks[[#This Row],[_LeafCalcStart]],Tasks[[#This Row],[_Days]]-1,WorkWeek,Holidays)))</f>
        <v/>
      </c>
      <c r="CS1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4" s="43" t="str">
        <f aca="false">IF(Tasks[[#This Row],[_Predecessors]]="","",TRIM(MID(SUBSTITUTE(SUBSTITUTE(SUBSTITUTE(UPPER(Tasks[[#This Row],[_Predecessors]]),";",",")," ",""),",",REPT(" ",99)),1,99)))</f>
        <v/>
      </c>
      <c r="CV194" s="43" t="str">
        <f aca="false">IF(Tasks[[#This Row],[_Pred1Text]]="","",IFERROR(VALUE(LEFT(Tasks[[#This Row],[_Pred1Text]],MIN(FIND("F",Tasks[[#This Row],[_Pred1Text]]&amp;"F"),FIND("S",Tasks[[#This Row],[_Pred1Text]]&amp;"S"),FIND("+",Tasks[[#This Row],[_Pred1Text]]&amp;"+"),FIND("-",Tasks[[#This Row],[_Pred1Text]]&amp;"-"))-1)),""))</f>
        <v/>
      </c>
      <c r="CW1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4" s="43" t="str">
        <f aca="false">IF(Tasks[[#This Row],[_Pred1Text]]="","",TRIM(MID(SUBSTITUTE(SUBSTITUTE(SUBSTITUTE(UPPER(Tasks[[#This Row],[_Predecessors]]),";",",")," ",""),",",REPT(" ",99)),100,99)))</f>
        <v/>
      </c>
      <c r="CZ194" s="43" t="str">
        <f aca="false">IF(Tasks[[#This Row],[_Pred2Text]]="","",IFERROR(VALUE(LEFT(Tasks[[#This Row],[_Pred2Text]],MIN(FIND("F",Tasks[[#This Row],[_Pred2Text]]&amp;"F"),FIND("S",Tasks[[#This Row],[_Pred2Text]]&amp;"S"),FIND("+",Tasks[[#This Row],[_Pred2Text]]&amp;"+"),FIND("-",Tasks[[#This Row],[_Pred2Text]]&amp;"-"))-1)),""))</f>
        <v/>
      </c>
      <c r="DA1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4" s="43" t="str">
        <f aca="false">IF(Tasks[[#This Row],[_Pred2Text]]="","",TRIM(MID(SUBSTITUTE(SUBSTITUTE(SUBSTITUTE(UPPER(Tasks[[#This Row],[_Predecessors]]),";",",")," ",""),",",REPT(" ",99)),199,99)))</f>
        <v/>
      </c>
      <c r="DD194" s="43" t="str">
        <f aca="false">IF(Tasks[[#This Row],[_Pred3Text]]="","",IFERROR(VALUE(LEFT(Tasks[[#This Row],[_Pred3Text]],MIN(FIND("F",Tasks[[#This Row],[_Pred3Text]]&amp;"F"),FIND("S",Tasks[[#This Row],[_Pred3Text]]&amp;"S"),FIND("+",Tasks[[#This Row],[_Pred3Text]]&amp;"+"),FIND("-",Tasks[[#This Row],[_Pred3Text]]&amp;"-"))-1)),""))</f>
        <v/>
      </c>
      <c r="DE1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4" s="43" t="str">
        <f aca="false">IF(Tasks[[#This Row],[_Pred3Text]]="","",TRIM(MID(SUBSTITUTE(SUBSTITUTE(SUBSTITUTE(UPPER(Tasks[[#This Row],[_Predecessors]]),";",",")," ",""),",",REPT(" ",99)),298,99)))</f>
        <v/>
      </c>
      <c r="DH194" s="43" t="str">
        <f aca="false">IF(Tasks[[#This Row],[_Pred4Text]]="","",IFERROR(VALUE(LEFT(Tasks[[#This Row],[_Pred4Text]],MIN(FIND("F",Tasks[[#This Row],[_Pred4Text]]&amp;"F"),FIND("S",Tasks[[#This Row],[_Pred4Text]]&amp;"S"),FIND("+",Tasks[[#This Row],[_Pred4Text]]&amp;"+"),FIND("-",Tasks[[#This Row],[_Pred4Text]]&amp;"-"))-1)),""))</f>
        <v/>
      </c>
      <c r="DI1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4" s="43" t="str">
        <f aca="false">IF(OR(Tasks[[#This Row],[Task Name]]="",Tasks[[#This Row],[_Resources]]=""),"",TRIM(MID(SUBSTITUTE(Tasks[[#This Row],[_Resources]],",",REPT(" ",99)),1,99)))</f>
        <v/>
      </c>
      <c r="DL194" s="43" t="str">
        <f aca="false">IF(Tasks[[#This Row],[_Res1Text]]="","",TRIM(MID(SUBSTITUTE(Tasks[[#This Row],[_Resources]],",",REPT(" ",99)),100,99)))</f>
        <v/>
      </c>
      <c r="DM194" s="43" t="str">
        <f aca="false">IF(Tasks[[#This Row],[_Res2Text]]="","",TRIM(MID(SUBSTITUTE(Tasks[[#This Row],[_Resources]],",",REPT(" ",99)),199,99)))</f>
        <v/>
      </c>
      <c r="DN194" s="43" t="str">
        <f aca="false">IF(Tasks[[#This Row],[_Res3Text]]="","",TRIM(MID(SUBSTITUTE(Tasks[[#This Row],[_Resources]],",",REPT(" ",99)),298,99)))</f>
        <v/>
      </c>
      <c r="DO194" s="43" t="n">
        <f aca="false">IF(Tasks[[#This Row],[_Res1Text]]="",0,IFERROR(MATCH(TRIM(LEFT(Tasks[[#This Row],[_Res1Text]],FIND("[",Tasks[[#This Row],[_Res1Text]]&amp;"[")-1)),res_Name,0),IFERROR(MATCH(TRIM(LEFT(Tasks[[#This Row],[_Res1Text]],FIND("[",Tasks[[#This Row],[_Res1Text]]&amp;"[")-1)),res_Initials,0),0)))</f>
        <v>0</v>
      </c>
      <c r="DP194" s="43" t="n">
        <f aca="false">IF(Tasks[[#This Row],[_Res2Text]]="",0,IFERROR(MATCH(TRIM(LEFT(Tasks[[#This Row],[_Res2Text]],FIND("[",Tasks[[#This Row],[_Res2Text]]&amp;"[")-1)),res_Name,0),IFERROR(MATCH(TRIM(LEFT(Tasks[[#This Row],[_Res2Text]],FIND("[",Tasks[[#This Row],[_Res2Text]]&amp;"[")-1)),res_Initials,0),0)))</f>
        <v>0</v>
      </c>
      <c r="DQ194" s="43" t="n">
        <f aca="false">IF(Tasks[[#This Row],[_Res3Text]]="",0,IFERROR(MATCH(TRIM(LEFT(Tasks[[#This Row],[_Res3Text]],FIND("[",Tasks[[#This Row],[_Res3Text]]&amp;"[")-1)),res_Name,0),IFERROR(MATCH(TRIM(LEFT(Tasks[[#This Row],[_Res3Text]],FIND("[",Tasks[[#This Row],[_Res3Text]]&amp;"[")-1)),res_Initials,0),0)))</f>
        <v>0</v>
      </c>
      <c r="DR194" s="43" t="n">
        <f aca="false">IF(Tasks[[#This Row],[_Res4Text]]="",0,IFERROR(MATCH(TRIM(LEFT(Tasks[[#This Row],[_Res4Text]],FIND("[",Tasks[[#This Row],[_Res4Text]]&amp;"[")-1)),res_Name,0),IFERROR(MATCH(TRIM(LEFT(Tasks[[#This Row],[_Res4Text]],FIND("[",Tasks[[#This Row],[_Res4Text]]&amp;"[")-1)),res_Initials,0),0)))</f>
        <v>0</v>
      </c>
      <c r="DS194" s="43" t="str">
        <f aca="false">IF(Tasks[[#This Row],[_Res1Text]]="","",IF(Tasks[[#This Row],[_Res1Row]]&gt;0,INDEX(res_Name,Tasks[[#This Row],[_Res1Row]]),TRIM(LEFT(Tasks[[#This Row],[_Res1Text]],FIND("[",Tasks[[#This Row],[_Res1Text]]&amp;"[")-1))))</f>
        <v/>
      </c>
      <c r="DT1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4" s="43" t="n">
        <f aca="false">IF(NOT(Tasks[[#This Row],[_IsLeaf]]=1),0,(Tasks[[#This Row],[_Resource1]]&lt;&gt;"")+(Tasks[[#This Row],[_Res2]]&lt;&gt;"")+(Tasks[[#This Row],[_Res3]]&lt;&gt;"")+(Tasks[[#This Row],[_Res4]]&lt;&gt;""))</f>
        <v>0</v>
      </c>
      <c r="DV194" s="43" t="str">
        <f aca="false">IF(Tasks[[#This Row],[_Res2Text]]="","",IF(Tasks[[#This Row],[_Res2Row]]&gt;0,INDEX(res_Name,Tasks[[#This Row],[_Res2Row]]),TRIM(LEFT(Tasks[[#This Row],[_Res2Text]],FIND("[",Tasks[[#This Row],[_Res2Text]]&amp;"[")-1))))</f>
        <v/>
      </c>
      <c r="DW1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4" s="43" t="n">
        <f aca="false">IF(OR(NOT(Tasks[[#This Row],[_IsLeaf]]=1),Tasks[[#This Row],[_Res2Row]]=0),0,N(Tasks[[#This Row],[_Days]])*HoursPerDay*IF(Tasks[[#This Row],[_Res2Units]]="",DefaultUnits,Tasks[[#This Row],[_Res2Units]]))</f>
        <v>0</v>
      </c>
      <c r="DY194" s="43" t="n">
        <f aca="false">IF(AND(AND(Tasks[[#This Row],[_IsLeaf]]=1,Tasks[[#This Row],[_LeafTotalWork]]&gt;0),Tasks[[#This Row],[_Res2Work]]&gt;0),Tasks[[#This Row],[_Res2Work]]/(Tasks[[#This Row],[_FinishWorkday]]-Tasks[[#This Row],[_StartWorkday]]+1),0)</f>
        <v>0</v>
      </c>
      <c r="DZ194" s="43" t="n">
        <f aca="false">Tasks[[#This Row],[_Res2WorkPerWD]]*MAX(0,Tasks[[#This Row],[_StartWorkday]]-1)</f>
        <v>0</v>
      </c>
      <c r="EA194" s="43" t="n">
        <f aca="false">Tasks[[#This Row],[_Res2Work]]*Tasks[[#This Row],[_LeafProgress]]</f>
        <v>0</v>
      </c>
      <c r="EB194" s="43" t="str">
        <f aca="false">IF(Tasks[[#This Row],[_Res3Text]]="","",IF(Tasks[[#This Row],[_Res3Row]]&gt;0,INDEX(res_Name,Tasks[[#This Row],[_Res3Row]]),TRIM(LEFT(Tasks[[#This Row],[_Res3Text]],FIND("[",Tasks[[#This Row],[_Res3Text]]&amp;"[")-1))))</f>
        <v/>
      </c>
      <c r="EC1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4" s="43" t="n">
        <f aca="false">IF(OR(NOT(Tasks[[#This Row],[_IsLeaf]]=1),Tasks[[#This Row],[_Res3Row]]=0),0,N(Tasks[[#This Row],[_Days]])*HoursPerDay*IF(Tasks[[#This Row],[_Res3Units]]="",DefaultUnits,Tasks[[#This Row],[_Res3Units]]))</f>
        <v>0</v>
      </c>
      <c r="EE194" s="43" t="n">
        <f aca="false">IF(AND(AND(Tasks[[#This Row],[_IsLeaf]]=1,Tasks[[#This Row],[_LeafTotalWork]]&gt;0),Tasks[[#This Row],[_Res3Work]]&gt;0),Tasks[[#This Row],[_Res3Work]]/(Tasks[[#This Row],[_FinishWorkday]]-Tasks[[#This Row],[_StartWorkday]]+1),0)</f>
        <v>0</v>
      </c>
      <c r="EF194" s="43" t="n">
        <f aca="false">Tasks[[#This Row],[_Res3WorkPerWD]]*MAX(0,Tasks[[#This Row],[_StartWorkday]]-1)</f>
        <v>0</v>
      </c>
      <c r="EG194" s="43" t="n">
        <f aca="false">Tasks[[#This Row],[_Res3Work]]*Tasks[[#This Row],[_LeafProgress]]</f>
        <v>0</v>
      </c>
      <c r="EH194" s="43" t="str">
        <f aca="false">IF(Tasks[[#This Row],[_Res4Text]]="","",IF(Tasks[[#This Row],[_Res4Row]]&gt;0,INDEX(res_Name,Tasks[[#This Row],[_Res4Row]]),TRIM(LEFT(Tasks[[#This Row],[_Res4Text]],FIND("[",Tasks[[#This Row],[_Res4Text]]&amp;"[")-1))))</f>
        <v/>
      </c>
      <c r="EI1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4" s="43" t="n">
        <f aca="false">IF(OR(NOT(Tasks[[#This Row],[_IsLeaf]]=1),Tasks[[#This Row],[_Res4Row]]=0),0,N(Tasks[[#This Row],[_Days]])*HoursPerDay*IF(Tasks[[#This Row],[_Res4Units]]="",DefaultUnits,Tasks[[#This Row],[_Res4Units]]))</f>
        <v>0</v>
      </c>
      <c r="EK194" s="43" t="n">
        <f aca="false">IF(AND(AND(Tasks[[#This Row],[_IsLeaf]]=1,Tasks[[#This Row],[_LeafTotalWork]]&gt;0),Tasks[[#This Row],[_Res4Work]]&gt;0),Tasks[[#This Row],[_Res4Work]]/(Tasks[[#This Row],[_FinishWorkday]]-Tasks[[#This Row],[_StartWorkday]]+1),0)</f>
        <v>0</v>
      </c>
      <c r="EL194" s="43" t="n">
        <f aca="false">Tasks[[#This Row],[_Res4WorkPerWD]]*MAX(0,Tasks[[#This Row],[_StartWorkday]]-1)</f>
        <v>0</v>
      </c>
      <c r="EM194" s="43" t="n">
        <f aca="false">Tasks[[#This Row],[_Res4Work]]*Tasks[[#This Row],[_LeafProgress]]</f>
        <v>0</v>
      </c>
      <c r="EN194" s="43" t="n">
        <f aca="false">IF(ISNUMBER(Tasks[[#This Row],[% Complete]]),Tasks[[#This Row],[% Complete]],IF(Tasks[[#This Row],[Stage]]="",0,IFERROR(INDEX(stg_Pct,MATCH(Tasks[[#This Row],[Stage]],stg_Name,0)),0)))</f>
        <v>0</v>
      </c>
      <c r="EO194" s="43" t="n">
        <f aca="false">IF(NOT(Tasks[[#This Row],[_IsLeaf]]=1),0,IF(N(Tasks[[#This Row],[Actual Finish]])&gt;0,1,MIN(1,Tasks[[#This Row],[_Pct]])))</f>
        <v>0</v>
      </c>
      <c r="EP194" s="43" t="n">
        <f aca="false">IF(OR(NOT(Tasks[[#This Row],[_IsLeaf]]=1),Tasks[[#This Row],[_Res1Row]]=0),0,N(Tasks[[#This Row],[_Days]])*HoursPerDay*IF(Tasks[[#This Row],[_Units1]]="",DefaultUnits,Tasks[[#This Row],[_Units1]]))</f>
        <v>0</v>
      </c>
      <c r="EQ194" s="43" t="n">
        <f aca="false">Tasks[[#This Row],[_LeafWork]]+Tasks[[#This Row],[_Res2Work]]+Tasks[[#This Row],[_Res3Work]]+Tasks[[#This Row],[_Res4Work]]</f>
        <v>0</v>
      </c>
      <c r="ER19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4" s="43" t="n">
        <f aca="false">IF(NOT(Tasks[[#This Row],[_IsLeaf]]=1),0,MAX(_xlfn.MAXIFS(Tasks[_Row],Tasks[_Pred1UID],Tasks[[#This Row],[UID]]),_xlfn.MAXIFS(Tasks[_Row],Tasks[_Pred2UID],Tasks[[#This Row],[UID]]),_xlfn.MAXIFS(Tasks[_Row],Tasks[_Pred3UID],Tasks[[#This Row],[UID]]),_xlfn.MAXIFS(Tasks[_Row],Tasks[_Pred4UID],Tasks[[#This Row],[UID]])))</f>
        <v>0</v>
      </c>
      <c r="FA1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4" s="91" t="str">
        <f aca="false">IF(NOT(Tasks[[#This Row],[_IsLeaf]]=1),"",IF(N(Tasks[[#This Row],[_Days]])&lt;=0,Tasks[[#This Row],[_LeafLateFinish]],WORKDAY.INTL(Tasks[[#This Row],[_LeafLateFinish]],-(Tasks[[#This Row],[_Days]]-1),WorkWeek,Holidays)))</f>
        <v/>
      </c>
      <c r="FD1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4" s="90" t="b">
        <f aca="false">AND(Tasks[[#This Row],[_IsLeaf]]=1,Tasks[[#This Row],[_LeafProgress]]&lt;1,N(Tasks[[#This Row],[_LeafTotalSlack]])&lt;=CriticalSlackDays)</f>
        <v>0</v>
      </c>
      <c r="FF194" s="43" t="n">
        <f aca="false">IF(AND(Tasks[[#This Row],[_IsLeaf]]=1,Tasks[[#This Row],[_ConstraintCode]]=1,Tasks[[#This Row],[Mode]]&lt;&gt;"Manual",N(Tasks[[#This Row],[Actual Start]])=0),MAX(0,N(Tasks[[#This Row],[Free Slack]])),0)</f>
        <v>0</v>
      </c>
      <c r="FG194" s="91" t="str">
        <f aca="false">IF(NOT(Tasks[[#This Row],[_IsLeaf]]=1),"",IF(Tasks[[#This Row],[_AlapShift]]=0,Tasks[[#This Row],[_LeafCalcStart]],WORKDAY.INTL(Tasks[[#This Row],[_LeafCalcStart]],Tasks[[#This Row],[_AlapShift]],WorkWeek,Holidays)))</f>
        <v/>
      </c>
      <c r="FH194" s="91" t="str">
        <f aca="false">IF(NOT(Tasks[[#This Row],[_IsLeaf]]=1),"",IF(Tasks[[#This Row],[_AlapShift]]=0,Tasks[[#This Row],[_LeafCalcFinish]],WORKDAY.INTL(Tasks[[#This Row],[_LeafCalcFinish]],Tasks[[#This Row],[_AlapShift]],WorkWeek,Holidays)))</f>
        <v/>
      </c>
      <c r="FI194" s="91" t="str">
        <f aca="false">IF(NOT(Tasks[[#This Row],[_IsLeaf]]=1),"",IF(Tasks[[#This Row],[_AlapShift]]=0,Tasks[[#This Row],[_LeafFcstStart]],WORKDAY.INTL(Tasks[[#This Row],[_LeafFcstStart]],Tasks[[#This Row],[_AlapShift]],WorkWeek,Holidays)))</f>
        <v/>
      </c>
      <c r="FJ194" s="91" t="str">
        <f aca="false">IF(NOT(Tasks[[#This Row],[_IsLeaf]]=1),"",IF(Tasks[[#This Row],[_AlapShift]]=0,Tasks[[#This Row],[_LeafFcstFinish]],WORKDAY.INTL(Tasks[[#This Row],[_LeafFcstFinish]],Tasks[[#This Row],[_AlapShift]],WorkWeek,Holidays)))</f>
        <v/>
      </c>
      <c r="FK194" s="91" t="str">
        <f aca="false">IF(Tasks[[#This Row],[Task Name]]="","",IF(Tasks[[#This Row],[_IsSummary]],MIN(INDEX(Tasks[_ShownCalcStart],Tasks[[#This Row],[_Row]]+1):INDEX(Tasks[_ShownCalcStart],Tasks[[#This Row],[_Row]]+Tasks[[#This Row],[_Descendants]])),Tasks[[#This Row],[_ShownCalcStart]]))</f>
        <v/>
      </c>
      <c r="FL194" s="91" t="str">
        <f aca="false">IF(Tasks[[#This Row],[Task Name]]="","",IF(Tasks[[#This Row],[_IsSummary]],MAX(INDEX(Tasks[_ShownCalcFinish],Tasks[[#This Row],[_Row]]+1):INDEX(Tasks[_ShownCalcFinish],Tasks[[#This Row],[_Row]]+Tasks[[#This Row],[_Descendants]])),Tasks[[#This Row],[_ShownCalcFinish]]))</f>
        <v/>
      </c>
      <c r="FM1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4" s="43" t="n">
        <f aca="false">IF(AND(Tasks[[#This Row],[_IsLeaf]]=1,Tasks[[#This Row],[_LeafTotalWork]]&gt;0),NETWORKDAYS.INTL(ProjectStart,Tasks[[#This Row],[_ShownFcstStart]],WorkWeek,Holidays),0)</f>
        <v>0</v>
      </c>
      <c r="FZ194" s="43" t="n">
        <f aca="false">IF(AND(Tasks[[#This Row],[_IsLeaf]]=1,Tasks[[#This Row],[_LeafTotalWork]]&gt;0),MAX(Tasks[[#This Row],[_StartWorkday]],NETWORKDAYS.INTL(ProjectStart,Tasks[[#This Row],[_ShownFcstFinish]],WorkWeek,Holidays)),0)</f>
        <v>0</v>
      </c>
      <c r="GA194" s="43" t="n">
        <f aca="false">IF(AND(Tasks[[#This Row],[_IsLeaf]]=1,Tasks[[#This Row],[_LeafTotalWork]]&gt;0),Tasks[[#This Row],[_LeafWork]]/(Tasks[[#This Row],[_FinishWorkday]]-Tasks[[#This Row],[_StartWorkday]]+1),0)</f>
        <v>0</v>
      </c>
      <c r="GB194" s="43" t="n">
        <f aca="false">Tasks[[#This Row],[_WorkPerWorkday]]*(Tasks[[#This Row],[_StartWorkday]]-1)</f>
        <v>-0</v>
      </c>
      <c r="GC194" s="43" t="n">
        <f aca="false">IF(Tasks[[#This Row],[_IsLeaf]]=1,MAX(N(Tasks[[#This Row],[_Days]]),0.1),0)</f>
        <v>0</v>
      </c>
      <c r="GD194" s="43" t="n">
        <f aca="false">Tasks[[#This Row],[_WeightDur]]*Tasks[[#This Row],[_LeafProgress]]</f>
        <v>0</v>
      </c>
      <c r="GE194" s="43" t="n">
        <f aca="false">Tasks[[#This Row],[_WeightDur]]*Tasks[[#This Row],[_PlannedPct]]</f>
        <v>0</v>
      </c>
      <c r="GF1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4" s="43" t="str">
        <f aca="false">IF(AND(Tasks[[#This Row],[_IsLeaf]]=1,N(Tasks[[#This Row],[_Days]])=0,Tasks[[#This Row],[_LeafProgress]]&lt;1),Tasks[[#This Row],[_ShownFcstFinish]]+Tasks[[#This Row],[_Row]]/100000,"")</f>
        <v/>
      </c>
      <c r="GH1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4" s="43" t="str">
        <f aca="false">IF(Tasks[[#This Row],[Task Name]]="","",LEFT(Tasks[[#This Row],[WBS]],FIND(".",Tasks[[#This Row],[WBS]]&amp;".")-1))</f>
        <v/>
      </c>
      <c r="GJ194" s="43" t="str">
        <f aca="false">IF(AND(Tasks[[#This Row],[Task Name]]&lt;&gt;"",Tasks[[#This Row],[_Level]]=1),Tasks[[#This Row],[_Row]],"")</f>
        <v/>
      </c>
      <c r="GK194" s="43" t="str">
        <f aca="false">IF(AND(Tasks[[#This Row],[_IsLeaf]]=1,N(Tasks[[#This Row],[_Days]])=0),Tasks[[#This Row],[Planned Finish]]+Tasks[[#This Row],[_Row]]/100000,"")</f>
        <v/>
      </c>
      <c r="GL194" s="43" t="str">
        <f aca="false">IF(AND(Tasks[[#This Row],[_IsLeaf]]=1,Tasks[[#This Row],[_LeafProgress]]&lt;1,OR(N(Tasks[[#This Row],[Finish Var]])&gt;0,Tasks[[#This Row],[Status]]="Late Start")),MAX(0,Tasks[[#This Row],[Finish Var]])+1-Tasks[[#This Row],[_Row]]/1000000,"")</f>
        <v/>
      </c>
      <c r="GM194" s="43" t="str">
        <f aca="false">IF(AND(Tasks[[#This Row],[_IsLeaf]]=1,N(Tasks[[#This Row],[Actual Start]])=0,Tasks[[#This Row],[_ShownFcstStart]]&gt;=StatusDate,Tasks[[#This Row],[_ShownFcstStart]]&lt;=LookaheadEnd),Tasks[[#This Row],[_ShownFcstStart]]+Tasks[[#This Row],[_Row]]/100000,"")</f>
        <v/>
      </c>
      <c r="GN194" s="43" t="str">
        <f aca="false">IF(AND(Tasks[[#This Row],[_IsLeaf]]=1,Tasks[[#This Row],[_LeafProgress]]&lt;1,Tasks[[#This Row],[_ShownFcstFinish]]&gt;=StatusDate,Tasks[[#This Row],[_ShownFcstFinish]]&lt;=LookaheadEnd),Tasks[[#This Row],[_ShownFcstFinish]]+Tasks[[#This Row],[_Row]]/100000,"")</f>
        <v/>
      </c>
      <c r="GO194" s="43" t="str">
        <f aca="false">IF(Tasks[[#This Row],[_LeafCritical]],Tasks[[#This Row],[_ShownFcstStart]]+Tasks[[#This Row],[_Row]]/100000,"")</f>
        <v/>
      </c>
      <c r="GP194" s="43" t="n">
        <f aca="false">Tasks[[#This Row],[_LeafWork]]*Tasks[[#This Row],[_LeafProgress]]</f>
        <v>0</v>
      </c>
      <c r="GQ194" s="91" t="str">
        <f aca="false">IF(AND(Tasks[[#This Row],[_IsLeaf]]=1,Tasks[[#This Row],[_LeafProgress]]&gt;=1),IF(N(Tasks[[#This Row],[Actual Finish]])&gt;0,Tasks[[#This Row],[Actual Finish]],Tasks[[#This Row],[_ShownFcstFinish]]),"")</f>
        <v/>
      </c>
      <c r="GR194" s="43" t="n">
        <f aca="false">IF(Tasks[[#This Row],[_IsLeaf]]=1,N(Tasks[[#This Row],[Story Points]]),0)</f>
        <v>0</v>
      </c>
      <c r="GS194" s="43" t="str">
        <f aca="false">""</f>
        <v/>
      </c>
      <c r="GT194" s="90" t="b">
        <f aca="false">IF(Tasks[[#This Row],[Task Name]]="",FALSE(),AND(Tasks[[#This Row],[_IsLeaf]]=1,N(Tasks[[#This Row],[_Days]])=0))</f>
        <v>0</v>
      </c>
      <c r="GU194" s="91" t="n">
        <f aca="false">IF(Tasks[[#This Row],[Task Name]]="",0,IF(AND(Tasks[[#This Row],[_IsLeaf]]=1,NOT(Tasks[[#This Row],[_IsMilestone]]),N(Tasks[[#This Row],[Progress]])&gt;0),Tasks[[#This Row],[Start]],0))</f>
        <v>0</v>
      </c>
      <c r="GV194" s="91" t="n">
        <f aca="false">IF(Tasks[[#This Row],[_DoneFrom]]=0,0,IF(Tasks[[#This Row],[Progress]]&gt;=1,Tasks[[#This Row],[Finish]],MAX(Tasks[[#This Row],[_DoneFrom]],Tasks[[#This Row],[Start]]+ROUND((Tasks[[#This Row],[Finish]]-Tasks[[#This Row],[Start]]+1)*Tasks[[#This Row],[Progress]],0)-1)))</f>
        <v>0</v>
      </c>
      <c r="GW194" s="91" t="n">
        <f aca="false">IF(Tasks[[#This Row],[Task Name]]="",0,IF(OR(NOT(Tasks[[#This Row],[_IsLeaf]]=1),Tasks[[#This Row],[_IsMilestone]],N(Tasks[[#This Row],[Progress]])&gt;=1),0,IF(Tasks[[#This Row],[_DoneTo]]&gt;0,Tasks[[#This Row],[_DoneTo]]+1,Tasks[[#This Row],[Start]])))</f>
        <v>0</v>
      </c>
      <c r="GX194" s="91" t="n">
        <f aca="false">IF(Tasks[[#This Row],[_RemFrom]]=0,0,Tasks[[#This Row],[Finish]])</f>
        <v>0</v>
      </c>
      <c r="GY194" s="90" t="b">
        <f aca="false">IF(Tasks[[#This Row],[Task Name]]="",FALSE(),OR(NOT(BaselineSet),N(Tasks[[#This Row],[Baseline Start]])&gt;0))</f>
        <v>0</v>
      </c>
      <c r="GZ19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4" s="92" t="str">
        <f aca="false">IF(Tasks[[#This Row],[_IsLeaf]]=1,Tasks[[#This Row],[_Row]],"")</f>
        <v/>
      </c>
      <c r="HD194" s="92" t="str">
        <f aca="false">IFERROR(INDEX(Tasks[UID],SMALL(Tasks[_PickKey],Tasks[[#This Row],[_Row]]))&amp;" "&amp;INDEX(Tasks[Task Name],SMALL(Tasks[_PickKey],Tasks[[#This Row],[_Row]])),"")</f>
        <v/>
      </c>
      <c r="HE194" s="43" t="str">
        <f aca="false">IF(Tasks[[#This Row],[Task Name]]="","",IF(Tasks[[#This Row],[_IsSummary]],NETWORKDAYS.INTL(Tasks[[#This Row],[Start]],Tasks[[#This Row],[Finish]],WorkWeek,Holidays),N(Tasks[[#This Row],[_Days]])))</f>
        <v/>
      </c>
      <c r="HF194" s="43" t="n">
        <f aca="false">IF(Tasks[[#This Row],[Expected]]="",0,((Tasks[[#This Row],[Pessimistic]]-Tasks[[#This Row],[Optimistic]])/6)^2)</f>
        <v>0</v>
      </c>
      <c r="HG194" s="43" t="n">
        <f aca="false">IF(Tasks[[#This Row],[Expected]]="",0,Tasks[[#This Row],[Expected]]-N(Tasks[[#This Row],[_Days]]))</f>
        <v>0</v>
      </c>
    </row>
    <row r="195" customFormat="false" ht="15" hidden="false" customHeight="false" outlineLevel="0" collapsed="false">
      <c r="A195" s="21" t="str">
        <f aca="false">IF(Tasks[[#This Row],[Task Name]]="","",COUNTA(Tasks[[#Headers],[Task Name]]:Tasks[[#This Row],[Task Name]])-1)</f>
        <v/>
      </c>
      <c r="B195" s="22" t="n">
        <v>203</v>
      </c>
      <c r="C195" s="22"/>
      <c r="D195" s="23"/>
      <c r="E195" s="22"/>
      <c r="F195" s="23"/>
      <c r="G195" s="22"/>
      <c r="H195" s="22"/>
      <c r="I195" s="23"/>
      <c r="J195" s="22"/>
      <c r="K195" s="22"/>
      <c r="L195" s="23"/>
      <c r="M195" s="22"/>
      <c r="N195" s="22"/>
      <c r="O195" s="23"/>
      <c r="P195" s="22"/>
      <c r="Q195" s="22"/>
      <c r="R195" s="23"/>
      <c r="S195" s="23"/>
      <c r="T195" s="84"/>
      <c r="U195" s="23"/>
      <c r="V195" s="84"/>
      <c r="W195" s="23"/>
      <c r="X195" s="84"/>
      <c r="Y195" s="23"/>
      <c r="Z195" s="84"/>
      <c r="AA195" s="23"/>
      <c r="AB195" s="23"/>
      <c r="AC195" s="7"/>
      <c r="AD195" s="7"/>
      <c r="AE195" s="63" t="str">
        <f aca="false">IF(Tasks[[#This Row],[Task Name]]="","",IF(Tasks[[#This Row],[_IsSummary]],MIN(INDEX(Tasks[_ShownFcstStart],Tasks[[#This Row],[_Row]]+1):INDEX(Tasks[_ShownFcstStart],Tasks[[#This Row],[_Row]]+Tasks[[#This Row],[_Descendants]])),Tasks[[#This Row],[_ShownFcstStart]]))</f>
        <v/>
      </c>
      <c r="AF195" s="63" t="str">
        <f aca="false">IF(Tasks[[#This Row],[Task Name]]="","",IF(Tasks[[#This Row],[_IsSummary]],MAX(INDEX(Tasks[_ShownFcstFinish],Tasks[[#This Row],[_Row]]+1):INDEX(Tasks[_ShownFcstFinish],Tasks[[#This Row],[_Row]]+Tasks[[#This Row],[_Descendants]])),Tasks[[#This Row],[_ShownFcstFinish]]))</f>
        <v/>
      </c>
      <c r="AG195" s="21" t="str">
        <f aca="false">""</f>
        <v/>
      </c>
      <c r="AH195" s="23"/>
      <c r="AI1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5" s="7"/>
      <c r="AK195" s="22"/>
      <c r="AL195" s="23"/>
      <c r="AM195" s="7"/>
      <c r="AN195" s="47" t="str">
        <f aca="false">IF(Tasks[[#This Row],[Task Name]]="","",IF(Tasks[[#This Row],[Finish]]&gt;=Tasks[[#This Row],[Planned Finish]],NETWORKDAYS.INTL(Tasks[[#This Row],[Planned Finish]],Tasks[[#This Row],[Finish]],WorkWeek,Holidays)-1,1-NETWORKDAYS.INTL(Tasks[[#This Row],[Finish]],Tasks[[#This Row],[Planned Finish]],WorkWeek,Holidays)))</f>
        <v/>
      </c>
      <c r="AO195" s="21" t="str">
        <f aca="false">IF(Tasks[[#This Row],[Task Name]]="","",IF(Tasks[[#This Row],[Progress]]&gt;=1,"Complete",IF(OR(N(Tasks[[#This Row],[Actual Start]])&gt;0,Tasks[[#This Row],[Progress]]&gt;0),IF(Tasks[[#This Row],[Finish Var]]&gt;0,"Behind","In Progress"),IF(Tasks[[#This Row],[Planned Start]]&lt;StatusDate,"Late Start","Not Started"))))</f>
        <v/>
      </c>
      <c r="AP195" s="21" t="str">
        <f aca="false">IF(Tasks[[#This Row],[Task Name]]="","",IF(IF(Tasks[[#This Row],[_IsSummary]],COUNTIF(INDEX(Tasks[_LeafCritical],Tasks[[#This Row],[_Row]]+1):INDEX(Tasks[_LeafCritical],Tasks[[#This Row],[_Row]]+Tasks[[#This Row],[_Descendants]]),TRUE())&gt;0,Tasks[[#This Row],[_LeafCritical]]),"Yes",""))</f>
        <v/>
      </c>
      <c r="AQ195" s="63" t="str">
        <f aca="false">IF(Tasks[[#This Row],[Task Name]]="","",IF(N(Tasks[[#This Row],[Baseline Start]])&gt;0,Tasks[[#This Row],[Baseline Start]],Tasks[[#This Row],[_CalcStart]]))</f>
        <v/>
      </c>
      <c r="AR195" s="63" t="str">
        <f aca="false">IF(Tasks[[#This Row],[Task Name]]="","",IF(N(Tasks[[#This Row],[Baseline Finish]])&gt;0,Tasks[[#This Row],[Baseline Finish]],Tasks[[#This Row],[_CalcFinish]]))</f>
        <v/>
      </c>
      <c r="AS195" s="47" t="str">
        <f aca="false">IF(Tasks[[#This Row],[Task Name]]="","",IF(Tasks[[#This Row],[Start]]&gt;=Tasks[[#This Row],[Planned Start]],NETWORKDAYS.INTL(Tasks[[#This Row],[Planned Start]],Tasks[[#This Row],[Start]],WorkWeek,Holidays)-1,1-NETWORKDAYS.INTL(Tasks[[#This Row],[Start]],Tasks[[#This Row],[Planned Start]],WorkWeek,Holidays)))</f>
        <v/>
      </c>
      <c r="AT195" s="63" t="str">
        <f aca="false">IF(Tasks[[#This Row],[Task Name]]="","",IF(Tasks[[#This Row],[_IsSummary]],MIN(INDEX(Tasks[_LeafLateStart],Tasks[[#This Row],[_Row]]+1):INDEX(Tasks[_LeafLateStart],Tasks[[#This Row],[_Row]]+Tasks[[#This Row],[_Descendants]])),Tasks[[#This Row],[_LeafLateStart]]))</f>
        <v/>
      </c>
      <c r="AU195" s="63" t="str">
        <f aca="false">IF(Tasks[[#This Row],[Task Name]]="","",IF(Tasks[[#This Row],[_IsSummary]],MAX(INDEX(Tasks[_LeafLateFinish],Tasks[[#This Row],[_Row]]+1):INDEX(Tasks[_LeafLateFinish],Tasks[[#This Row],[_Row]]+Tasks[[#This Row],[_Descendants]])),Tasks[[#This Row],[_LeafLateFinish]]))</f>
        <v/>
      </c>
      <c r="AV195" s="47" t="str">
        <f aca="false">IF(Tasks[[#This Row],[Task Name]]="","",IF(Tasks[[#This Row],[_IsSummary]],MIN(INDEX(Tasks[_LeafTotalSlack],Tasks[[#This Row],[_Row]]+1):INDEX(Tasks[_LeafTotalSlack],Tasks[[#This Row],[_Row]]+Tasks[[#This Row],[_Descendants]])),Tasks[[#This Row],[_LeafTotalSlack]]))</f>
        <v/>
      </c>
      <c r="AW1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5"/>
      <c r="BA19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t="str">
        <f aca="false">IF(Tasks[[#This Row],[Task Name]]="","",IF(Tasks[[#This Row],[_Level]]&lt;=OutlineShowLevel,"Yes","No"))</f>
        <v/>
      </c>
      <c r="BE195" s="86" t="str">
        <f aca="false">IF(Tasks[[#This Row],[Task Name]]="","",IF(Tasks[[#This Row],[_IsSummary]],SUM(INDEX(Tasks[_LeafTotalWork],Tasks[[#This Row],[_Row]]+1):INDEX(Tasks[_LeafTotalWork],Tasks[[#This Row],[_Row]]+Tasks[[#This Row],[_Descendants]])),Tasks[[#This Row],[_LeafTotalWork]]))</f>
        <v/>
      </c>
      <c r="BF195" s="23"/>
      <c r="BG1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t="str">
        <f aca="false">""</f>
        <v/>
      </c>
      <c r="BI195" s="87"/>
      <c r="BJ195" s="22"/>
      <c r="BK195" s="47" t="str">
        <f aca="false">IF(OR(Tasks[[#This Row],[Task Name]]="",Tasks[[#This Row],[Baseline Duration]]=""),"",Tasks[[#This Row],[_SpanDays]]-N(Tasks[[#This Row],[Baseline Duration]]))</f>
        <v/>
      </c>
      <c r="BL195" s="86" t="str">
        <f aca="false">IF(OR(Tasks[[#This Row],[Task Name]]="",Tasks[[#This Row],[Baseline Work]]=""),"",Tasks[[#This Row],[Work]]-N(Tasks[[#This Row],[Baseline Work]]))</f>
        <v/>
      </c>
      <c r="BM195" s="63" t="str">
        <f aca="false">IF(Tasks[[#This Row],[Task Name]]="","",IF(OR(TakeBaseline="Yes",N(Tasks[[#This Row],[Baseline Start]])=0),Tasks[[#This Row],[Start]],Tasks[[#This Row],[Baseline Start]]))</f>
        <v/>
      </c>
      <c r="BN195" s="63" t="str">
        <f aca="false">IF(Tasks[[#This Row],[Task Name]]="","",IF(OR(TakeBaseline="Yes",N(Tasks[[#This Row],[Baseline Finish]])=0),Tasks[[#This Row],[Finish]],Tasks[[#This Row],[Baseline Finish]]))</f>
        <v/>
      </c>
      <c r="BO195" s="21" t="str">
        <f aca="false">IF(Tasks[[#This Row],[Task Name]]="","",IF(OR(TakeBaseline="Yes",N(Tasks[[#This Row],[Baseline Duration]])=0),Tasks[[#This Row],[_SpanDays]],Tasks[[#This Row],[Baseline Duration]]))</f>
        <v/>
      </c>
      <c r="BP195" s="86" t="str">
        <f aca="false">IF(Tasks[[#This Row],[Task Name]]="","",IF(OR(TakeBaseline="Yes",N(Tasks[[#This Row],[Baseline Work]])=0),Tasks[[#This Row],[Work]],Tasks[[#This Row],[Baseline Work]]))</f>
        <v/>
      </c>
      <c r="BQ195" s="7"/>
      <c r="BR195" s="7"/>
      <c r="BS195" s="22"/>
      <c r="BT195" s="88"/>
      <c r="BU195" s="23"/>
      <c r="BV195" s="23"/>
      <c r="BW195" s="23"/>
      <c r="BX195" s="89" t="str">
        <f aca="false">IF(AND(Tasks[[#This Row],[_IsLeaf]]=1,ISNUMBER(Tasks[[#This Row],[Optimistic]]),ISNUMBER(Tasks[[#This Row],[Pessimistic]])),ROUND((Tasks[[#This Row],[Optimistic]]+4*N(Tasks[[#This Row],[_Days]])+Tasks[[#This Row],[Pessimistic]])/6,1),"")</f>
        <v/>
      </c>
      <c r="BY195" s="87"/>
      <c r="BZ195" s="87"/>
      <c r="CA195" s="22"/>
      <c r="CB195" s="43" t="str">
        <f aca="false">IF(Tasks[[#This Row],[Task Name]]="","",MAX(1,N(Tasks[[#This Row],[Level]])))</f>
        <v/>
      </c>
      <c r="CC195" s="43" t="n">
        <f aca="false">ROW()-ROW(Tasks[[#Headers],[ID]])</f>
        <v>190</v>
      </c>
      <c r="CD195" s="43" t="n">
        <f aca="false">IF(OR(Tasks[[#This Row],[Task Name]]="",Tasks[[#This Row],[_Level]]&lt;=1),0,IFERROR(LOOKUP(2,1/(Tasks[[#Headers],[_Level]]:Tasks[[#This Row],[_Level]]=Tasks[[#This Row],[_Level]]-1),ROW(Tasks[[#Headers],[_Level]]:Tasks[[#This Row],[_Level]])),0))</f>
        <v>0</v>
      </c>
      <c r="CE195" s="43" t="n">
        <f aca="false">IFERROR(N(INDEX(Tasks[_Level],Tasks[[#This Row],[_Row]]+1)),0)</f>
        <v>0</v>
      </c>
      <c r="CF195" s="90" t="b">
        <f aca="false">AND(Tasks[[#This Row],[Task Name]]&lt;&gt;"",Tasks[[#This Row],[_NextLevel]]&gt;Tasks[[#This Row],[_Level]])</f>
        <v>0</v>
      </c>
      <c r="CG195" s="43" t="n">
        <f aca="false">IF(Tasks[[#This Row],[_IsSummary]],COUNTIF(Tasks[WBS],Tasks[[#This Row],[WBS]]&amp;".*"),0)</f>
        <v>0</v>
      </c>
      <c r="CH195" s="43" t="n">
        <f aca="false">IF(AND(Tasks[[#This Row],[Task Name]]&lt;&gt;"",NOT(Tasks[[#This Row],[_IsSummary]])),1,0)</f>
        <v>0</v>
      </c>
      <c r="CI195" s="43" t="n">
        <f aca="false">IF(N(Tasks[[#This Row],[_Pred1UID]])=0,0,IFERROR(MATCH(Tasks[[#This Row],[_Pred1UID]],Tasks[UID],0),-1))</f>
        <v>0</v>
      </c>
      <c r="CJ195" s="43" t="n">
        <f aca="false">IF(N(Tasks[[#This Row],[_Pred2UID]])=0,0,IFERROR(MATCH(Tasks[[#This Row],[_Pred2UID]],Tasks[UID],0),-1))</f>
        <v>0</v>
      </c>
      <c r="CK195" s="43" t="n">
        <f aca="false">IF(N(Tasks[[#This Row],[_Pred3UID]])=0,0,IFERROR(MATCH(Tasks[[#This Row],[_Pred3UID]],Tasks[UID],0),-1))</f>
        <v>0</v>
      </c>
      <c r="CL195" s="43" t="n">
        <f aca="false">IF(N(Tasks[[#This Row],[_Pred4UID]])=0,0,IFERROR(MATCH(Tasks[[#This Row],[_Pred4UID]],Tasks[UID],0),-1))</f>
        <v>0</v>
      </c>
      <c r="CM1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5" s="91" t="n">
        <f aca="false">IF(OR(Tasks[[#This Row],[_ConstraintCode]]=2,Tasks[[#This Row],[_ConstraintCode]]=3,Tasks[[#This Row],[_ConstraintCode]]=4,Tasks[[#This Row],[_ConstraintCode]]=6),Tasks[[#This Row],[_ConstraintStart]],0)</f>
        <v>0</v>
      </c>
      <c r="CP195" s="91" t="n">
        <f aca="false">IF(OR(Tasks[[#This Row],[_ConstraintCode]]=2,Tasks[[#This Row],[_ConstraintCode]]=3,Tasks[[#This Row],[_ConstraintCode]]=5,Tasks[[#This Row],[_ConstraintCode]]=7),Tasks[[#This Row],[_ConstraintStart]],2958465)</f>
        <v>2958465</v>
      </c>
      <c r="CQ1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5" s="91" t="str">
        <f aca="false">IF(NOT(Tasks[[#This Row],[_IsLeaf]]=1),"",IF(N(Tasks[[#This Row],[_Days]])&lt;=0,Tasks[[#This Row],[_LeafCalcStart]],WORKDAY.INTL(Tasks[[#This Row],[_LeafCalcStart]],Tasks[[#This Row],[_Days]]-1,WorkWeek,Holidays)))</f>
        <v/>
      </c>
      <c r="CS1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5" s="43" t="str">
        <f aca="false">IF(Tasks[[#This Row],[_Predecessors]]="","",TRIM(MID(SUBSTITUTE(SUBSTITUTE(SUBSTITUTE(UPPER(Tasks[[#This Row],[_Predecessors]]),";",",")," ",""),",",REPT(" ",99)),1,99)))</f>
        <v/>
      </c>
      <c r="CV195" s="43" t="str">
        <f aca="false">IF(Tasks[[#This Row],[_Pred1Text]]="","",IFERROR(VALUE(LEFT(Tasks[[#This Row],[_Pred1Text]],MIN(FIND("F",Tasks[[#This Row],[_Pred1Text]]&amp;"F"),FIND("S",Tasks[[#This Row],[_Pred1Text]]&amp;"S"),FIND("+",Tasks[[#This Row],[_Pred1Text]]&amp;"+"),FIND("-",Tasks[[#This Row],[_Pred1Text]]&amp;"-"))-1)),""))</f>
        <v/>
      </c>
      <c r="CW1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5" s="43" t="str">
        <f aca="false">IF(Tasks[[#This Row],[_Pred1Text]]="","",TRIM(MID(SUBSTITUTE(SUBSTITUTE(SUBSTITUTE(UPPER(Tasks[[#This Row],[_Predecessors]]),";",",")," ",""),",",REPT(" ",99)),100,99)))</f>
        <v/>
      </c>
      <c r="CZ195" s="43" t="str">
        <f aca="false">IF(Tasks[[#This Row],[_Pred2Text]]="","",IFERROR(VALUE(LEFT(Tasks[[#This Row],[_Pred2Text]],MIN(FIND("F",Tasks[[#This Row],[_Pred2Text]]&amp;"F"),FIND("S",Tasks[[#This Row],[_Pred2Text]]&amp;"S"),FIND("+",Tasks[[#This Row],[_Pred2Text]]&amp;"+"),FIND("-",Tasks[[#This Row],[_Pred2Text]]&amp;"-"))-1)),""))</f>
        <v/>
      </c>
      <c r="DA1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5" s="43" t="str">
        <f aca="false">IF(Tasks[[#This Row],[_Pred2Text]]="","",TRIM(MID(SUBSTITUTE(SUBSTITUTE(SUBSTITUTE(UPPER(Tasks[[#This Row],[_Predecessors]]),";",",")," ",""),",",REPT(" ",99)),199,99)))</f>
        <v/>
      </c>
      <c r="DD195" s="43" t="str">
        <f aca="false">IF(Tasks[[#This Row],[_Pred3Text]]="","",IFERROR(VALUE(LEFT(Tasks[[#This Row],[_Pred3Text]],MIN(FIND("F",Tasks[[#This Row],[_Pred3Text]]&amp;"F"),FIND("S",Tasks[[#This Row],[_Pred3Text]]&amp;"S"),FIND("+",Tasks[[#This Row],[_Pred3Text]]&amp;"+"),FIND("-",Tasks[[#This Row],[_Pred3Text]]&amp;"-"))-1)),""))</f>
        <v/>
      </c>
      <c r="DE1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5" s="43" t="str">
        <f aca="false">IF(Tasks[[#This Row],[_Pred3Text]]="","",TRIM(MID(SUBSTITUTE(SUBSTITUTE(SUBSTITUTE(UPPER(Tasks[[#This Row],[_Predecessors]]),";",",")," ",""),",",REPT(" ",99)),298,99)))</f>
        <v/>
      </c>
      <c r="DH195" s="43" t="str">
        <f aca="false">IF(Tasks[[#This Row],[_Pred4Text]]="","",IFERROR(VALUE(LEFT(Tasks[[#This Row],[_Pred4Text]],MIN(FIND("F",Tasks[[#This Row],[_Pred4Text]]&amp;"F"),FIND("S",Tasks[[#This Row],[_Pred4Text]]&amp;"S"),FIND("+",Tasks[[#This Row],[_Pred4Text]]&amp;"+"),FIND("-",Tasks[[#This Row],[_Pred4Text]]&amp;"-"))-1)),""))</f>
        <v/>
      </c>
      <c r="DI1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5" s="43" t="str">
        <f aca="false">IF(OR(Tasks[[#This Row],[Task Name]]="",Tasks[[#This Row],[_Resources]]=""),"",TRIM(MID(SUBSTITUTE(Tasks[[#This Row],[_Resources]],",",REPT(" ",99)),1,99)))</f>
        <v/>
      </c>
      <c r="DL195" s="43" t="str">
        <f aca="false">IF(Tasks[[#This Row],[_Res1Text]]="","",TRIM(MID(SUBSTITUTE(Tasks[[#This Row],[_Resources]],",",REPT(" ",99)),100,99)))</f>
        <v/>
      </c>
      <c r="DM195" s="43" t="str">
        <f aca="false">IF(Tasks[[#This Row],[_Res2Text]]="","",TRIM(MID(SUBSTITUTE(Tasks[[#This Row],[_Resources]],",",REPT(" ",99)),199,99)))</f>
        <v/>
      </c>
      <c r="DN195" s="43" t="str">
        <f aca="false">IF(Tasks[[#This Row],[_Res3Text]]="","",TRIM(MID(SUBSTITUTE(Tasks[[#This Row],[_Resources]],",",REPT(" ",99)),298,99)))</f>
        <v/>
      </c>
      <c r="DO195" s="43" t="n">
        <f aca="false">IF(Tasks[[#This Row],[_Res1Text]]="",0,IFERROR(MATCH(TRIM(LEFT(Tasks[[#This Row],[_Res1Text]],FIND("[",Tasks[[#This Row],[_Res1Text]]&amp;"[")-1)),res_Name,0),IFERROR(MATCH(TRIM(LEFT(Tasks[[#This Row],[_Res1Text]],FIND("[",Tasks[[#This Row],[_Res1Text]]&amp;"[")-1)),res_Initials,0),0)))</f>
        <v>0</v>
      </c>
      <c r="DP195" s="43" t="n">
        <f aca="false">IF(Tasks[[#This Row],[_Res2Text]]="",0,IFERROR(MATCH(TRIM(LEFT(Tasks[[#This Row],[_Res2Text]],FIND("[",Tasks[[#This Row],[_Res2Text]]&amp;"[")-1)),res_Name,0),IFERROR(MATCH(TRIM(LEFT(Tasks[[#This Row],[_Res2Text]],FIND("[",Tasks[[#This Row],[_Res2Text]]&amp;"[")-1)),res_Initials,0),0)))</f>
        <v>0</v>
      </c>
      <c r="DQ195" s="43" t="n">
        <f aca="false">IF(Tasks[[#This Row],[_Res3Text]]="",0,IFERROR(MATCH(TRIM(LEFT(Tasks[[#This Row],[_Res3Text]],FIND("[",Tasks[[#This Row],[_Res3Text]]&amp;"[")-1)),res_Name,0),IFERROR(MATCH(TRIM(LEFT(Tasks[[#This Row],[_Res3Text]],FIND("[",Tasks[[#This Row],[_Res3Text]]&amp;"[")-1)),res_Initials,0),0)))</f>
        <v>0</v>
      </c>
      <c r="DR195" s="43" t="n">
        <f aca="false">IF(Tasks[[#This Row],[_Res4Text]]="",0,IFERROR(MATCH(TRIM(LEFT(Tasks[[#This Row],[_Res4Text]],FIND("[",Tasks[[#This Row],[_Res4Text]]&amp;"[")-1)),res_Name,0),IFERROR(MATCH(TRIM(LEFT(Tasks[[#This Row],[_Res4Text]],FIND("[",Tasks[[#This Row],[_Res4Text]]&amp;"[")-1)),res_Initials,0),0)))</f>
        <v>0</v>
      </c>
      <c r="DS195" s="43" t="str">
        <f aca="false">IF(Tasks[[#This Row],[_Res1Text]]="","",IF(Tasks[[#This Row],[_Res1Row]]&gt;0,INDEX(res_Name,Tasks[[#This Row],[_Res1Row]]),TRIM(LEFT(Tasks[[#This Row],[_Res1Text]],FIND("[",Tasks[[#This Row],[_Res1Text]]&amp;"[")-1))))</f>
        <v/>
      </c>
      <c r="DT1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5" s="43" t="n">
        <f aca="false">IF(NOT(Tasks[[#This Row],[_IsLeaf]]=1),0,(Tasks[[#This Row],[_Resource1]]&lt;&gt;"")+(Tasks[[#This Row],[_Res2]]&lt;&gt;"")+(Tasks[[#This Row],[_Res3]]&lt;&gt;"")+(Tasks[[#This Row],[_Res4]]&lt;&gt;""))</f>
        <v>0</v>
      </c>
      <c r="DV195" s="43" t="str">
        <f aca="false">IF(Tasks[[#This Row],[_Res2Text]]="","",IF(Tasks[[#This Row],[_Res2Row]]&gt;0,INDEX(res_Name,Tasks[[#This Row],[_Res2Row]]),TRIM(LEFT(Tasks[[#This Row],[_Res2Text]],FIND("[",Tasks[[#This Row],[_Res2Text]]&amp;"[")-1))))</f>
        <v/>
      </c>
      <c r="DW1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5" s="43" t="n">
        <f aca="false">IF(OR(NOT(Tasks[[#This Row],[_IsLeaf]]=1),Tasks[[#This Row],[_Res2Row]]=0),0,N(Tasks[[#This Row],[_Days]])*HoursPerDay*IF(Tasks[[#This Row],[_Res2Units]]="",DefaultUnits,Tasks[[#This Row],[_Res2Units]]))</f>
        <v>0</v>
      </c>
      <c r="DY195" s="43" t="n">
        <f aca="false">IF(AND(AND(Tasks[[#This Row],[_IsLeaf]]=1,Tasks[[#This Row],[_LeafTotalWork]]&gt;0),Tasks[[#This Row],[_Res2Work]]&gt;0),Tasks[[#This Row],[_Res2Work]]/(Tasks[[#This Row],[_FinishWorkday]]-Tasks[[#This Row],[_StartWorkday]]+1),0)</f>
        <v>0</v>
      </c>
      <c r="DZ195" s="43" t="n">
        <f aca="false">Tasks[[#This Row],[_Res2WorkPerWD]]*MAX(0,Tasks[[#This Row],[_StartWorkday]]-1)</f>
        <v>0</v>
      </c>
      <c r="EA195" s="43" t="n">
        <f aca="false">Tasks[[#This Row],[_Res2Work]]*Tasks[[#This Row],[_LeafProgress]]</f>
        <v>0</v>
      </c>
      <c r="EB195" s="43" t="str">
        <f aca="false">IF(Tasks[[#This Row],[_Res3Text]]="","",IF(Tasks[[#This Row],[_Res3Row]]&gt;0,INDEX(res_Name,Tasks[[#This Row],[_Res3Row]]),TRIM(LEFT(Tasks[[#This Row],[_Res3Text]],FIND("[",Tasks[[#This Row],[_Res3Text]]&amp;"[")-1))))</f>
        <v/>
      </c>
      <c r="EC1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5" s="43" t="n">
        <f aca="false">IF(OR(NOT(Tasks[[#This Row],[_IsLeaf]]=1),Tasks[[#This Row],[_Res3Row]]=0),0,N(Tasks[[#This Row],[_Days]])*HoursPerDay*IF(Tasks[[#This Row],[_Res3Units]]="",DefaultUnits,Tasks[[#This Row],[_Res3Units]]))</f>
        <v>0</v>
      </c>
      <c r="EE195" s="43" t="n">
        <f aca="false">IF(AND(AND(Tasks[[#This Row],[_IsLeaf]]=1,Tasks[[#This Row],[_LeafTotalWork]]&gt;0),Tasks[[#This Row],[_Res3Work]]&gt;0),Tasks[[#This Row],[_Res3Work]]/(Tasks[[#This Row],[_FinishWorkday]]-Tasks[[#This Row],[_StartWorkday]]+1),0)</f>
        <v>0</v>
      </c>
      <c r="EF195" s="43" t="n">
        <f aca="false">Tasks[[#This Row],[_Res3WorkPerWD]]*MAX(0,Tasks[[#This Row],[_StartWorkday]]-1)</f>
        <v>0</v>
      </c>
      <c r="EG195" s="43" t="n">
        <f aca="false">Tasks[[#This Row],[_Res3Work]]*Tasks[[#This Row],[_LeafProgress]]</f>
        <v>0</v>
      </c>
      <c r="EH195" s="43" t="str">
        <f aca="false">IF(Tasks[[#This Row],[_Res4Text]]="","",IF(Tasks[[#This Row],[_Res4Row]]&gt;0,INDEX(res_Name,Tasks[[#This Row],[_Res4Row]]),TRIM(LEFT(Tasks[[#This Row],[_Res4Text]],FIND("[",Tasks[[#This Row],[_Res4Text]]&amp;"[")-1))))</f>
        <v/>
      </c>
      <c r="EI1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5" s="43" t="n">
        <f aca="false">IF(OR(NOT(Tasks[[#This Row],[_IsLeaf]]=1),Tasks[[#This Row],[_Res4Row]]=0),0,N(Tasks[[#This Row],[_Days]])*HoursPerDay*IF(Tasks[[#This Row],[_Res4Units]]="",DefaultUnits,Tasks[[#This Row],[_Res4Units]]))</f>
        <v>0</v>
      </c>
      <c r="EK195" s="43" t="n">
        <f aca="false">IF(AND(AND(Tasks[[#This Row],[_IsLeaf]]=1,Tasks[[#This Row],[_LeafTotalWork]]&gt;0),Tasks[[#This Row],[_Res4Work]]&gt;0),Tasks[[#This Row],[_Res4Work]]/(Tasks[[#This Row],[_FinishWorkday]]-Tasks[[#This Row],[_StartWorkday]]+1),0)</f>
        <v>0</v>
      </c>
      <c r="EL195" s="43" t="n">
        <f aca="false">Tasks[[#This Row],[_Res4WorkPerWD]]*MAX(0,Tasks[[#This Row],[_StartWorkday]]-1)</f>
        <v>0</v>
      </c>
      <c r="EM195" s="43" t="n">
        <f aca="false">Tasks[[#This Row],[_Res4Work]]*Tasks[[#This Row],[_LeafProgress]]</f>
        <v>0</v>
      </c>
      <c r="EN195" s="43" t="n">
        <f aca="false">IF(ISNUMBER(Tasks[[#This Row],[% Complete]]),Tasks[[#This Row],[% Complete]],IF(Tasks[[#This Row],[Stage]]="",0,IFERROR(INDEX(stg_Pct,MATCH(Tasks[[#This Row],[Stage]],stg_Name,0)),0)))</f>
        <v>0</v>
      </c>
      <c r="EO195" s="43" t="n">
        <f aca="false">IF(NOT(Tasks[[#This Row],[_IsLeaf]]=1),0,IF(N(Tasks[[#This Row],[Actual Finish]])&gt;0,1,MIN(1,Tasks[[#This Row],[_Pct]])))</f>
        <v>0</v>
      </c>
      <c r="EP195" s="43" t="n">
        <f aca="false">IF(OR(NOT(Tasks[[#This Row],[_IsLeaf]]=1),Tasks[[#This Row],[_Res1Row]]=0),0,N(Tasks[[#This Row],[_Days]])*HoursPerDay*IF(Tasks[[#This Row],[_Units1]]="",DefaultUnits,Tasks[[#This Row],[_Units1]]))</f>
        <v>0</v>
      </c>
      <c r="EQ195" s="43" t="n">
        <f aca="false">Tasks[[#This Row],[_LeafWork]]+Tasks[[#This Row],[_Res2Work]]+Tasks[[#This Row],[_Res3Work]]+Tasks[[#This Row],[_Res4Work]]</f>
        <v>0</v>
      </c>
      <c r="ER19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5" s="43" t="n">
        <f aca="false">IF(NOT(Tasks[[#This Row],[_IsLeaf]]=1),0,MAX(_xlfn.MAXIFS(Tasks[_Row],Tasks[_Pred1UID],Tasks[[#This Row],[UID]]),_xlfn.MAXIFS(Tasks[_Row],Tasks[_Pred2UID],Tasks[[#This Row],[UID]]),_xlfn.MAXIFS(Tasks[_Row],Tasks[_Pred3UID],Tasks[[#This Row],[UID]]),_xlfn.MAXIFS(Tasks[_Row],Tasks[_Pred4UID],Tasks[[#This Row],[UID]])))</f>
        <v>0</v>
      </c>
      <c r="FA1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5" s="91" t="str">
        <f aca="false">IF(NOT(Tasks[[#This Row],[_IsLeaf]]=1),"",IF(N(Tasks[[#This Row],[_Days]])&lt;=0,Tasks[[#This Row],[_LeafLateFinish]],WORKDAY.INTL(Tasks[[#This Row],[_LeafLateFinish]],-(Tasks[[#This Row],[_Days]]-1),WorkWeek,Holidays)))</f>
        <v/>
      </c>
      <c r="FD1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5" s="90" t="b">
        <f aca="false">AND(Tasks[[#This Row],[_IsLeaf]]=1,Tasks[[#This Row],[_LeafProgress]]&lt;1,N(Tasks[[#This Row],[_LeafTotalSlack]])&lt;=CriticalSlackDays)</f>
        <v>0</v>
      </c>
      <c r="FF195" s="43" t="n">
        <f aca="false">IF(AND(Tasks[[#This Row],[_IsLeaf]]=1,Tasks[[#This Row],[_ConstraintCode]]=1,Tasks[[#This Row],[Mode]]&lt;&gt;"Manual",N(Tasks[[#This Row],[Actual Start]])=0),MAX(0,N(Tasks[[#This Row],[Free Slack]])),0)</f>
        <v>0</v>
      </c>
      <c r="FG195" s="91" t="str">
        <f aca="false">IF(NOT(Tasks[[#This Row],[_IsLeaf]]=1),"",IF(Tasks[[#This Row],[_AlapShift]]=0,Tasks[[#This Row],[_LeafCalcStart]],WORKDAY.INTL(Tasks[[#This Row],[_LeafCalcStart]],Tasks[[#This Row],[_AlapShift]],WorkWeek,Holidays)))</f>
        <v/>
      </c>
      <c r="FH195" s="91" t="str">
        <f aca="false">IF(NOT(Tasks[[#This Row],[_IsLeaf]]=1),"",IF(Tasks[[#This Row],[_AlapShift]]=0,Tasks[[#This Row],[_LeafCalcFinish]],WORKDAY.INTL(Tasks[[#This Row],[_LeafCalcFinish]],Tasks[[#This Row],[_AlapShift]],WorkWeek,Holidays)))</f>
        <v/>
      </c>
      <c r="FI195" s="91" t="str">
        <f aca="false">IF(NOT(Tasks[[#This Row],[_IsLeaf]]=1),"",IF(Tasks[[#This Row],[_AlapShift]]=0,Tasks[[#This Row],[_LeafFcstStart]],WORKDAY.INTL(Tasks[[#This Row],[_LeafFcstStart]],Tasks[[#This Row],[_AlapShift]],WorkWeek,Holidays)))</f>
        <v/>
      </c>
      <c r="FJ195" s="91" t="str">
        <f aca="false">IF(NOT(Tasks[[#This Row],[_IsLeaf]]=1),"",IF(Tasks[[#This Row],[_AlapShift]]=0,Tasks[[#This Row],[_LeafFcstFinish]],WORKDAY.INTL(Tasks[[#This Row],[_LeafFcstFinish]],Tasks[[#This Row],[_AlapShift]],WorkWeek,Holidays)))</f>
        <v/>
      </c>
      <c r="FK195" s="91" t="str">
        <f aca="false">IF(Tasks[[#This Row],[Task Name]]="","",IF(Tasks[[#This Row],[_IsSummary]],MIN(INDEX(Tasks[_ShownCalcStart],Tasks[[#This Row],[_Row]]+1):INDEX(Tasks[_ShownCalcStart],Tasks[[#This Row],[_Row]]+Tasks[[#This Row],[_Descendants]])),Tasks[[#This Row],[_ShownCalcStart]]))</f>
        <v/>
      </c>
      <c r="FL195" s="91" t="str">
        <f aca="false">IF(Tasks[[#This Row],[Task Name]]="","",IF(Tasks[[#This Row],[_IsSummary]],MAX(INDEX(Tasks[_ShownCalcFinish],Tasks[[#This Row],[_Row]]+1):INDEX(Tasks[_ShownCalcFinish],Tasks[[#This Row],[_Row]]+Tasks[[#This Row],[_Descendants]])),Tasks[[#This Row],[_ShownCalcFinish]]))</f>
        <v/>
      </c>
      <c r="FM1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5" s="43" t="n">
        <f aca="false">IF(AND(Tasks[[#This Row],[_IsLeaf]]=1,Tasks[[#This Row],[_LeafTotalWork]]&gt;0),NETWORKDAYS.INTL(ProjectStart,Tasks[[#This Row],[_ShownFcstStart]],WorkWeek,Holidays),0)</f>
        <v>0</v>
      </c>
      <c r="FZ195" s="43" t="n">
        <f aca="false">IF(AND(Tasks[[#This Row],[_IsLeaf]]=1,Tasks[[#This Row],[_LeafTotalWork]]&gt;0),MAX(Tasks[[#This Row],[_StartWorkday]],NETWORKDAYS.INTL(ProjectStart,Tasks[[#This Row],[_ShownFcstFinish]],WorkWeek,Holidays)),0)</f>
        <v>0</v>
      </c>
      <c r="GA195" s="43" t="n">
        <f aca="false">IF(AND(Tasks[[#This Row],[_IsLeaf]]=1,Tasks[[#This Row],[_LeafTotalWork]]&gt;0),Tasks[[#This Row],[_LeafWork]]/(Tasks[[#This Row],[_FinishWorkday]]-Tasks[[#This Row],[_StartWorkday]]+1),0)</f>
        <v>0</v>
      </c>
      <c r="GB195" s="43" t="n">
        <f aca="false">Tasks[[#This Row],[_WorkPerWorkday]]*(Tasks[[#This Row],[_StartWorkday]]-1)</f>
        <v>-0</v>
      </c>
      <c r="GC195" s="43" t="n">
        <f aca="false">IF(Tasks[[#This Row],[_IsLeaf]]=1,MAX(N(Tasks[[#This Row],[_Days]]),0.1),0)</f>
        <v>0</v>
      </c>
      <c r="GD195" s="43" t="n">
        <f aca="false">Tasks[[#This Row],[_WeightDur]]*Tasks[[#This Row],[_LeafProgress]]</f>
        <v>0</v>
      </c>
      <c r="GE195" s="43" t="n">
        <f aca="false">Tasks[[#This Row],[_WeightDur]]*Tasks[[#This Row],[_PlannedPct]]</f>
        <v>0</v>
      </c>
      <c r="GF1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5" s="43" t="str">
        <f aca="false">IF(AND(Tasks[[#This Row],[_IsLeaf]]=1,N(Tasks[[#This Row],[_Days]])=0,Tasks[[#This Row],[_LeafProgress]]&lt;1),Tasks[[#This Row],[_ShownFcstFinish]]+Tasks[[#This Row],[_Row]]/100000,"")</f>
        <v/>
      </c>
      <c r="GH1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5" s="43" t="str">
        <f aca="false">IF(Tasks[[#This Row],[Task Name]]="","",LEFT(Tasks[[#This Row],[WBS]],FIND(".",Tasks[[#This Row],[WBS]]&amp;".")-1))</f>
        <v/>
      </c>
      <c r="GJ195" s="43" t="str">
        <f aca="false">IF(AND(Tasks[[#This Row],[Task Name]]&lt;&gt;"",Tasks[[#This Row],[_Level]]=1),Tasks[[#This Row],[_Row]],"")</f>
        <v/>
      </c>
      <c r="GK195" s="43" t="str">
        <f aca="false">IF(AND(Tasks[[#This Row],[_IsLeaf]]=1,N(Tasks[[#This Row],[_Days]])=0),Tasks[[#This Row],[Planned Finish]]+Tasks[[#This Row],[_Row]]/100000,"")</f>
        <v/>
      </c>
      <c r="GL195" s="43" t="str">
        <f aca="false">IF(AND(Tasks[[#This Row],[_IsLeaf]]=1,Tasks[[#This Row],[_LeafProgress]]&lt;1,OR(N(Tasks[[#This Row],[Finish Var]])&gt;0,Tasks[[#This Row],[Status]]="Late Start")),MAX(0,Tasks[[#This Row],[Finish Var]])+1-Tasks[[#This Row],[_Row]]/1000000,"")</f>
        <v/>
      </c>
      <c r="GM195" s="43" t="str">
        <f aca="false">IF(AND(Tasks[[#This Row],[_IsLeaf]]=1,N(Tasks[[#This Row],[Actual Start]])=0,Tasks[[#This Row],[_ShownFcstStart]]&gt;=StatusDate,Tasks[[#This Row],[_ShownFcstStart]]&lt;=LookaheadEnd),Tasks[[#This Row],[_ShownFcstStart]]+Tasks[[#This Row],[_Row]]/100000,"")</f>
        <v/>
      </c>
      <c r="GN195" s="43" t="str">
        <f aca="false">IF(AND(Tasks[[#This Row],[_IsLeaf]]=1,Tasks[[#This Row],[_LeafProgress]]&lt;1,Tasks[[#This Row],[_ShownFcstFinish]]&gt;=StatusDate,Tasks[[#This Row],[_ShownFcstFinish]]&lt;=LookaheadEnd),Tasks[[#This Row],[_ShownFcstFinish]]+Tasks[[#This Row],[_Row]]/100000,"")</f>
        <v/>
      </c>
      <c r="GO195" s="43" t="str">
        <f aca="false">IF(Tasks[[#This Row],[_LeafCritical]],Tasks[[#This Row],[_ShownFcstStart]]+Tasks[[#This Row],[_Row]]/100000,"")</f>
        <v/>
      </c>
      <c r="GP195" s="43" t="n">
        <f aca="false">Tasks[[#This Row],[_LeafWork]]*Tasks[[#This Row],[_LeafProgress]]</f>
        <v>0</v>
      </c>
      <c r="GQ195" s="91" t="str">
        <f aca="false">IF(AND(Tasks[[#This Row],[_IsLeaf]]=1,Tasks[[#This Row],[_LeafProgress]]&gt;=1),IF(N(Tasks[[#This Row],[Actual Finish]])&gt;0,Tasks[[#This Row],[Actual Finish]],Tasks[[#This Row],[_ShownFcstFinish]]),"")</f>
        <v/>
      </c>
      <c r="GR195" s="43" t="n">
        <f aca="false">IF(Tasks[[#This Row],[_IsLeaf]]=1,N(Tasks[[#This Row],[Story Points]]),0)</f>
        <v>0</v>
      </c>
      <c r="GS195" s="43" t="str">
        <f aca="false">""</f>
        <v/>
      </c>
      <c r="GT195" s="90" t="b">
        <f aca="false">IF(Tasks[[#This Row],[Task Name]]="",FALSE(),AND(Tasks[[#This Row],[_IsLeaf]]=1,N(Tasks[[#This Row],[_Days]])=0))</f>
        <v>0</v>
      </c>
      <c r="GU195" s="91" t="n">
        <f aca="false">IF(Tasks[[#This Row],[Task Name]]="",0,IF(AND(Tasks[[#This Row],[_IsLeaf]]=1,NOT(Tasks[[#This Row],[_IsMilestone]]),N(Tasks[[#This Row],[Progress]])&gt;0),Tasks[[#This Row],[Start]],0))</f>
        <v>0</v>
      </c>
      <c r="GV195" s="91" t="n">
        <f aca="false">IF(Tasks[[#This Row],[_DoneFrom]]=0,0,IF(Tasks[[#This Row],[Progress]]&gt;=1,Tasks[[#This Row],[Finish]],MAX(Tasks[[#This Row],[_DoneFrom]],Tasks[[#This Row],[Start]]+ROUND((Tasks[[#This Row],[Finish]]-Tasks[[#This Row],[Start]]+1)*Tasks[[#This Row],[Progress]],0)-1)))</f>
        <v>0</v>
      </c>
      <c r="GW195" s="91" t="n">
        <f aca="false">IF(Tasks[[#This Row],[Task Name]]="",0,IF(OR(NOT(Tasks[[#This Row],[_IsLeaf]]=1),Tasks[[#This Row],[_IsMilestone]],N(Tasks[[#This Row],[Progress]])&gt;=1),0,IF(Tasks[[#This Row],[_DoneTo]]&gt;0,Tasks[[#This Row],[_DoneTo]]+1,Tasks[[#This Row],[Start]])))</f>
        <v>0</v>
      </c>
      <c r="GX195" s="91" t="n">
        <f aca="false">IF(Tasks[[#This Row],[_RemFrom]]=0,0,Tasks[[#This Row],[Finish]])</f>
        <v>0</v>
      </c>
      <c r="GY195" s="90" t="b">
        <f aca="false">IF(Tasks[[#This Row],[Task Name]]="",FALSE(),OR(NOT(BaselineSet),N(Tasks[[#This Row],[Baseline Start]])&gt;0))</f>
        <v>0</v>
      </c>
      <c r="GZ19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5" s="92" t="str">
        <f aca="false">IF(Tasks[[#This Row],[_IsLeaf]]=1,Tasks[[#This Row],[_Row]],"")</f>
        <v/>
      </c>
      <c r="HD195" s="92" t="str">
        <f aca="false">IFERROR(INDEX(Tasks[UID],SMALL(Tasks[_PickKey],Tasks[[#This Row],[_Row]]))&amp;" "&amp;INDEX(Tasks[Task Name],SMALL(Tasks[_PickKey],Tasks[[#This Row],[_Row]])),"")</f>
        <v/>
      </c>
      <c r="HE195" s="43" t="str">
        <f aca="false">IF(Tasks[[#This Row],[Task Name]]="","",IF(Tasks[[#This Row],[_IsSummary]],NETWORKDAYS.INTL(Tasks[[#This Row],[Start]],Tasks[[#This Row],[Finish]],WorkWeek,Holidays),N(Tasks[[#This Row],[_Days]])))</f>
        <v/>
      </c>
      <c r="HF195" s="43" t="n">
        <f aca="false">IF(Tasks[[#This Row],[Expected]]="",0,((Tasks[[#This Row],[Pessimistic]]-Tasks[[#This Row],[Optimistic]])/6)^2)</f>
        <v>0</v>
      </c>
      <c r="HG195" s="43" t="n">
        <f aca="false">IF(Tasks[[#This Row],[Expected]]="",0,Tasks[[#This Row],[Expected]]-N(Tasks[[#This Row],[_Days]]))</f>
        <v>0</v>
      </c>
    </row>
    <row r="196" customFormat="false" ht="15" hidden="false" customHeight="false" outlineLevel="0" collapsed="false">
      <c r="A196" s="21" t="str">
        <f aca="false">IF(Tasks[[#This Row],[Task Name]]="","",COUNTA(Tasks[[#Headers],[Task Name]]:Tasks[[#This Row],[Task Name]])-1)</f>
        <v/>
      </c>
      <c r="B196" s="22" t="n">
        <v>204</v>
      </c>
      <c r="C196" s="22"/>
      <c r="D196" s="23"/>
      <c r="E196" s="22"/>
      <c r="F196" s="23"/>
      <c r="G196" s="22"/>
      <c r="H196" s="22"/>
      <c r="I196" s="23"/>
      <c r="J196" s="22"/>
      <c r="K196" s="22"/>
      <c r="L196" s="23"/>
      <c r="M196" s="22"/>
      <c r="N196" s="22"/>
      <c r="O196" s="23"/>
      <c r="P196" s="22"/>
      <c r="Q196" s="22"/>
      <c r="R196" s="23"/>
      <c r="S196" s="23"/>
      <c r="T196" s="84"/>
      <c r="U196" s="23"/>
      <c r="V196" s="84"/>
      <c r="W196" s="23"/>
      <c r="X196" s="84"/>
      <c r="Y196" s="23"/>
      <c r="Z196" s="84"/>
      <c r="AA196" s="23"/>
      <c r="AB196" s="23"/>
      <c r="AC196" s="7"/>
      <c r="AD196" s="7"/>
      <c r="AE196" s="63" t="str">
        <f aca="false">IF(Tasks[[#This Row],[Task Name]]="","",IF(Tasks[[#This Row],[_IsSummary]],MIN(INDEX(Tasks[_ShownFcstStart],Tasks[[#This Row],[_Row]]+1):INDEX(Tasks[_ShownFcstStart],Tasks[[#This Row],[_Row]]+Tasks[[#This Row],[_Descendants]])),Tasks[[#This Row],[_ShownFcstStart]]))</f>
        <v/>
      </c>
      <c r="AF196" s="63" t="str">
        <f aca="false">IF(Tasks[[#This Row],[Task Name]]="","",IF(Tasks[[#This Row],[_IsSummary]],MAX(INDEX(Tasks[_ShownFcstFinish],Tasks[[#This Row],[_Row]]+1):INDEX(Tasks[_ShownFcstFinish],Tasks[[#This Row],[_Row]]+Tasks[[#This Row],[_Descendants]])),Tasks[[#This Row],[_ShownFcstFinish]]))</f>
        <v/>
      </c>
      <c r="AG196" s="21" t="str">
        <f aca="false">""</f>
        <v/>
      </c>
      <c r="AH196" s="23"/>
      <c r="AI1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6" s="7"/>
      <c r="AK196" s="22"/>
      <c r="AL196" s="23"/>
      <c r="AM196" s="7"/>
      <c r="AN196" s="47" t="str">
        <f aca="false">IF(Tasks[[#This Row],[Task Name]]="","",IF(Tasks[[#This Row],[Finish]]&gt;=Tasks[[#This Row],[Planned Finish]],NETWORKDAYS.INTL(Tasks[[#This Row],[Planned Finish]],Tasks[[#This Row],[Finish]],WorkWeek,Holidays)-1,1-NETWORKDAYS.INTL(Tasks[[#This Row],[Finish]],Tasks[[#This Row],[Planned Finish]],WorkWeek,Holidays)))</f>
        <v/>
      </c>
      <c r="AO196" s="21" t="str">
        <f aca="false">IF(Tasks[[#This Row],[Task Name]]="","",IF(Tasks[[#This Row],[Progress]]&gt;=1,"Complete",IF(OR(N(Tasks[[#This Row],[Actual Start]])&gt;0,Tasks[[#This Row],[Progress]]&gt;0),IF(Tasks[[#This Row],[Finish Var]]&gt;0,"Behind","In Progress"),IF(Tasks[[#This Row],[Planned Start]]&lt;StatusDate,"Late Start","Not Started"))))</f>
        <v/>
      </c>
      <c r="AP196" s="21" t="str">
        <f aca="false">IF(Tasks[[#This Row],[Task Name]]="","",IF(IF(Tasks[[#This Row],[_IsSummary]],COUNTIF(INDEX(Tasks[_LeafCritical],Tasks[[#This Row],[_Row]]+1):INDEX(Tasks[_LeafCritical],Tasks[[#This Row],[_Row]]+Tasks[[#This Row],[_Descendants]]),TRUE())&gt;0,Tasks[[#This Row],[_LeafCritical]]),"Yes",""))</f>
        <v/>
      </c>
      <c r="AQ196" s="63" t="str">
        <f aca="false">IF(Tasks[[#This Row],[Task Name]]="","",IF(N(Tasks[[#This Row],[Baseline Start]])&gt;0,Tasks[[#This Row],[Baseline Start]],Tasks[[#This Row],[_CalcStart]]))</f>
        <v/>
      </c>
      <c r="AR196" s="63" t="str">
        <f aca="false">IF(Tasks[[#This Row],[Task Name]]="","",IF(N(Tasks[[#This Row],[Baseline Finish]])&gt;0,Tasks[[#This Row],[Baseline Finish]],Tasks[[#This Row],[_CalcFinish]]))</f>
        <v/>
      </c>
      <c r="AS196" s="47" t="str">
        <f aca="false">IF(Tasks[[#This Row],[Task Name]]="","",IF(Tasks[[#This Row],[Start]]&gt;=Tasks[[#This Row],[Planned Start]],NETWORKDAYS.INTL(Tasks[[#This Row],[Planned Start]],Tasks[[#This Row],[Start]],WorkWeek,Holidays)-1,1-NETWORKDAYS.INTL(Tasks[[#This Row],[Start]],Tasks[[#This Row],[Planned Start]],WorkWeek,Holidays)))</f>
        <v/>
      </c>
      <c r="AT196" s="63" t="str">
        <f aca="false">IF(Tasks[[#This Row],[Task Name]]="","",IF(Tasks[[#This Row],[_IsSummary]],MIN(INDEX(Tasks[_LeafLateStart],Tasks[[#This Row],[_Row]]+1):INDEX(Tasks[_LeafLateStart],Tasks[[#This Row],[_Row]]+Tasks[[#This Row],[_Descendants]])),Tasks[[#This Row],[_LeafLateStart]]))</f>
        <v/>
      </c>
      <c r="AU196" s="63" t="str">
        <f aca="false">IF(Tasks[[#This Row],[Task Name]]="","",IF(Tasks[[#This Row],[_IsSummary]],MAX(INDEX(Tasks[_LeafLateFinish],Tasks[[#This Row],[_Row]]+1):INDEX(Tasks[_LeafLateFinish],Tasks[[#This Row],[_Row]]+Tasks[[#This Row],[_Descendants]])),Tasks[[#This Row],[_LeafLateFinish]]))</f>
        <v/>
      </c>
      <c r="AV196" s="47" t="str">
        <f aca="false">IF(Tasks[[#This Row],[Task Name]]="","",IF(Tasks[[#This Row],[_IsSummary]],MIN(INDEX(Tasks[_LeafTotalSlack],Tasks[[#This Row],[_Row]]+1):INDEX(Tasks[_LeafTotalSlack],Tasks[[#This Row],[_Row]]+Tasks[[#This Row],[_Descendants]])),Tasks[[#This Row],[_LeafTotalSlack]]))</f>
        <v/>
      </c>
      <c r="AW1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5"/>
      <c r="BA19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t="str">
        <f aca="false">IF(Tasks[[#This Row],[Task Name]]="","",IF(Tasks[[#This Row],[_Level]]&lt;=OutlineShowLevel,"Yes","No"))</f>
        <v/>
      </c>
      <c r="BE196" s="86" t="str">
        <f aca="false">IF(Tasks[[#This Row],[Task Name]]="","",IF(Tasks[[#This Row],[_IsSummary]],SUM(INDEX(Tasks[_LeafTotalWork],Tasks[[#This Row],[_Row]]+1):INDEX(Tasks[_LeafTotalWork],Tasks[[#This Row],[_Row]]+Tasks[[#This Row],[_Descendants]])),Tasks[[#This Row],[_LeafTotalWork]]))</f>
        <v/>
      </c>
      <c r="BF196" s="23"/>
      <c r="BG1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t="str">
        <f aca="false">""</f>
        <v/>
      </c>
      <c r="BI196" s="87"/>
      <c r="BJ196" s="22"/>
      <c r="BK196" s="47" t="str">
        <f aca="false">IF(OR(Tasks[[#This Row],[Task Name]]="",Tasks[[#This Row],[Baseline Duration]]=""),"",Tasks[[#This Row],[_SpanDays]]-N(Tasks[[#This Row],[Baseline Duration]]))</f>
        <v/>
      </c>
      <c r="BL196" s="86" t="str">
        <f aca="false">IF(OR(Tasks[[#This Row],[Task Name]]="",Tasks[[#This Row],[Baseline Work]]=""),"",Tasks[[#This Row],[Work]]-N(Tasks[[#This Row],[Baseline Work]]))</f>
        <v/>
      </c>
      <c r="BM196" s="63" t="str">
        <f aca="false">IF(Tasks[[#This Row],[Task Name]]="","",IF(OR(TakeBaseline="Yes",N(Tasks[[#This Row],[Baseline Start]])=0),Tasks[[#This Row],[Start]],Tasks[[#This Row],[Baseline Start]]))</f>
        <v/>
      </c>
      <c r="BN196" s="63" t="str">
        <f aca="false">IF(Tasks[[#This Row],[Task Name]]="","",IF(OR(TakeBaseline="Yes",N(Tasks[[#This Row],[Baseline Finish]])=0),Tasks[[#This Row],[Finish]],Tasks[[#This Row],[Baseline Finish]]))</f>
        <v/>
      </c>
      <c r="BO196" s="21" t="str">
        <f aca="false">IF(Tasks[[#This Row],[Task Name]]="","",IF(OR(TakeBaseline="Yes",N(Tasks[[#This Row],[Baseline Duration]])=0),Tasks[[#This Row],[_SpanDays]],Tasks[[#This Row],[Baseline Duration]]))</f>
        <v/>
      </c>
      <c r="BP196" s="86" t="str">
        <f aca="false">IF(Tasks[[#This Row],[Task Name]]="","",IF(OR(TakeBaseline="Yes",N(Tasks[[#This Row],[Baseline Work]])=0),Tasks[[#This Row],[Work]],Tasks[[#This Row],[Baseline Work]]))</f>
        <v/>
      </c>
      <c r="BQ196" s="7"/>
      <c r="BR196" s="7"/>
      <c r="BS196" s="22"/>
      <c r="BT196" s="88"/>
      <c r="BU196" s="23"/>
      <c r="BV196" s="23"/>
      <c r="BW196" s="23"/>
      <c r="BX196" s="89" t="str">
        <f aca="false">IF(AND(Tasks[[#This Row],[_IsLeaf]]=1,ISNUMBER(Tasks[[#This Row],[Optimistic]]),ISNUMBER(Tasks[[#This Row],[Pessimistic]])),ROUND((Tasks[[#This Row],[Optimistic]]+4*N(Tasks[[#This Row],[_Days]])+Tasks[[#This Row],[Pessimistic]])/6,1),"")</f>
        <v/>
      </c>
      <c r="BY196" s="87"/>
      <c r="BZ196" s="87"/>
      <c r="CA196" s="22"/>
      <c r="CB196" s="43" t="str">
        <f aca="false">IF(Tasks[[#This Row],[Task Name]]="","",MAX(1,N(Tasks[[#This Row],[Level]])))</f>
        <v/>
      </c>
      <c r="CC196" s="43" t="n">
        <f aca="false">ROW()-ROW(Tasks[[#Headers],[ID]])</f>
        <v>191</v>
      </c>
      <c r="CD196" s="43" t="n">
        <f aca="false">IF(OR(Tasks[[#This Row],[Task Name]]="",Tasks[[#This Row],[_Level]]&lt;=1),0,IFERROR(LOOKUP(2,1/(Tasks[[#Headers],[_Level]]:Tasks[[#This Row],[_Level]]=Tasks[[#This Row],[_Level]]-1),ROW(Tasks[[#Headers],[_Level]]:Tasks[[#This Row],[_Level]])),0))</f>
        <v>0</v>
      </c>
      <c r="CE196" s="43" t="n">
        <f aca="false">IFERROR(N(INDEX(Tasks[_Level],Tasks[[#This Row],[_Row]]+1)),0)</f>
        <v>0</v>
      </c>
      <c r="CF196" s="90" t="b">
        <f aca="false">AND(Tasks[[#This Row],[Task Name]]&lt;&gt;"",Tasks[[#This Row],[_NextLevel]]&gt;Tasks[[#This Row],[_Level]])</f>
        <v>0</v>
      </c>
      <c r="CG196" s="43" t="n">
        <f aca="false">IF(Tasks[[#This Row],[_IsSummary]],COUNTIF(Tasks[WBS],Tasks[[#This Row],[WBS]]&amp;".*"),0)</f>
        <v>0</v>
      </c>
      <c r="CH196" s="43" t="n">
        <f aca="false">IF(AND(Tasks[[#This Row],[Task Name]]&lt;&gt;"",NOT(Tasks[[#This Row],[_IsSummary]])),1,0)</f>
        <v>0</v>
      </c>
      <c r="CI196" s="43" t="n">
        <f aca="false">IF(N(Tasks[[#This Row],[_Pred1UID]])=0,0,IFERROR(MATCH(Tasks[[#This Row],[_Pred1UID]],Tasks[UID],0),-1))</f>
        <v>0</v>
      </c>
      <c r="CJ196" s="43" t="n">
        <f aca="false">IF(N(Tasks[[#This Row],[_Pred2UID]])=0,0,IFERROR(MATCH(Tasks[[#This Row],[_Pred2UID]],Tasks[UID],0),-1))</f>
        <v>0</v>
      </c>
      <c r="CK196" s="43" t="n">
        <f aca="false">IF(N(Tasks[[#This Row],[_Pred3UID]])=0,0,IFERROR(MATCH(Tasks[[#This Row],[_Pred3UID]],Tasks[UID],0),-1))</f>
        <v>0</v>
      </c>
      <c r="CL196" s="43" t="n">
        <f aca="false">IF(N(Tasks[[#This Row],[_Pred4UID]])=0,0,IFERROR(MATCH(Tasks[[#This Row],[_Pred4UID]],Tasks[UID],0),-1))</f>
        <v>0</v>
      </c>
      <c r="CM1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6" s="91" t="n">
        <f aca="false">IF(OR(Tasks[[#This Row],[_ConstraintCode]]=2,Tasks[[#This Row],[_ConstraintCode]]=3,Tasks[[#This Row],[_ConstraintCode]]=4,Tasks[[#This Row],[_ConstraintCode]]=6),Tasks[[#This Row],[_ConstraintStart]],0)</f>
        <v>0</v>
      </c>
      <c r="CP196" s="91" t="n">
        <f aca="false">IF(OR(Tasks[[#This Row],[_ConstraintCode]]=2,Tasks[[#This Row],[_ConstraintCode]]=3,Tasks[[#This Row],[_ConstraintCode]]=5,Tasks[[#This Row],[_ConstraintCode]]=7),Tasks[[#This Row],[_ConstraintStart]],2958465)</f>
        <v>2958465</v>
      </c>
      <c r="CQ1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6" s="91" t="str">
        <f aca="false">IF(NOT(Tasks[[#This Row],[_IsLeaf]]=1),"",IF(N(Tasks[[#This Row],[_Days]])&lt;=0,Tasks[[#This Row],[_LeafCalcStart]],WORKDAY.INTL(Tasks[[#This Row],[_LeafCalcStart]],Tasks[[#This Row],[_Days]]-1,WorkWeek,Holidays)))</f>
        <v/>
      </c>
      <c r="CS1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6" s="43" t="str">
        <f aca="false">IF(Tasks[[#This Row],[_Predecessors]]="","",TRIM(MID(SUBSTITUTE(SUBSTITUTE(SUBSTITUTE(UPPER(Tasks[[#This Row],[_Predecessors]]),";",",")," ",""),",",REPT(" ",99)),1,99)))</f>
        <v/>
      </c>
      <c r="CV196" s="43" t="str">
        <f aca="false">IF(Tasks[[#This Row],[_Pred1Text]]="","",IFERROR(VALUE(LEFT(Tasks[[#This Row],[_Pred1Text]],MIN(FIND("F",Tasks[[#This Row],[_Pred1Text]]&amp;"F"),FIND("S",Tasks[[#This Row],[_Pred1Text]]&amp;"S"),FIND("+",Tasks[[#This Row],[_Pred1Text]]&amp;"+"),FIND("-",Tasks[[#This Row],[_Pred1Text]]&amp;"-"))-1)),""))</f>
        <v/>
      </c>
      <c r="CW1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6" s="43" t="str">
        <f aca="false">IF(Tasks[[#This Row],[_Pred1Text]]="","",TRIM(MID(SUBSTITUTE(SUBSTITUTE(SUBSTITUTE(UPPER(Tasks[[#This Row],[_Predecessors]]),";",",")," ",""),",",REPT(" ",99)),100,99)))</f>
        <v/>
      </c>
      <c r="CZ196" s="43" t="str">
        <f aca="false">IF(Tasks[[#This Row],[_Pred2Text]]="","",IFERROR(VALUE(LEFT(Tasks[[#This Row],[_Pred2Text]],MIN(FIND("F",Tasks[[#This Row],[_Pred2Text]]&amp;"F"),FIND("S",Tasks[[#This Row],[_Pred2Text]]&amp;"S"),FIND("+",Tasks[[#This Row],[_Pred2Text]]&amp;"+"),FIND("-",Tasks[[#This Row],[_Pred2Text]]&amp;"-"))-1)),""))</f>
        <v/>
      </c>
      <c r="DA1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6" s="43" t="str">
        <f aca="false">IF(Tasks[[#This Row],[_Pred2Text]]="","",TRIM(MID(SUBSTITUTE(SUBSTITUTE(SUBSTITUTE(UPPER(Tasks[[#This Row],[_Predecessors]]),";",",")," ",""),",",REPT(" ",99)),199,99)))</f>
        <v/>
      </c>
      <c r="DD196" s="43" t="str">
        <f aca="false">IF(Tasks[[#This Row],[_Pred3Text]]="","",IFERROR(VALUE(LEFT(Tasks[[#This Row],[_Pred3Text]],MIN(FIND("F",Tasks[[#This Row],[_Pred3Text]]&amp;"F"),FIND("S",Tasks[[#This Row],[_Pred3Text]]&amp;"S"),FIND("+",Tasks[[#This Row],[_Pred3Text]]&amp;"+"),FIND("-",Tasks[[#This Row],[_Pred3Text]]&amp;"-"))-1)),""))</f>
        <v/>
      </c>
      <c r="DE1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6" s="43" t="str">
        <f aca="false">IF(Tasks[[#This Row],[_Pred3Text]]="","",TRIM(MID(SUBSTITUTE(SUBSTITUTE(SUBSTITUTE(UPPER(Tasks[[#This Row],[_Predecessors]]),";",",")," ",""),",",REPT(" ",99)),298,99)))</f>
        <v/>
      </c>
      <c r="DH196" s="43" t="str">
        <f aca="false">IF(Tasks[[#This Row],[_Pred4Text]]="","",IFERROR(VALUE(LEFT(Tasks[[#This Row],[_Pred4Text]],MIN(FIND("F",Tasks[[#This Row],[_Pred4Text]]&amp;"F"),FIND("S",Tasks[[#This Row],[_Pred4Text]]&amp;"S"),FIND("+",Tasks[[#This Row],[_Pred4Text]]&amp;"+"),FIND("-",Tasks[[#This Row],[_Pred4Text]]&amp;"-"))-1)),""))</f>
        <v/>
      </c>
      <c r="DI1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6" s="43" t="str">
        <f aca="false">IF(OR(Tasks[[#This Row],[Task Name]]="",Tasks[[#This Row],[_Resources]]=""),"",TRIM(MID(SUBSTITUTE(Tasks[[#This Row],[_Resources]],",",REPT(" ",99)),1,99)))</f>
        <v/>
      </c>
      <c r="DL196" s="43" t="str">
        <f aca="false">IF(Tasks[[#This Row],[_Res1Text]]="","",TRIM(MID(SUBSTITUTE(Tasks[[#This Row],[_Resources]],",",REPT(" ",99)),100,99)))</f>
        <v/>
      </c>
      <c r="DM196" s="43" t="str">
        <f aca="false">IF(Tasks[[#This Row],[_Res2Text]]="","",TRIM(MID(SUBSTITUTE(Tasks[[#This Row],[_Resources]],",",REPT(" ",99)),199,99)))</f>
        <v/>
      </c>
      <c r="DN196" s="43" t="str">
        <f aca="false">IF(Tasks[[#This Row],[_Res3Text]]="","",TRIM(MID(SUBSTITUTE(Tasks[[#This Row],[_Resources]],",",REPT(" ",99)),298,99)))</f>
        <v/>
      </c>
      <c r="DO196" s="43" t="n">
        <f aca="false">IF(Tasks[[#This Row],[_Res1Text]]="",0,IFERROR(MATCH(TRIM(LEFT(Tasks[[#This Row],[_Res1Text]],FIND("[",Tasks[[#This Row],[_Res1Text]]&amp;"[")-1)),res_Name,0),IFERROR(MATCH(TRIM(LEFT(Tasks[[#This Row],[_Res1Text]],FIND("[",Tasks[[#This Row],[_Res1Text]]&amp;"[")-1)),res_Initials,0),0)))</f>
        <v>0</v>
      </c>
      <c r="DP196" s="43" t="n">
        <f aca="false">IF(Tasks[[#This Row],[_Res2Text]]="",0,IFERROR(MATCH(TRIM(LEFT(Tasks[[#This Row],[_Res2Text]],FIND("[",Tasks[[#This Row],[_Res2Text]]&amp;"[")-1)),res_Name,0),IFERROR(MATCH(TRIM(LEFT(Tasks[[#This Row],[_Res2Text]],FIND("[",Tasks[[#This Row],[_Res2Text]]&amp;"[")-1)),res_Initials,0),0)))</f>
        <v>0</v>
      </c>
      <c r="DQ196" s="43" t="n">
        <f aca="false">IF(Tasks[[#This Row],[_Res3Text]]="",0,IFERROR(MATCH(TRIM(LEFT(Tasks[[#This Row],[_Res3Text]],FIND("[",Tasks[[#This Row],[_Res3Text]]&amp;"[")-1)),res_Name,0),IFERROR(MATCH(TRIM(LEFT(Tasks[[#This Row],[_Res3Text]],FIND("[",Tasks[[#This Row],[_Res3Text]]&amp;"[")-1)),res_Initials,0),0)))</f>
        <v>0</v>
      </c>
      <c r="DR196" s="43" t="n">
        <f aca="false">IF(Tasks[[#This Row],[_Res4Text]]="",0,IFERROR(MATCH(TRIM(LEFT(Tasks[[#This Row],[_Res4Text]],FIND("[",Tasks[[#This Row],[_Res4Text]]&amp;"[")-1)),res_Name,0),IFERROR(MATCH(TRIM(LEFT(Tasks[[#This Row],[_Res4Text]],FIND("[",Tasks[[#This Row],[_Res4Text]]&amp;"[")-1)),res_Initials,0),0)))</f>
        <v>0</v>
      </c>
      <c r="DS196" s="43" t="str">
        <f aca="false">IF(Tasks[[#This Row],[_Res1Text]]="","",IF(Tasks[[#This Row],[_Res1Row]]&gt;0,INDEX(res_Name,Tasks[[#This Row],[_Res1Row]]),TRIM(LEFT(Tasks[[#This Row],[_Res1Text]],FIND("[",Tasks[[#This Row],[_Res1Text]]&amp;"[")-1))))</f>
        <v/>
      </c>
      <c r="DT1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6" s="43" t="n">
        <f aca="false">IF(NOT(Tasks[[#This Row],[_IsLeaf]]=1),0,(Tasks[[#This Row],[_Resource1]]&lt;&gt;"")+(Tasks[[#This Row],[_Res2]]&lt;&gt;"")+(Tasks[[#This Row],[_Res3]]&lt;&gt;"")+(Tasks[[#This Row],[_Res4]]&lt;&gt;""))</f>
        <v>0</v>
      </c>
      <c r="DV196" s="43" t="str">
        <f aca="false">IF(Tasks[[#This Row],[_Res2Text]]="","",IF(Tasks[[#This Row],[_Res2Row]]&gt;0,INDEX(res_Name,Tasks[[#This Row],[_Res2Row]]),TRIM(LEFT(Tasks[[#This Row],[_Res2Text]],FIND("[",Tasks[[#This Row],[_Res2Text]]&amp;"[")-1))))</f>
        <v/>
      </c>
      <c r="DW1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6" s="43" t="n">
        <f aca="false">IF(OR(NOT(Tasks[[#This Row],[_IsLeaf]]=1),Tasks[[#This Row],[_Res2Row]]=0),0,N(Tasks[[#This Row],[_Days]])*HoursPerDay*IF(Tasks[[#This Row],[_Res2Units]]="",DefaultUnits,Tasks[[#This Row],[_Res2Units]]))</f>
        <v>0</v>
      </c>
      <c r="DY196" s="43" t="n">
        <f aca="false">IF(AND(AND(Tasks[[#This Row],[_IsLeaf]]=1,Tasks[[#This Row],[_LeafTotalWork]]&gt;0),Tasks[[#This Row],[_Res2Work]]&gt;0),Tasks[[#This Row],[_Res2Work]]/(Tasks[[#This Row],[_FinishWorkday]]-Tasks[[#This Row],[_StartWorkday]]+1),0)</f>
        <v>0</v>
      </c>
      <c r="DZ196" s="43" t="n">
        <f aca="false">Tasks[[#This Row],[_Res2WorkPerWD]]*MAX(0,Tasks[[#This Row],[_StartWorkday]]-1)</f>
        <v>0</v>
      </c>
      <c r="EA196" s="43" t="n">
        <f aca="false">Tasks[[#This Row],[_Res2Work]]*Tasks[[#This Row],[_LeafProgress]]</f>
        <v>0</v>
      </c>
      <c r="EB196" s="43" t="str">
        <f aca="false">IF(Tasks[[#This Row],[_Res3Text]]="","",IF(Tasks[[#This Row],[_Res3Row]]&gt;0,INDEX(res_Name,Tasks[[#This Row],[_Res3Row]]),TRIM(LEFT(Tasks[[#This Row],[_Res3Text]],FIND("[",Tasks[[#This Row],[_Res3Text]]&amp;"[")-1))))</f>
        <v/>
      </c>
      <c r="EC1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6" s="43" t="n">
        <f aca="false">IF(OR(NOT(Tasks[[#This Row],[_IsLeaf]]=1),Tasks[[#This Row],[_Res3Row]]=0),0,N(Tasks[[#This Row],[_Days]])*HoursPerDay*IF(Tasks[[#This Row],[_Res3Units]]="",DefaultUnits,Tasks[[#This Row],[_Res3Units]]))</f>
        <v>0</v>
      </c>
      <c r="EE196" s="43" t="n">
        <f aca="false">IF(AND(AND(Tasks[[#This Row],[_IsLeaf]]=1,Tasks[[#This Row],[_LeafTotalWork]]&gt;0),Tasks[[#This Row],[_Res3Work]]&gt;0),Tasks[[#This Row],[_Res3Work]]/(Tasks[[#This Row],[_FinishWorkday]]-Tasks[[#This Row],[_StartWorkday]]+1),0)</f>
        <v>0</v>
      </c>
      <c r="EF196" s="43" t="n">
        <f aca="false">Tasks[[#This Row],[_Res3WorkPerWD]]*MAX(0,Tasks[[#This Row],[_StartWorkday]]-1)</f>
        <v>0</v>
      </c>
      <c r="EG196" s="43" t="n">
        <f aca="false">Tasks[[#This Row],[_Res3Work]]*Tasks[[#This Row],[_LeafProgress]]</f>
        <v>0</v>
      </c>
      <c r="EH196" s="43" t="str">
        <f aca="false">IF(Tasks[[#This Row],[_Res4Text]]="","",IF(Tasks[[#This Row],[_Res4Row]]&gt;0,INDEX(res_Name,Tasks[[#This Row],[_Res4Row]]),TRIM(LEFT(Tasks[[#This Row],[_Res4Text]],FIND("[",Tasks[[#This Row],[_Res4Text]]&amp;"[")-1))))</f>
        <v/>
      </c>
      <c r="EI1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6" s="43" t="n">
        <f aca="false">IF(OR(NOT(Tasks[[#This Row],[_IsLeaf]]=1),Tasks[[#This Row],[_Res4Row]]=0),0,N(Tasks[[#This Row],[_Days]])*HoursPerDay*IF(Tasks[[#This Row],[_Res4Units]]="",DefaultUnits,Tasks[[#This Row],[_Res4Units]]))</f>
        <v>0</v>
      </c>
      <c r="EK196" s="43" t="n">
        <f aca="false">IF(AND(AND(Tasks[[#This Row],[_IsLeaf]]=1,Tasks[[#This Row],[_LeafTotalWork]]&gt;0),Tasks[[#This Row],[_Res4Work]]&gt;0),Tasks[[#This Row],[_Res4Work]]/(Tasks[[#This Row],[_FinishWorkday]]-Tasks[[#This Row],[_StartWorkday]]+1),0)</f>
        <v>0</v>
      </c>
      <c r="EL196" s="43" t="n">
        <f aca="false">Tasks[[#This Row],[_Res4WorkPerWD]]*MAX(0,Tasks[[#This Row],[_StartWorkday]]-1)</f>
        <v>0</v>
      </c>
      <c r="EM196" s="43" t="n">
        <f aca="false">Tasks[[#This Row],[_Res4Work]]*Tasks[[#This Row],[_LeafProgress]]</f>
        <v>0</v>
      </c>
      <c r="EN196" s="43" t="n">
        <f aca="false">IF(ISNUMBER(Tasks[[#This Row],[% Complete]]),Tasks[[#This Row],[% Complete]],IF(Tasks[[#This Row],[Stage]]="",0,IFERROR(INDEX(stg_Pct,MATCH(Tasks[[#This Row],[Stage]],stg_Name,0)),0)))</f>
        <v>0</v>
      </c>
      <c r="EO196" s="43" t="n">
        <f aca="false">IF(NOT(Tasks[[#This Row],[_IsLeaf]]=1),0,IF(N(Tasks[[#This Row],[Actual Finish]])&gt;0,1,MIN(1,Tasks[[#This Row],[_Pct]])))</f>
        <v>0</v>
      </c>
      <c r="EP196" s="43" t="n">
        <f aca="false">IF(OR(NOT(Tasks[[#This Row],[_IsLeaf]]=1),Tasks[[#This Row],[_Res1Row]]=0),0,N(Tasks[[#This Row],[_Days]])*HoursPerDay*IF(Tasks[[#This Row],[_Units1]]="",DefaultUnits,Tasks[[#This Row],[_Units1]]))</f>
        <v>0</v>
      </c>
      <c r="EQ196" s="43" t="n">
        <f aca="false">Tasks[[#This Row],[_LeafWork]]+Tasks[[#This Row],[_Res2Work]]+Tasks[[#This Row],[_Res3Work]]+Tasks[[#This Row],[_Res4Work]]</f>
        <v>0</v>
      </c>
      <c r="ER19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6" s="43" t="n">
        <f aca="false">IF(NOT(Tasks[[#This Row],[_IsLeaf]]=1),0,MAX(_xlfn.MAXIFS(Tasks[_Row],Tasks[_Pred1UID],Tasks[[#This Row],[UID]]),_xlfn.MAXIFS(Tasks[_Row],Tasks[_Pred2UID],Tasks[[#This Row],[UID]]),_xlfn.MAXIFS(Tasks[_Row],Tasks[_Pred3UID],Tasks[[#This Row],[UID]]),_xlfn.MAXIFS(Tasks[_Row],Tasks[_Pred4UID],Tasks[[#This Row],[UID]])))</f>
        <v>0</v>
      </c>
      <c r="FA1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6" s="91" t="str">
        <f aca="false">IF(NOT(Tasks[[#This Row],[_IsLeaf]]=1),"",IF(N(Tasks[[#This Row],[_Days]])&lt;=0,Tasks[[#This Row],[_LeafLateFinish]],WORKDAY.INTL(Tasks[[#This Row],[_LeafLateFinish]],-(Tasks[[#This Row],[_Days]]-1),WorkWeek,Holidays)))</f>
        <v/>
      </c>
      <c r="FD1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6" s="90" t="b">
        <f aca="false">AND(Tasks[[#This Row],[_IsLeaf]]=1,Tasks[[#This Row],[_LeafProgress]]&lt;1,N(Tasks[[#This Row],[_LeafTotalSlack]])&lt;=CriticalSlackDays)</f>
        <v>0</v>
      </c>
      <c r="FF196" s="43" t="n">
        <f aca="false">IF(AND(Tasks[[#This Row],[_IsLeaf]]=1,Tasks[[#This Row],[_ConstraintCode]]=1,Tasks[[#This Row],[Mode]]&lt;&gt;"Manual",N(Tasks[[#This Row],[Actual Start]])=0),MAX(0,N(Tasks[[#This Row],[Free Slack]])),0)</f>
        <v>0</v>
      </c>
      <c r="FG196" s="91" t="str">
        <f aca="false">IF(NOT(Tasks[[#This Row],[_IsLeaf]]=1),"",IF(Tasks[[#This Row],[_AlapShift]]=0,Tasks[[#This Row],[_LeafCalcStart]],WORKDAY.INTL(Tasks[[#This Row],[_LeafCalcStart]],Tasks[[#This Row],[_AlapShift]],WorkWeek,Holidays)))</f>
        <v/>
      </c>
      <c r="FH196" s="91" t="str">
        <f aca="false">IF(NOT(Tasks[[#This Row],[_IsLeaf]]=1),"",IF(Tasks[[#This Row],[_AlapShift]]=0,Tasks[[#This Row],[_LeafCalcFinish]],WORKDAY.INTL(Tasks[[#This Row],[_LeafCalcFinish]],Tasks[[#This Row],[_AlapShift]],WorkWeek,Holidays)))</f>
        <v/>
      </c>
      <c r="FI196" s="91" t="str">
        <f aca="false">IF(NOT(Tasks[[#This Row],[_IsLeaf]]=1),"",IF(Tasks[[#This Row],[_AlapShift]]=0,Tasks[[#This Row],[_LeafFcstStart]],WORKDAY.INTL(Tasks[[#This Row],[_LeafFcstStart]],Tasks[[#This Row],[_AlapShift]],WorkWeek,Holidays)))</f>
        <v/>
      </c>
      <c r="FJ196" s="91" t="str">
        <f aca="false">IF(NOT(Tasks[[#This Row],[_IsLeaf]]=1),"",IF(Tasks[[#This Row],[_AlapShift]]=0,Tasks[[#This Row],[_LeafFcstFinish]],WORKDAY.INTL(Tasks[[#This Row],[_LeafFcstFinish]],Tasks[[#This Row],[_AlapShift]],WorkWeek,Holidays)))</f>
        <v/>
      </c>
      <c r="FK196" s="91" t="str">
        <f aca="false">IF(Tasks[[#This Row],[Task Name]]="","",IF(Tasks[[#This Row],[_IsSummary]],MIN(INDEX(Tasks[_ShownCalcStart],Tasks[[#This Row],[_Row]]+1):INDEX(Tasks[_ShownCalcStart],Tasks[[#This Row],[_Row]]+Tasks[[#This Row],[_Descendants]])),Tasks[[#This Row],[_ShownCalcStart]]))</f>
        <v/>
      </c>
      <c r="FL196" s="91" t="str">
        <f aca="false">IF(Tasks[[#This Row],[Task Name]]="","",IF(Tasks[[#This Row],[_IsSummary]],MAX(INDEX(Tasks[_ShownCalcFinish],Tasks[[#This Row],[_Row]]+1):INDEX(Tasks[_ShownCalcFinish],Tasks[[#This Row],[_Row]]+Tasks[[#This Row],[_Descendants]])),Tasks[[#This Row],[_ShownCalcFinish]]))</f>
        <v/>
      </c>
      <c r="FM1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6" s="43" t="n">
        <f aca="false">IF(AND(Tasks[[#This Row],[_IsLeaf]]=1,Tasks[[#This Row],[_LeafTotalWork]]&gt;0),NETWORKDAYS.INTL(ProjectStart,Tasks[[#This Row],[_ShownFcstStart]],WorkWeek,Holidays),0)</f>
        <v>0</v>
      </c>
      <c r="FZ196" s="43" t="n">
        <f aca="false">IF(AND(Tasks[[#This Row],[_IsLeaf]]=1,Tasks[[#This Row],[_LeafTotalWork]]&gt;0),MAX(Tasks[[#This Row],[_StartWorkday]],NETWORKDAYS.INTL(ProjectStart,Tasks[[#This Row],[_ShownFcstFinish]],WorkWeek,Holidays)),0)</f>
        <v>0</v>
      </c>
      <c r="GA196" s="43" t="n">
        <f aca="false">IF(AND(Tasks[[#This Row],[_IsLeaf]]=1,Tasks[[#This Row],[_LeafTotalWork]]&gt;0),Tasks[[#This Row],[_LeafWork]]/(Tasks[[#This Row],[_FinishWorkday]]-Tasks[[#This Row],[_StartWorkday]]+1),0)</f>
        <v>0</v>
      </c>
      <c r="GB196" s="43" t="n">
        <f aca="false">Tasks[[#This Row],[_WorkPerWorkday]]*(Tasks[[#This Row],[_StartWorkday]]-1)</f>
        <v>-0</v>
      </c>
      <c r="GC196" s="43" t="n">
        <f aca="false">IF(Tasks[[#This Row],[_IsLeaf]]=1,MAX(N(Tasks[[#This Row],[_Days]]),0.1),0)</f>
        <v>0</v>
      </c>
      <c r="GD196" s="43" t="n">
        <f aca="false">Tasks[[#This Row],[_WeightDur]]*Tasks[[#This Row],[_LeafProgress]]</f>
        <v>0</v>
      </c>
      <c r="GE196" s="43" t="n">
        <f aca="false">Tasks[[#This Row],[_WeightDur]]*Tasks[[#This Row],[_PlannedPct]]</f>
        <v>0</v>
      </c>
      <c r="GF1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6" s="43" t="str">
        <f aca="false">IF(AND(Tasks[[#This Row],[_IsLeaf]]=1,N(Tasks[[#This Row],[_Days]])=0,Tasks[[#This Row],[_LeafProgress]]&lt;1),Tasks[[#This Row],[_ShownFcstFinish]]+Tasks[[#This Row],[_Row]]/100000,"")</f>
        <v/>
      </c>
      <c r="GH1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6" s="43" t="str">
        <f aca="false">IF(Tasks[[#This Row],[Task Name]]="","",LEFT(Tasks[[#This Row],[WBS]],FIND(".",Tasks[[#This Row],[WBS]]&amp;".")-1))</f>
        <v/>
      </c>
      <c r="GJ196" s="43" t="str">
        <f aca="false">IF(AND(Tasks[[#This Row],[Task Name]]&lt;&gt;"",Tasks[[#This Row],[_Level]]=1),Tasks[[#This Row],[_Row]],"")</f>
        <v/>
      </c>
      <c r="GK196" s="43" t="str">
        <f aca="false">IF(AND(Tasks[[#This Row],[_IsLeaf]]=1,N(Tasks[[#This Row],[_Days]])=0),Tasks[[#This Row],[Planned Finish]]+Tasks[[#This Row],[_Row]]/100000,"")</f>
        <v/>
      </c>
      <c r="GL196" s="43" t="str">
        <f aca="false">IF(AND(Tasks[[#This Row],[_IsLeaf]]=1,Tasks[[#This Row],[_LeafProgress]]&lt;1,OR(N(Tasks[[#This Row],[Finish Var]])&gt;0,Tasks[[#This Row],[Status]]="Late Start")),MAX(0,Tasks[[#This Row],[Finish Var]])+1-Tasks[[#This Row],[_Row]]/1000000,"")</f>
        <v/>
      </c>
      <c r="GM196" s="43" t="str">
        <f aca="false">IF(AND(Tasks[[#This Row],[_IsLeaf]]=1,N(Tasks[[#This Row],[Actual Start]])=0,Tasks[[#This Row],[_ShownFcstStart]]&gt;=StatusDate,Tasks[[#This Row],[_ShownFcstStart]]&lt;=LookaheadEnd),Tasks[[#This Row],[_ShownFcstStart]]+Tasks[[#This Row],[_Row]]/100000,"")</f>
        <v/>
      </c>
      <c r="GN196" s="43" t="str">
        <f aca="false">IF(AND(Tasks[[#This Row],[_IsLeaf]]=1,Tasks[[#This Row],[_LeafProgress]]&lt;1,Tasks[[#This Row],[_ShownFcstFinish]]&gt;=StatusDate,Tasks[[#This Row],[_ShownFcstFinish]]&lt;=LookaheadEnd),Tasks[[#This Row],[_ShownFcstFinish]]+Tasks[[#This Row],[_Row]]/100000,"")</f>
        <v/>
      </c>
      <c r="GO196" s="43" t="str">
        <f aca="false">IF(Tasks[[#This Row],[_LeafCritical]],Tasks[[#This Row],[_ShownFcstStart]]+Tasks[[#This Row],[_Row]]/100000,"")</f>
        <v/>
      </c>
      <c r="GP196" s="43" t="n">
        <f aca="false">Tasks[[#This Row],[_LeafWork]]*Tasks[[#This Row],[_LeafProgress]]</f>
        <v>0</v>
      </c>
      <c r="GQ196" s="91" t="str">
        <f aca="false">IF(AND(Tasks[[#This Row],[_IsLeaf]]=1,Tasks[[#This Row],[_LeafProgress]]&gt;=1),IF(N(Tasks[[#This Row],[Actual Finish]])&gt;0,Tasks[[#This Row],[Actual Finish]],Tasks[[#This Row],[_ShownFcstFinish]]),"")</f>
        <v/>
      </c>
      <c r="GR196" s="43" t="n">
        <f aca="false">IF(Tasks[[#This Row],[_IsLeaf]]=1,N(Tasks[[#This Row],[Story Points]]),0)</f>
        <v>0</v>
      </c>
      <c r="GS196" s="43" t="str">
        <f aca="false">""</f>
        <v/>
      </c>
      <c r="GT196" s="90" t="b">
        <f aca="false">IF(Tasks[[#This Row],[Task Name]]="",FALSE(),AND(Tasks[[#This Row],[_IsLeaf]]=1,N(Tasks[[#This Row],[_Days]])=0))</f>
        <v>0</v>
      </c>
      <c r="GU196" s="91" t="n">
        <f aca="false">IF(Tasks[[#This Row],[Task Name]]="",0,IF(AND(Tasks[[#This Row],[_IsLeaf]]=1,NOT(Tasks[[#This Row],[_IsMilestone]]),N(Tasks[[#This Row],[Progress]])&gt;0),Tasks[[#This Row],[Start]],0))</f>
        <v>0</v>
      </c>
      <c r="GV196" s="91" t="n">
        <f aca="false">IF(Tasks[[#This Row],[_DoneFrom]]=0,0,IF(Tasks[[#This Row],[Progress]]&gt;=1,Tasks[[#This Row],[Finish]],MAX(Tasks[[#This Row],[_DoneFrom]],Tasks[[#This Row],[Start]]+ROUND((Tasks[[#This Row],[Finish]]-Tasks[[#This Row],[Start]]+1)*Tasks[[#This Row],[Progress]],0)-1)))</f>
        <v>0</v>
      </c>
      <c r="GW196" s="91" t="n">
        <f aca="false">IF(Tasks[[#This Row],[Task Name]]="",0,IF(OR(NOT(Tasks[[#This Row],[_IsLeaf]]=1),Tasks[[#This Row],[_IsMilestone]],N(Tasks[[#This Row],[Progress]])&gt;=1),0,IF(Tasks[[#This Row],[_DoneTo]]&gt;0,Tasks[[#This Row],[_DoneTo]]+1,Tasks[[#This Row],[Start]])))</f>
        <v>0</v>
      </c>
      <c r="GX196" s="91" t="n">
        <f aca="false">IF(Tasks[[#This Row],[_RemFrom]]=0,0,Tasks[[#This Row],[Finish]])</f>
        <v>0</v>
      </c>
      <c r="GY196" s="90" t="b">
        <f aca="false">IF(Tasks[[#This Row],[Task Name]]="",FALSE(),OR(NOT(BaselineSet),N(Tasks[[#This Row],[Baseline Start]])&gt;0))</f>
        <v>0</v>
      </c>
      <c r="GZ196"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6" s="92" t="str">
        <f aca="false">IF(Tasks[[#This Row],[_IsLeaf]]=1,Tasks[[#This Row],[_Row]],"")</f>
        <v/>
      </c>
      <c r="HD196" s="92" t="str">
        <f aca="false">IFERROR(INDEX(Tasks[UID],SMALL(Tasks[_PickKey],Tasks[[#This Row],[_Row]]))&amp;" "&amp;INDEX(Tasks[Task Name],SMALL(Tasks[_PickKey],Tasks[[#This Row],[_Row]])),"")</f>
        <v/>
      </c>
      <c r="HE196" s="43" t="str">
        <f aca="false">IF(Tasks[[#This Row],[Task Name]]="","",IF(Tasks[[#This Row],[_IsSummary]],NETWORKDAYS.INTL(Tasks[[#This Row],[Start]],Tasks[[#This Row],[Finish]],WorkWeek,Holidays),N(Tasks[[#This Row],[_Days]])))</f>
        <v/>
      </c>
      <c r="HF196" s="43" t="n">
        <f aca="false">IF(Tasks[[#This Row],[Expected]]="",0,((Tasks[[#This Row],[Pessimistic]]-Tasks[[#This Row],[Optimistic]])/6)^2)</f>
        <v>0</v>
      </c>
      <c r="HG196" s="43" t="n">
        <f aca="false">IF(Tasks[[#This Row],[Expected]]="",0,Tasks[[#This Row],[Expected]]-N(Tasks[[#This Row],[_Days]]))</f>
        <v>0</v>
      </c>
    </row>
    <row r="197" customFormat="false" ht="15" hidden="false" customHeight="false" outlineLevel="0" collapsed="false">
      <c r="A197" s="21" t="str">
        <f aca="false">IF(Tasks[[#This Row],[Task Name]]="","",COUNTA(Tasks[[#Headers],[Task Name]]:Tasks[[#This Row],[Task Name]])-1)</f>
        <v/>
      </c>
      <c r="B197" s="22" t="n">
        <v>205</v>
      </c>
      <c r="C197" s="22"/>
      <c r="D197" s="23"/>
      <c r="E197" s="22"/>
      <c r="F197" s="23"/>
      <c r="G197" s="22"/>
      <c r="H197" s="22"/>
      <c r="I197" s="23"/>
      <c r="J197" s="22"/>
      <c r="K197" s="22"/>
      <c r="L197" s="23"/>
      <c r="M197" s="22"/>
      <c r="N197" s="22"/>
      <c r="O197" s="23"/>
      <c r="P197" s="22"/>
      <c r="Q197" s="22"/>
      <c r="R197" s="23"/>
      <c r="S197" s="23"/>
      <c r="T197" s="84"/>
      <c r="U197" s="23"/>
      <c r="V197" s="84"/>
      <c r="W197" s="23"/>
      <c r="X197" s="84"/>
      <c r="Y197" s="23"/>
      <c r="Z197" s="84"/>
      <c r="AA197" s="23"/>
      <c r="AB197" s="23"/>
      <c r="AC197" s="7"/>
      <c r="AD197" s="7"/>
      <c r="AE197" s="63" t="str">
        <f aca="false">IF(Tasks[[#This Row],[Task Name]]="","",IF(Tasks[[#This Row],[_IsSummary]],MIN(INDEX(Tasks[_ShownFcstStart],Tasks[[#This Row],[_Row]]+1):INDEX(Tasks[_ShownFcstStart],Tasks[[#This Row],[_Row]]+Tasks[[#This Row],[_Descendants]])),Tasks[[#This Row],[_ShownFcstStart]]))</f>
        <v/>
      </c>
      <c r="AF197" s="63" t="str">
        <f aca="false">IF(Tasks[[#This Row],[Task Name]]="","",IF(Tasks[[#This Row],[_IsSummary]],MAX(INDEX(Tasks[_ShownFcstFinish],Tasks[[#This Row],[_Row]]+1):INDEX(Tasks[_ShownFcstFinish],Tasks[[#This Row],[_Row]]+Tasks[[#This Row],[_Descendants]])),Tasks[[#This Row],[_ShownFcstFinish]]))</f>
        <v/>
      </c>
      <c r="AG197" s="21" t="str">
        <f aca="false">""</f>
        <v/>
      </c>
      <c r="AH197" s="23"/>
      <c r="AI1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7" s="7"/>
      <c r="AK197" s="22"/>
      <c r="AL197" s="23"/>
      <c r="AM197" s="7"/>
      <c r="AN197" s="47" t="str">
        <f aca="false">IF(Tasks[[#This Row],[Task Name]]="","",IF(Tasks[[#This Row],[Finish]]&gt;=Tasks[[#This Row],[Planned Finish]],NETWORKDAYS.INTL(Tasks[[#This Row],[Planned Finish]],Tasks[[#This Row],[Finish]],WorkWeek,Holidays)-1,1-NETWORKDAYS.INTL(Tasks[[#This Row],[Finish]],Tasks[[#This Row],[Planned Finish]],WorkWeek,Holidays)))</f>
        <v/>
      </c>
      <c r="AO197" s="21" t="str">
        <f aca="false">IF(Tasks[[#This Row],[Task Name]]="","",IF(Tasks[[#This Row],[Progress]]&gt;=1,"Complete",IF(OR(N(Tasks[[#This Row],[Actual Start]])&gt;0,Tasks[[#This Row],[Progress]]&gt;0),IF(Tasks[[#This Row],[Finish Var]]&gt;0,"Behind","In Progress"),IF(Tasks[[#This Row],[Planned Start]]&lt;StatusDate,"Late Start","Not Started"))))</f>
        <v/>
      </c>
      <c r="AP197" s="21" t="str">
        <f aca="false">IF(Tasks[[#This Row],[Task Name]]="","",IF(IF(Tasks[[#This Row],[_IsSummary]],COUNTIF(INDEX(Tasks[_LeafCritical],Tasks[[#This Row],[_Row]]+1):INDEX(Tasks[_LeafCritical],Tasks[[#This Row],[_Row]]+Tasks[[#This Row],[_Descendants]]),TRUE())&gt;0,Tasks[[#This Row],[_LeafCritical]]),"Yes",""))</f>
        <v/>
      </c>
      <c r="AQ197" s="63" t="str">
        <f aca="false">IF(Tasks[[#This Row],[Task Name]]="","",IF(N(Tasks[[#This Row],[Baseline Start]])&gt;0,Tasks[[#This Row],[Baseline Start]],Tasks[[#This Row],[_CalcStart]]))</f>
        <v/>
      </c>
      <c r="AR197" s="63" t="str">
        <f aca="false">IF(Tasks[[#This Row],[Task Name]]="","",IF(N(Tasks[[#This Row],[Baseline Finish]])&gt;0,Tasks[[#This Row],[Baseline Finish]],Tasks[[#This Row],[_CalcFinish]]))</f>
        <v/>
      </c>
      <c r="AS197" s="47" t="str">
        <f aca="false">IF(Tasks[[#This Row],[Task Name]]="","",IF(Tasks[[#This Row],[Start]]&gt;=Tasks[[#This Row],[Planned Start]],NETWORKDAYS.INTL(Tasks[[#This Row],[Planned Start]],Tasks[[#This Row],[Start]],WorkWeek,Holidays)-1,1-NETWORKDAYS.INTL(Tasks[[#This Row],[Start]],Tasks[[#This Row],[Planned Start]],WorkWeek,Holidays)))</f>
        <v/>
      </c>
      <c r="AT197" s="63" t="str">
        <f aca="false">IF(Tasks[[#This Row],[Task Name]]="","",IF(Tasks[[#This Row],[_IsSummary]],MIN(INDEX(Tasks[_LeafLateStart],Tasks[[#This Row],[_Row]]+1):INDEX(Tasks[_LeafLateStart],Tasks[[#This Row],[_Row]]+Tasks[[#This Row],[_Descendants]])),Tasks[[#This Row],[_LeafLateStart]]))</f>
        <v/>
      </c>
      <c r="AU197" s="63" t="str">
        <f aca="false">IF(Tasks[[#This Row],[Task Name]]="","",IF(Tasks[[#This Row],[_IsSummary]],MAX(INDEX(Tasks[_LeafLateFinish],Tasks[[#This Row],[_Row]]+1):INDEX(Tasks[_LeafLateFinish],Tasks[[#This Row],[_Row]]+Tasks[[#This Row],[_Descendants]])),Tasks[[#This Row],[_LeafLateFinish]]))</f>
        <v/>
      </c>
      <c r="AV197" s="47" t="str">
        <f aca="false">IF(Tasks[[#This Row],[Task Name]]="","",IF(Tasks[[#This Row],[_IsSummary]],MIN(INDEX(Tasks[_LeafTotalSlack],Tasks[[#This Row],[_Row]]+1):INDEX(Tasks[_LeafTotalSlack],Tasks[[#This Row],[_Row]]+Tasks[[#This Row],[_Descendants]])),Tasks[[#This Row],[_LeafTotalSlack]]))</f>
        <v/>
      </c>
      <c r="AW1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5"/>
      <c r="BA19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t="str">
        <f aca="false">IF(Tasks[[#This Row],[Task Name]]="","",IF(Tasks[[#This Row],[_Level]]&lt;=OutlineShowLevel,"Yes","No"))</f>
        <v/>
      </c>
      <c r="BE197" s="86" t="str">
        <f aca="false">IF(Tasks[[#This Row],[Task Name]]="","",IF(Tasks[[#This Row],[_IsSummary]],SUM(INDEX(Tasks[_LeafTotalWork],Tasks[[#This Row],[_Row]]+1):INDEX(Tasks[_LeafTotalWork],Tasks[[#This Row],[_Row]]+Tasks[[#This Row],[_Descendants]])),Tasks[[#This Row],[_LeafTotalWork]]))</f>
        <v/>
      </c>
      <c r="BF197" s="23"/>
      <c r="BG1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t="str">
        <f aca="false">""</f>
        <v/>
      </c>
      <c r="BI197" s="87"/>
      <c r="BJ197" s="22"/>
      <c r="BK197" s="47" t="str">
        <f aca="false">IF(OR(Tasks[[#This Row],[Task Name]]="",Tasks[[#This Row],[Baseline Duration]]=""),"",Tasks[[#This Row],[_SpanDays]]-N(Tasks[[#This Row],[Baseline Duration]]))</f>
        <v/>
      </c>
      <c r="BL197" s="86" t="str">
        <f aca="false">IF(OR(Tasks[[#This Row],[Task Name]]="",Tasks[[#This Row],[Baseline Work]]=""),"",Tasks[[#This Row],[Work]]-N(Tasks[[#This Row],[Baseline Work]]))</f>
        <v/>
      </c>
      <c r="BM197" s="63" t="str">
        <f aca="false">IF(Tasks[[#This Row],[Task Name]]="","",IF(OR(TakeBaseline="Yes",N(Tasks[[#This Row],[Baseline Start]])=0),Tasks[[#This Row],[Start]],Tasks[[#This Row],[Baseline Start]]))</f>
        <v/>
      </c>
      <c r="BN197" s="63" t="str">
        <f aca="false">IF(Tasks[[#This Row],[Task Name]]="","",IF(OR(TakeBaseline="Yes",N(Tasks[[#This Row],[Baseline Finish]])=0),Tasks[[#This Row],[Finish]],Tasks[[#This Row],[Baseline Finish]]))</f>
        <v/>
      </c>
      <c r="BO197" s="21" t="str">
        <f aca="false">IF(Tasks[[#This Row],[Task Name]]="","",IF(OR(TakeBaseline="Yes",N(Tasks[[#This Row],[Baseline Duration]])=0),Tasks[[#This Row],[_SpanDays]],Tasks[[#This Row],[Baseline Duration]]))</f>
        <v/>
      </c>
      <c r="BP197" s="86" t="str">
        <f aca="false">IF(Tasks[[#This Row],[Task Name]]="","",IF(OR(TakeBaseline="Yes",N(Tasks[[#This Row],[Baseline Work]])=0),Tasks[[#This Row],[Work]],Tasks[[#This Row],[Baseline Work]]))</f>
        <v/>
      </c>
      <c r="BQ197" s="7"/>
      <c r="BR197" s="7"/>
      <c r="BS197" s="22"/>
      <c r="BT197" s="88"/>
      <c r="BU197" s="23"/>
      <c r="BV197" s="23"/>
      <c r="BW197" s="23"/>
      <c r="BX197" s="89" t="str">
        <f aca="false">IF(AND(Tasks[[#This Row],[_IsLeaf]]=1,ISNUMBER(Tasks[[#This Row],[Optimistic]]),ISNUMBER(Tasks[[#This Row],[Pessimistic]])),ROUND((Tasks[[#This Row],[Optimistic]]+4*N(Tasks[[#This Row],[_Days]])+Tasks[[#This Row],[Pessimistic]])/6,1),"")</f>
        <v/>
      </c>
      <c r="BY197" s="87"/>
      <c r="BZ197" s="87"/>
      <c r="CA197" s="22"/>
      <c r="CB197" s="43" t="str">
        <f aca="false">IF(Tasks[[#This Row],[Task Name]]="","",MAX(1,N(Tasks[[#This Row],[Level]])))</f>
        <v/>
      </c>
      <c r="CC197" s="43" t="n">
        <f aca="false">ROW()-ROW(Tasks[[#Headers],[ID]])</f>
        <v>192</v>
      </c>
      <c r="CD197" s="43" t="n">
        <f aca="false">IF(OR(Tasks[[#This Row],[Task Name]]="",Tasks[[#This Row],[_Level]]&lt;=1),0,IFERROR(LOOKUP(2,1/(Tasks[[#Headers],[_Level]]:Tasks[[#This Row],[_Level]]=Tasks[[#This Row],[_Level]]-1),ROW(Tasks[[#Headers],[_Level]]:Tasks[[#This Row],[_Level]])),0))</f>
        <v>0</v>
      </c>
      <c r="CE197" s="43" t="n">
        <f aca="false">IFERROR(N(INDEX(Tasks[_Level],Tasks[[#This Row],[_Row]]+1)),0)</f>
        <v>0</v>
      </c>
      <c r="CF197" s="90" t="b">
        <f aca="false">AND(Tasks[[#This Row],[Task Name]]&lt;&gt;"",Tasks[[#This Row],[_NextLevel]]&gt;Tasks[[#This Row],[_Level]])</f>
        <v>0</v>
      </c>
      <c r="CG197" s="43" t="n">
        <f aca="false">IF(Tasks[[#This Row],[_IsSummary]],COUNTIF(Tasks[WBS],Tasks[[#This Row],[WBS]]&amp;".*"),0)</f>
        <v>0</v>
      </c>
      <c r="CH197" s="43" t="n">
        <f aca="false">IF(AND(Tasks[[#This Row],[Task Name]]&lt;&gt;"",NOT(Tasks[[#This Row],[_IsSummary]])),1,0)</f>
        <v>0</v>
      </c>
      <c r="CI197" s="43" t="n">
        <f aca="false">IF(N(Tasks[[#This Row],[_Pred1UID]])=0,0,IFERROR(MATCH(Tasks[[#This Row],[_Pred1UID]],Tasks[UID],0),-1))</f>
        <v>0</v>
      </c>
      <c r="CJ197" s="43" t="n">
        <f aca="false">IF(N(Tasks[[#This Row],[_Pred2UID]])=0,0,IFERROR(MATCH(Tasks[[#This Row],[_Pred2UID]],Tasks[UID],0),-1))</f>
        <v>0</v>
      </c>
      <c r="CK197" s="43" t="n">
        <f aca="false">IF(N(Tasks[[#This Row],[_Pred3UID]])=0,0,IFERROR(MATCH(Tasks[[#This Row],[_Pred3UID]],Tasks[UID],0),-1))</f>
        <v>0</v>
      </c>
      <c r="CL197" s="43" t="n">
        <f aca="false">IF(N(Tasks[[#This Row],[_Pred4UID]])=0,0,IFERROR(MATCH(Tasks[[#This Row],[_Pred4UID]],Tasks[UID],0),-1))</f>
        <v>0</v>
      </c>
      <c r="CM1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7" s="91" t="n">
        <f aca="false">IF(OR(Tasks[[#This Row],[_ConstraintCode]]=2,Tasks[[#This Row],[_ConstraintCode]]=3,Tasks[[#This Row],[_ConstraintCode]]=4,Tasks[[#This Row],[_ConstraintCode]]=6),Tasks[[#This Row],[_ConstraintStart]],0)</f>
        <v>0</v>
      </c>
      <c r="CP197" s="91" t="n">
        <f aca="false">IF(OR(Tasks[[#This Row],[_ConstraintCode]]=2,Tasks[[#This Row],[_ConstraintCode]]=3,Tasks[[#This Row],[_ConstraintCode]]=5,Tasks[[#This Row],[_ConstraintCode]]=7),Tasks[[#This Row],[_ConstraintStart]],2958465)</f>
        <v>2958465</v>
      </c>
      <c r="CQ1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7" s="91" t="str">
        <f aca="false">IF(NOT(Tasks[[#This Row],[_IsLeaf]]=1),"",IF(N(Tasks[[#This Row],[_Days]])&lt;=0,Tasks[[#This Row],[_LeafCalcStart]],WORKDAY.INTL(Tasks[[#This Row],[_LeafCalcStart]],Tasks[[#This Row],[_Days]]-1,WorkWeek,Holidays)))</f>
        <v/>
      </c>
      <c r="CS1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7" s="43" t="str">
        <f aca="false">IF(Tasks[[#This Row],[_Predecessors]]="","",TRIM(MID(SUBSTITUTE(SUBSTITUTE(SUBSTITUTE(UPPER(Tasks[[#This Row],[_Predecessors]]),";",",")," ",""),",",REPT(" ",99)),1,99)))</f>
        <v/>
      </c>
      <c r="CV197" s="43" t="str">
        <f aca="false">IF(Tasks[[#This Row],[_Pred1Text]]="","",IFERROR(VALUE(LEFT(Tasks[[#This Row],[_Pred1Text]],MIN(FIND("F",Tasks[[#This Row],[_Pred1Text]]&amp;"F"),FIND("S",Tasks[[#This Row],[_Pred1Text]]&amp;"S"),FIND("+",Tasks[[#This Row],[_Pred1Text]]&amp;"+"),FIND("-",Tasks[[#This Row],[_Pred1Text]]&amp;"-"))-1)),""))</f>
        <v/>
      </c>
      <c r="CW1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7" s="43" t="str">
        <f aca="false">IF(Tasks[[#This Row],[_Pred1Text]]="","",TRIM(MID(SUBSTITUTE(SUBSTITUTE(SUBSTITUTE(UPPER(Tasks[[#This Row],[_Predecessors]]),";",",")," ",""),",",REPT(" ",99)),100,99)))</f>
        <v/>
      </c>
      <c r="CZ197" s="43" t="str">
        <f aca="false">IF(Tasks[[#This Row],[_Pred2Text]]="","",IFERROR(VALUE(LEFT(Tasks[[#This Row],[_Pred2Text]],MIN(FIND("F",Tasks[[#This Row],[_Pred2Text]]&amp;"F"),FIND("S",Tasks[[#This Row],[_Pred2Text]]&amp;"S"),FIND("+",Tasks[[#This Row],[_Pred2Text]]&amp;"+"),FIND("-",Tasks[[#This Row],[_Pred2Text]]&amp;"-"))-1)),""))</f>
        <v/>
      </c>
      <c r="DA1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7" s="43" t="str">
        <f aca="false">IF(Tasks[[#This Row],[_Pred2Text]]="","",TRIM(MID(SUBSTITUTE(SUBSTITUTE(SUBSTITUTE(UPPER(Tasks[[#This Row],[_Predecessors]]),";",",")," ",""),",",REPT(" ",99)),199,99)))</f>
        <v/>
      </c>
      <c r="DD197" s="43" t="str">
        <f aca="false">IF(Tasks[[#This Row],[_Pred3Text]]="","",IFERROR(VALUE(LEFT(Tasks[[#This Row],[_Pred3Text]],MIN(FIND("F",Tasks[[#This Row],[_Pred3Text]]&amp;"F"),FIND("S",Tasks[[#This Row],[_Pred3Text]]&amp;"S"),FIND("+",Tasks[[#This Row],[_Pred3Text]]&amp;"+"),FIND("-",Tasks[[#This Row],[_Pred3Text]]&amp;"-"))-1)),""))</f>
        <v/>
      </c>
      <c r="DE1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7" s="43" t="str">
        <f aca="false">IF(Tasks[[#This Row],[_Pred3Text]]="","",TRIM(MID(SUBSTITUTE(SUBSTITUTE(SUBSTITUTE(UPPER(Tasks[[#This Row],[_Predecessors]]),";",",")," ",""),",",REPT(" ",99)),298,99)))</f>
        <v/>
      </c>
      <c r="DH197" s="43" t="str">
        <f aca="false">IF(Tasks[[#This Row],[_Pred4Text]]="","",IFERROR(VALUE(LEFT(Tasks[[#This Row],[_Pred4Text]],MIN(FIND("F",Tasks[[#This Row],[_Pred4Text]]&amp;"F"),FIND("S",Tasks[[#This Row],[_Pred4Text]]&amp;"S"),FIND("+",Tasks[[#This Row],[_Pred4Text]]&amp;"+"),FIND("-",Tasks[[#This Row],[_Pred4Text]]&amp;"-"))-1)),""))</f>
        <v/>
      </c>
      <c r="DI1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7" s="43" t="str">
        <f aca="false">IF(OR(Tasks[[#This Row],[Task Name]]="",Tasks[[#This Row],[_Resources]]=""),"",TRIM(MID(SUBSTITUTE(Tasks[[#This Row],[_Resources]],",",REPT(" ",99)),1,99)))</f>
        <v/>
      </c>
      <c r="DL197" s="43" t="str">
        <f aca="false">IF(Tasks[[#This Row],[_Res1Text]]="","",TRIM(MID(SUBSTITUTE(Tasks[[#This Row],[_Resources]],",",REPT(" ",99)),100,99)))</f>
        <v/>
      </c>
      <c r="DM197" s="43" t="str">
        <f aca="false">IF(Tasks[[#This Row],[_Res2Text]]="","",TRIM(MID(SUBSTITUTE(Tasks[[#This Row],[_Resources]],",",REPT(" ",99)),199,99)))</f>
        <v/>
      </c>
      <c r="DN197" s="43" t="str">
        <f aca="false">IF(Tasks[[#This Row],[_Res3Text]]="","",TRIM(MID(SUBSTITUTE(Tasks[[#This Row],[_Resources]],",",REPT(" ",99)),298,99)))</f>
        <v/>
      </c>
      <c r="DO197" s="43" t="n">
        <f aca="false">IF(Tasks[[#This Row],[_Res1Text]]="",0,IFERROR(MATCH(TRIM(LEFT(Tasks[[#This Row],[_Res1Text]],FIND("[",Tasks[[#This Row],[_Res1Text]]&amp;"[")-1)),res_Name,0),IFERROR(MATCH(TRIM(LEFT(Tasks[[#This Row],[_Res1Text]],FIND("[",Tasks[[#This Row],[_Res1Text]]&amp;"[")-1)),res_Initials,0),0)))</f>
        <v>0</v>
      </c>
      <c r="DP197" s="43" t="n">
        <f aca="false">IF(Tasks[[#This Row],[_Res2Text]]="",0,IFERROR(MATCH(TRIM(LEFT(Tasks[[#This Row],[_Res2Text]],FIND("[",Tasks[[#This Row],[_Res2Text]]&amp;"[")-1)),res_Name,0),IFERROR(MATCH(TRIM(LEFT(Tasks[[#This Row],[_Res2Text]],FIND("[",Tasks[[#This Row],[_Res2Text]]&amp;"[")-1)),res_Initials,0),0)))</f>
        <v>0</v>
      </c>
      <c r="DQ197" s="43" t="n">
        <f aca="false">IF(Tasks[[#This Row],[_Res3Text]]="",0,IFERROR(MATCH(TRIM(LEFT(Tasks[[#This Row],[_Res3Text]],FIND("[",Tasks[[#This Row],[_Res3Text]]&amp;"[")-1)),res_Name,0),IFERROR(MATCH(TRIM(LEFT(Tasks[[#This Row],[_Res3Text]],FIND("[",Tasks[[#This Row],[_Res3Text]]&amp;"[")-1)),res_Initials,0),0)))</f>
        <v>0</v>
      </c>
      <c r="DR197" s="43" t="n">
        <f aca="false">IF(Tasks[[#This Row],[_Res4Text]]="",0,IFERROR(MATCH(TRIM(LEFT(Tasks[[#This Row],[_Res4Text]],FIND("[",Tasks[[#This Row],[_Res4Text]]&amp;"[")-1)),res_Name,0),IFERROR(MATCH(TRIM(LEFT(Tasks[[#This Row],[_Res4Text]],FIND("[",Tasks[[#This Row],[_Res4Text]]&amp;"[")-1)),res_Initials,0),0)))</f>
        <v>0</v>
      </c>
      <c r="DS197" s="43" t="str">
        <f aca="false">IF(Tasks[[#This Row],[_Res1Text]]="","",IF(Tasks[[#This Row],[_Res1Row]]&gt;0,INDEX(res_Name,Tasks[[#This Row],[_Res1Row]]),TRIM(LEFT(Tasks[[#This Row],[_Res1Text]],FIND("[",Tasks[[#This Row],[_Res1Text]]&amp;"[")-1))))</f>
        <v/>
      </c>
      <c r="DT1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7" s="43" t="n">
        <f aca="false">IF(NOT(Tasks[[#This Row],[_IsLeaf]]=1),0,(Tasks[[#This Row],[_Resource1]]&lt;&gt;"")+(Tasks[[#This Row],[_Res2]]&lt;&gt;"")+(Tasks[[#This Row],[_Res3]]&lt;&gt;"")+(Tasks[[#This Row],[_Res4]]&lt;&gt;""))</f>
        <v>0</v>
      </c>
      <c r="DV197" s="43" t="str">
        <f aca="false">IF(Tasks[[#This Row],[_Res2Text]]="","",IF(Tasks[[#This Row],[_Res2Row]]&gt;0,INDEX(res_Name,Tasks[[#This Row],[_Res2Row]]),TRIM(LEFT(Tasks[[#This Row],[_Res2Text]],FIND("[",Tasks[[#This Row],[_Res2Text]]&amp;"[")-1))))</f>
        <v/>
      </c>
      <c r="DW1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7" s="43" t="n">
        <f aca="false">IF(OR(NOT(Tasks[[#This Row],[_IsLeaf]]=1),Tasks[[#This Row],[_Res2Row]]=0),0,N(Tasks[[#This Row],[_Days]])*HoursPerDay*IF(Tasks[[#This Row],[_Res2Units]]="",DefaultUnits,Tasks[[#This Row],[_Res2Units]]))</f>
        <v>0</v>
      </c>
      <c r="DY197" s="43" t="n">
        <f aca="false">IF(AND(AND(Tasks[[#This Row],[_IsLeaf]]=1,Tasks[[#This Row],[_LeafTotalWork]]&gt;0),Tasks[[#This Row],[_Res2Work]]&gt;0),Tasks[[#This Row],[_Res2Work]]/(Tasks[[#This Row],[_FinishWorkday]]-Tasks[[#This Row],[_StartWorkday]]+1),0)</f>
        <v>0</v>
      </c>
      <c r="DZ197" s="43" t="n">
        <f aca="false">Tasks[[#This Row],[_Res2WorkPerWD]]*MAX(0,Tasks[[#This Row],[_StartWorkday]]-1)</f>
        <v>0</v>
      </c>
      <c r="EA197" s="43" t="n">
        <f aca="false">Tasks[[#This Row],[_Res2Work]]*Tasks[[#This Row],[_LeafProgress]]</f>
        <v>0</v>
      </c>
      <c r="EB197" s="43" t="str">
        <f aca="false">IF(Tasks[[#This Row],[_Res3Text]]="","",IF(Tasks[[#This Row],[_Res3Row]]&gt;0,INDEX(res_Name,Tasks[[#This Row],[_Res3Row]]),TRIM(LEFT(Tasks[[#This Row],[_Res3Text]],FIND("[",Tasks[[#This Row],[_Res3Text]]&amp;"[")-1))))</f>
        <v/>
      </c>
      <c r="EC1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7" s="43" t="n">
        <f aca="false">IF(OR(NOT(Tasks[[#This Row],[_IsLeaf]]=1),Tasks[[#This Row],[_Res3Row]]=0),0,N(Tasks[[#This Row],[_Days]])*HoursPerDay*IF(Tasks[[#This Row],[_Res3Units]]="",DefaultUnits,Tasks[[#This Row],[_Res3Units]]))</f>
        <v>0</v>
      </c>
      <c r="EE197" s="43" t="n">
        <f aca="false">IF(AND(AND(Tasks[[#This Row],[_IsLeaf]]=1,Tasks[[#This Row],[_LeafTotalWork]]&gt;0),Tasks[[#This Row],[_Res3Work]]&gt;0),Tasks[[#This Row],[_Res3Work]]/(Tasks[[#This Row],[_FinishWorkday]]-Tasks[[#This Row],[_StartWorkday]]+1),0)</f>
        <v>0</v>
      </c>
      <c r="EF197" s="43" t="n">
        <f aca="false">Tasks[[#This Row],[_Res3WorkPerWD]]*MAX(0,Tasks[[#This Row],[_StartWorkday]]-1)</f>
        <v>0</v>
      </c>
      <c r="EG197" s="43" t="n">
        <f aca="false">Tasks[[#This Row],[_Res3Work]]*Tasks[[#This Row],[_LeafProgress]]</f>
        <v>0</v>
      </c>
      <c r="EH197" s="43" t="str">
        <f aca="false">IF(Tasks[[#This Row],[_Res4Text]]="","",IF(Tasks[[#This Row],[_Res4Row]]&gt;0,INDEX(res_Name,Tasks[[#This Row],[_Res4Row]]),TRIM(LEFT(Tasks[[#This Row],[_Res4Text]],FIND("[",Tasks[[#This Row],[_Res4Text]]&amp;"[")-1))))</f>
        <v/>
      </c>
      <c r="EI1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7" s="43" t="n">
        <f aca="false">IF(OR(NOT(Tasks[[#This Row],[_IsLeaf]]=1),Tasks[[#This Row],[_Res4Row]]=0),0,N(Tasks[[#This Row],[_Days]])*HoursPerDay*IF(Tasks[[#This Row],[_Res4Units]]="",DefaultUnits,Tasks[[#This Row],[_Res4Units]]))</f>
        <v>0</v>
      </c>
      <c r="EK197" s="43" t="n">
        <f aca="false">IF(AND(AND(Tasks[[#This Row],[_IsLeaf]]=1,Tasks[[#This Row],[_LeafTotalWork]]&gt;0),Tasks[[#This Row],[_Res4Work]]&gt;0),Tasks[[#This Row],[_Res4Work]]/(Tasks[[#This Row],[_FinishWorkday]]-Tasks[[#This Row],[_StartWorkday]]+1),0)</f>
        <v>0</v>
      </c>
      <c r="EL197" s="43" t="n">
        <f aca="false">Tasks[[#This Row],[_Res4WorkPerWD]]*MAX(0,Tasks[[#This Row],[_StartWorkday]]-1)</f>
        <v>0</v>
      </c>
      <c r="EM197" s="43" t="n">
        <f aca="false">Tasks[[#This Row],[_Res4Work]]*Tasks[[#This Row],[_LeafProgress]]</f>
        <v>0</v>
      </c>
      <c r="EN197" s="43" t="n">
        <f aca="false">IF(ISNUMBER(Tasks[[#This Row],[% Complete]]),Tasks[[#This Row],[% Complete]],IF(Tasks[[#This Row],[Stage]]="",0,IFERROR(INDEX(stg_Pct,MATCH(Tasks[[#This Row],[Stage]],stg_Name,0)),0)))</f>
        <v>0</v>
      </c>
      <c r="EO197" s="43" t="n">
        <f aca="false">IF(NOT(Tasks[[#This Row],[_IsLeaf]]=1),0,IF(N(Tasks[[#This Row],[Actual Finish]])&gt;0,1,MIN(1,Tasks[[#This Row],[_Pct]])))</f>
        <v>0</v>
      </c>
      <c r="EP197" s="43" t="n">
        <f aca="false">IF(OR(NOT(Tasks[[#This Row],[_IsLeaf]]=1),Tasks[[#This Row],[_Res1Row]]=0),0,N(Tasks[[#This Row],[_Days]])*HoursPerDay*IF(Tasks[[#This Row],[_Units1]]="",DefaultUnits,Tasks[[#This Row],[_Units1]]))</f>
        <v>0</v>
      </c>
      <c r="EQ197" s="43" t="n">
        <f aca="false">Tasks[[#This Row],[_LeafWork]]+Tasks[[#This Row],[_Res2Work]]+Tasks[[#This Row],[_Res3Work]]+Tasks[[#This Row],[_Res4Work]]</f>
        <v>0</v>
      </c>
      <c r="ER19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7" s="43" t="n">
        <f aca="false">IF(NOT(Tasks[[#This Row],[_IsLeaf]]=1),0,MAX(_xlfn.MAXIFS(Tasks[_Row],Tasks[_Pred1UID],Tasks[[#This Row],[UID]]),_xlfn.MAXIFS(Tasks[_Row],Tasks[_Pred2UID],Tasks[[#This Row],[UID]]),_xlfn.MAXIFS(Tasks[_Row],Tasks[_Pred3UID],Tasks[[#This Row],[UID]]),_xlfn.MAXIFS(Tasks[_Row],Tasks[_Pred4UID],Tasks[[#This Row],[UID]])))</f>
        <v>0</v>
      </c>
      <c r="FA1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7" s="91" t="str">
        <f aca="false">IF(NOT(Tasks[[#This Row],[_IsLeaf]]=1),"",IF(N(Tasks[[#This Row],[_Days]])&lt;=0,Tasks[[#This Row],[_LeafLateFinish]],WORKDAY.INTL(Tasks[[#This Row],[_LeafLateFinish]],-(Tasks[[#This Row],[_Days]]-1),WorkWeek,Holidays)))</f>
        <v/>
      </c>
      <c r="FD1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7" s="90" t="b">
        <f aca="false">AND(Tasks[[#This Row],[_IsLeaf]]=1,Tasks[[#This Row],[_LeafProgress]]&lt;1,N(Tasks[[#This Row],[_LeafTotalSlack]])&lt;=CriticalSlackDays)</f>
        <v>0</v>
      </c>
      <c r="FF197" s="43" t="n">
        <f aca="false">IF(AND(Tasks[[#This Row],[_IsLeaf]]=1,Tasks[[#This Row],[_ConstraintCode]]=1,Tasks[[#This Row],[Mode]]&lt;&gt;"Manual",N(Tasks[[#This Row],[Actual Start]])=0),MAX(0,N(Tasks[[#This Row],[Free Slack]])),0)</f>
        <v>0</v>
      </c>
      <c r="FG197" s="91" t="str">
        <f aca="false">IF(NOT(Tasks[[#This Row],[_IsLeaf]]=1),"",IF(Tasks[[#This Row],[_AlapShift]]=0,Tasks[[#This Row],[_LeafCalcStart]],WORKDAY.INTL(Tasks[[#This Row],[_LeafCalcStart]],Tasks[[#This Row],[_AlapShift]],WorkWeek,Holidays)))</f>
        <v/>
      </c>
      <c r="FH197" s="91" t="str">
        <f aca="false">IF(NOT(Tasks[[#This Row],[_IsLeaf]]=1),"",IF(Tasks[[#This Row],[_AlapShift]]=0,Tasks[[#This Row],[_LeafCalcFinish]],WORKDAY.INTL(Tasks[[#This Row],[_LeafCalcFinish]],Tasks[[#This Row],[_AlapShift]],WorkWeek,Holidays)))</f>
        <v/>
      </c>
      <c r="FI197" s="91" t="str">
        <f aca="false">IF(NOT(Tasks[[#This Row],[_IsLeaf]]=1),"",IF(Tasks[[#This Row],[_AlapShift]]=0,Tasks[[#This Row],[_LeafFcstStart]],WORKDAY.INTL(Tasks[[#This Row],[_LeafFcstStart]],Tasks[[#This Row],[_AlapShift]],WorkWeek,Holidays)))</f>
        <v/>
      </c>
      <c r="FJ197" s="91" t="str">
        <f aca="false">IF(NOT(Tasks[[#This Row],[_IsLeaf]]=1),"",IF(Tasks[[#This Row],[_AlapShift]]=0,Tasks[[#This Row],[_LeafFcstFinish]],WORKDAY.INTL(Tasks[[#This Row],[_LeafFcstFinish]],Tasks[[#This Row],[_AlapShift]],WorkWeek,Holidays)))</f>
        <v/>
      </c>
      <c r="FK197" s="91" t="str">
        <f aca="false">IF(Tasks[[#This Row],[Task Name]]="","",IF(Tasks[[#This Row],[_IsSummary]],MIN(INDEX(Tasks[_ShownCalcStart],Tasks[[#This Row],[_Row]]+1):INDEX(Tasks[_ShownCalcStart],Tasks[[#This Row],[_Row]]+Tasks[[#This Row],[_Descendants]])),Tasks[[#This Row],[_ShownCalcStart]]))</f>
        <v/>
      </c>
      <c r="FL197" s="91" t="str">
        <f aca="false">IF(Tasks[[#This Row],[Task Name]]="","",IF(Tasks[[#This Row],[_IsSummary]],MAX(INDEX(Tasks[_ShownCalcFinish],Tasks[[#This Row],[_Row]]+1):INDEX(Tasks[_ShownCalcFinish],Tasks[[#This Row],[_Row]]+Tasks[[#This Row],[_Descendants]])),Tasks[[#This Row],[_ShownCalcFinish]]))</f>
        <v/>
      </c>
      <c r="FM1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7" s="43" t="n">
        <f aca="false">IF(AND(Tasks[[#This Row],[_IsLeaf]]=1,Tasks[[#This Row],[_LeafTotalWork]]&gt;0),NETWORKDAYS.INTL(ProjectStart,Tasks[[#This Row],[_ShownFcstStart]],WorkWeek,Holidays),0)</f>
        <v>0</v>
      </c>
      <c r="FZ197" s="43" t="n">
        <f aca="false">IF(AND(Tasks[[#This Row],[_IsLeaf]]=1,Tasks[[#This Row],[_LeafTotalWork]]&gt;0),MAX(Tasks[[#This Row],[_StartWorkday]],NETWORKDAYS.INTL(ProjectStart,Tasks[[#This Row],[_ShownFcstFinish]],WorkWeek,Holidays)),0)</f>
        <v>0</v>
      </c>
      <c r="GA197" s="43" t="n">
        <f aca="false">IF(AND(Tasks[[#This Row],[_IsLeaf]]=1,Tasks[[#This Row],[_LeafTotalWork]]&gt;0),Tasks[[#This Row],[_LeafWork]]/(Tasks[[#This Row],[_FinishWorkday]]-Tasks[[#This Row],[_StartWorkday]]+1),0)</f>
        <v>0</v>
      </c>
      <c r="GB197" s="43" t="n">
        <f aca="false">Tasks[[#This Row],[_WorkPerWorkday]]*(Tasks[[#This Row],[_StartWorkday]]-1)</f>
        <v>-0</v>
      </c>
      <c r="GC197" s="43" t="n">
        <f aca="false">IF(Tasks[[#This Row],[_IsLeaf]]=1,MAX(N(Tasks[[#This Row],[_Days]]),0.1),0)</f>
        <v>0</v>
      </c>
      <c r="GD197" s="43" t="n">
        <f aca="false">Tasks[[#This Row],[_WeightDur]]*Tasks[[#This Row],[_LeafProgress]]</f>
        <v>0</v>
      </c>
      <c r="GE197" s="43" t="n">
        <f aca="false">Tasks[[#This Row],[_WeightDur]]*Tasks[[#This Row],[_PlannedPct]]</f>
        <v>0</v>
      </c>
      <c r="GF1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7" s="43" t="str">
        <f aca="false">IF(AND(Tasks[[#This Row],[_IsLeaf]]=1,N(Tasks[[#This Row],[_Days]])=0,Tasks[[#This Row],[_LeafProgress]]&lt;1),Tasks[[#This Row],[_ShownFcstFinish]]+Tasks[[#This Row],[_Row]]/100000,"")</f>
        <v/>
      </c>
      <c r="GH1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7" s="43" t="str">
        <f aca="false">IF(Tasks[[#This Row],[Task Name]]="","",LEFT(Tasks[[#This Row],[WBS]],FIND(".",Tasks[[#This Row],[WBS]]&amp;".")-1))</f>
        <v/>
      </c>
      <c r="GJ197" s="43" t="str">
        <f aca="false">IF(AND(Tasks[[#This Row],[Task Name]]&lt;&gt;"",Tasks[[#This Row],[_Level]]=1),Tasks[[#This Row],[_Row]],"")</f>
        <v/>
      </c>
      <c r="GK197" s="43" t="str">
        <f aca="false">IF(AND(Tasks[[#This Row],[_IsLeaf]]=1,N(Tasks[[#This Row],[_Days]])=0),Tasks[[#This Row],[Planned Finish]]+Tasks[[#This Row],[_Row]]/100000,"")</f>
        <v/>
      </c>
      <c r="GL197" s="43" t="str">
        <f aca="false">IF(AND(Tasks[[#This Row],[_IsLeaf]]=1,Tasks[[#This Row],[_LeafProgress]]&lt;1,OR(N(Tasks[[#This Row],[Finish Var]])&gt;0,Tasks[[#This Row],[Status]]="Late Start")),MAX(0,Tasks[[#This Row],[Finish Var]])+1-Tasks[[#This Row],[_Row]]/1000000,"")</f>
        <v/>
      </c>
      <c r="GM197" s="43" t="str">
        <f aca="false">IF(AND(Tasks[[#This Row],[_IsLeaf]]=1,N(Tasks[[#This Row],[Actual Start]])=0,Tasks[[#This Row],[_ShownFcstStart]]&gt;=StatusDate,Tasks[[#This Row],[_ShownFcstStart]]&lt;=LookaheadEnd),Tasks[[#This Row],[_ShownFcstStart]]+Tasks[[#This Row],[_Row]]/100000,"")</f>
        <v/>
      </c>
      <c r="GN197" s="43" t="str">
        <f aca="false">IF(AND(Tasks[[#This Row],[_IsLeaf]]=1,Tasks[[#This Row],[_LeafProgress]]&lt;1,Tasks[[#This Row],[_ShownFcstFinish]]&gt;=StatusDate,Tasks[[#This Row],[_ShownFcstFinish]]&lt;=LookaheadEnd),Tasks[[#This Row],[_ShownFcstFinish]]+Tasks[[#This Row],[_Row]]/100000,"")</f>
        <v/>
      </c>
      <c r="GO197" s="43" t="str">
        <f aca="false">IF(Tasks[[#This Row],[_LeafCritical]],Tasks[[#This Row],[_ShownFcstStart]]+Tasks[[#This Row],[_Row]]/100000,"")</f>
        <v/>
      </c>
      <c r="GP197" s="43" t="n">
        <f aca="false">Tasks[[#This Row],[_LeafWork]]*Tasks[[#This Row],[_LeafProgress]]</f>
        <v>0</v>
      </c>
      <c r="GQ197" s="91" t="str">
        <f aca="false">IF(AND(Tasks[[#This Row],[_IsLeaf]]=1,Tasks[[#This Row],[_LeafProgress]]&gt;=1),IF(N(Tasks[[#This Row],[Actual Finish]])&gt;0,Tasks[[#This Row],[Actual Finish]],Tasks[[#This Row],[_ShownFcstFinish]]),"")</f>
        <v/>
      </c>
      <c r="GR197" s="43" t="n">
        <f aca="false">IF(Tasks[[#This Row],[_IsLeaf]]=1,N(Tasks[[#This Row],[Story Points]]),0)</f>
        <v>0</v>
      </c>
      <c r="GS197" s="43" t="str">
        <f aca="false">""</f>
        <v/>
      </c>
      <c r="GT197" s="90" t="b">
        <f aca="false">IF(Tasks[[#This Row],[Task Name]]="",FALSE(),AND(Tasks[[#This Row],[_IsLeaf]]=1,N(Tasks[[#This Row],[_Days]])=0))</f>
        <v>0</v>
      </c>
      <c r="GU197" s="91" t="n">
        <f aca="false">IF(Tasks[[#This Row],[Task Name]]="",0,IF(AND(Tasks[[#This Row],[_IsLeaf]]=1,NOT(Tasks[[#This Row],[_IsMilestone]]),N(Tasks[[#This Row],[Progress]])&gt;0),Tasks[[#This Row],[Start]],0))</f>
        <v>0</v>
      </c>
      <c r="GV197" s="91" t="n">
        <f aca="false">IF(Tasks[[#This Row],[_DoneFrom]]=0,0,IF(Tasks[[#This Row],[Progress]]&gt;=1,Tasks[[#This Row],[Finish]],MAX(Tasks[[#This Row],[_DoneFrom]],Tasks[[#This Row],[Start]]+ROUND((Tasks[[#This Row],[Finish]]-Tasks[[#This Row],[Start]]+1)*Tasks[[#This Row],[Progress]],0)-1)))</f>
        <v>0</v>
      </c>
      <c r="GW197" s="91" t="n">
        <f aca="false">IF(Tasks[[#This Row],[Task Name]]="",0,IF(OR(NOT(Tasks[[#This Row],[_IsLeaf]]=1),Tasks[[#This Row],[_IsMilestone]],N(Tasks[[#This Row],[Progress]])&gt;=1),0,IF(Tasks[[#This Row],[_DoneTo]]&gt;0,Tasks[[#This Row],[_DoneTo]]+1,Tasks[[#This Row],[Start]])))</f>
        <v>0</v>
      </c>
      <c r="GX197" s="91" t="n">
        <f aca="false">IF(Tasks[[#This Row],[_RemFrom]]=0,0,Tasks[[#This Row],[Finish]])</f>
        <v>0</v>
      </c>
      <c r="GY197" s="90" t="b">
        <f aca="false">IF(Tasks[[#This Row],[Task Name]]="",FALSE(),OR(NOT(BaselineSet),N(Tasks[[#This Row],[Baseline Start]])&gt;0))</f>
        <v>0</v>
      </c>
      <c r="GZ197"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7" s="92" t="str">
        <f aca="false">IF(Tasks[[#This Row],[_IsLeaf]]=1,Tasks[[#This Row],[_Row]],"")</f>
        <v/>
      </c>
      <c r="HD197" s="92" t="str">
        <f aca="false">IFERROR(INDEX(Tasks[UID],SMALL(Tasks[_PickKey],Tasks[[#This Row],[_Row]]))&amp;" "&amp;INDEX(Tasks[Task Name],SMALL(Tasks[_PickKey],Tasks[[#This Row],[_Row]])),"")</f>
        <v/>
      </c>
      <c r="HE197" s="43" t="str">
        <f aca="false">IF(Tasks[[#This Row],[Task Name]]="","",IF(Tasks[[#This Row],[_IsSummary]],NETWORKDAYS.INTL(Tasks[[#This Row],[Start]],Tasks[[#This Row],[Finish]],WorkWeek,Holidays),N(Tasks[[#This Row],[_Days]])))</f>
        <v/>
      </c>
      <c r="HF197" s="43" t="n">
        <f aca="false">IF(Tasks[[#This Row],[Expected]]="",0,((Tasks[[#This Row],[Pessimistic]]-Tasks[[#This Row],[Optimistic]])/6)^2)</f>
        <v>0</v>
      </c>
      <c r="HG197" s="43" t="n">
        <f aca="false">IF(Tasks[[#This Row],[Expected]]="",0,Tasks[[#This Row],[Expected]]-N(Tasks[[#This Row],[_Days]]))</f>
        <v>0</v>
      </c>
    </row>
    <row r="198" customFormat="false" ht="15" hidden="false" customHeight="false" outlineLevel="0" collapsed="false">
      <c r="A198" s="21" t="str">
        <f aca="false">IF(Tasks[[#This Row],[Task Name]]="","",COUNTA(Tasks[[#Headers],[Task Name]]:Tasks[[#This Row],[Task Name]])-1)</f>
        <v/>
      </c>
      <c r="B198" s="22" t="n">
        <v>206</v>
      </c>
      <c r="C198" s="22"/>
      <c r="D198" s="23"/>
      <c r="E198" s="22"/>
      <c r="F198" s="23"/>
      <c r="G198" s="22"/>
      <c r="H198" s="22"/>
      <c r="I198" s="23"/>
      <c r="J198" s="22"/>
      <c r="K198" s="22"/>
      <c r="L198" s="23"/>
      <c r="M198" s="22"/>
      <c r="N198" s="22"/>
      <c r="O198" s="23"/>
      <c r="P198" s="22"/>
      <c r="Q198" s="22"/>
      <c r="R198" s="23"/>
      <c r="S198" s="23"/>
      <c r="T198" s="84"/>
      <c r="U198" s="23"/>
      <c r="V198" s="84"/>
      <c r="W198" s="23"/>
      <c r="X198" s="84"/>
      <c r="Y198" s="23"/>
      <c r="Z198" s="84"/>
      <c r="AA198" s="23"/>
      <c r="AB198" s="23"/>
      <c r="AC198" s="7"/>
      <c r="AD198" s="7"/>
      <c r="AE198" s="63" t="str">
        <f aca="false">IF(Tasks[[#This Row],[Task Name]]="","",IF(Tasks[[#This Row],[_IsSummary]],MIN(INDEX(Tasks[_ShownFcstStart],Tasks[[#This Row],[_Row]]+1):INDEX(Tasks[_ShownFcstStart],Tasks[[#This Row],[_Row]]+Tasks[[#This Row],[_Descendants]])),Tasks[[#This Row],[_ShownFcstStart]]))</f>
        <v/>
      </c>
      <c r="AF198" s="63" t="str">
        <f aca="false">IF(Tasks[[#This Row],[Task Name]]="","",IF(Tasks[[#This Row],[_IsSummary]],MAX(INDEX(Tasks[_ShownFcstFinish],Tasks[[#This Row],[_Row]]+1):INDEX(Tasks[_ShownFcstFinish],Tasks[[#This Row],[_Row]]+Tasks[[#This Row],[_Descendants]])),Tasks[[#This Row],[_ShownFcstFinish]]))</f>
        <v/>
      </c>
      <c r="AG198" s="21" t="str">
        <f aca="false">""</f>
        <v/>
      </c>
      <c r="AH198" s="23"/>
      <c r="AI1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8" s="7"/>
      <c r="AK198" s="22"/>
      <c r="AL198" s="23"/>
      <c r="AM198" s="7"/>
      <c r="AN198" s="47" t="str">
        <f aca="false">IF(Tasks[[#This Row],[Task Name]]="","",IF(Tasks[[#This Row],[Finish]]&gt;=Tasks[[#This Row],[Planned Finish]],NETWORKDAYS.INTL(Tasks[[#This Row],[Planned Finish]],Tasks[[#This Row],[Finish]],WorkWeek,Holidays)-1,1-NETWORKDAYS.INTL(Tasks[[#This Row],[Finish]],Tasks[[#This Row],[Planned Finish]],WorkWeek,Holidays)))</f>
        <v/>
      </c>
      <c r="AO198" s="21" t="str">
        <f aca="false">IF(Tasks[[#This Row],[Task Name]]="","",IF(Tasks[[#This Row],[Progress]]&gt;=1,"Complete",IF(OR(N(Tasks[[#This Row],[Actual Start]])&gt;0,Tasks[[#This Row],[Progress]]&gt;0),IF(Tasks[[#This Row],[Finish Var]]&gt;0,"Behind","In Progress"),IF(Tasks[[#This Row],[Planned Start]]&lt;StatusDate,"Late Start","Not Started"))))</f>
        <v/>
      </c>
      <c r="AP198" s="21" t="str">
        <f aca="false">IF(Tasks[[#This Row],[Task Name]]="","",IF(IF(Tasks[[#This Row],[_IsSummary]],COUNTIF(INDEX(Tasks[_LeafCritical],Tasks[[#This Row],[_Row]]+1):INDEX(Tasks[_LeafCritical],Tasks[[#This Row],[_Row]]+Tasks[[#This Row],[_Descendants]]),TRUE())&gt;0,Tasks[[#This Row],[_LeafCritical]]),"Yes",""))</f>
        <v/>
      </c>
      <c r="AQ198" s="63" t="str">
        <f aca="false">IF(Tasks[[#This Row],[Task Name]]="","",IF(N(Tasks[[#This Row],[Baseline Start]])&gt;0,Tasks[[#This Row],[Baseline Start]],Tasks[[#This Row],[_CalcStart]]))</f>
        <v/>
      </c>
      <c r="AR198" s="63" t="str">
        <f aca="false">IF(Tasks[[#This Row],[Task Name]]="","",IF(N(Tasks[[#This Row],[Baseline Finish]])&gt;0,Tasks[[#This Row],[Baseline Finish]],Tasks[[#This Row],[_CalcFinish]]))</f>
        <v/>
      </c>
      <c r="AS198" s="47" t="str">
        <f aca="false">IF(Tasks[[#This Row],[Task Name]]="","",IF(Tasks[[#This Row],[Start]]&gt;=Tasks[[#This Row],[Planned Start]],NETWORKDAYS.INTL(Tasks[[#This Row],[Planned Start]],Tasks[[#This Row],[Start]],WorkWeek,Holidays)-1,1-NETWORKDAYS.INTL(Tasks[[#This Row],[Start]],Tasks[[#This Row],[Planned Start]],WorkWeek,Holidays)))</f>
        <v/>
      </c>
      <c r="AT198" s="63" t="str">
        <f aca="false">IF(Tasks[[#This Row],[Task Name]]="","",IF(Tasks[[#This Row],[_IsSummary]],MIN(INDEX(Tasks[_LeafLateStart],Tasks[[#This Row],[_Row]]+1):INDEX(Tasks[_LeafLateStart],Tasks[[#This Row],[_Row]]+Tasks[[#This Row],[_Descendants]])),Tasks[[#This Row],[_LeafLateStart]]))</f>
        <v/>
      </c>
      <c r="AU198" s="63" t="str">
        <f aca="false">IF(Tasks[[#This Row],[Task Name]]="","",IF(Tasks[[#This Row],[_IsSummary]],MAX(INDEX(Tasks[_LeafLateFinish],Tasks[[#This Row],[_Row]]+1):INDEX(Tasks[_LeafLateFinish],Tasks[[#This Row],[_Row]]+Tasks[[#This Row],[_Descendants]])),Tasks[[#This Row],[_LeafLateFinish]]))</f>
        <v/>
      </c>
      <c r="AV198" s="47" t="str">
        <f aca="false">IF(Tasks[[#This Row],[Task Name]]="","",IF(Tasks[[#This Row],[_IsSummary]],MIN(INDEX(Tasks[_LeafTotalSlack],Tasks[[#This Row],[_Row]]+1):INDEX(Tasks[_LeafTotalSlack],Tasks[[#This Row],[_Row]]+Tasks[[#This Row],[_Descendants]])),Tasks[[#This Row],[_LeafTotalSlack]]))</f>
        <v/>
      </c>
      <c r="AW1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5"/>
      <c r="BA19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t="str">
        <f aca="false">IF(Tasks[[#This Row],[Task Name]]="","",IF(Tasks[[#This Row],[_Level]]&lt;=OutlineShowLevel,"Yes","No"))</f>
        <v/>
      </c>
      <c r="BE198" s="86" t="str">
        <f aca="false">IF(Tasks[[#This Row],[Task Name]]="","",IF(Tasks[[#This Row],[_IsSummary]],SUM(INDEX(Tasks[_LeafTotalWork],Tasks[[#This Row],[_Row]]+1):INDEX(Tasks[_LeafTotalWork],Tasks[[#This Row],[_Row]]+Tasks[[#This Row],[_Descendants]])),Tasks[[#This Row],[_LeafTotalWork]]))</f>
        <v/>
      </c>
      <c r="BF198" s="23"/>
      <c r="BG1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t="str">
        <f aca="false">""</f>
        <v/>
      </c>
      <c r="BI198" s="87"/>
      <c r="BJ198" s="22"/>
      <c r="BK198" s="47" t="str">
        <f aca="false">IF(OR(Tasks[[#This Row],[Task Name]]="",Tasks[[#This Row],[Baseline Duration]]=""),"",Tasks[[#This Row],[_SpanDays]]-N(Tasks[[#This Row],[Baseline Duration]]))</f>
        <v/>
      </c>
      <c r="BL198" s="86" t="str">
        <f aca="false">IF(OR(Tasks[[#This Row],[Task Name]]="",Tasks[[#This Row],[Baseline Work]]=""),"",Tasks[[#This Row],[Work]]-N(Tasks[[#This Row],[Baseline Work]]))</f>
        <v/>
      </c>
      <c r="BM198" s="63" t="str">
        <f aca="false">IF(Tasks[[#This Row],[Task Name]]="","",IF(OR(TakeBaseline="Yes",N(Tasks[[#This Row],[Baseline Start]])=0),Tasks[[#This Row],[Start]],Tasks[[#This Row],[Baseline Start]]))</f>
        <v/>
      </c>
      <c r="BN198" s="63" t="str">
        <f aca="false">IF(Tasks[[#This Row],[Task Name]]="","",IF(OR(TakeBaseline="Yes",N(Tasks[[#This Row],[Baseline Finish]])=0),Tasks[[#This Row],[Finish]],Tasks[[#This Row],[Baseline Finish]]))</f>
        <v/>
      </c>
      <c r="BO198" s="21" t="str">
        <f aca="false">IF(Tasks[[#This Row],[Task Name]]="","",IF(OR(TakeBaseline="Yes",N(Tasks[[#This Row],[Baseline Duration]])=0),Tasks[[#This Row],[_SpanDays]],Tasks[[#This Row],[Baseline Duration]]))</f>
        <v/>
      </c>
      <c r="BP198" s="86" t="str">
        <f aca="false">IF(Tasks[[#This Row],[Task Name]]="","",IF(OR(TakeBaseline="Yes",N(Tasks[[#This Row],[Baseline Work]])=0),Tasks[[#This Row],[Work]],Tasks[[#This Row],[Baseline Work]]))</f>
        <v/>
      </c>
      <c r="BQ198" s="7"/>
      <c r="BR198" s="7"/>
      <c r="BS198" s="22"/>
      <c r="BT198" s="88"/>
      <c r="BU198" s="23"/>
      <c r="BV198" s="23"/>
      <c r="BW198" s="23"/>
      <c r="BX198" s="89" t="str">
        <f aca="false">IF(AND(Tasks[[#This Row],[_IsLeaf]]=1,ISNUMBER(Tasks[[#This Row],[Optimistic]]),ISNUMBER(Tasks[[#This Row],[Pessimistic]])),ROUND((Tasks[[#This Row],[Optimistic]]+4*N(Tasks[[#This Row],[_Days]])+Tasks[[#This Row],[Pessimistic]])/6,1),"")</f>
        <v/>
      </c>
      <c r="BY198" s="87"/>
      <c r="BZ198" s="87"/>
      <c r="CA198" s="22"/>
      <c r="CB198" s="43" t="str">
        <f aca="false">IF(Tasks[[#This Row],[Task Name]]="","",MAX(1,N(Tasks[[#This Row],[Level]])))</f>
        <v/>
      </c>
      <c r="CC198" s="43" t="n">
        <f aca="false">ROW()-ROW(Tasks[[#Headers],[ID]])</f>
        <v>193</v>
      </c>
      <c r="CD198" s="43" t="n">
        <f aca="false">IF(OR(Tasks[[#This Row],[Task Name]]="",Tasks[[#This Row],[_Level]]&lt;=1),0,IFERROR(LOOKUP(2,1/(Tasks[[#Headers],[_Level]]:Tasks[[#This Row],[_Level]]=Tasks[[#This Row],[_Level]]-1),ROW(Tasks[[#Headers],[_Level]]:Tasks[[#This Row],[_Level]])),0))</f>
        <v>0</v>
      </c>
      <c r="CE198" s="43" t="n">
        <f aca="false">IFERROR(N(INDEX(Tasks[_Level],Tasks[[#This Row],[_Row]]+1)),0)</f>
        <v>0</v>
      </c>
      <c r="CF198" s="90" t="b">
        <f aca="false">AND(Tasks[[#This Row],[Task Name]]&lt;&gt;"",Tasks[[#This Row],[_NextLevel]]&gt;Tasks[[#This Row],[_Level]])</f>
        <v>0</v>
      </c>
      <c r="CG198" s="43" t="n">
        <f aca="false">IF(Tasks[[#This Row],[_IsSummary]],COUNTIF(Tasks[WBS],Tasks[[#This Row],[WBS]]&amp;".*"),0)</f>
        <v>0</v>
      </c>
      <c r="CH198" s="43" t="n">
        <f aca="false">IF(AND(Tasks[[#This Row],[Task Name]]&lt;&gt;"",NOT(Tasks[[#This Row],[_IsSummary]])),1,0)</f>
        <v>0</v>
      </c>
      <c r="CI198" s="43" t="n">
        <f aca="false">IF(N(Tasks[[#This Row],[_Pred1UID]])=0,0,IFERROR(MATCH(Tasks[[#This Row],[_Pred1UID]],Tasks[UID],0),-1))</f>
        <v>0</v>
      </c>
      <c r="CJ198" s="43" t="n">
        <f aca="false">IF(N(Tasks[[#This Row],[_Pred2UID]])=0,0,IFERROR(MATCH(Tasks[[#This Row],[_Pred2UID]],Tasks[UID],0),-1))</f>
        <v>0</v>
      </c>
      <c r="CK198" s="43" t="n">
        <f aca="false">IF(N(Tasks[[#This Row],[_Pred3UID]])=0,0,IFERROR(MATCH(Tasks[[#This Row],[_Pred3UID]],Tasks[UID],0),-1))</f>
        <v>0</v>
      </c>
      <c r="CL198" s="43" t="n">
        <f aca="false">IF(N(Tasks[[#This Row],[_Pred4UID]])=0,0,IFERROR(MATCH(Tasks[[#This Row],[_Pred4UID]],Tasks[UID],0),-1))</f>
        <v>0</v>
      </c>
      <c r="CM1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8" s="91" t="n">
        <f aca="false">IF(OR(Tasks[[#This Row],[_ConstraintCode]]=2,Tasks[[#This Row],[_ConstraintCode]]=3,Tasks[[#This Row],[_ConstraintCode]]=4,Tasks[[#This Row],[_ConstraintCode]]=6),Tasks[[#This Row],[_ConstraintStart]],0)</f>
        <v>0</v>
      </c>
      <c r="CP198" s="91" t="n">
        <f aca="false">IF(OR(Tasks[[#This Row],[_ConstraintCode]]=2,Tasks[[#This Row],[_ConstraintCode]]=3,Tasks[[#This Row],[_ConstraintCode]]=5,Tasks[[#This Row],[_ConstraintCode]]=7),Tasks[[#This Row],[_ConstraintStart]],2958465)</f>
        <v>2958465</v>
      </c>
      <c r="CQ1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8" s="91" t="str">
        <f aca="false">IF(NOT(Tasks[[#This Row],[_IsLeaf]]=1),"",IF(N(Tasks[[#This Row],[_Days]])&lt;=0,Tasks[[#This Row],[_LeafCalcStart]],WORKDAY.INTL(Tasks[[#This Row],[_LeafCalcStart]],Tasks[[#This Row],[_Days]]-1,WorkWeek,Holidays)))</f>
        <v/>
      </c>
      <c r="CS1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8" s="43" t="str">
        <f aca="false">IF(Tasks[[#This Row],[_Predecessors]]="","",TRIM(MID(SUBSTITUTE(SUBSTITUTE(SUBSTITUTE(UPPER(Tasks[[#This Row],[_Predecessors]]),";",",")," ",""),",",REPT(" ",99)),1,99)))</f>
        <v/>
      </c>
      <c r="CV198" s="43" t="str">
        <f aca="false">IF(Tasks[[#This Row],[_Pred1Text]]="","",IFERROR(VALUE(LEFT(Tasks[[#This Row],[_Pred1Text]],MIN(FIND("F",Tasks[[#This Row],[_Pred1Text]]&amp;"F"),FIND("S",Tasks[[#This Row],[_Pred1Text]]&amp;"S"),FIND("+",Tasks[[#This Row],[_Pred1Text]]&amp;"+"),FIND("-",Tasks[[#This Row],[_Pred1Text]]&amp;"-"))-1)),""))</f>
        <v/>
      </c>
      <c r="CW1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8" s="43" t="str">
        <f aca="false">IF(Tasks[[#This Row],[_Pred1Text]]="","",TRIM(MID(SUBSTITUTE(SUBSTITUTE(SUBSTITUTE(UPPER(Tasks[[#This Row],[_Predecessors]]),";",",")," ",""),",",REPT(" ",99)),100,99)))</f>
        <v/>
      </c>
      <c r="CZ198" s="43" t="str">
        <f aca="false">IF(Tasks[[#This Row],[_Pred2Text]]="","",IFERROR(VALUE(LEFT(Tasks[[#This Row],[_Pred2Text]],MIN(FIND("F",Tasks[[#This Row],[_Pred2Text]]&amp;"F"),FIND("S",Tasks[[#This Row],[_Pred2Text]]&amp;"S"),FIND("+",Tasks[[#This Row],[_Pred2Text]]&amp;"+"),FIND("-",Tasks[[#This Row],[_Pred2Text]]&amp;"-"))-1)),""))</f>
        <v/>
      </c>
      <c r="DA1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8" s="43" t="str">
        <f aca="false">IF(Tasks[[#This Row],[_Pred2Text]]="","",TRIM(MID(SUBSTITUTE(SUBSTITUTE(SUBSTITUTE(UPPER(Tasks[[#This Row],[_Predecessors]]),";",",")," ",""),",",REPT(" ",99)),199,99)))</f>
        <v/>
      </c>
      <c r="DD198" s="43" t="str">
        <f aca="false">IF(Tasks[[#This Row],[_Pred3Text]]="","",IFERROR(VALUE(LEFT(Tasks[[#This Row],[_Pred3Text]],MIN(FIND("F",Tasks[[#This Row],[_Pred3Text]]&amp;"F"),FIND("S",Tasks[[#This Row],[_Pred3Text]]&amp;"S"),FIND("+",Tasks[[#This Row],[_Pred3Text]]&amp;"+"),FIND("-",Tasks[[#This Row],[_Pred3Text]]&amp;"-"))-1)),""))</f>
        <v/>
      </c>
      <c r="DE1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8" s="43" t="str">
        <f aca="false">IF(Tasks[[#This Row],[_Pred3Text]]="","",TRIM(MID(SUBSTITUTE(SUBSTITUTE(SUBSTITUTE(UPPER(Tasks[[#This Row],[_Predecessors]]),";",",")," ",""),",",REPT(" ",99)),298,99)))</f>
        <v/>
      </c>
      <c r="DH198" s="43" t="str">
        <f aca="false">IF(Tasks[[#This Row],[_Pred4Text]]="","",IFERROR(VALUE(LEFT(Tasks[[#This Row],[_Pred4Text]],MIN(FIND("F",Tasks[[#This Row],[_Pred4Text]]&amp;"F"),FIND("S",Tasks[[#This Row],[_Pred4Text]]&amp;"S"),FIND("+",Tasks[[#This Row],[_Pred4Text]]&amp;"+"),FIND("-",Tasks[[#This Row],[_Pred4Text]]&amp;"-"))-1)),""))</f>
        <v/>
      </c>
      <c r="DI1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8" s="43" t="str">
        <f aca="false">IF(OR(Tasks[[#This Row],[Task Name]]="",Tasks[[#This Row],[_Resources]]=""),"",TRIM(MID(SUBSTITUTE(Tasks[[#This Row],[_Resources]],",",REPT(" ",99)),1,99)))</f>
        <v/>
      </c>
      <c r="DL198" s="43" t="str">
        <f aca="false">IF(Tasks[[#This Row],[_Res1Text]]="","",TRIM(MID(SUBSTITUTE(Tasks[[#This Row],[_Resources]],",",REPT(" ",99)),100,99)))</f>
        <v/>
      </c>
      <c r="DM198" s="43" t="str">
        <f aca="false">IF(Tasks[[#This Row],[_Res2Text]]="","",TRIM(MID(SUBSTITUTE(Tasks[[#This Row],[_Resources]],",",REPT(" ",99)),199,99)))</f>
        <v/>
      </c>
      <c r="DN198" s="43" t="str">
        <f aca="false">IF(Tasks[[#This Row],[_Res3Text]]="","",TRIM(MID(SUBSTITUTE(Tasks[[#This Row],[_Resources]],",",REPT(" ",99)),298,99)))</f>
        <v/>
      </c>
      <c r="DO198" s="43" t="n">
        <f aca="false">IF(Tasks[[#This Row],[_Res1Text]]="",0,IFERROR(MATCH(TRIM(LEFT(Tasks[[#This Row],[_Res1Text]],FIND("[",Tasks[[#This Row],[_Res1Text]]&amp;"[")-1)),res_Name,0),IFERROR(MATCH(TRIM(LEFT(Tasks[[#This Row],[_Res1Text]],FIND("[",Tasks[[#This Row],[_Res1Text]]&amp;"[")-1)),res_Initials,0),0)))</f>
        <v>0</v>
      </c>
      <c r="DP198" s="43" t="n">
        <f aca="false">IF(Tasks[[#This Row],[_Res2Text]]="",0,IFERROR(MATCH(TRIM(LEFT(Tasks[[#This Row],[_Res2Text]],FIND("[",Tasks[[#This Row],[_Res2Text]]&amp;"[")-1)),res_Name,0),IFERROR(MATCH(TRIM(LEFT(Tasks[[#This Row],[_Res2Text]],FIND("[",Tasks[[#This Row],[_Res2Text]]&amp;"[")-1)),res_Initials,0),0)))</f>
        <v>0</v>
      </c>
      <c r="DQ198" s="43" t="n">
        <f aca="false">IF(Tasks[[#This Row],[_Res3Text]]="",0,IFERROR(MATCH(TRIM(LEFT(Tasks[[#This Row],[_Res3Text]],FIND("[",Tasks[[#This Row],[_Res3Text]]&amp;"[")-1)),res_Name,0),IFERROR(MATCH(TRIM(LEFT(Tasks[[#This Row],[_Res3Text]],FIND("[",Tasks[[#This Row],[_Res3Text]]&amp;"[")-1)),res_Initials,0),0)))</f>
        <v>0</v>
      </c>
      <c r="DR198" s="43" t="n">
        <f aca="false">IF(Tasks[[#This Row],[_Res4Text]]="",0,IFERROR(MATCH(TRIM(LEFT(Tasks[[#This Row],[_Res4Text]],FIND("[",Tasks[[#This Row],[_Res4Text]]&amp;"[")-1)),res_Name,0),IFERROR(MATCH(TRIM(LEFT(Tasks[[#This Row],[_Res4Text]],FIND("[",Tasks[[#This Row],[_Res4Text]]&amp;"[")-1)),res_Initials,0),0)))</f>
        <v>0</v>
      </c>
      <c r="DS198" s="43" t="str">
        <f aca="false">IF(Tasks[[#This Row],[_Res1Text]]="","",IF(Tasks[[#This Row],[_Res1Row]]&gt;0,INDEX(res_Name,Tasks[[#This Row],[_Res1Row]]),TRIM(LEFT(Tasks[[#This Row],[_Res1Text]],FIND("[",Tasks[[#This Row],[_Res1Text]]&amp;"[")-1))))</f>
        <v/>
      </c>
      <c r="DT1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8" s="43" t="n">
        <f aca="false">IF(NOT(Tasks[[#This Row],[_IsLeaf]]=1),0,(Tasks[[#This Row],[_Resource1]]&lt;&gt;"")+(Tasks[[#This Row],[_Res2]]&lt;&gt;"")+(Tasks[[#This Row],[_Res3]]&lt;&gt;"")+(Tasks[[#This Row],[_Res4]]&lt;&gt;""))</f>
        <v>0</v>
      </c>
      <c r="DV198" s="43" t="str">
        <f aca="false">IF(Tasks[[#This Row],[_Res2Text]]="","",IF(Tasks[[#This Row],[_Res2Row]]&gt;0,INDEX(res_Name,Tasks[[#This Row],[_Res2Row]]),TRIM(LEFT(Tasks[[#This Row],[_Res2Text]],FIND("[",Tasks[[#This Row],[_Res2Text]]&amp;"[")-1))))</f>
        <v/>
      </c>
      <c r="DW1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8" s="43" t="n">
        <f aca="false">IF(OR(NOT(Tasks[[#This Row],[_IsLeaf]]=1),Tasks[[#This Row],[_Res2Row]]=0),0,N(Tasks[[#This Row],[_Days]])*HoursPerDay*IF(Tasks[[#This Row],[_Res2Units]]="",DefaultUnits,Tasks[[#This Row],[_Res2Units]]))</f>
        <v>0</v>
      </c>
      <c r="DY198" s="43" t="n">
        <f aca="false">IF(AND(AND(Tasks[[#This Row],[_IsLeaf]]=1,Tasks[[#This Row],[_LeafTotalWork]]&gt;0),Tasks[[#This Row],[_Res2Work]]&gt;0),Tasks[[#This Row],[_Res2Work]]/(Tasks[[#This Row],[_FinishWorkday]]-Tasks[[#This Row],[_StartWorkday]]+1),0)</f>
        <v>0</v>
      </c>
      <c r="DZ198" s="43" t="n">
        <f aca="false">Tasks[[#This Row],[_Res2WorkPerWD]]*MAX(0,Tasks[[#This Row],[_StartWorkday]]-1)</f>
        <v>0</v>
      </c>
      <c r="EA198" s="43" t="n">
        <f aca="false">Tasks[[#This Row],[_Res2Work]]*Tasks[[#This Row],[_LeafProgress]]</f>
        <v>0</v>
      </c>
      <c r="EB198" s="43" t="str">
        <f aca="false">IF(Tasks[[#This Row],[_Res3Text]]="","",IF(Tasks[[#This Row],[_Res3Row]]&gt;0,INDEX(res_Name,Tasks[[#This Row],[_Res3Row]]),TRIM(LEFT(Tasks[[#This Row],[_Res3Text]],FIND("[",Tasks[[#This Row],[_Res3Text]]&amp;"[")-1))))</f>
        <v/>
      </c>
      <c r="EC1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8" s="43" t="n">
        <f aca="false">IF(OR(NOT(Tasks[[#This Row],[_IsLeaf]]=1),Tasks[[#This Row],[_Res3Row]]=0),0,N(Tasks[[#This Row],[_Days]])*HoursPerDay*IF(Tasks[[#This Row],[_Res3Units]]="",DefaultUnits,Tasks[[#This Row],[_Res3Units]]))</f>
        <v>0</v>
      </c>
      <c r="EE198" s="43" t="n">
        <f aca="false">IF(AND(AND(Tasks[[#This Row],[_IsLeaf]]=1,Tasks[[#This Row],[_LeafTotalWork]]&gt;0),Tasks[[#This Row],[_Res3Work]]&gt;0),Tasks[[#This Row],[_Res3Work]]/(Tasks[[#This Row],[_FinishWorkday]]-Tasks[[#This Row],[_StartWorkday]]+1),0)</f>
        <v>0</v>
      </c>
      <c r="EF198" s="43" t="n">
        <f aca="false">Tasks[[#This Row],[_Res3WorkPerWD]]*MAX(0,Tasks[[#This Row],[_StartWorkday]]-1)</f>
        <v>0</v>
      </c>
      <c r="EG198" s="43" t="n">
        <f aca="false">Tasks[[#This Row],[_Res3Work]]*Tasks[[#This Row],[_LeafProgress]]</f>
        <v>0</v>
      </c>
      <c r="EH198" s="43" t="str">
        <f aca="false">IF(Tasks[[#This Row],[_Res4Text]]="","",IF(Tasks[[#This Row],[_Res4Row]]&gt;0,INDEX(res_Name,Tasks[[#This Row],[_Res4Row]]),TRIM(LEFT(Tasks[[#This Row],[_Res4Text]],FIND("[",Tasks[[#This Row],[_Res4Text]]&amp;"[")-1))))</f>
        <v/>
      </c>
      <c r="EI1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8" s="43" t="n">
        <f aca="false">IF(OR(NOT(Tasks[[#This Row],[_IsLeaf]]=1),Tasks[[#This Row],[_Res4Row]]=0),0,N(Tasks[[#This Row],[_Days]])*HoursPerDay*IF(Tasks[[#This Row],[_Res4Units]]="",DefaultUnits,Tasks[[#This Row],[_Res4Units]]))</f>
        <v>0</v>
      </c>
      <c r="EK198" s="43" t="n">
        <f aca="false">IF(AND(AND(Tasks[[#This Row],[_IsLeaf]]=1,Tasks[[#This Row],[_LeafTotalWork]]&gt;0),Tasks[[#This Row],[_Res4Work]]&gt;0),Tasks[[#This Row],[_Res4Work]]/(Tasks[[#This Row],[_FinishWorkday]]-Tasks[[#This Row],[_StartWorkday]]+1),0)</f>
        <v>0</v>
      </c>
      <c r="EL198" s="43" t="n">
        <f aca="false">Tasks[[#This Row],[_Res4WorkPerWD]]*MAX(0,Tasks[[#This Row],[_StartWorkday]]-1)</f>
        <v>0</v>
      </c>
      <c r="EM198" s="43" t="n">
        <f aca="false">Tasks[[#This Row],[_Res4Work]]*Tasks[[#This Row],[_LeafProgress]]</f>
        <v>0</v>
      </c>
      <c r="EN198" s="43" t="n">
        <f aca="false">IF(ISNUMBER(Tasks[[#This Row],[% Complete]]),Tasks[[#This Row],[% Complete]],IF(Tasks[[#This Row],[Stage]]="",0,IFERROR(INDEX(stg_Pct,MATCH(Tasks[[#This Row],[Stage]],stg_Name,0)),0)))</f>
        <v>0</v>
      </c>
      <c r="EO198" s="43" t="n">
        <f aca="false">IF(NOT(Tasks[[#This Row],[_IsLeaf]]=1),0,IF(N(Tasks[[#This Row],[Actual Finish]])&gt;0,1,MIN(1,Tasks[[#This Row],[_Pct]])))</f>
        <v>0</v>
      </c>
      <c r="EP198" s="43" t="n">
        <f aca="false">IF(OR(NOT(Tasks[[#This Row],[_IsLeaf]]=1),Tasks[[#This Row],[_Res1Row]]=0),0,N(Tasks[[#This Row],[_Days]])*HoursPerDay*IF(Tasks[[#This Row],[_Units1]]="",DefaultUnits,Tasks[[#This Row],[_Units1]]))</f>
        <v>0</v>
      </c>
      <c r="EQ198" s="43" t="n">
        <f aca="false">Tasks[[#This Row],[_LeafWork]]+Tasks[[#This Row],[_Res2Work]]+Tasks[[#This Row],[_Res3Work]]+Tasks[[#This Row],[_Res4Work]]</f>
        <v>0</v>
      </c>
      <c r="ER19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8" s="43" t="n">
        <f aca="false">IF(NOT(Tasks[[#This Row],[_IsLeaf]]=1),0,MAX(_xlfn.MAXIFS(Tasks[_Row],Tasks[_Pred1UID],Tasks[[#This Row],[UID]]),_xlfn.MAXIFS(Tasks[_Row],Tasks[_Pred2UID],Tasks[[#This Row],[UID]]),_xlfn.MAXIFS(Tasks[_Row],Tasks[_Pred3UID],Tasks[[#This Row],[UID]]),_xlfn.MAXIFS(Tasks[_Row],Tasks[_Pred4UID],Tasks[[#This Row],[UID]])))</f>
        <v>0</v>
      </c>
      <c r="FA1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8" s="91" t="str">
        <f aca="false">IF(NOT(Tasks[[#This Row],[_IsLeaf]]=1),"",IF(N(Tasks[[#This Row],[_Days]])&lt;=0,Tasks[[#This Row],[_LeafLateFinish]],WORKDAY.INTL(Tasks[[#This Row],[_LeafLateFinish]],-(Tasks[[#This Row],[_Days]]-1),WorkWeek,Holidays)))</f>
        <v/>
      </c>
      <c r="FD1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8" s="90" t="b">
        <f aca="false">AND(Tasks[[#This Row],[_IsLeaf]]=1,Tasks[[#This Row],[_LeafProgress]]&lt;1,N(Tasks[[#This Row],[_LeafTotalSlack]])&lt;=CriticalSlackDays)</f>
        <v>0</v>
      </c>
      <c r="FF198" s="43" t="n">
        <f aca="false">IF(AND(Tasks[[#This Row],[_IsLeaf]]=1,Tasks[[#This Row],[_ConstraintCode]]=1,Tasks[[#This Row],[Mode]]&lt;&gt;"Manual",N(Tasks[[#This Row],[Actual Start]])=0),MAX(0,N(Tasks[[#This Row],[Free Slack]])),0)</f>
        <v>0</v>
      </c>
      <c r="FG198" s="91" t="str">
        <f aca="false">IF(NOT(Tasks[[#This Row],[_IsLeaf]]=1),"",IF(Tasks[[#This Row],[_AlapShift]]=0,Tasks[[#This Row],[_LeafCalcStart]],WORKDAY.INTL(Tasks[[#This Row],[_LeafCalcStart]],Tasks[[#This Row],[_AlapShift]],WorkWeek,Holidays)))</f>
        <v/>
      </c>
      <c r="FH198" s="91" t="str">
        <f aca="false">IF(NOT(Tasks[[#This Row],[_IsLeaf]]=1),"",IF(Tasks[[#This Row],[_AlapShift]]=0,Tasks[[#This Row],[_LeafCalcFinish]],WORKDAY.INTL(Tasks[[#This Row],[_LeafCalcFinish]],Tasks[[#This Row],[_AlapShift]],WorkWeek,Holidays)))</f>
        <v/>
      </c>
      <c r="FI198" s="91" t="str">
        <f aca="false">IF(NOT(Tasks[[#This Row],[_IsLeaf]]=1),"",IF(Tasks[[#This Row],[_AlapShift]]=0,Tasks[[#This Row],[_LeafFcstStart]],WORKDAY.INTL(Tasks[[#This Row],[_LeafFcstStart]],Tasks[[#This Row],[_AlapShift]],WorkWeek,Holidays)))</f>
        <v/>
      </c>
      <c r="FJ198" s="91" t="str">
        <f aca="false">IF(NOT(Tasks[[#This Row],[_IsLeaf]]=1),"",IF(Tasks[[#This Row],[_AlapShift]]=0,Tasks[[#This Row],[_LeafFcstFinish]],WORKDAY.INTL(Tasks[[#This Row],[_LeafFcstFinish]],Tasks[[#This Row],[_AlapShift]],WorkWeek,Holidays)))</f>
        <v/>
      </c>
      <c r="FK198" s="91" t="str">
        <f aca="false">IF(Tasks[[#This Row],[Task Name]]="","",IF(Tasks[[#This Row],[_IsSummary]],MIN(INDEX(Tasks[_ShownCalcStart],Tasks[[#This Row],[_Row]]+1):INDEX(Tasks[_ShownCalcStart],Tasks[[#This Row],[_Row]]+Tasks[[#This Row],[_Descendants]])),Tasks[[#This Row],[_ShownCalcStart]]))</f>
        <v/>
      </c>
      <c r="FL198" s="91" t="str">
        <f aca="false">IF(Tasks[[#This Row],[Task Name]]="","",IF(Tasks[[#This Row],[_IsSummary]],MAX(INDEX(Tasks[_ShownCalcFinish],Tasks[[#This Row],[_Row]]+1):INDEX(Tasks[_ShownCalcFinish],Tasks[[#This Row],[_Row]]+Tasks[[#This Row],[_Descendants]])),Tasks[[#This Row],[_ShownCalcFinish]]))</f>
        <v/>
      </c>
      <c r="FM1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8" s="43" t="n">
        <f aca="false">IF(AND(Tasks[[#This Row],[_IsLeaf]]=1,Tasks[[#This Row],[_LeafTotalWork]]&gt;0),NETWORKDAYS.INTL(ProjectStart,Tasks[[#This Row],[_ShownFcstStart]],WorkWeek,Holidays),0)</f>
        <v>0</v>
      </c>
      <c r="FZ198" s="43" t="n">
        <f aca="false">IF(AND(Tasks[[#This Row],[_IsLeaf]]=1,Tasks[[#This Row],[_LeafTotalWork]]&gt;0),MAX(Tasks[[#This Row],[_StartWorkday]],NETWORKDAYS.INTL(ProjectStart,Tasks[[#This Row],[_ShownFcstFinish]],WorkWeek,Holidays)),0)</f>
        <v>0</v>
      </c>
      <c r="GA198" s="43" t="n">
        <f aca="false">IF(AND(Tasks[[#This Row],[_IsLeaf]]=1,Tasks[[#This Row],[_LeafTotalWork]]&gt;0),Tasks[[#This Row],[_LeafWork]]/(Tasks[[#This Row],[_FinishWorkday]]-Tasks[[#This Row],[_StartWorkday]]+1),0)</f>
        <v>0</v>
      </c>
      <c r="GB198" s="43" t="n">
        <f aca="false">Tasks[[#This Row],[_WorkPerWorkday]]*(Tasks[[#This Row],[_StartWorkday]]-1)</f>
        <v>-0</v>
      </c>
      <c r="GC198" s="43" t="n">
        <f aca="false">IF(Tasks[[#This Row],[_IsLeaf]]=1,MAX(N(Tasks[[#This Row],[_Days]]),0.1),0)</f>
        <v>0</v>
      </c>
      <c r="GD198" s="43" t="n">
        <f aca="false">Tasks[[#This Row],[_WeightDur]]*Tasks[[#This Row],[_LeafProgress]]</f>
        <v>0</v>
      </c>
      <c r="GE198" s="43" t="n">
        <f aca="false">Tasks[[#This Row],[_WeightDur]]*Tasks[[#This Row],[_PlannedPct]]</f>
        <v>0</v>
      </c>
      <c r="GF1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8" s="43" t="str">
        <f aca="false">IF(AND(Tasks[[#This Row],[_IsLeaf]]=1,N(Tasks[[#This Row],[_Days]])=0,Tasks[[#This Row],[_LeafProgress]]&lt;1),Tasks[[#This Row],[_ShownFcstFinish]]+Tasks[[#This Row],[_Row]]/100000,"")</f>
        <v/>
      </c>
      <c r="GH1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8" s="43" t="str">
        <f aca="false">IF(Tasks[[#This Row],[Task Name]]="","",LEFT(Tasks[[#This Row],[WBS]],FIND(".",Tasks[[#This Row],[WBS]]&amp;".")-1))</f>
        <v/>
      </c>
      <c r="GJ198" s="43" t="str">
        <f aca="false">IF(AND(Tasks[[#This Row],[Task Name]]&lt;&gt;"",Tasks[[#This Row],[_Level]]=1),Tasks[[#This Row],[_Row]],"")</f>
        <v/>
      </c>
      <c r="GK198" s="43" t="str">
        <f aca="false">IF(AND(Tasks[[#This Row],[_IsLeaf]]=1,N(Tasks[[#This Row],[_Days]])=0),Tasks[[#This Row],[Planned Finish]]+Tasks[[#This Row],[_Row]]/100000,"")</f>
        <v/>
      </c>
      <c r="GL198" s="43" t="str">
        <f aca="false">IF(AND(Tasks[[#This Row],[_IsLeaf]]=1,Tasks[[#This Row],[_LeafProgress]]&lt;1,OR(N(Tasks[[#This Row],[Finish Var]])&gt;0,Tasks[[#This Row],[Status]]="Late Start")),MAX(0,Tasks[[#This Row],[Finish Var]])+1-Tasks[[#This Row],[_Row]]/1000000,"")</f>
        <v/>
      </c>
      <c r="GM198" s="43" t="str">
        <f aca="false">IF(AND(Tasks[[#This Row],[_IsLeaf]]=1,N(Tasks[[#This Row],[Actual Start]])=0,Tasks[[#This Row],[_ShownFcstStart]]&gt;=StatusDate,Tasks[[#This Row],[_ShownFcstStart]]&lt;=LookaheadEnd),Tasks[[#This Row],[_ShownFcstStart]]+Tasks[[#This Row],[_Row]]/100000,"")</f>
        <v/>
      </c>
      <c r="GN198" s="43" t="str">
        <f aca="false">IF(AND(Tasks[[#This Row],[_IsLeaf]]=1,Tasks[[#This Row],[_LeafProgress]]&lt;1,Tasks[[#This Row],[_ShownFcstFinish]]&gt;=StatusDate,Tasks[[#This Row],[_ShownFcstFinish]]&lt;=LookaheadEnd),Tasks[[#This Row],[_ShownFcstFinish]]+Tasks[[#This Row],[_Row]]/100000,"")</f>
        <v/>
      </c>
      <c r="GO198" s="43" t="str">
        <f aca="false">IF(Tasks[[#This Row],[_LeafCritical]],Tasks[[#This Row],[_ShownFcstStart]]+Tasks[[#This Row],[_Row]]/100000,"")</f>
        <v/>
      </c>
      <c r="GP198" s="43" t="n">
        <f aca="false">Tasks[[#This Row],[_LeafWork]]*Tasks[[#This Row],[_LeafProgress]]</f>
        <v>0</v>
      </c>
      <c r="GQ198" s="91" t="str">
        <f aca="false">IF(AND(Tasks[[#This Row],[_IsLeaf]]=1,Tasks[[#This Row],[_LeafProgress]]&gt;=1),IF(N(Tasks[[#This Row],[Actual Finish]])&gt;0,Tasks[[#This Row],[Actual Finish]],Tasks[[#This Row],[_ShownFcstFinish]]),"")</f>
        <v/>
      </c>
      <c r="GR198" s="43" t="n">
        <f aca="false">IF(Tasks[[#This Row],[_IsLeaf]]=1,N(Tasks[[#This Row],[Story Points]]),0)</f>
        <v>0</v>
      </c>
      <c r="GS198" s="43" t="str">
        <f aca="false">""</f>
        <v/>
      </c>
      <c r="GT198" s="90" t="b">
        <f aca="false">IF(Tasks[[#This Row],[Task Name]]="",FALSE(),AND(Tasks[[#This Row],[_IsLeaf]]=1,N(Tasks[[#This Row],[_Days]])=0))</f>
        <v>0</v>
      </c>
      <c r="GU198" s="91" t="n">
        <f aca="false">IF(Tasks[[#This Row],[Task Name]]="",0,IF(AND(Tasks[[#This Row],[_IsLeaf]]=1,NOT(Tasks[[#This Row],[_IsMilestone]]),N(Tasks[[#This Row],[Progress]])&gt;0),Tasks[[#This Row],[Start]],0))</f>
        <v>0</v>
      </c>
      <c r="GV198" s="91" t="n">
        <f aca="false">IF(Tasks[[#This Row],[_DoneFrom]]=0,0,IF(Tasks[[#This Row],[Progress]]&gt;=1,Tasks[[#This Row],[Finish]],MAX(Tasks[[#This Row],[_DoneFrom]],Tasks[[#This Row],[Start]]+ROUND((Tasks[[#This Row],[Finish]]-Tasks[[#This Row],[Start]]+1)*Tasks[[#This Row],[Progress]],0)-1)))</f>
        <v>0</v>
      </c>
      <c r="GW198" s="91" t="n">
        <f aca="false">IF(Tasks[[#This Row],[Task Name]]="",0,IF(OR(NOT(Tasks[[#This Row],[_IsLeaf]]=1),Tasks[[#This Row],[_IsMilestone]],N(Tasks[[#This Row],[Progress]])&gt;=1),0,IF(Tasks[[#This Row],[_DoneTo]]&gt;0,Tasks[[#This Row],[_DoneTo]]+1,Tasks[[#This Row],[Start]])))</f>
        <v>0</v>
      </c>
      <c r="GX198" s="91" t="n">
        <f aca="false">IF(Tasks[[#This Row],[_RemFrom]]=0,0,Tasks[[#This Row],[Finish]])</f>
        <v>0</v>
      </c>
      <c r="GY198" s="90" t="b">
        <f aca="false">IF(Tasks[[#This Row],[Task Name]]="",FALSE(),OR(NOT(BaselineSet),N(Tasks[[#This Row],[Baseline Start]])&gt;0))</f>
        <v>0</v>
      </c>
      <c r="GZ198"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8" s="92" t="str">
        <f aca="false">IF(Tasks[[#This Row],[_IsLeaf]]=1,Tasks[[#This Row],[_Row]],"")</f>
        <v/>
      </c>
      <c r="HD198" s="92" t="str">
        <f aca="false">IFERROR(INDEX(Tasks[UID],SMALL(Tasks[_PickKey],Tasks[[#This Row],[_Row]]))&amp;" "&amp;INDEX(Tasks[Task Name],SMALL(Tasks[_PickKey],Tasks[[#This Row],[_Row]])),"")</f>
        <v/>
      </c>
      <c r="HE198" s="43" t="str">
        <f aca="false">IF(Tasks[[#This Row],[Task Name]]="","",IF(Tasks[[#This Row],[_IsSummary]],NETWORKDAYS.INTL(Tasks[[#This Row],[Start]],Tasks[[#This Row],[Finish]],WorkWeek,Holidays),N(Tasks[[#This Row],[_Days]])))</f>
        <v/>
      </c>
      <c r="HF198" s="43" t="n">
        <f aca="false">IF(Tasks[[#This Row],[Expected]]="",0,((Tasks[[#This Row],[Pessimistic]]-Tasks[[#This Row],[Optimistic]])/6)^2)</f>
        <v>0</v>
      </c>
      <c r="HG198" s="43" t="n">
        <f aca="false">IF(Tasks[[#This Row],[Expected]]="",0,Tasks[[#This Row],[Expected]]-N(Tasks[[#This Row],[_Days]]))</f>
        <v>0</v>
      </c>
    </row>
    <row r="199" customFormat="false" ht="15" hidden="false" customHeight="false" outlineLevel="0" collapsed="false">
      <c r="A199" s="21" t="str">
        <f aca="false">IF(Tasks[[#This Row],[Task Name]]="","",COUNTA(Tasks[[#Headers],[Task Name]]:Tasks[[#This Row],[Task Name]])-1)</f>
        <v/>
      </c>
      <c r="B199" s="22" t="n">
        <v>207</v>
      </c>
      <c r="C199" s="22"/>
      <c r="D199" s="23"/>
      <c r="E199" s="22"/>
      <c r="F199" s="23"/>
      <c r="G199" s="22"/>
      <c r="H199" s="22"/>
      <c r="I199" s="23"/>
      <c r="J199" s="22"/>
      <c r="K199" s="22"/>
      <c r="L199" s="23"/>
      <c r="M199" s="22"/>
      <c r="N199" s="22"/>
      <c r="O199" s="23"/>
      <c r="P199" s="22"/>
      <c r="Q199" s="22"/>
      <c r="R199" s="23"/>
      <c r="S199" s="23"/>
      <c r="T199" s="84"/>
      <c r="U199" s="23"/>
      <c r="V199" s="84"/>
      <c r="W199" s="23"/>
      <c r="X199" s="84"/>
      <c r="Y199" s="23"/>
      <c r="Z199" s="84"/>
      <c r="AA199" s="23"/>
      <c r="AB199" s="23"/>
      <c r="AC199" s="7"/>
      <c r="AD199" s="7"/>
      <c r="AE199" s="63" t="str">
        <f aca="false">IF(Tasks[[#This Row],[Task Name]]="","",IF(Tasks[[#This Row],[_IsSummary]],MIN(INDEX(Tasks[_ShownFcstStart],Tasks[[#This Row],[_Row]]+1):INDEX(Tasks[_ShownFcstStart],Tasks[[#This Row],[_Row]]+Tasks[[#This Row],[_Descendants]])),Tasks[[#This Row],[_ShownFcstStart]]))</f>
        <v/>
      </c>
      <c r="AF199" s="63" t="str">
        <f aca="false">IF(Tasks[[#This Row],[Task Name]]="","",IF(Tasks[[#This Row],[_IsSummary]],MAX(INDEX(Tasks[_ShownFcstFinish],Tasks[[#This Row],[_Row]]+1):INDEX(Tasks[_ShownFcstFinish],Tasks[[#This Row],[_Row]]+Tasks[[#This Row],[_Descendants]])),Tasks[[#This Row],[_ShownFcstFinish]]))</f>
        <v/>
      </c>
      <c r="AG199" s="21" t="str">
        <f aca="false">""</f>
        <v/>
      </c>
      <c r="AH199" s="23"/>
      <c r="AI1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9" s="7"/>
      <c r="AK199" s="22"/>
      <c r="AL199" s="23"/>
      <c r="AM199" s="7"/>
      <c r="AN199" s="47" t="str">
        <f aca="false">IF(Tasks[[#This Row],[Task Name]]="","",IF(Tasks[[#This Row],[Finish]]&gt;=Tasks[[#This Row],[Planned Finish]],NETWORKDAYS.INTL(Tasks[[#This Row],[Planned Finish]],Tasks[[#This Row],[Finish]],WorkWeek,Holidays)-1,1-NETWORKDAYS.INTL(Tasks[[#This Row],[Finish]],Tasks[[#This Row],[Planned Finish]],WorkWeek,Holidays)))</f>
        <v/>
      </c>
      <c r="AO199" s="21" t="str">
        <f aca="false">IF(Tasks[[#This Row],[Task Name]]="","",IF(Tasks[[#This Row],[Progress]]&gt;=1,"Complete",IF(OR(N(Tasks[[#This Row],[Actual Start]])&gt;0,Tasks[[#This Row],[Progress]]&gt;0),IF(Tasks[[#This Row],[Finish Var]]&gt;0,"Behind","In Progress"),IF(Tasks[[#This Row],[Planned Start]]&lt;StatusDate,"Late Start","Not Started"))))</f>
        <v/>
      </c>
      <c r="AP199" s="21" t="str">
        <f aca="false">IF(Tasks[[#This Row],[Task Name]]="","",IF(IF(Tasks[[#This Row],[_IsSummary]],COUNTIF(INDEX(Tasks[_LeafCritical],Tasks[[#This Row],[_Row]]+1):INDEX(Tasks[_LeafCritical],Tasks[[#This Row],[_Row]]+Tasks[[#This Row],[_Descendants]]),TRUE())&gt;0,Tasks[[#This Row],[_LeafCritical]]),"Yes",""))</f>
        <v/>
      </c>
      <c r="AQ199" s="63" t="str">
        <f aca="false">IF(Tasks[[#This Row],[Task Name]]="","",IF(N(Tasks[[#This Row],[Baseline Start]])&gt;0,Tasks[[#This Row],[Baseline Start]],Tasks[[#This Row],[_CalcStart]]))</f>
        <v/>
      </c>
      <c r="AR199" s="63" t="str">
        <f aca="false">IF(Tasks[[#This Row],[Task Name]]="","",IF(N(Tasks[[#This Row],[Baseline Finish]])&gt;0,Tasks[[#This Row],[Baseline Finish]],Tasks[[#This Row],[_CalcFinish]]))</f>
        <v/>
      </c>
      <c r="AS199" s="47" t="str">
        <f aca="false">IF(Tasks[[#This Row],[Task Name]]="","",IF(Tasks[[#This Row],[Start]]&gt;=Tasks[[#This Row],[Planned Start]],NETWORKDAYS.INTL(Tasks[[#This Row],[Planned Start]],Tasks[[#This Row],[Start]],WorkWeek,Holidays)-1,1-NETWORKDAYS.INTL(Tasks[[#This Row],[Start]],Tasks[[#This Row],[Planned Start]],WorkWeek,Holidays)))</f>
        <v/>
      </c>
      <c r="AT199" s="63" t="str">
        <f aca="false">IF(Tasks[[#This Row],[Task Name]]="","",IF(Tasks[[#This Row],[_IsSummary]],MIN(INDEX(Tasks[_LeafLateStart],Tasks[[#This Row],[_Row]]+1):INDEX(Tasks[_LeafLateStart],Tasks[[#This Row],[_Row]]+Tasks[[#This Row],[_Descendants]])),Tasks[[#This Row],[_LeafLateStart]]))</f>
        <v/>
      </c>
      <c r="AU199" s="63" t="str">
        <f aca="false">IF(Tasks[[#This Row],[Task Name]]="","",IF(Tasks[[#This Row],[_IsSummary]],MAX(INDEX(Tasks[_LeafLateFinish],Tasks[[#This Row],[_Row]]+1):INDEX(Tasks[_LeafLateFinish],Tasks[[#This Row],[_Row]]+Tasks[[#This Row],[_Descendants]])),Tasks[[#This Row],[_LeafLateFinish]]))</f>
        <v/>
      </c>
      <c r="AV199" s="47" t="str">
        <f aca="false">IF(Tasks[[#This Row],[Task Name]]="","",IF(Tasks[[#This Row],[_IsSummary]],MIN(INDEX(Tasks[_LeafTotalSlack],Tasks[[#This Row],[_Row]]+1):INDEX(Tasks[_LeafTotalSlack],Tasks[[#This Row],[_Row]]+Tasks[[#This Row],[_Descendants]])),Tasks[[#This Row],[_LeafTotalSlack]]))</f>
        <v/>
      </c>
      <c r="AW1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5"/>
      <c r="BA19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t="str">
        <f aca="false">IF(Tasks[[#This Row],[Task Name]]="","",IF(Tasks[[#This Row],[_Level]]&lt;=OutlineShowLevel,"Yes","No"))</f>
        <v/>
      </c>
      <c r="BE199" s="86" t="str">
        <f aca="false">IF(Tasks[[#This Row],[Task Name]]="","",IF(Tasks[[#This Row],[_IsSummary]],SUM(INDEX(Tasks[_LeafTotalWork],Tasks[[#This Row],[_Row]]+1):INDEX(Tasks[_LeafTotalWork],Tasks[[#This Row],[_Row]]+Tasks[[#This Row],[_Descendants]])),Tasks[[#This Row],[_LeafTotalWork]]))</f>
        <v/>
      </c>
      <c r="BF199" s="23"/>
      <c r="BG1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t="str">
        <f aca="false">""</f>
        <v/>
      </c>
      <c r="BI199" s="87"/>
      <c r="BJ199" s="22"/>
      <c r="BK199" s="47" t="str">
        <f aca="false">IF(OR(Tasks[[#This Row],[Task Name]]="",Tasks[[#This Row],[Baseline Duration]]=""),"",Tasks[[#This Row],[_SpanDays]]-N(Tasks[[#This Row],[Baseline Duration]]))</f>
        <v/>
      </c>
      <c r="BL199" s="86" t="str">
        <f aca="false">IF(OR(Tasks[[#This Row],[Task Name]]="",Tasks[[#This Row],[Baseline Work]]=""),"",Tasks[[#This Row],[Work]]-N(Tasks[[#This Row],[Baseline Work]]))</f>
        <v/>
      </c>
      <c r="BM199" s="63" t="str">
        <f aca="false">IF(Tasks[[#This Row],[Task Name]]="","",IF(OR(TakeBaseline="Yes",N(Tasks[[#This Row],[Baseline Start]])=0),Tasks[[#This Row],[Start]],Tasks[[#This Row],[Baseline Start]]))</f>
        <v/>
      </c>
      <c r="BN199" s="63" t="str">
        <f aca="false">IF(Tasks[[#This Row],[Task Name]]="","",IF(OR(TakeBaseline="Yes",N(Tasks[[#This Row],[Baseline Finish]])=0),Tasks[[#This Row],[Finish]],Tasks[[#This Row],[Baseline Finish]]))</f>
        <v/>
      </c>
      <c r="BO199" s="21" t="str">
        <f aca="false">IF(Tasks[[#This Row],[Task Name]]="","",IF(OR(TakeBaseline="Yes",N(Tasks[[#This Row],[Baseline Duration]])=0),Tasks[[#This Row],[_SpanDays]],Tasks[[#This Row],[Baseline Duration]]))</f>
        <v/>
      </c>
      <c r="BP199" s="86" t="str">
        <f aca="false">IF(Tasks[[#This Row],[Task Name]]="","",IF(OR(TakeBaseline="Yes",N(Tasks[[#This Row],[Baseline Work]])=0),Tasks[[#This Row],[Work]],Tasks[[#This Row],[Baseline Work]]))</f>
        <v/>
      </c>
      <c r="BQ199" s="7"/>
      <c r="BR199" s="7"/>
      <c r="BS199" s="22"/>
      <c r="BT199" s="88"/>
      <c r="BU199" s="23"/>
      <c r="BV199" s="23"/>
      <c r="BW199" s="23"/>
      <c r="BX199" s="89" t="str">
        <f aca="false">IF(AND(Tasks[[#This Row],[_IsLeaf]]=1,ISNUMBER(Tasks[[#This Row],[Optimistic]]),ISNUMBER(Tasks[[#This Row],[Pessimistic]])),ROUND((Tasks[[#This Row],[Optimistic]]+4*N(Tasks[[#This Row],[_Days]])+Tasks[[#This Row],[Pessimistic]])/6,1),"")</f>
        <v/>
      </c>
      <c r="BY199" s="87"/>
      <c r="BZ199" s="87"/>
      <c r="CA199" s="22"/>
      <c r="CB199" s="43" t="str">
        <f aca="false">IF(Tasks[[#This Row],[Task Name]]="","",MAX(1,N(Tasks[[#This Row],[Level]])))</f>
        <v/>
      </c>
      <c r="CC199" s="43" t="n">
        <f aca="false">ROW()-ROW(Tasks[[#Headers],[ID]])</f>
        <v>194</v>
      </c>
      <c r="CD199" s="43" t="n">
        <f aca="false">IF(OR(Tasks[[#This Row],[Task Name]]="",Tasks[[#This Row],[_Level]]&lt;=1),0,IFERROR(LOOKUP(2,1/(Tasks[[#Headers],[_Level]]:Tasks[[#This Row],[_Level]]=Tasks[[#This Row],[_Level]]-1),ROW(Tasks[[#Headers],[_Level]]:Tasks[[#This Row],[_Level]])),0))</f>
        <v>0</v>
      </c>
      <c r="CE199" s="43" t="n">
        <f aca="false">IFERROR(N(INDEX(Tasks[_Level],Tasks[[#This Row],[_Row]]+1)),0)</f>
        <v>0</v>
      </c>
      <c r="CF199" s="90" t="b">
        <f aca="false">AND(Tasks[[#This Row],[Task Name]]&lt;&gt;"",Tasks[[#This Row],[_NextLevel]]&gt;Tasks[[#This Row],[_Level]])</f>
        <v>0</v>
      </c>
      <c r="CG199" s="43" t="n">
        <f aca="false">IF(Tasks[[#This Row],[_IsSummary]],COUNTIF(Tasks[WBS],Tasks[[#This Row],[WBS]]&amp;".*"),0)</f>
        <v>0</v>
      </c>
      <c r="CH199" s="43" t="n">
        <f aca="false">IF(AND(Tasks[[#This Row],[Task Name]]&lt;&gt;"",NOT(Tasks[[#This Row],[_IsSummary]])),1,0)</f>
        <v>0</v>
      </c>
      <c r="CI199" s="43" t="n">
        <f aca="false">IF(N(Tasks[[#This Row],[_Pred1UID]])=0,0,IFERROR(MATCH(Tasks[[#This Row],[_Pred1UID]],Tasks[UID],0),-1))</f>
        <v>0</v>
      </c>
      <c r="CJ199" s="43" t="n">
        <f aca="false">IF(N(Tasks[[#This Row],[_Pred2UID]])=0,0,IFERROR(MATCH(Tasks[[#This Row],[_Pred2UID]],Tasks[UID],0),-1))</f>
        <v>0</v>
      </c>
      <c r="CK199" s="43" t="n">
        <f aca="false">IF(N(Tasks[[#This Row],[_Pred3UID]])=0,0,IFERROR(MATCH(Tasks[[#This Row],[_Pred3UID]],Tasks[UID],0),-1))</f>
        <v>0</v>
      </c>
      <c r="CL199" s="43" t="n">
        <f aca="false">IF(N(Tasks[[#This Row],[_Pred4UID]])=0,0,IFERROR(MATCH(Tasks[[#This Row],[_Pred4UID]],Tasks[UID],0),-1))</f>
        <v>0</v>
      </c>
      <c r="CM1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9" s="91" t="n">
        <f aca="false">IF(OR(Tasks[[#This Row],[_ConstraintCode]]=2,Tasks[[#This Row],[_ConstraintCode]]=3,Tasks[[#This Row],[_ConstraintCode]]=4,Tasks[[#This Row],[_ConstraintCode]]=6),Tasks[[#This Row],[_ConstraintStart]],0)</f>
        <v>0</v>
      </c>
      <c r="CP199" s="91" t="n">
        <f aca="false">IF(OR(Tasks[[#This Row],[_ConstraintCode]]=2,Tasks[[#This Row],[_ConstraintCode]]=3,Tasks[[#This Row],[_ConstraintCode]]=5,Tasks[[#This Row],[_ConstraintCode]]=7),Tasks[[#This Row],[_ConstraintStart]],2958465)</f>
        <v>2958465</v>
      </c>
      <c r="CQ1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9" s="91" t="str">
        <f aca="false">IF(NOT(Tasks[[#This Row],[_IsLeaf]]=1),"",IF(N(Tasks[[#This Row],[_Days]])&lt;=0,Tasks[[#This Row],[_LeafCalcStart]],WORKDAY.INTL(Tasks[[#This Row],[_LeafCalcStart]],Tasks[[#This Row],[_Days]]-1,WorkWeek,Holidays)))</f>
        <v/>
      </c>
      <c r="CS1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9" s="43" t="str">
        <f aca="false">IF(Tasks[[#This Row],[_Predecessors]]="","",TRIM(MID(SUBSTITUTE(SUBSTITUTE(SUBSTITUTE(UPPER(Tasks[[#This Row],[_Predecessors]]),";",",")," ",""),",",REPT(" ",99)),1,99)))</f>
        <v/>
      </c>
      <c r="CV199" s="43" t="str">
        <f aca="false">IF(Tasks[[#This Row],[_Pred1Text]]="","",IFERROR(VALUE(LEFT(Tasks[[#This Row],[_Pred1Text]],MIN(FIND("F",Tasks[[#This Row],[_Pred1Text]]&amp;"F"),FIND("S",Tasks[[#This Row],[_Pred1Text]]&amp;"S"),FIND("+",Tasks[[#This Row],[_Pred1Text]]&amp;"+"),FIND("-",Tasks[[#This Row],[_Pred1Text]]&amp;"-"))-1)),""))</f>
        <v/>
      </c>
      <c r="CW1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9" s="43" t="str">
        <f aca="false">IF(Tasks[[#This Row],[_Pred1Text]]="","",TRIM(MID(SUBSTITUTE(SUBSTITUTE(SUBSTITUTE(UPPER(Tasks[[#This Row],[_Predecessors]]),";",",")," ",""),",",REPT(" ",99)),100,99)))</f>
        <v/>
      </c>
      <c r="CZ199" s="43" t="str">
        <f aca="false">IF(Tasks[[#This Row],[_Pred2Text]]="","",IFERROR(VALUE(LEFT(Tasks[[#This Row],[_Pred2Text]],MIN(FIND("F",Tasks[[#This Row],[_Pred2Text]]&amp;"F"),FIND("S",Tasks[[#This Row],[_Pred2Text]]&amp;"S"),FIND("+",Tasks[[#This Row],[_Pred2Text]]&amp;"+"),FIND("-",Tasks[[#This Row],[_Pred2Text]]&amp;"-"))-1)),""))</f>
        <v/>
      </c>
      <c r="DA1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9" s="43" t="str">
        <f aca="false">IF(Tasks[[#This Row],[_Pred2Text]]="","",TRIM(MID(SUBSTITUTE(SUBSTITUTE(SUBSTITUTE(UPPER(Tasks[[#This Row],[_Predecessors]]),";",",")," ",""),",",REPT(" ",99)),199,99)))</f>
        <v/>
      </c>
      <c r="DD199" s="43" t="str">
        <f aca="false">IF(Tasks[[#This Row],[_Pred3Text]]="","",IFERROR(VALUE(LEFT(Tasks[[#This Row],[_Pred3Text]],MIN(FIND("F",Tasks[[#This Row],[_Pred3Text]]&amp;"F"),FIND("S",Tasks[[#This Row],[_Pred3Text]]&amp;"S"),FIND("+",Tasks[[#This Row],[_Pred3Text]]&amp;"+"),FIND("-",Tasks[[#This Row],[_Pred3Text]]&amp;"-"))-1)),""))</f>
        <v/>
      </c>
      <c r="DE1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9" s="43" t="str">
        <f aca="false">IF(Tasks[[#This Row],[_Pred3Text]]="","",TRIM(MID(SUBSTITUTE(SUBSTITUTE(SUBSTITUTE(UPPER(Tasks[[#This Row],[_Predecessors]]),";",",")," ",""),",",REPT(" ",99)),298,99)))</f>
        <v/>
      </c>
      <c r="DH199" s="43" t="str">
        <f aca="false">IF(Tasks[[#This Row],[_Pred4Text]]="","",IFERROR(VALUE(LEFT(Tasks[[#This Row],[_Pred4Text]],MIN(FIND("F",Tasks[[#This Row],[_Pred4Text]]&amp;"F"),FIND("S",Tasks[[#This Row],[_Pred4Text]]&amp;"S"),FIND("+",Tasks[[#This Row],[_Pred4Text]]&amp;"+"),FIND("-",Tasks[[#This Row],[_Pred4Text]]&amp;"-"))-1)),""))</f>
        <v/>
      </c>
      <c r="DI1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9" s="43" t="str">
        <f aca="false">IF(OR(Tasks[[#This Row],[Task Name]]="",Tasks[[#This Row],[_Resources]]=""),"",TRIM(MID(SUBSTITUTE(Tasks[[#This Row],[_Resources]],",",REPT(" ",99)),1,99)))</f>
        <v/>
      </c>
      <c r="DL199" s="43" t="str">
        <f aca="false">IF(Tasks[[#This Row],[_Res1Text]]="","",TRIM(MID(SUBSTITUTE(Tasks[[#This Row],[_Resources]],",",REPT(" ",99)),100,99)))</f>
        <v/>
      </c>
      <c r="DM199" s="43" t="str">
        <f aca="false">IF(Tasks[[#This Row],[_Res2Text]]="","",TRIM(MID(SUBSTITUTE(Tasks[[#This Row],[_Resources]],",",REPT(" ",99)),199,99)))</f>
        <v/>
      </c>
      <c r="DN199" s="43" t="str">
        <f aca="false">IF(Tasks[[#This Row],[_Res3Text]]="","",TRIM(MID(SUBSTITUTE(Tasks[[#This Row],[_Resources]],",",REPT(" ",99)),298,99)))</f>
        <v/>
      </c>
      <c r="DO199" s="43" t="n">
        <f aca="false">IF(Tasks[[#This Row],[_Res1Text]]="",0,IFERROR(MATCH(TRIM(LEFT(Tasks[[#This Row],[_Res1Text]],FIND("[",Tasks[[#This Row],[_Res1Text]]&amp;"[")-1)),res_Name,0),IFERROR(MATCH(TRIM(LEFT(Tasks[[#This Row],[_Res1Text]],FIND("[",Tasks[[#This Row],[_Res1Text]]&amp;"[")-1)),res_Initials,0),0)))</f>
        <v>0</v>
      </c>
      <c r="DP199" s="43" t="n">
        <f aca="false">IF(Tasks[[#This Row],[_Res2Text]]="",0,IFERROR(MATCH(TRIM(LEFT(Tasks[[#This Row],[_Res2Text]],FIND("[",Tasks[[#This Row],[_Res2Text]]&amp;"[")-1)),res_Name,0),IFERROR(MATCH(TRIM(LEFT(Tasks[[#This Row],[_Res2Text]],FIND("[",Tasks[[#This Row],[_Res2Text]]&amp;"[")-1)),res_Initials,0),0)))</f>
        <v>0</v>
      </c>
      <c r="DQ199" s="43" t="n">
        <f aca="false">IF(Tasks[[#This Row],[_Res3Text]]="",0,IFERROR(MATCH(TRIM(LEFT(Tasks[[#This Row],[_Res3Text]],FIND("[",Tasks[[#This Row],[_Res3Text]]&amp;"[")-1)),res_Name,0),IFERROR(MATCH(TRIM(LEFT(Tasks[[#This Row],[_Res3Text]],FIND("[",Tasks[[#This Row],[_Res3Text]]&amp;"[")-1)),res_Initials,0),0)))</f>
        <v>0</v>
      </c>
      <c r="DR199" s="43" t="n">
        <f aca="false">IF(Tasks[[#This Row],[_Res4Text]]="",0,IFERROR(MATCH(TRIM(LEFT(Tasks[[#This Row],[_Res4Text]],FIND("[",Tasks[[#This Row],[_Res4Text]]&amp;"[")-1)),res_Name,0),IFERROR(MATCH(TRIM(LEFT(Tasks[[#This Row],[_Res4Text]],FIND("[",Tasks[[#This Row],[_Res4Text]]&amp;"[")-1)),res_Initials,0),0)))</f>
        <v>0</v>
      </c>
      <c r="DS199" s="43" t="str">
        <f aca="false">IF(Tasks[[#This Row],[_Res1Text]]="","",IF(Tasks[[#This Row],[_Res1Row]]&gt;0,INDEX(res_Name,Tasks[[#This Row],[_Res1Row]]),TRIM(LEFT(Tasks[[#This Row],[_Res1Text]],FIND("[",Tasks[[#This Row],[_Res1Text]]&amp;"[")-1))))</f>
        <v/>
      </c>
      <c r="DT1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9" s="43" t="n">
        <f aca="false">IF(NOT(Tasks[[#This Row],[_IsLeaf]]=1),0,(Tasks[[#This Row],[_Resource1]]&lt;&gt;"")+(Tasks[[#This Row],[_Res2]]&lt;&gt;"")+(Tasks[[#This Row],[_Res3]]&lt;&gt;"")+(Tasks[[#This Row],[_Res4]]&lt;&gt;""))</f>
        <v>0</v>
      </c>
      <c r="DV199" s="43" t="str">
        <f aca="false">IF(Tasks[[#This Row],[_Res2Text]]="","",IF(Tasks[[#This Row],[_Res2Row]]&gt;0,INDEX(res_Name,Tasks[[#This Row],[_Res2Row]]),TRIM(LEFT(Tasks[[#This Row],[_Res2Text]],FIND("[",Tasks[[#This Row],[_Res2Text]]&amp;"[")-1))))</f>
        <v/>
      </c>
      <c r="DW1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9" s="43" t="n">
        <f aca="false">IF(OR(NOT(Tasks[[#This Row],[_IsLeaf]]=1),Tasks[[#This Row],[_Res2Row]]=0),0,N(Tasks[[#This Row],[_Days]])*HoursPerDay*IF(Tasks[[#This Row],[_Res2Units]]="",DefaultUnits,Tasks[[#This Row],[_Res2Units]]))</f>
        <v>0</v>
      </c>
      <c r="DY199" s="43" t="n">
        <f aca="false">IF(AND(AND(Tasks[[#This Row],[_IsLeaf]]=1,Tasks[[#This Row],[_LeafTotalWork]]&gt;0),Tasks[[#This Row],[_Res2Work]]&gt;0),Tasks[[#This Row],[_Res2Work]]/(Tasks[[#This Row],[_FinishWorkday]]-Tasks[[#This Row],[_StartWorkday]]+1),0)</f>
        <v>0</v>
      </c>
      <c r="DZ199" s="43" t="n">
        <f aca="false">Tasks[[#This Row],[_Res2WorkPerWD]]*MAX(0,Tasks[[#This Row],[_StartWorkday]]-1)</f>
        <v>0</v>
      </c>
      <c r="EA199" s="43" t="n">
        <f aca="false">Tasks[[#This Row],[_Res2Work]]*Tasks[[#This Row],[_LeafProgress]]</f>
        <v>0</v>
      </c>
      <c r="EB199" s="43" t="str">
        <f aca="false">IF(Tasks[[#This Row],[_Res3Text]]="","",IF(Tasks[[#This Row],[_Res3Row]]&gt;0,INDEX(res_Name,Tasks[[#This Row],[_Res3Row]]),TRIM(LEFT(Tasks[[#This Row],[_Res3Text]],FIND("[",Tasks[[#This Row],[_Res3Text]]&amp;"[")-1))))</f>
        <v/>
      </c>
      <c r="EC1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9" s="43" t="n">
        <f aca="false">IF(OR(NOT(Tasks[[#This Row],[_IsLeaf]]=1),Tasks[[#This Row],[_Res3Row]]=0),0,N(Tasks[[#This Row],[_Days]])*HoursPerDay*IF(Tasks[[#This Row],[_Res3Units]]="",DefaultUnits,Tasks[[#This Row],[_Res3Units]]))</f>
        <v>0</v>
      </c>
      <c r="EE199" s="43" t="n">
        <f aca="false">IF(AND(AND(Tasks[[#This Row],[_IsLeaf]]=1,Tasks[[#This Row],[_LeafTotalWork]]&gt;0),Tasks[[#This Row],[_Res3Work]]&gt;0),Tasks[[#This Row],[_Res3Work]]/(Tasks[[#This Row],[_FinishWorkday]]-Tasks[[#This Row],[_StartWorkday]]+1),0)</f>
        <v>0</v>
      </c>
      <c r="EF199" s="43" t="n">
        <f aca="false">Tasks[[#This Row],[_Res3WorkPerWD]]*MAX(0,Tasks[[#This Row],[_StartWorkday]]-1)</f>
        <v>0</v>
      </c>
      <c r="EG199" s="43" t="n">
        <f aca="false">Tasks[[#This Row],[_Res3Work]]*Tasks[[#This Row],[_LeafProgress]]</f>
        <v>0</v>
      </c>
      <c r="EH199" s="43" t="str">
        <f aca="false">IF(Tasks[[#This Row],[_Res4Text]]="","",IF(Tasks[[#This Row],[_Res4Row]]&gt;0,INDEX(res_Name,Tasks[[#This Row],[_Res4Row]]),TRIM(LEFT(Tasks[[#This Row],[_Res4Text]],FIND("[",Tasks[[#This Row],[_Res4Text]]&amp;"[")-1))))</f>
        <v/>
      </c>
      <c r="EI1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9" s="43" t="n">
        <f aca="false">IF(OR(NOT(Tasks[[#This Row],[_IsLeaf]]=1),Tasks[[#This Row],[_Res4Row]]=0),0,N(Tasks[[#This Row],[_Days]])*HoursPerDay*IF(Tasks[[#This Row],[_Res4Units]]="",DefaultUnits,Tasks[[#This Row],[_Res4Units]]))</f>
        <v>0</v>
      </c>
      <c r="EK199" s="43" t="n">
        <f aca="false">IF(AND(AND(Tasks[[#This Row],[_IsLeaf]]=1,Tasks[[#This Row],[_LeafTotalWork]]&gt;0),Tasks[[#This Row],[_Res4Work]]&gt;0),Tasks[[#This Row],[_Res4Work]]/(Tasks[[#This Row],[_FinishWorkday]]-Tasks[[#This Row],[_StartWorkday]]+1),0)</f>
        <v>0</v>
      </c>
      <c r="EL199" s="43" t="n">
        <f aca="false">Tasks[[#This Row],[_Res4WorkPerWD]]*MAX(0,Tasks[[#This Row],[_StartWorkday]]-1)</f>
        <v>0</v>
      </c>
      <c r="EM199" s="43" t="n">
        <f aca="false">Tasks[[#This Row],[_Res4Work]]*Tasks[[#This Row],[_LeafProgress]]</f>
        <v>0</v>
      </c>
      <c r="EN199" s="43" t="n">
        <f aca="false">IF(ISNUMBER(Tasks[[#This Row],[% Complete]]),Tasks[[#This Row],[% Complete]],IF(Tasks[[#This Row],[Stage]]="",0,IFERROR(INDEX(stg_Pct,MATCH(Tasks[[#This Row],[Stage]],stg_Name,0)),0)))</f>
        <v>0</v>
      </c>
      <c r="EO199" s="43" t="n">
        <f aca="false">IF(NOT(Tasks[[#This Row],[_IsLeaf]]=1),0,IF(N(Tasks[[#This Row],[Actual Finish]])&gt;0,1,MIN(1,Tasks[[#This Row],[_Pct]])))</f>
        <v>0</v>
      </c>
      <c r="EP199" s="43" t="n">
        <f aca="false">IF(OR(NOT(Tasks[[#This Row],[_IsLeaf]]=1),Tasks[[#This Row],[_Res1Row]]=0),0,N(Tasks[[#This Row],[_Days]])*HoursPerDay*IF(Tasks[[#This Row],[_Units1]]="",DefaultUnits,Tasks[[#This Row],[_Units1]]))</f>
        <v>0</v>
      </c>
      <c r="EQ199" s="43" t="n">
        <f aca="false">Tasks[[#This Row],[_LeafWork]]+Tasks[[#This Row],[_Res2Work]]+Tasks[[#This Row],[_Res3Work]]+Tasks[[#This Row],[_Res4Work]]</f>
        <v>0</v>
      </c>
      <c r="ER19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9" s="43" t="n">
        <f aca="false">IF(NOT(Tasks[[#This Row],[_IsLeaf]]=1),0,MAX(_xlfn.MAXIFS(Tasks[_Row],Tasks[_Pred1UID],Tasks[[#This Row],[UID]]),_xlfn.MAXIFS(Tasks[_Row],Tasks[_Pred2UID],Tasks[[#This Row],[UID]]),_xlfn.MAXIFS(Tasks[_Row],Tasks[_Pred3UID],Tasks[[#This Row],[UID]]),_xlfn.MAXIFS(Tasks[_Row],Tasks[_Pred4UID],Tasks[[#This Row],[UID]])))</f>
        <v>0</v>
      </c>
      <c r="FA1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9" s="91" t="str">
        <f aca="false">IF(NOT(Tasks[[#This Row],[_IsLeaf]]=1),"",IF(N(Tasks[[#This Row],[_Days]])&lt;=0,Tasks[[#This Row],[_LeafLateFinish]],WORKDAY.INTL(Tasks[[#This Row],[_LeafLateFinish]],-(Tasks[[#This Row],[_Days]]-1),WorkWeek,Holidays)))</f>
        <v/>
      </c>
      <c r="FD1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9" s="90" t="b">
        <f aca="false">AND(Tasks[[#This Row],[_IsLeaf]]=1,Tasks[[#This Row],[_LeafProgress]]&lt;1,N(Tasks[[#This Row],[_LeafTotalSlack]])&lt;=CriticalSlackDays)</f>
        <v>0</v>
      </c>
      <c r="FF199" s="43" t="n">
        <f aca="false">IF(AND(Tasks[[#This Row],[_IsLeaf]]=1,Tasks[[#This Row],[_ConstraintCode]]=1,Tasks[[#This Row],[Mode]]&lt;&gt;"Manual",N(Tasks[[#This Row],[Actual Start]])=0),MAX(0,N(Tasks[[#This Row],[Free Slack]])),0)</f>
        <v>0</v>
      </c>
      <c r="FG199" s="91" t="str">
        <f aca="false">IF(NOT(Tasks[[#This Row],[_IsLeaf]]=1),"",IF(Tasks[[#This Row],[_AlapShift]]=0,Tasks[[#This Row],[_LeafCalcStart]],WORKDAY.INTL(Tasks[[#This Row],[_LeafCalcStart]],Tasks[[#This Row],[_AlapShift]],WorkWeek,Holidays)))</f>
        <v/>
      </c>
      <c r="FH199" s="91" t="str">
        <f aca="false">IF(NOT(Tasks[[#This Row],[_IsLeaf]]=1),"",IF(Tasks[[#This Row],[_AlapShift]]=0,Tasks[[#This Row],[_LeafCalcFinish]],WORKDAY.INTL(Tasks[[#This Row],[_LeafCalcFinish]],Tasks[[#This Row],[_AlapShift]],WorkWeek,Holidays)))</f>
        <v/>
      </c>
      <c r="FI199" s="91" t="str">
        <f aca="false">IF(NOT(Tasks[[#This Row],[_IsLeaf]]=1),"",IF(Tasks[[#This Row],[_AlapShift]]=0,Tasks[[#This Row],[_LeafFcstStart]],WORKDAY.INTL(Tasks[[#This Row],[_LeafFcstStart]],Tasks[[#This Row],[_AlapShift]],WorkWeek,Holidays)))</f>
        <v/>
      </c>
      <c r="FJ199" s="91" t="str">
        <f aca="false">IF(NOT(Tasks[[#This Row],[_IsLeaf]]=1),"",IF(Tasks[[#This Row],[_AlapShift]]=0,Tasks[[#This Row],[_LeafFcstFinish]],WORKDAY.INTL(Tasks[[#This Row],[_LeafFcstFinish]],Tasks[[#This Row],[_AlapShift]],WorkWeek,Holidays)))</f>
        <v/>
      </c>
      <c r="FK199" s="91" t="str">
        <f aca="false">IF(Tasks[[#This Row],[Task Name]]="","",IF(Tasks[[#This Row],[_IsSummary]],MIN(INDEX(Tasks[_ShownCalcStart],Tasks[[#This Row],[_Row]]+1):INDEX(Tasks[_ShownCalcStart],Tasks[[#This Row],[_Row]]+Tasks[[#This Row],[_Descendants]])),Tasks[[#This Row],[_ShownCalcStart]]))</f>
        <v/>
      </c>
      <c r="FL199" s="91" t="str">
        <f aca="false">IF(Tasks[[#This Row],[Task Name]]="","",IF(Tasks[[#This Row],[_IsSummary]],MAX(INDEX(Tasks[_ShownCalcFinish],Tasks[[#This Row],[_Row]]+1):INDEX(Tasks[_ShownCalcFinish],Tasks[[#This Row],[_Row]]+Tasks[[#This Row],[_Descendants]])),Tasks[[#This Row],[_ShownCalcFinish]]))</f>
        <v/>
      </c>
      <c r="FM1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9" s="43" t="n">
        <f aca="false">IF(AND(Tasks[[#This Row],[_IsLeaf]]=1,Tasks[[#This Row],[_LeafTotalWork]]&gt;0),NETWORKDAYS.INTL(ProjectStart,Tasks[[#This Row],[_ShownFcstStart]],WorkWeek,Holidays),0)</f>
        <v>0</v>
      </c>
      <c r="FZ199" s="43" t="n">
        <f aca="false">IF(AND(Tasks[[#This Row],[_IsLeaf]]=1,Tasks[[#This Row],[_LeafTotalWork]]&gt;0),MAX(Tasks[[#This Row],[_StartWorkday]],NETWORKDAYS.INTL(ProjectStart,Tasks[[#This Row],[_ShownFcstFinish]],WorkWeek,Holidays)),0)</f>
        <v>0</v>
      </c>
      <c r="GA199" s="43" t="n">
        <f aca="false">IF(AND(Tasks[[#This Row],[_IsLeaf]]=1,Tasks[[#This Row],[_LeafTotalWork]]&gt;0),Tasks[[#This Row],[_LeafWork]]/(Tasks[[#This Row],[_FinishWorkday]]-Tasks[[#This Row],[_StartWorkday]]+1),0)</f>
        <v>0</v>
      </c>
      <c r="GB199" s="43" t="n">
        <f aca="false">Tasks[[#This Row],[_WorkPerWorkday]]*(Tasks[[#This Row],[_StartWorkday]]-1)</f>
        <v>-0</v>
      </c>
      <c r="GC199" s="43" t="n">
        <f aca="false">IF(Tasks[[#This Row],[_IsLeaf]]=1,MAX(N(Tasks[[#This Row],[_Days]]),0.1),0)</f>
        <v>0</v>
      </c>
      <c r="GD199" s="43" t="n">
        <f aca="false">Tasks[[#This Row],[_WeightDur]]*Tasks[[#This Row],[_LeafProgress]]</f>
        <v>0</v>
      </c>
      <c r="GE199" s="43" t="n">
        <f aca="false">Tasks[[#This Row],[_WeightDur]]*Tasks[[#This Row],[_PlannedPct]]</f>
        <v>0</v>
      </c>
      <c r="GF1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9" s="43" t="str">
        <f aca="false">IF(AND(Tasks[[#This Row],[_IsLeaf]]=1,N(Tasks[[#This Row],[_Days]])=0,Tasks[[#This Row],[_LeafProgress]]&lt;1),Tasks[[#This Row],[_ShownFcstFinish]]+Tasks[[#This Row],[_Row]]/100000,"")</f>
        <v/>
      </c>
      <c r="GH1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9" s="43" t="str">
        <f aca="false">IF(Tasks[[#This Row],[Task Name]]="","",LEFT(Tasks[[#This Row],[WBS]],FIND(".",Tasks[[#This Row],[WBS]]&amp;".")-1))</f>
        <v/>
      </c>
      <c r="GJ199" s="43" t="str">
        <f aca="false">IF(AND(Tasks[[#This Row],[Task Name]]&lt;&gt;"",Tasks[[#This Row],[_Level]]=1),Tasks[[#This Row],[_Row]],"")</f>
        <v/>
      </c>
      <c r="GK199" s="43" t="str">
        <f aca="false">IF(AND(Tasks[[#This Row],[_IsLeaf]]=1,N(Tasks[[#This Row],[_Days]])=0),Tasks[[#This Row],[Planned Finish]]+Tasks[[#This Row],[_Row]]/100000,"")</f>
        <v/>
      </c>
      <c r="GL199" s="43" t="str">
        <f aca="false">IF(AND(Tasks[[#This Row],[_IsLeaf]]=1,Tasks[[#This Row],[_LeafProgress]]&lt;1,OR(N(Tasks[[#This Row],[Finish Var]])&gt;0,Tasks[[#This Row],[Status]]="Late Start")),MAX(0,Tasks[[#This Row],[Finish Var]])+1-Tasks[[#This Row],[_Row]]/1000000,"")</f>
        <v/>
      </c>
      <c r="GM199" s="43" t="str">
        <f aca="false">IF(AND(Tasks[[#This Row],[_IsLeaf]]=1,N(Tasks[[#This Row],[Actual Start]])=0,Tasks[[#This Row],[_ShownFcstStart]]&gt;=StatusDate,Tasks[[#This Row],[_ShownFcstStart]]&lt;=LookaheadEnd),Tasks[[#This Row],[_ShownFcstStart]]+Tasks[[#This Row],[_Row]]/100000,"")</f>
        <v/>
      </c>
      <c r="GN199" s="43" t="str">
        <f aca="false">IF(AND(Tasks[[#This Row],[_IsLeaf]]=1,Tasks[[#This Row],[_LeafProgress]]&lt;1,Tasks[[#This Row],[_ShownFcstFinish]]&gt;=StatusDate,Tasks[[#This Row],[_ShownFcstFinish]]&lt;=LookaheadEnd),Tasks[[#This Row],[_ShownFcstFinish]]+Tasks[[#This Row],[_Row]]/100000,"")</f>
        <v/>
      </c>
      <c r="GO199" s="43" t="str">
        <f aca="false">IF(Tasks[[#This Row],[_LeafCritical]],Tasks[[#This Row],[_ShownFcstStart]]+Tasks[[#This Row],[_Row]]/100000,"")</f>
        <v/>
      </c>
      <c r="GP199" s="43" t="n">
        <f aca="false">Tasks[[#This Row],[_LeafWork]]*Tasks[[#This Row],[_LeafProgress]]</f>
        <v>0</v>
      </c>
      <c r="GQ199" s="91" t="str">
        <f aca="false">IF(AND(Tasks[[#This Row],[_IsLeaf]]=1,Tasks[[#This Row],[_LeafProgress]]&gt;=1),IF(N(Tasks[[#This Row],[Actual Finish]])&gt;0,Tasks[[#This Row],[Actual Finish]],Tasks[[#This Row],[_ShownFcstFinish]]),"")</f>
        <v/>
      </c>
      <c r="GR199" s="43" t="n">
        <f aca="false">IF(Tasks[[#This Row],[_IsLeaf]]=1,N(Tasks[[#This Row],[Story Points]]),0)</f>
        <v>0</v>
      </c>
      <c r="GS199" s="43" t="str">
        <f aca="false">""</f>
        <v/>
      </c>
      <c r="GT199" s="90" t="b">
        <f aca="false">IF(Tasks[[#This Row],[Task Name]]="",FALSE(),AND(Tasks[[#This Row],[_IsLeaf]]=1,N(Tasks[[#This Row],[_Days]])=0))</f>
        <v>0</v>
      </c>
      <c r="GU199" s="91" t="n">
        <f aca="false">IF(Tasks[[#This Row],[Task Name]]="",0,IF(AND(Tasks[[#This Row],[_IsLeaf]]=1,NOT(Tasks[[#This Row],[_IsMilestone]]),N(Tasks[[#This Row],[Progress]])&gt;0),Tasks[[#This Row],[Start]],0))</f>
        <v>0</v>
      </c>
      <c r="GV199" s="91" t="n">
        <f aca="false">IF(Tasks[[#This Row],[_DoneFrom]]=0,0,IF(Tasks[[#This Row],[Progress]]&gt;=1,Tasks[[#This Row],[Finish]],MAX(Tasks[[#This Row],[_DoneFrom]],Tasks[[#This Row],[Start]]+ROUND((Tasks[[#This Row],[Finish]]-Tasks[[#This Row],[Start]]+1)*Tasks[[#This Row],[Progress]],0)-1)))</f>
        <v>0</v>
      </c>
      <c r="GW199" s="91" t="n">
        <f aca="false">IF(Tasks[[#This Row],[Task Name]]="",0,IF(OR(NOT(Tasks[[#This Row],[_IsLeaf]]=1),Tasks[[#This Row],[_IsMilestone]],N(Tasks[[#This Row],[Progress]])&gt;=1),0,IF(Tasks[[#This Row],[_DoneTo]]&gt;0,Tasks[[#This Row],[_DoneTo]]+1,Tasks[[#This Row],[Start]])))</f>
        <v>0</v>
      </c>
      <c r="GX199" s="91" t="n">
        <f aca="false">IF(Tasks[[#This Row],[_RemFrom]]=0,0,Tasks[[#This Row],[Finish]])</f>
        <v>0</v>
      </c>
      <c r="GY199" s="90" t="b">
        <f aca="false">IF(Tasks[[#This Row],[Task Name]]="",FALSE(),OR(NOT(BaselineSet),N(Tasks[[#This Row],[Baseline Start]])&gt;0))</f>
        <v>0</v>
      </c>
      <c r="GZ199"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9" s="92" t="str">
        <f aca="false">IF(Tasks[[#This Row],[_IsLeaf]]=1,Tasks[[#This Row],[_Row]],"")</f>
        <v/>
      </c>
      <c r="HD199" s="92" t="str">
        <f aca="false">IFERROR(INDEX(Tasks[UID],SMALL(Tasks[_PickKey],Tasks[[#This Row],[_Row]]))&amp;" "&amp;INDEX(Tasks[Task Name],SMALL(Tasks[_PickKey],Tasks[[#This Row],[_Row]])),"")</f>
        <v/>
      </c>
      <c r="HE199" s="43" t="str">
        <f aca="false">IF(Tasks[[#This Row],[Task Name]]="","",IF(Tasks[[#This Row],[_IsSummary]],NETWORKDAYS.INTL(Tasks[[#This Row],[Start]],Tasks[[#This Row],[Finish]],WorkWeek,Holidays),N(Tasks[[#This Row],[_Days]])))</f>
        <v/>
      </c>
      <c r="HF199" s="43" t="n">
        <f aca="false">IF(Tasks[[#This Row],[Expected]]="",0,((Tasks[[#This Row],[Pessimistic]]-Tasks[[#This Row],[Optimistic]])/6)^2)</f>
        <v>0</v>
      </c>
      <c r="HG199" s="43" t="n">
        <f aca="false">IF(Tasks[[#This Row],[Expected]]="",0,Tasks[[#This Row],[Expected]]-N(Tasks[[#This Row],[_Days]]))</f>
        <v>0</v>
      </c>
    </row>
    <row r="200" customFormat="false" ht="15" hidden="false" customHeight="false" outlineLevel="0" collapsed="false">
      <c r="A200" s="21" t="str">
        <f aca="false">IF(Tasks[[#This Row],[Task Name]]="","",COUNTA(Tasks[[#Headers],[Task Name]]:Tasks[[#This Row],[Task Name]])-1)</f>
        <v/>
      </c>
      <c r="B200" s="22" t="n">
        <v>208</v>
      </c>
      <c r="C200" s="22"/>
      <c r="D200" s="23"/>
      <c r="E200" s="22"/>
      <c r="F200" s="23"/>
      <c r="G200" s="22"/>
      <c r="H200" s="22"/>
      <c r="I200" s="23"/>
      <c r="J200" s="22"/>
      <c r="K200" s="22"/>
      <c r="L200" s="23"/>
      <c r="M200" s="22"/>
      <c r="N200" s="22"/>
      <c r="O200" s="23"/>
      <c r="P200" s="22"/>
      <c r="Q200" s="22"/>
      <c r="R200" s="23"/>
      <c r="S200" s="23"/>
      <c r="T200" s="84"/>
      <c r="U200" s="23"/>
      <c r="V200" s="84"/>
      <c r="W200" s="23"/>
      <c r="X200" s="84"/>
      <c r="Y200" s="23"/>
      <c r="Z200" s="84"/>
      <c r="AA200" s="23"/>
      <c r="AB200" s="23"/>
      <c r="AC200" s="7"/>
      <c r="AD200" s="7"/>
      <c r="AE200" s="63" t="str">
        <f aca="false">IF(Tasks[[#This Row],[Task Name]]="","",IF(Tasks[[#This Row],[_IsSummary]],MIN(INDEX(Tasks[_ShownFcstStart],Tasks[[#This Row],[_Row]]+1):INDEX(Tasks[_ShownFcstStart],Tasks[[#This Row],[_Row]]+Tasks[[#This Row],[_Descendants]])),Tasks[[#This Row],[_ShownFcstStart]]))</f>
        <v/>
      </c>
      <c r="AF200" s="63" t="str">
        <f aca="false">IF(Tasks[[#This Row],[Task Name]]="","",IF(Tasks[[#This Row],[_IsSummary]],MAX(INDEX(Tasks[_ShownFcstFinish],Tasks[[#This Row],[_Row]]+1):INDEX(Tasks[_ShownFcstFinish],Tasks[[#This Row],[_Row]]+Tasks[[#This Row],[_Descendants]])),Tasks[[#This Row],[_ShownFcstFinish]]))</f>
        <v/>
      </c>
      <c r="AG200" s="21" t="str">
        <f aca="false">""</f>
        <v/>
      </c>
      <c r="AH200" s="23"/>
      <c r="AI2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0" s="7"/>
      <c r="AK200" s="22"/>
      <c r="AL200" s="23"/>
      <c r="AM200" s="7"/>
      <c r="AN200" s="47" t="str">
        <f aca="false">IF(Tasks[[#This Row],[Task Name]]="","",IF(Tasks[[#This Row],[Finish]]&gt;=Tasks[[#This Row],[Planned Finish]],NETWORKDAYS.INTL(Tasks[[#This Row],[Planned Finish]],Tasks[[#This Row],[Finish]],WorkWeek,Holidays)-1,1-NETWORKDAYS.INTL(Tasks[[#This Row],[Finish]],Tasks[[#This Row],[Planned Finish]],WorkWeek,Holidays)))</f>
        <v/>
      </c>
      <c r="AO200" s="21" t="str">
        <f aca="false">IF(Tasks[[#This Row],[Task Name]]="","",IF(Tasks[[#This Row],[Progress]]&gt;=1,"Complete",IF(OR(N(Tasks[[#This Row],[Actual Start]])&gt;0,Tasks[[#This Row],[Progress]]&gt;0),IF(Tasks[[#This Row],[Finish Var]]&gt;0,"Behind","In Progress"),IF(Tasks[[#This Row],[Planned Start]]&lt;StatusDate,"Late Start","Not Started"))))</f>
        <v/>
      </c>
      <c r="AP200" s="21" t="str">
        <f aca="false">IF(Tasks[[#This Row],[Task Name]]="","",IF(IF(Tasks[[#This Row],[_IsSummary]],COUNTIF(INDEX(Tasks[_LeafCritical],Tasks[[#This Row],[_Row]]+1):INDEX(Tasks[_LeafCritical],Tasks[[#This Row],[_Row]]+Tasks[[#This Row],[_Descendants]]),TRUE())&gt;0,Tasks[[#This Row],[_LeafCritical]]),"Yes",""))</f>
        <v/>
      </c>
      <c r="AQ200" s="63" t="str">
        <f aca="false">IF(Tasks[[#This Row],[Task Name]]="","",IF(N(Tasks[[#This Row],[Baseline Start]])&gt;0,Tasks[[#This Row],[Baseline Start]],Tasks[[#This Row],[_CalcStart]]))</f>
        <v/>
      </c>
      <c r="AR200" s="63" t="str">
        <f aca="false">IF(Tasks[[#This Row],[Task Name]]="","",IF(N(Tasks[[#This Row],[Baseline Finish]])&gt;0,Tasks[[#This Row],[Baseline Finish]],Tasks[[#This Row],[_CalcFinish]]))</f>
        <v/>
      </c>
      <c r="AS200" s="47" t="str">
        <f aca="false">IF(Tasks[[#This Row],[Task Name]]="","",IF(Tasks[[#This Row],[Start]]&gt;=Tasks[[#This Row],[Planned Start]],NETWORKDAYS.INTL(Tasks[[#This Row],[Planned Start]],Tasks[[#This Row],[Start]],WorkWeek,Holidays)-1,1-NETWORKDAYS.INTL(Tasks[[#This Row],[Start]],Tasks[[#This Row],[Planned Start]],WorkWeek,Holidays)))</f>
        <v/>
      </c>
      <c r="AT200" s="63" t="str">
        <f aca="false">IF(Tasks[[#This Row],[Task Name]]="","",IF(Tasks[[#This Row],[_IsSummary]],MIN(INDEX(Tasks[_LeafLateStart],Tasks[[#This Row],[_Row]]+1):INDEX(Tasks[_LeafLateStart],Tasks[[#This Row],[_Row]]+Tasks[[#This Row],[_Descendants]])),Tasks[[#This Row],[_LeafLateStart]]))</f>
        <v/>
      </c>
      <c r="AU200" s="63" t="str">
        <f aca="false">IF(Tasks[[#This Row],[Task Name]]="","",IF(Tasks[[#This Row],[_IsSummary]],MAX(INDEX(Tasks[_LeafLateFinish],Tasks[[#This Row],[_Row]]+1):INDEX(Tasks[_LeafLateFinish],Tasks[[#This Row],[_Row]]+Tasks[[#This Row],[_Descendants]])),Tasks[[#This Row],[_LeafLateFinish]]))</f>
        <v/>
      </c>
      <c r="AV200" s="47" t="str">
        <f aca="false">IF(Tasks[[#This Row],[Task Name]]="","",IF(Tasks[[#This Row],[_IsSummary]],MIN(INDEX(Tasks[_LeafTotalSlack],Tasks[[#This Row],[_Row]]+1):INDEX(Tasks[_LeafTotalSlack],Tasks[[#This Row],[_Row]]+Tasks[[#This Row],[_Descendants]])),Tasks[[#This Row],[_LeafTotalSlack]]))</f>
        <v/>
      </c>
      <c r="AW2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5"/>
      <c r="BA20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t="str">
        <f aca="false">IF(Tasks[[#This Row],[Task Name]]="","",IF(Tasks[[#This Row],[_Level]]&lt;=OutlineShowLevel,"Yes","No"))</f>
        <v/>
      </c>
      <c r="BE200" s="86" t="str">
        <f aca="false">IF(Tasks[[#This Row],[Task Name]]="","",IF(Tasks[[#This Row],[_IsSummary]],SUM(INDEX(Tasks[_LeafTotalWork],Tasks[[#This Row],[_Row]]+1):INDEX(Tasks[_LeafTotalWork],Tasks[[#This Row],[_Row]]+Tasks[[#This Row],[_Descendants]])),Tasks[[#This Row],[_LeafTotalWork]]))</f>
        <v/>
      </c>
      <c r="BF200" s="23"/>
      <c r="BG2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t="str">
        <f aca="false">""</f>
        <v/>
      </c>
      <c r="BI200" s="87"/>
      <c r="BJ200" s="22"/>
      <c r="BK200" s="47" t="str">
        <f aca="false">IF(OR(Tasks[[#This Row],[Task Name]]="",Tasks[[#This Row],[Baseline Duration]]=""),"",Tasks[[#This Row],[_SpanDays]]-N(Tasks[[#This Row],[Baseline Duration]]))</f>
        <v/>
      </c>
      <c r="BL200" s="86" t="str">
        <f aca="false">IF(OR(Tasks[[#This Row],[Task Name]]="",Tasks[[#This Row],[Baseline Work]]=""),"",Tasks[[#This Row],[Work]]-N(Tasks[[#This Row],[Baseline Work]]))</f>
        <v/>
      </c>
      <c r="BM200" s="63" t="str">
        <f aca="false">IF(Tasks[[#This Row],[Task Name]]="","",IF(OR(TakeBaseline="Yes",N(Tasks[[#This Row],[Baseline Start]])=0),Tasks[[#This Row],[Start]],Tasks[[#This Row],[Baseline Start]]))</f>
        <v/>
      </c>
      <c r="BN200" s="63" t="str">
        <f aca="false">IF(Tasks[[#This Row],[Task Name]]="","",IF(OR(TakeBaseline="Yes",N(Tasks[[#This Row],[Baseline Finish]])=0),Tasks[[#This Row],[Finish]],Tasks[[#This Row],[Baseline Finish]]))</f>
        <v/>
      </c>
      <c r="BO200" s="21" t="str">
        <f aca="false">IF(Tasks[[#This Row],[Task Name]]="","",IF(OR(TakeBaseline="Yes",N(Tasks[[#This Row],[Baseline Duration]])=0),Tasks[[#This Row],[_SpanDays]],Tasks[[#This Row],[Baseline Duration]]))</f>
        <v/>
      </c>
      <c r="BP200" s="86" t="str">
        <f aca="false">IF(Tasks[[#This Row],[Task Name]]="","",IF(OR(TakeBaseline="Yes",N(Tasks[[#This Row],[Baseline Work]])=0),Tasks[[#This Row],[Work]],Tasks[[#This Row],[Baseline Work]]))</f>
        <v/>
      </c>
      <c r="BQ200" s="7"/>
      <c r="BR200" s="7"/>
      <c r="BS200" s="22"/>
      <c r="BT200" s="88"/>
      <c r="BU200" s="23"/>
      <c r="BV200" s="23"/>
      <c r="BW200" s="23"/>
      <c r="BX200" s="89" t="str">
        <f aca="false">IF(AND(Tasks[[#This Row],[_IsLeaf]]=1,ISNUMBER(Tasks[[#This Row],[Optimistic]]),ISNUMBER(Tasks[[#This Row],[Pessimistic]])),ROUND((Tasks[[#This Row],[Optimistic]]+4*N(Tasks[[#This Row],[_Days]])+Tasks[[#This Row],[Pessimistic]])/6,1),"")</f>
        <v/>
      </c>
      <c r="BY200" s="87"/>
      <c r="BZ200" s="87"/>
      <c r="CA200" s="22"/>
      <c r="CB200" s="43" t="str">
        <f aca="false">IF(Tasks[[#This Row],[Task Name]]="","",MAX(1,N(Tasks[[#This Row],[Level]])))</f>
        <v/>
      </c>
      <c r="CC200" s="43" t="n">
        <f aca="false">ROW()-ROW(Tasks[[#Headers],[ID]])</f>
        <v>195</v>
      </c>
      <c r="CD200" s="43" t="n">
        <f aca="false">IF(OR(Tasks[[#This Row],[Task Name]]="",Tasks[[#This Row],[_Level]]&lt;=1),0,IFERROR(LOOKUP(2,1/(Tasks[[#Headers],[_Level]]:Tasks[[#This Row],[_Level]]=Tasks[[#This Row],[_Level]]-1),ROW(Tasks[[#Headers],[_Level]]:Tasks[[#This Row],[_Level]])),0))</f>
        <v>0</v>
      </c>
      <c r="CE200" s="43" t="n">
        <f aca="false">IFERROR(N(INDEX(Tasks[_Level],Tasks[[#This Row],[_Row]]+1)),0)</f>
        <v>0</v>
      </c>
      <c r="CF200" s="90" t="b">
        <f aca="false">AND(Tasks[[#This Row],[Task Name]]&lt;&gt;"",Tasks[[#This Row],[_NextLevel]]&gt;Tasks[[#This Row],[_Level]])</f>
        <v>0</v>
      </c>
      <c r="CG200" s="43" t="n">
        <f aca="false">IF(Tasks[[#This Row],[_IsSummary]],COUNTIF(Tasks[WBS],Tasks[[#This Row],[WBS]]&amp;".*"),0)</f>
        <v>0</v>
      </c>
      <c r="CH200" s="43" t="n">
        <f aca="false">IF(AND(Tasks[[#This Row],[Task Name]]&lt;&gt;"",NOT(Tasks[[#This Row],[_IsSummary]])),1,0)</f>
        <v>0</v>
      </c>
      <c r="CI200" s="43" t="n">
        <f aca="false">IF(N(Tasks[[#This Row],[_Pred1UID]])=0,0,IFERROR(MATCH(Tasks[[#This Row],[_Pred1UID]],Tasks[UID],0),-1))</f>
        <v>0</v>
      </c>
      <c r="CJ200" s="43" t="n">
        <f aca="false">IF(N(Tasks[[#This Row],[_Pred2UID]])=0,0,IFERROR(MATCH(Tasks[[#This Row],[_Pred2UID]],Tasks[UID],0),-1))</f>
        <v>0</v>
      </c>
      <c r="CK200" s="43" t="n">
        <f aca="false">IF(N(Tasks[[#This Row],[_Pred3UID]])=0,0,IFERROR(MATCH(Tasks[[#This Row],[_Pred3UID]],Tasks[UID],0),-1))</f>
        <v>0</v>
      </c>
      <c r="CL200" s="43" t="n">
        <f aca="false">IF(N(Tasks[[#This Row],[_Pred4UID]])=0,0,IFERROR(MATCH(Tasks[[#This Row],[_Pred4UID]],Tasks[UID],0),-1))</f>
        <v>0</v>
      </c>
      <c r="CM2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0" s="91" t="n">
        <f aca="false">IF(OR(Tasks[[#This Row],[_ConstraintCode]]=2,Tasks[[#This Row],[_ConstraintCode]]=3,Tasks[[#This Row],[_ConstraintCode]]=4,Tasks[[#This Row],[_ConstraintCode]]=6),Tasks[[#This Row],[_ConstraintStart]],0)</f>
        <v>0</v>
      </c>
      <c r="CP200" s="91" t="n">
        <f aca="false">IF(OR(Tasks[[#This Row],[_ConstraintCode]]=2,Tasks[[#This Row],[_ConstraintCode]]=3,Tasks[[#This Row],[_ConstraintCode]]=5,Tasks[[#This Row],[_ConstraintCode]]=7),Tasks[[#This Row],[_ConstraintStart]],2958465)</f>
        <v>2958465</v>
      </c>
      <c r="CQ2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0" s="91" t="str">
        <f aca="false">IF(NOT(Tasks[[#This Row],[_IsLeaf]]=1),"",IF(N(Tasks[[#This Row],[_Days]])&lt;=0,Tasks[[#This Row],[_LeafCalcStart]],WORKDAY.INTL(Tasks[[#This Row],[_LeafCalcStart]],Tasks[[#This Row],[_Days]]-1,WorkWeek,Holidays)))</f>
        <v/>
      </c>
      <c r="CS2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0" s="43" t="str">
        <f aca="false">IF(Tasks[[#This Row],[_Predecessors]]="","",TRIM(MID(SUBSTITUTE(SUBSTITUTE(SUBSTITUTE(UPPER(Tasks[[#This Row],[_Predecessors]]),";",",")," ",""),",",REPT(" ",99)),1,99)))</f>
        <v/>
      </c>
      <c r="CV200" s="43" t="str">
        <f aca="false">IF(Tasks[[#This Row],[_Pred1Text]]="","",IFERROR(VALUE(LEFT(Tasks[[#This Row],[_Pred1Text]],MIN(FIND("F",Tasks[[#This Row],[_Pred1Text]]&amp;"F"),FIND("S",Tasks[[#This Row],[_Pred1Text]]&amp;"S"),FIND("+",Tasks[[#This Row],[_Pred1Text]]&amp;"+"),FIND("-",Tasks[[#This Row],[_Pred1Text]]&amp;"-"))-1)),""))</f>
        <v/>
      </c>
      <c r="CW2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0" s="43" t="str">
        <f aca="false">IF(Tasks[[#This Row],[_Pred1Text]]="","",TRIM(MID(SUBSTITUTE(SUBSTITUTE(SUBSTITUTE(UPPER(Tasks[[#This Row],[_Predecessors]]),";",",")," ",""),",",REPT(" ",99)),100,99)))</f>
        <v/>
      </c>
      <c r="CZ200" s="43" t="str">
        <f aca="false">IF(Tasks[[#This Row],[_Pred2Text]]="","",IFERROR(VALUE(LEFT(Tasks[[#This Row],[_Pred2Text]],MIN(FIND("F",Tasks[[#This Row],[_Pred2Text]]&amp;"F"),FIND("S",Tasks[[#This Row],[_Pred2Text]]&amp;"S"),FIND("+",Tasks[[#This Row],[_Pred2Text]]&amp;"+"),FIND("-",Tasks[[#This Row],[_Pred2Text]]&amp;"-"))-1)),""))</f>
        <v/>
      </c>
      <c r="DA2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0" s="43" t="str">
        <f aca="false">IF(Tasks[[#This Row],[_Pred2Text]]="","",TRIM(MID(SUBSTITUTE(SUBSTITUTE(SUBSTITUTE(UPPER(Tasks[[#This Row],[_Predecessors]]),";",",")," ",""),",",REPT(" ",99)),199,99)))</f>
        <v/>
      </c>
      <c r="DD200" s="43" t="str">
        <f aca="false">IF(Tasks[[#This Row],[_Pred3Text]]="","",IFERROR(VALUE(LEFT(Tasks[[#This Row],[_Pred3Text]],MIN(FIND("F",Tasks[[#This Row],[_Pred3Text]]&amp;"F"),FIND("S",Tasks[[#This Row],[_Pred3Text]]&amp;"S"),FIND("+",Tasks[[#This Row],[_Pred3Text]]&amp;"+"),FIND("-",Tasks[[#This Row],[_Pred3Text]]&amp;"-"))-1)),""))</f>
        <v/>
      </c>
      <c r="DE2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0" s="43" t="str">
        <f aca="false">IF(Tasks[[#This Row],[_Pred3Text]]="","",TRIM(MID(SUBSTITUTE(SUBSTITUTE(SUBSTITUTE(UPPER(Tasks[[#This Row],[_Predecessors]]),";",",")," ",""),",",REPT(" ",99)),298,99)))</f>
        <v/>
      </c>
      <c r="DH200" s="43" t="str">
        <f aca="false">IF(Tasks[[#This Row],[_Pred4Text]]="","",IFERROR(VALUE(LEFT(Tasks[[#This Row],[_Pred4Text]],MIN(FIND("F",Tasks[[#This Row],[_Pred4Text]]&amp;"F"),FIND("S",Tasks[[#This Row],[_Pred4Text]]&amp;"S"),FIND("+",Tasks[[#This Row],[_Pred4Text]]&amp;"+"),FIND("-",Tasks[[#This Row],[_Pred4Text]]&amp;"-"))-1)),""))</f>
        <v/>
      </c>
      <c r="DI2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0" s="43" t="str">
        <f aca="false">IF(OR(Tasks[[#This Row],[Task Name]]="",Tasks[[#This Row],[_Resources]]=""),"",TRIM(MID(SUBSTITUTE(Tasks[[#This Row],[_Resources]],",",REPT(" ",99)),1,99)))</f>
        <v/>
      </c>
      <c r="DL200" s="43" t="str">
        <f aca="false">IF(Tasks[[#This Row],[_Res1Text]]="","",TRIM(MID(SUBSTITUTE(Tasks[[#This Row],[_Resources]],",",REPT(" ",99)),100,99)))</f>
        <v/>
      </c>
      <c r="DM200" s="43" t="str">
        <f aca="false">IF(Tasks[[#This Row],[_Res2Text]]="","",TRIM(MID(SUBSTITUTE(Tasks[[#This Row],[_Resources]],",",REPT(" ",99)),199,99)))</f>
        <v/>
      </c>
      <c r="DN200" s="43" t="str">
        <f aca="false">IF(Tasks[[#This Row],[_Res3Text]]="","",TRIM(MID(SUBSTITUTE(Tasks[[#This Row],[_Resources]],",",REPT(" ",99)),298,99)))</f>
        <v/>
      </c>
      <c r="DO200" s="43" t="n">
        <f aca="false">IF(Tasks[[#This Row],[_Res1Text]]="",0,IFERROR(MATCH(TRIM(LEFT(Tasks[[#This Row],[_Res1Text]],FIND("[",Tasks[[#This Row],[_Res1Text]]&amp;"[")-1)),res_Name,0),IFERROR(MATCH(TRIM(LEFT(Tasks[[#This Row],[_Res1Text]],FIND("[",Tasks[[#This Row],[_Res1Text]]&amp;"[")-1)),res_Initials,0),0)))</f>
        <v>0</v>
      </c>
      <c r="DP200" s="43" t="n">
        <f aca="false">IF(Tasks[[#This Row],[_Res2Text]]="",0,IFERROR(MATCH(TRIM(LEFT(Tasks[[#This Row],[_Res2Text]],FIND("[",Tasks[[#This Row],[_Res2Text]]&amp;"[")-1)),res_Name,0),IFERROR(MATCH(TRIM(LEFT(Tasks[[#This Row],[_Res2Text]],FIND("[",Tasks[[#This Row],[_Res2Text]]&amp;"[")-1)),res_Initials,0),0)))</f>
        <v>0</v>
      </c>
      <c r="DQ200" s="43" t="n">
        <f aca="false">IF(Tasks[[#This Row],[_Res3Text]]="",0,IFERROR(MATCH(TRIM(LEFT(Tasks[[#This Row],[_Res3Text]],FIND("[",Tasks[[#This Row],[_Res3Text]]&amp;"[")-1)),res_Name,0),IFERROR(MATCH(TRIM(LEFT(Tasks[[#This Row],[_Res3Text]],FIND("[",Tasks[[#This Row],[_Res3Text]]&amp;"[")-1)),res_Initials,0),0)))</f>
        <v>0</v>
      </c>
      <c r="DR200" s="43" t="n">
        <f aca="false">IF(Tasks[[#This Row],[_Res4Text]]="",0,IFERROR(MATCH(TRIM(LEFT(Tasks[[#This Row],[_Res4Text]],FIND("[",Tasks[[#This Row],[_Res4Text]]&amp;"[")-1)),res_Name,0),IFERROR(MATCH(TRIM(LEFT(Tasks[[#This Row],[_Res4Text]],FIND("[",Tasks[[#This Row],[_Res4Text]]&amp;"[")-1)),res_Initials,0),0)))</f>
        <v>0</v>
      </c>
      <c r="DS200" s="43" t="str">
        <f aca="false">IF(Tasks[[#This Row],[_Res1Text]]="","",IF(Tasks[[#This Row],[_Res1Row]]&gt;0,INDEX(res_Name,Tasks[[#This Row],[_Res1Row]]),TRIM(LEFT(Tasks[[#This Row],[_Res1Text]],FIND("[",Tasks[[#This Row],[_Res1Text]]&amp;"[")-1))))</f>
        <v/>
      </c>
      <c r="DT2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0" s="43" t="n">
        <f aca="false">IF(NOT(Tasks[[#This Row],[_IsLeaf]]=1),0,(Tasks[[#This Row],[_Resource1]]&lt;&gt;"")+(Tasks[[#This Row],[_Res2]]&lt;&gt;"")+(Tasks[[#This Row],[_Res3]]&lt;&gt;"")+(Tasks[[#This Row],[_Res4]]&lt;&gt;""))</f>
        <v>0</v>
      </c>
      <c r="DV200" s="43" t="str">
        <f aca="false">IF(Tasks[[#This Row],[_Res2Text]]="","",IF(Tasks[[#This Row],[_Res2Row]]&gt;0,INDEX(res_Name,Tasks[[#This Row],[_Res2Row]]),TRIM(LEFT(Tasks[[#This Row],[_Res2Text]],FIND("[",Tasks[[#This Row],[_Res2Text]]&amp;"[")-1))))</f>
        <v/>
      </c>
      <c r="DW2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0" s="43" t="n">
        <f aca="false">IF(OR(NOT(Tasks[[#This Row],[_IsLeaf]]=1),Tasks[[#This Row],[_Res2Row]]=0),0,N(Tasks[[#This Row],[_Days]])*HoursPerDay*IF(Tasks[[#This Row],[_Res2Units]]="",DefaultUnits,Tasks[[#This Row],[_Res2Units]]))</f>
        <v>0</v>
      </c>
      <c r="DY200" s="43" t="n">
        <f aca="false">IF(AND(AND(Tasks[[#This Row],[_IsLeaf]]=1,Tasks[[#This Row],[_LeafTotalWork]]&gt;0),Tasks[[#This Row],[_Res2Work]]&gt;0),Tasks[[#This Row],[_Res2Work]]/(Tasks[[#This Row],[_FinishWorkday]]-Tasks[[#This Row],[_StartWorkday]]+1),0)</f>
        <v>0</v>
      </c>
      <c r="DZ200" s="43" t="n">
        <f aca="false">Tasks[[#This Row],[_Res2WorkPerWD]]*MAX(0,Tasks[[#This Row],[_StartWorkday]]-1)</f>
        <v>0</v>
      </c>
      <c r="EA200" s="43" t="n">
        <f aca="false">Tasks[[#This Row],[_Res2Work]]*Tasks[[#This Row],[_LeafProgress]]</f>
        <v>0</v>
      </c>
      <c r="EB200" s="43" t="str">
        <f aca="false">IF(Tasks[[#This Row],[_Res3Text]]="","",IF(Tasks[[#This Row],[_Res3Row]]&gt;0,INDEX(res_Name,Tasks[[#This Row],[_Res3Row]]),TRIM(LEFT(Tasks[[#This Row],[_Res3Text]],FIND("[",Tasks[[#This Row],[_Res3Text]]&amp;"[")-1))))</f>
        <v/>
      </c>
      <c r="EC2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0" s="43" t="n">
        <f aca="false">IF(OR(NOT(Tasks[[#This Row],[_IsLeaf]]=1),Tasks[[#This Row],[_Res3Row]]=0),0,N(Tasks[[#This Row],[_Days]])*HoursPerDay*IF(Tasks[[#This Row],[_Res3Units]]="",DefaultUnits,Tasks[[#This Row],[_Res3Units]]))</f>
        <v>0</v>
      </c>
      <c r="EE200" s="43" t="n">
        <f aca="false">IF(AND(AND(Tasks[[#This Row],[_IsLeaf]]=1,Tasks[[#This Row],[_LeafTotalWork]]&gt;0),Tasks[[#This Row],[_Res3Work]]&gt;0),Tasks[[#This Row],[_Res3Work]]/(Tasks[[#This Row],[_FinishWorkday]]-Tasks[[#This Row],[_StartWorkday]]+1),0)</f>
        <v>0</v>
      </c>
      <c r="EF200" s="43" t="n">
        <f aca="false">Tasks[[#This Row],[_Res3WorkPerWD]]*MAX(0,Tasks[[#This Row],[_StartWorkday]]-1)</f>
        <v>0</v>
      </c>
      <c r="EG200" s="43" t="n">
        <f aca="false">Tasks[[#This Row],[_Res3Work]]*Tasks[[#This Row],[_LeafProgress]]</f>
        <v>0</v>
      </c>
      <c r="EH200" s="43" t="str">
        <f aca="false">IF(Tasks[[#This Row],[_Res4Text]]="","",IF(Tasks[[#This Row],[_Res4Row]]&gt;0,INDEX(res_Name,Tasks[[#This Row],[_Res4Row]]),TRIM(LEFT(Tasks[[#This Row],[_Res4Text]],FIND("[",Tasks[[#This Row],[_Res4Text]]&amp;"[")-1))))</f>
        <v/>
      </c>
      <c r="EI2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0" s="43" t="n">
        <f aca="false">IF(OR(NOT(Tasks[[#This Row],[_IsLeaf]]=1),Tasks[[#This Row],[_Res4Row]]=0),0,N(Tasks[[#This Row],[_Days]])*HoursPerDay*IF(Tasks[[#This Row],[_Res4Units]]="",DefaultUnits,Tasks[[#This Row],[_Res4Units]]))</f>
        <v>0</v>
      </c>
      <c r="EK200" s="43" t="n">
        <f aca="false">IF(AND(AND(Tasks[[#This Row],[_IsLeaf]]=1,Tasks[[#This Row],[_LeafTotalWork]]&gt;0),Tasks[[#This Row],[_Res4Work]]&gt;0),Tasks[[#This Row],[_Res4Work]]/(Tasks[[#This Row],[_FinishWorkday]]-Tasks[[#This Row],[_StartWorkday]]+1),0)</f>
        <v>0</v>
      </c>
      <c r="EL200" s="43" t="n">
        <f aca="false">Tasks[[#This Row],[_Res4WorkPerWD]]*MAX(0,Tasks[[#This Row],[_StartWorkday]]-1)</f>
        <v>0</v>
      </c>
      <c r="EM200" s="43" t="n">
        <f aca="false">Tasks[[#This Row],[_Res4Work]]*Tasks[[#This Row],[_LeafProgress]]</f>
        <v>0</v>
      </c>
      <c r="EN200" s="43" t="n">
        <f aca="false">IF(ISNUMBER(Tasks[[#This Row],[% Complete]]),Tasks[[#This Row],[% Complete]],IF(Tasks[[#This Row],[Stage]]="",0,IFERROR(INDEX(stg_Pct,MATCH(Tasks[[#This Row],[Stage]],stg_Name,0)),0)))</f>
        <v>0</v>
      </c>
      <c r="EO200" s="43" t="n">
        <f aca="false">IF(NOT(Tasks[[#This Row],[_IsLeaf]]=1),0,IF(N(Tasks[[#This Row],[Actual Finish]])&gt;0,1,MIN(1,Tasks[[#This Row],[_Pct]])))</f>
        <v>0</v>
      </c>
      <c r="EP200" s="43" t="n">
        <f aca="false">IF(OR(NOT(Tasks[[#This Row],[_IsLeaf]]=1),Tasks[[#This Row],[_Res1Row]]=0),0,N(Tasks[[#This Row],[_Days]])*HoursPerDay*IF(Tasks[[#This Row],[_Units1]]="",DefaultUnits,Tasks[[#This Row],[_Units1]]))</f>
        <v>0</v>
      </c>
      <c r="EQ200" s="43" t="n">
        <f aca="false">Tasks[[#This Row],[_LeafWork]]+Tasks[[#This Row],[_Res2Work]]+Tasks[[#This Row],[_Res3Work]]+Tasks[[#This Row],[_Res4Work]]</f>
        <v>0</v>
      </c>
      <c r="ER20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0" s="43" t="n">
        <f aca="false">IF(NOT(Tasks[[#This Row],[_IsLeaf]]=1),0,MAX(_xlfn.MAXIFS(Tasks[_Row],Tasks[_Pred1UID],Tasks[[#This Row],[UID]]),_xlfn.MAXIFS(Tasks[_Row],Tasks[_Pred2UID],Tasks[[#This Row],[UID]]),_xlfn.MAXIFS(Tasks[_Row],Tasks[_Pred3UID],Tasks[[#This Row],[UID]]),_xlfn.MAXIFS(Tasks[_Row],Tasks[_Pred4UID],Tasks[[#This Row],[UID]])))</f>
        <v>0</v>
      </c>
      <c r="FA2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0" s="91" t="str">
        <f aca="false">IF(NOT(Tasks[[#This Row],[_IsLeaf]]=1),"",IF(N(Tasks[[#This Row],[_Days]])&lt;=0,Tasks[[#This Row],[_LeafLateFinish]],WORKDAY.INTL(Tasks[[#This Row],[_LeafLateFinish]],-(Tasks[[#This Row],[_Days]]-1),WorkWeek,Holidays)))</f>
        <v/>
      </c>
      <c r="FD2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0" s="90" t="b">
        <f aca="false">AND(Tasks[[#This Row],[_IsLeaf]]=1,Tasks[[#This Row],[_LeafProgress]]&lt;1,N(Tasks[[#This Row],[_LeafTotalSlack]])&lt;=CriticalSlackDays)</f>
        <v>0</v>
      </c>
      <c r="FF200" s="43" t="n">
        <f aca="false">IF(AND(Tasks[[#This Row],[_IsLeaf]]=1,Tasks[[#This Row],[_ConstraintCode]]=1,Tasks[[#This Row],[Mode]]&lt;&gt;"Manual",N(Tasks[[#This Row],[Actual Start]])=0),MAX(0,N(Tasks[[#This Row],[Free Slack]])),0)</f>
        <v>0</v>
      </c>
      <c r="FG200" s="91" t="str">
        <f aca="false">IF(NOT(Tasks[[#This Row],[_IsLeaf]]=1),"",IF(Tasks[[#This Row],[_AlapShift]]=0,Tasks[[#This Row],[_LeafCalcStart]],WORKDAY.INTL(Tasks[[#This Row],[_LeafCalcStart]],Tasks[[#This Row],[_AlapShift]],WorkWeek,Holidays)))</f>
        <v/>
      </c>
      <c r="FH200" s="91" t="str">
        <f aca="false">IF(NOT(Tasks[[#This Row],[_IsLeaf]]=1),"",IF(Tasks[[#This Row],[_AlapShift]]=0,Tasks[[#This Row],[_LeafCalcFinish]],WORKDAY.INTL(Tasks[[#This Row],[_LeafCalcFinish]],Tasks[[#This Row],[_AlapShift]],WorkWeek,Holidays)))</f>
        <v/>
      </c>
      <c r="FI200" s="91" t="str">
        <f aca="false">IF(NOT(Tasks[[#This Row],[_IsLeaf]]=1),"",IF(Tasks[[#This Row],[_AlapShift]]=0,Tasks[[#This Row],[_LeafFcstStart]],WORKDAY.INTL(Tasks[[#This Row],[_LeafFcstStart]],Tasks[[#This Row],[_AlapShift]],WorkWeek,Holidays)))</f>
        <v/>
      </c>
      <c r="FJ200" s="91" t="str">
        <f aca="false">IF(NOT(Tasks[[#This Row],[_IsLeaf]]=1),"",IF(Tasks[[#This Row],[_AlapShift]]=0,Tasks[[#This Row],[_LeafFcstFinish]],WORKDAY.INTL(Tasks[[#This Row],[_LeafFcstFinish]],Tasks[[#This Row],[_AlapShift]],WorkWeek,Holidays)))</f>
        <v/>
      </c>
      <c r="FK200" s="91" t="str">
        <f aca="false">IF(Tasks[[#This Row],[Task Name]]="","",IF(Tasks[[#This Row],[_IsSummary]],MIN(INDEX(Tasks[_ShownCalcStart],Tasks[[#This Row],[_Row]]+1):INDEX(Tasks[_ShownCalcStart],Tasks[[#This Row],[_Row]]+Tasks[[#This Row],[_Descendants]])),Tasks[[#This Row],[_ShownCalcStart]]))</f>
        <v/>
      </c>
      <c r="FL200" s="91" t="str">
        <f aca="false">IF(Tasks[[#This Row],[Task Name]]="","",IF(Tasks[[#This Row],[_IsSummary]],MAX(INDEX(Tasks[_ShownCalcFinish],Tasks[[#This Row],[_Row]]+1):INDEX(Tasks[_ShownCalcFinish],Tasks[[#This Row],[_Row]]+Tasks[[#This Row],[_Descendants]])),Tasks[[#This Row],[_ShownCalcFinish]]))</f>
        <v/>
      </c>
      <c r="FM2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0" s="43" t="n">
        <f aca="false">IF(AND(Tasks[[#This Row],[_IsLeaf]]=1,Tasks[[#This Row],[_LeafTotalWork]]&gt;0),NETWORKDAYS.INTL(ProjectStart,Tasks[[#This Row],[_ShownFcstStart]],WorkWeek,Holidays),0)</f>
        <v>0</v>
      </c>
      <c r="FZ200" s="43" t="n">
        <f aca="false">IF(AND(Tasks[[#This Row],[_IsLeaf]]=1,Tasks[[#This Row],[_LeafTotalWork]]&gt;0),MAX(Tasks[[#This Row],[_StartWorkday]],NETWORKDAYS.INTL(ProjectStart,Tasks[[#This Row],[_ShownFcstFinish]],WorkWeek,Holidays)),0)</f>
        <v>0</v>
      </c>
      <c r="GA200" s="43" t="n">
        <f aca="false">IF(AND(Tasks[[#This Row],[_IsLeaf]]=1,Tasks[[#This Row],[_LeafTotalWork]]&gt;0),Tasks[[#This Row],[_LeafWork]]/(Tasks[[#This Row],[_FinishWorkday]]-Tasks[[#This Row],[_StartWorkday]]+1),0)</f>
        <v>0</v>
      </c>
      <c r="GB200" s="43" t="n">
        <f aca="false">Tasks[[#This Row],[_WorkPerWorkday]]*(Tasks[[#This Row],[_StartWorkday]]-1)</f>
        <v>-0</v>
      </c>
      <c r="GC200" s="43" t="n">
        <f aca="false">IF(Tasks[[#This Row],[_IsLeaf]]=1,MAX(N(Tasks[[#This Row],[_Days]]),0.1),0)</f>
        <v>0</v>
      </c>
      <c r="GD200" s="43" t="n">
        <f aca="false">Tasks[[#This Row],[_WeightDur]]*Tasks[[#This Row],[_LeafProgress]]</f>
        <v>0</v>
      </c>
      <c r="GE200" s="43" t="n">
        <f aca="false">Tasks[[#This Row],[_WeightDur]]*Tasks[[#This Row],[_PlannedPct]]</f>
        <v>0</v>
      </c>
      <c r="GF2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0" s="43" t="str">
        <f aca="false">IF(AND(Tasks[[#This Row],[_IsLeaf]]=1,N(Tasks[[#This Row],[_Days]])=0,Tasks[[#This Row],[_LeafProgress]]&lt;1),Tasks[[#This Row],[_ShownFcstFinish]]+Tasks[[#This Row],[_Row]]/100000,"")</f>
        <v/>
      </c>
      <c r="GH2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0" s="43" t="str">
        <f aca="false">IF(Tasks[[#This Row],[Task Name]]="","",LEFT(Tasks[[#This Row],[WBS]],FIND(".",Tasks[[#This Row],[WBS]]&amp;".")-1))</f>
        <v/>
      </c>
      <c r="GJ200" s="43" t="str">
        <f aca="false">IF(AND(Tasks[[#This Row],[Task Name]]&lt;&gt;"",Tasks[[#This Row],[_Level]]=1),Tasks[[#This Row],[_Row]],"")</f>
        <v/>
      </c>
      <c r="GK200" s="43" t="str">
        <f aca="false">IF(AND(Tasks[[#This Row],[_IsLeaf]]=1,N(Tasks[[#This Row],[_Days]])=0),Tasks[[#This Row],[Planned Finish]]+Tasks[[#This Row],[_Row]]/100000,"")</f>
        <v/>
      </c>
      <c r="GL200" s="43" t="str">
        <f aca="false">IF(AND(Tasks[[#This Row],[_IsLeaf]]=1,Tasks[[#This Row],[_LeafProgress]]&lt;1,OR(N(Tasks[[#This Row],[Finish Var]])&gt;0,Tasks[[#This Row],[Status]]="Late Start")),MAX(0,Tasks[[#This Row],[Finish Var]])+1-Tasks[[#This Row],[_Row]]/1000000,"")</f>
        <v/>
      </c>
      <c r="GM200" s="43" t="str">
        <f aca="false">IF(AND(Tasks[[#This Row],[_IsLeaf]]=1,N(Tasks[[#This Row],[Actual Start]])=0,Tasks[[#This Row],[_ShownFcstStart]]&gt;=StatusDate,Tasks[[#This Row],[_ShownFcstStart]]&lt;=LookaheadEnd),Tasks[[#This Row],[_ShownFcstStart]]+Tasks[[#This Row],[_Row]]/100000,"")</f>
        <v/>
      </c>
      <c r="GN200" s="43" t="str">
        <f aca="false">IF(AND(Tasks[[#This Row],[_IsLeaf]]=1,Tasks[[#This Row],[_LeafProgress]]&lt;1,Tasks[[#This Row],[_ShownFcstFinish]]&gt;=StatusDate,Tasks[[#This Row],[_ShownFcstFinish]]&lt;=LookaheadEnd),Tasks[[#This Row],[_ShownFcstFinish]]+Tasks[[#This Row],[_Row]]/100000,"")</f>
        <v/>
      </c>
      <c r="GO200" s="43" t="str">
        <f aca="false">IF(Tasks[[#This Row],[_LeafCritical]],Tasks[[#This Row],[_ShownFcstStart]]+Tasks[[#This Row],[_Row]]/100000,"")</f>
        <v/>
      </c>
      <c r="GP200" s="43" t="n">
        <f aca="false">Tasks[[#This Row],[_LeafWork]]*Tasks[[#This Row],[_LeafProgress]]</f>
        <v>0</v>
      </c>
      <c r="GQ200" s="91" t="str">
        <f aca="false">IF(AND(Tasks[[#This Row],[_IsLeaf]]=1,Tasks[[#This Row],[_LeafProgress]]&gt;=1),IF(N(Tasks[[#This Row],[Actual Finish]])&gt;0,Tasks[[#This Row],[Actual Finish]],Tasks[[#This Row],[_ShownFcstFinish]]),"")</f>
        <v/>
      </c>
      <c r="GR200" s="43" t="n">
        <f aca="false">IF(Tasks[[#This Row],[_IsLeaf]]=1,N(Tasks[[#This Row],[Story Points]]),0)</f>
        <v>0</v>
      </c>
      <c r="GS200" s="43" t="str">
        <f aca="false">""</f>
        <v/>
      </c>
      <c r="GT200" s="90" t="b">
        <f aca="false">IF(Tasks[[#This Row],[Task Name]]="",FALSE(),AND(Tasks[[#This Row],[_IsLeaf]]=1,N(Tasks[[#This Row],[_Days]])=0))</f>
        <v>0</v>
      </c>
      <c r="GU200" s="91" t="n">
        <f aca="false">IF(Tasks[[#This Row],[Task Name]]="",0,IF(AND(Tasks[[#This Row],[_IsLeaf]]=1,NOT(Tasks[[#This Row],[_IsMilestone]]),N(Tasks[[#This Row],[Progress]])&gt;0),Tasks[[#This Row],[Start]],0))</f>
        <v>0</v>
      </c>
      <c r="GV200" s="91" t="n">
        <f aca="false">IF(Tasks[[#This Row],[_DoneFrom]]=0,0,IF(Tasks[[#This Row],[Progress]]&gt;=1,Tasks[[#This Row],[Finish]],MAX(Tasks[[#This Row],[_DoneFrom]],Tasks[[#This Row],[Start]]+ROUND((Tasks[[#This Row],[Finish]]-Tasks[[#This Row],[Start]]+1)*Tasks[[#This Row],[Progress]],0)-1)))</f>
        <v>0</v>
      </c>
      <c r="GW200" s="91" t="n">
        <f aca="false">IF(Tasks[[#This Row],[Task Name]]="",0,IF(OR(NOT(Tasks[[#This Row],[_IsLeaf]]=1),Tasks[[#This Row],[_IsMilestone]],N(Tasks[[#This Row],[Progress]])&gt;=1),0,IF(Tasks[[#This Row],[_DoneTo]]&gt;0,Tasks[[#This Row],[_DoneTo]]+1,Tasks[[#This Row],[Start]])))</f>
        <v>0</v>
      </c>
      <c r="GX200" s="91" t="n">
        <f aca="false">IF(Tasks[[#This Row],[_RemFrom]]=0,0,Tasks[[#This Row],[Finish]])</f>
        <v>0</v>
      </c>
      <c r="GY200" s="90" t="b">
        <f aca="false">IF(Tasks[[#This Row],[Task Name]]="",FALSE(),OR(NOT(BaselineSet),N(Tasks[[#This Row],[Baseline Start]])&gt;0))</f>
        <v>0</v>
      </c>
      <c r="GZ200"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0" s="92" t="str">
        <f aca="false">IF(Tasks[[#This Row],[_IsLeaf]]=1,Tasks[[#This Row],[_Row]],"")</f>
        <v/>
      </c>
      <c r="HD200" s="92" t="str">
        <f aca="false">IFERROR(INDEX(Tasks[UID],SMALL(Tasks[_PickKey],Tasks[[#This Row],[_Row]]))&amp;" "&amp;INDEX(Tasks[Task Name],SMALL(Tasks[_PickKey],Tasks[[#This Row],[_Row]])),"")</f>
        <v/>
      </c>
      <c r="HE200" s="43" t="str">
        <f aca="false">IF(Tasks[[#This Row],[Task Name]]="","",IF(Tasks[[#This Row],[_IsSummary]],NETWORKDAYS.INTL(Tasks[[#This Row],[Start]],Tasks[[#This Row],[Finish]],WorkWeek,Holidays),N(Tasks[[#This Row],[_Days]])))</f>
        <v/>
      </c>
      <c r="HF200" s="43" t="n">
        <f aca="false">IF(Tasks[[#This Row],[Expected]]="",0,((Tasks[[#This Row],[Pessimistic]]-Tasks[[#This Row],[Optimistic]])/6)^2)</f>
        <v>0</v>
      </c>
      <c r="HG200" s="43" t="n">
        <f aca="false">IF(Tasks[[#This Row],[Expected]]="",0,Tasks[[#This Row],[Expected]]-N(Tasks[[#This Row],[_Days]]))</f>
        <v>0</v>
      </c>
    </row>
    <row r="201" customFormat="false" ht="15" hidden="false" customHeight="false" outlineLevel="0" collapsed="false">
      <c r="A201" s="21" t="str">
        <f aca="false">IF(Tasks[[#This Row],[Task Name]]="","",COUNTA(Tasks[[#Headers],[Task Name]]:Tasks[[#This Row],[Task Name]])-1)</f>
        <v/>
      </c>
      <c r="B201" s="22" t="n">
        <v>209</v>
      </c>
      <c r="C201" s="22"/>
      <c r="D201" s="23"/>
      <c r="E201" s="22"/>
      <c r="F201" s="23"/>
      <c r="G201" s="22"/>
      <c r="H201" s="22"/>
      <c r="I201" s="23"/>
      <c r="J201" s="22"/>
      <c r="K201" s="22"/>
      <c r="L201" s="23"/>
      <c r="M201" s="22"/>
      <c r="N201" s="22"/>
      <c r="O201" s="23"/>
      <c r="P201" s="22"/>
      <c r="Q201" s="22"/>
      <c r="R201" s="23"/>
      <c r="S201" s="23"/>
      <c r="T201" s="84"/>
      <c r="U201" s="23"/>
      <c r="V201" s="84"/>
      <c r="W201" s="23"/>
      <c r="X201" s="84"/>
      <c r="Y201" s="23"/>
      <c r="Z201" s="84"/>
      <c r="AA201" s="23"/>
      <c r="AB201" s="23"/>
      <c r="AC201" s="7"/>
      <c r="AD201" s="7"/>
      <c r="AE201" s="63" t="str">
        <f aca="false">IF(Tasks[[#This Row],[Task Name]]="","",IF(Tasks[[#This Row],[_IsSummary]],MIN(INDEX(Tasks[_ShownFcstStart],Tasks[[#This Row],[_Row]]+1):INDEX(Tasks[_ShownFcstStart],Tasks[[#This Row],[_Row]]+Tasks[[#This Row],[_Descendants]])),Tasks[[#This Row],[_ShownFcstStart]]))</f>
        <v/>
      </c>
      <c r="AF201" s="63" t="str">
        <f aca="false">IF(Tasks[[#This Row],[Task Name]]="","",IF(Tasks[[#This Row],[_IsSummary]],MAX(INDEX(Tasks[_ShownFcstFinish],Tasks[[#This Row],[_Row]]+1):INDEX(Tasks[_ShownFcstFinish],Tasks[[#This Row],[_Row]]+Tasks[[#This Row],[_Descendants]])),Tasks[[#This Row],[_ShownFcstFinish]]))</f>
        <v/>
      </c>
      <c r="AG201" s="21" t="str">
        <f aca="false">""</f>
        <v/>
      </c>
      <c r="AH201" s="23"/>
      <c r="AI2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1" s="7"/>
      <c r="AK201" s="22"/>
      <c r="AL201" s="23"/>
      <c r="AM201" s="7"/>
      <c r="AN201" s="47" t="str">
        <f aca="false">IF(Tasks[[#This Row],[Task Name]]="","",IF(Tasks[[#This Row],[Finish]]&gt;=Tasks[[#This Row],[Planned Finish]],NETWORKDAYS.INTL(Tasks[[#This Row],[Planned Finish]],Tasks[[#This Row],[Finish]],WorkWeek,Holidays)-1,1-NETWORKDAYS.INTL(Tasks[[#This Row],[Finish]],Tasks[[#This Row],[Planned Finish]],WorkWeek,Holidays)))</f>
        <v/>
      </c>
      <c r="AO201" s="21" t="str">
        <f aca="false">IF(Tasks[[#This Row],[Task Name]]="","",IF(Tasks[[#This Row],[Progress]]&gt;=1,"Complete",IF(OR(N(Tasks[[#This Row],[Actual Start]])&gt;0,Tasks[[#This Row],[Progress]]&gt;0),IF(Tasks[[#This Row],[Finish Var]]&gt;0,"Behind","In Progress"),IF(Tasks[[#This Row],[Planned Start]]&lt;StatusDate,"Late Start","Not Started"))))</f>
        <v/>
      </c>
      <c r="AP201" s="21" t="str">
        <f aca="false">IF(Tasks[[#This Row],[Task Name]]="","",IF(IF(Tasks[[#This Row],[_IsSummary]],COUNTIF(INDEX(Tasks[_LeafCritical],Tasks[[#This Row],[_Row]]+1):INDEX(Tasks[_LeafCritical],Tasks[[#This Row],[_Row]]+Tasks[[#This Row],[_Descendants]]),TRUE())&gt;0,Tasks[[#This Row],[_LeafCritical]]),"Yes",""))</f>
        <v/>
      </c>
      <c r="AQ201" s="63" t="str">
        <f aca="false">IF(Tasks[[#This Row],[Task Name]]="","",IF(N(Tasks[[#This Row],[Baseline Start]])&gt;0,Tasks[[#This Row],[Baseline Start]],Tasks[[#This Row],[_CalcStart]]))</f>
        <v/>
      </c>
      <c r="AR201" s="63" t="str">
        <f aca="false">IF(Tasks[[#This Row],[Task Name]]="","",IF(N(Tasks[[#This Row],[Baseline Finish]])&gt;0,Tasks[[#This Row],[Baseline Finish]],Tasks[[#This Row],[_CalcFinish]]))</f>
        <v/>
      </c>
      <c r="AS201" s="47" t="str">
        <f aca="false">IF(Tasks[[#This Row],[Task Name]]="","",IF(Tasks[[#This Row],[Start]]&gt;=Tasks[[#This Row],[Planned Start]],NETWORKDAYS.INTL(Tasks[[#This Row],[Planned Start]],Tasks[[#This Row],[Start]],WorkWeek,Holidays)-1,1-NETWORKDAYS.INTL(Tasks[[#This Row],[Start]],Tasks[[#This Row],[Planned Start]],WorkWeek,Holidays)))</f>
        <v/>
      </c>
      <c r="AT201" s="63" t="str">
        <f aca="false">IF(Tasks[[#This Row],[Task Name]]="","",IF(Tasks[[#This Row],[_IsSummary]],MIN(INDEX(Tasks[_LeafLateStart],Tasks[[#This Row],[_Row]]+1):INDEX(Tasks[_LeafLateStart],Tasks[[#This Row],[_Row]]+Tasks[[#This Row],[_Descendants]])),Tasks[[#This Row],[_LeafLateStart]]))</f>
        <v/>
      </c>
      <c r="AU201" s="63" t="str">
        <f aca="false">IF(Tasks[[#This Row],[Task Name]]="","",IF(Tasks[[#This Row],[_IsSummary]],MAX(INDEX(Tasks[_LeafLateFinish],Tasks[[#This Row],[_Row]]+1):INDEX(Tasks[_LeafLateFinish],Tasks[[#This Row],[_Row]]+Tasks[[#This Row],[_Descendants]])),Tasks[[#This Row],[_LeafLateFinish]]))</f>
        <v/>
      </c>
      <c r="AV201" s="47" t="str">
        <f aca="false">IF(Tasks[[#This Row],[Task Name]]="","",IF(Tasks[[#This Row],[_IsSummary]],MIN(INDEX(Tasks[_LeafTotalSlack],Tasks[[#This Row],[_Row]]+1):INDEX(Tasks[_LeafTotalSlack],Tasks[[#This Row],[_Row]]+Tasks[[#This Row],[_Descendants]])),Tasks[[#This Row],[_LeafTotalSlack]]))</f>
        <v/>
      </c>
      <c r="AW2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5"/>
      <c r="BA20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t="str">
        <f aca="false">IF(Tasks[[#This Row],[Task Name]]="","",IF(Tasks[[#This Row],[_Level]]&lt;=OutlineShowLevel,"Yes","No"))</f>
        <v/>
      </c>
      <c r="BE201" s="86" t="str">
        <f aca="false">IF(Tasks[[#This Row],[Task Name]]="","",IF(Tasks[[#This Row],[_IsSummary]],SUM(INDEX(Tasks[_LeafTotalWork],Tasks[[#This Row],[_Row]]+1):INDEX(Tasks[_LeafTotalWork],Tasks[[#This Row],[_Row]]+Tasks[[#This Row],[_Descendants]])),Tasks[[#This Row],[_LeafTotalWork]]))</f>
        <v/>
      </c>
      <c r="BF201" s="23"/>
      <c r="BG2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t="str">
        <f aca="false">""</f>
        <v/>
      </c>
      <c r="BI201" s="87"/>
      <c r="BJ201" s="22"/>
      <c r="BK201" s="47" t="str">
        <f aca="false">IF(OR(Tasks[[#This Row],[Task Name]]="",Tasks[[#This Row],[Baseline Duration]]=""),"",Tasks[[#This Row],[_SpanDays]]-N(Tasks[[#This Row],[Baseline Duration]]))</f>
        <v/>
      </c>
      <c r="BL201" s="86" t="str">
        <f aca="false">IF(OR(Tasks[[#This Row],[Task Name]]="",Tasks[[#This Row],[Baseline Work]]=""),"",Tasks[[#This Row],[Work]]-N(Tasks[[#This Row],[Baseline Work]]))</f>
        <v/>
      </c>
      <c r="BM201" s="63" t="str">
        <f aca="false">IF(Tasks[[#This Row],[Task Name]]="","",IF(OR(TakeBaseline="Yes",N(Tasks[[#This Row],[Baseline Start]])=0),Tasks[[#This Row],[Start]],Tasks[[#This Row],[Baseline Start]]))</f>
        <v/>
      </c>
      <c r="BN201" s="63" t="str">
        <f aca="false">IF(Tasks[[#This Row],[Task Name]]="","",IF(OR(TakeBaseline="Yes",N(Tasks[[#This Row],[Baseline Finish]])=0),Tasks[[#This Row],[Finish]],Tasks[[#This Row],[Baseline Finish]]))</f>
        <v/>
      </c>
      <c r="BO201" s="21" t="str">
        <f aca="false">IF(Tasks[[#This Row],[Task Name]]="","",IF(OR(TakeBaseline="Yes",N(Tasks[[#This Row],[Baseline Duration]])=0),Tasks[[#This Row],[_SpanDays]],Tasks[[#This Row],[Baseline Duration]]))</f>
        <v/>
      </c>
      <c r="BP201" s="86" t="str">
        <f aca="false">IF(Tasks[[#This Row],[Task Name]]="","",IF(OR(TakeBaseline="Yes",N(Tasks[[#This Row],[Baseline Work]])=0),Tasks[[#This Row],[Work]],Tasks[[#This Row],[Baseline Work]]))</f>
        <v/>
      </c>
      <c r="BQ201" s="7"/>
      <c r="BR201" s="7"/>
      <c r="BS201" s="22"/>
      <c r="BT201" s="88"/>
      <c r="BU201" s="23"/>
      <c r="BV201" s="23"/>
      <c r="BW201" s="23"/>
      <c r="BX201" s="89" t="str">
        <f aca="false">IF(AND(Tasks[[#This Row],[_IsLeaf]]=1,ISNUMBER(Tasks[[#This Row],[Optimistic]]),ISNUMBER(Tasks[[#This Row],[Pessimistic]])),ROUND((Tasks[[#This Row],[Optimistic]]+4*N(Tasks[[#This Row],[_Days]])+Tasks[[#This Row],[Pessimistic]])/6,1),"")</f>
        <v/>
      </c>
      <c r="BY201" s="87"/>
      <c r="BZ201" s="87"/>
      <c r="CA201" s="22"/>
      <c r="CB201" s="43" t="str">
        <f aca="false">IF(Tasks[[#This Row],[Task Name]]="","",MAX(1,N(Tasks[[#This Row],[Level]])))</f>
        <v/>
      </c>
      <c r="CC201" s="43" t="n">
        <f aca="false">ROW()-ROW(Tasks[[#Headers],[ID]])</f>
        <v>196</v>
      </c>
      <c r="CD201" s="43" t="n">
        <f aca="false">IF(OR(Tasks[[#This Row],[Task Name]]="",Tasks[[#This Row],[_Level]]&lt;=1),0,IFERROR(LOOKUP(2,1/(Tasks[[#Headers],[_Level]]:Tasks[[#This Row],[_Level]]=Tasks[[#This Row],[_Level]]-1),ROW(Tasks[[#Headers],[_Level]]:Tasks[[#This Row],[_Level]])),0))</f>
        <v>0</v>
      </c>
      <c r="CE201" s="43" t="n">
        <f aca="false">IFERROR(N(INDEX(Tasks[_Level],Tasks[[#This Row],[_Row]]+1)),0)</f>
        <v>0</v>
      </c>
      <c r="CF201" s="90" t="b">
        <f aca="false">AND(Tasks[[#This Row],[Task Name]]&lt;&gt;"",Tasks[[#This Row],[_NextLevel]]&gt;Tasks[[#This Row],[_Level]])</f>
        <v>0</v>
      </c>
      <c r="CG201" s="43" t="n">
        <f aca="false">IF(Tasks[[#This Row],[_IsSummary]],COUNTIF(Tasks[WBS],Tasks[[#This Row],[WBS]]&amp;".*"),0)</f>
        <v>0</v>
      </c>
      <c r="CH201" s="43" t="n">
        <f aca="false">IF(AND(Tasks[[#This Row],[Task Name]]&lt;&gt;"",NOT(Tasks[[#This Row],[_IsSummary]])),1,0)</f>
        <v>0</v>
      </c>
      <c r="CI201" s="43" t="n">
        <f aca="false">IF(N(Tasks[[#This Row],[_Pred1UID]])=0,0,IFERROR(MATCH(Tasks[[#This Row],[_Pred1UID]],Tasks[UID],0),-1))</f>
        <v>0</v>
      </c>
      <c r="CJ201" s="43" t="n">
        <f aca="false">IF(N(Tasks[[#This Row],[_Pred2UID]])=0,0,IFERROR(MATCH(Tasks[[#This Row],[_Pred2UID]],Tasks[UID],0),-1))</f>
        <v>0</v>
      </c>
      <c r="CK201" s="43" t="n">
        <f aca="false">IF(N(Tasks[[#This Row],[_Pred3UID]])=0,0,IFERROR(MATCH(Tasks[[#This Row],[_Pred3UID]],Tasks[UID],0),-1))</f>
        <v>0</v>
      </c>
      <c r="CL201" s="43" t="n">
        <f aca="false">IF(N(Tasks[[#This Row],[_Pred4UID]])=0,0,IFERROR(MATCH(Tasks[[#This Row],[_Pred4UID]],Tasks[UID],0),-1))</f>
        <v>0</v>
      </c>
      <c r="CM2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1" s="91" t="n">
        <f aca="false">IF(OR(Tasks[[#This Row],[_ConstraintCode]]=2,Tasks[[#This Row],[_ConstraintCode]]=3,Tasks[[#This Row],[_ConstraintCode]]=4,Tasks[[#This Row],[_ConstraintCode]]=6),Tasks[[#This Row],[_ConstraintStart]],0)</f>
        <v>0</v>
      </c>
      <c r="CP201" s="91" t="n">
        <f aca="false">IF(OR(Tasks[[#This Row],[_ConstraintCode]]=2,Tasks[[#This Row],[_ConstraintCode]]=3,Tasks[[#This Row],[_ConstraintCode]]=5,Tasks[[#This Row],[_ConstraintCode]]=7),Tasks[[#This Row],[_ConstraintStart]],2958465)</f>
        <v>2958465</v>
      </c>
      <c r="CQ2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1" s="91" t="str">
        <f aca="false">IF(NOT(Tasks[[#This Row],[_IsLeaf]]=1),"",IF(N(Tasks[[#This Row],[_Days]])&lt;=0,Tasks[[#This Row],[_LeafCalcStart]],WORKDAY.INTL(Tasks[[#This Row],[_LeafCalcStart]],Tasks[[#This Row],[_Days]]-1,WorkWeek,Holidays)))</f>
        <v/>
      </c>
      <c r="CS2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1" s="43" t="str">
        <f aca="false">IF(Tasks[[#This Row],[_Predecessors]]="","",TRIM(MID(SUBSTITUTE(SUBSTITUTE(SUBSTITUTE(UPPER(Tasks[[#This Row],[_Predecessors]]),";",",")," ",""),",",REPT(" ",99)),1,99)))</f>
        <v/>
      </c>
      <c r="CV201" s="43" t="str">
        <f aca="false">IF(Tasks[[#This Row],[_Pred1Text]]="","",IFERROR(VALUE(LEFT(Tasks[[#This Row],[_Pred1Text]],MIN(FIND("F",Tasks[[#This Row],[_Pred1Text]]&amp;"F"),FIND("S",Tasks[[#This Row],[_Pred1Text]]&amp;"S"),FIND("+",Tasks[[#This Row],[_Pred1Text]]&amp;"+"),FIND("-",Tasks[[#This Row],[_Pred1Text]]&amp;"-"))-1)),""))</f>
        <v/>
      </c>
      <c r="CW2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1" s="43" t="str">
        <f aca="false">IF(Tasks[[#This Row],[_Pred1Text]]="","",TRIM(MID(SUBSTITUTE(SUBSTITUTE(SUBSTITUTE(UPPER(Tasks[[#This Row],[_Predecessors]]),";",",")," ",""),",",REPT(" ",99)),100,99)))</f>
        <v/>
      </c>
      <c r="CZ201" s="43" t="str">
        <f aca="false">IF(Tasks[[#This Row],[_Pred2Text]]="","",IFERROR(VALUE(LEFT(Tasks[[#This Row],[_Pred2Text]],MIN(FIND("F",Tasks[[#This Row],[_Pred2Text]]&amp;"F"),FIND("S",Tasks[[#This Row],[_Pred2Text]]&amp;"S"),FIND("+",Tasks[[#This Row],[_Pred2Text]]&amp;"+"),FIND("-",Tasks[[#This Row],[_Pred2Text]]&amp;"-"))-1)),""))</f>
        <v/>
      </c>
      <c r="DA2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1" s="43" t="str">
        <f aca="false">IF(Tasks[[#This Row],[_Pred2Text]]="","",TRIM(MID(SUBSTITUTE(SUBSTITUTE(SUBSTITUTE(UPPER(Tasks[[#This Row],[_Predecessors]]),";",",")," ",""),",",REPT(" ",99)),199,99)))</f>
        <v/>
      </c>
      <c r="DD201" s="43" t="str">
        <f aca="false">IF(Tasks[[#This Row],[_Pred3Text]]="","",IFERROR(VALUE(LEFT(Tasks[[#This Row],[_Pred3Text]],MIN(FIND("F",Tasks[[#This Row],[_Pred3Text]]&amp;"F"),FIND("S",Tasks[[#This Row],[_Pred3Text]]&amp;"S"),FIND("+",Tasks[[#This Row],[_Pred3Text]]&amp;"+"),FIND("-",Tasks[[#This Row],[_Pred3Text]]&amp;"-"))-1)),""))</f>
        <v/>
      </c>
      <c r="DE2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1" s="43" t="str">
        <f aca="false">IF(Tasks[[#This Row],[_Pred3Text]]="","",TRIM(MID(SUBSTITUTE(SUBSTITUTE(SUBSTITUTE(UPPER(Tasks[[#This Row],[_Predecessors]]),";",",")," ",""),",",REPT(" ",99)),298,99)))</f>
        <v/>
      </c>
      <c r="DH201" s="43" t="str">
        <f aca="false">IF(Tasks[[#This Row],[_Pred4Text]]="","",IFERROR(VALUE(LEFT(Tasks[[#This Row],[_Pred4Text]],MIN(FIND("F",Tasks[[#This Row],[_Pred4Text]]&amp;"F"),FIND("S",Tasks[[#This Row],[_Pred4Text]]&amp;"S"),FIND("+",Tasks[[#This Row],[_Pred4Text]]&amp;"+"),FIND("-",Tasks[[#This Row],[_Pred4Text]]&amp;"-"))-1)),""))</f>
        <v/>
      </c>
      <c r="DI2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1" s="43" t="str">
        <f aca="false">IF(OR(Tasks[[#This Row],[Task Name]]="",Tasks[[#This Row],[_Resources]]=""),"",TRIM(MID(SUBSTITUTE(Tasks[[#This Row],[_Resources]],",",REPT(" ",99)),1,99)))</f>
        <v/>
      </c>
      <c r="DL201" s="43" t="str">
        <f aca="false">IF(Tasks[[#This Row],[_Res1Text]]="","",TRIM(MID(SUBSTITUTE(Tasks[[#This Row],[_Resources]],",",REPT(" ",99)),100,99)))</f>
        <v/>
      </c>
      <c r="DM201" s="43" t="str">
        <f aca="false">IF(Tasks[[#This Row],[_Res2Text]]="","",TRIM(MID(SUBSTITUTE(Tasks[[#This Row],[_Resources]],",",REPT(" ",99)),199,99)))</f>
        <v/>
      </c>
      <c r="DN201" s="43" t="str">
        <f aca="false">IF(Tasks[[#This Row],[_Res3Text]]="","",TRIM(MID(SUBSTITUTE(Tasks[[#This Row],[_Resources]],",",REPT(" ",99)),298,99)))</f>
        <v/>
      </c>
      <c r="DO201" s="43" t="n">
        <f aca="false">IF(Tasks[[#This Row],[_Res1Text]]="",0,IFERROR(MATCH(TRIM(LEFT(Tasks[[#This Row],[_Res1Text]],FIND("[",Tasks[[#This Row],[_Res1Text]]&amp;"[")-1)),res_Name,0),IFERROR(MATCH(TRIM(LEFT(Tasks[[#This Row],[_Res1Text]],FIND("[",Tasks[[#This Row],[_Res1Text]]&amp;"[")-1)),res_Initials,0),0)))</f>
        <v>0</v>
      </c>
      <c r="DP201" s="43" t="n">
        <f aca="false">IF(Tasks[[#This Row],[_Res2Text]]="",0,IFERROR(MATCH(TRIM(LEFT(Tasks[[#This Row],[_Res2Text]],FIND("[",Tasks[[#This Row],[_Res2Text]]&amp;"[")-1)),res_Name,0),IFERROR(MATCH(TRIM(LEFT(Tasks[[#This Row],[_Res2Text]],FIND("[",Tasks[[#This Row],[_Res2Text]]&amp;"[")-1)),res_Initials,0),0)))</f>
        <v>0</v>
      </c>
      <c r="DQ201" s="43" t="n">
        <f aca="false">IF(Tasks[[#This Row],[_Res3Text]]="",0,IFERROR(MATCH(TRIM(LEFT(Tasks[[#This Row],[_Res3Text]],FIND("[",Tasks[[#This Row],[_Res3Text]]&amp;"[")-1)),res_Name,0),IFERROR(MATCH(TRIM(LEFT(Tasks[[#This Row],[_Res3Text]],FIND("[",Tasks[[#This Row],[_Res3Text]]&amp;"[")-1)),res_Initials,0),0)))</f>
        <v>0</v>
      </c>
      <c r="DR201" s="43" t="n">
        <f aca="false">IF(Tasks[[#This Row],[_Res4Text]]="",0,IFERROR(MATCH(TRIM(LEFT(Tasks[[#This Row],[_Res4Text]],FIND("[",Tasks[[#This Row],[_Res4Text]]&amp;"[")-1)),res_Name,0),IFERROR(MATCH(TRIM(LEFT(Tasks[[#This Row],[_Res4Text]],FIND("[",Tasks[[#This Row],[_Res4Text]]&amp;"[")-1)),res_Initials,0),0)))</f>
        <v>0</v>
      </c>
      <c r="DS201" s="43" t="str">
        <f aca="false">IF(Tasks[[#This Row],[_Res1Text]]="","",IF(Tasks[[#This Row],[_Res1Row]]&gt;0,INDEX(res_Name,Tasks[[#This Row],[_Res1Row]]),TRIM(LEFT(Tasks[[#This Row],[_Res1Text]],FIND("[",Tasks[[#This Row],[_Res1Text]]&amp;"[")-1))))</f>
        <v/>
      </c>
      <c r="DT2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1" s="43" t="n">
        <f aca="false">IF(NOT(Tasks[[#This Row],[_IsLeaf]]=1),0,(Tasks[[#This Row],[_Resource1]]&lt;&gt;"")+(Tasks[[#This Row],[_Res2]]&lt;&gt;"")+(Tasks[[#This Row],[_Res3]]&lt;&gt;"")+(Tasks[[#This Row],[_Res4]]&lt;&gt;""))</f>
        <v>0</v>
      </c>
      <c r="DV201" s="43" t="str">
        <f aca="false">IF(Tasks[[#This Row],[_Res2Text]]="","",IF(Tasks[[#This Row],[_Res2Row]]&gt;0,INDEX(res_Name,Tasks[[#This Row],[_Res2Row]]),TRIM(LEFT(Tasks[[#This Row],[_Res2Text]],FIND("[",Tasks[[#This Row],[_Res2Text]]&amp;"[")-1))))</f>
        <v/>
      </c>
      <c r="DW2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1" s="43" t="n">
        <f aca="false">IF(OR(NOT(Tasks[[#This Row],[_IsLeaf]]=1),Tasks[[#This Row],[_Res2Row]]=0),0,N(Tasks[[#This Row],[_Days]])*HoursPerDay*IF(Tasks[[#This Row],[_Res2Units]]="",DefaultUnits,Tasks[[#This Row],[_Res2Units]]))</f>
        <v>0</v>
      </c>
      <c r="DY201" s="43" t="n">
        <f aca="false">IF(AND(AND(Tasks[[#This Row],[_IsLeaf]]=1,Tasks[[#This Row],[_LeafTotalWork]]&gt;0),Tasks[[#This Row],[_Res2Work]]&gt;0),Tasks[[#This Row],[_Res2Work]]/(Tasks[[#This Row],[_FinishWorkday]]-Tasks[[#This Row],[_StartWorkday]]+1),0)</f>
        <v>0</v>
      </c>
      <c r="DZ201" s="43" t="n">
        <f aca="false">Tasks[[#This Row],[_Res2WorkPerWD]]*MAX(0,Tasks[[#This Row],[_StartWorkday]]-1)</f>
        <v>0</v>
      </c>
      <c r="EA201" s="43" t="n">
        <f aca="false">Tasks[[#This Row],[_Res2Work]]*Tasks[[#This Row],[_LeafProgress]]</f>
        <v>0</v>
      </c>
      <c r="EB201" s="43" t="str">
        <f aca="false">IF(Tasks[[#This Row],[_Res3Text]]="","",IF(Tasks[[#This Row],[_Res3Row]]&gt;0,INDEX(res_Name,Tasks[[#This Row],[_Res3Row]]),TRIM(LEFT(Tasks[[#This Row],[_Res3Text]],FIND("[",Tasks[[#This Row],[_Res3Text]]&amp;"[")-1))))</f>
        <v/>
      </c>
      <c r="EC2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1" s="43" t="n">
        <f aca="false">IF(OR(NOT(Tasks[[#This Row],[_IsLeaf]]=1),Tasks[[#This Row],[_Res3Row]]=0),0,N(Tasks[[#This Row],[_Days]])*HoursPerDay*IF(Tasks[[#This Row],[_Res3Units]]="",DefaultUnits,Tasks[[#This Row],[_Res3Units]]))</f>
        <v>0</v>
      </c>
      <c r="EE201" s="43" t="n">
        <f aca="false">IF(AND(AND(Tasks[[#This Row],[_IsLeaf]]=1,Tasks[[#This Row],[_LeafTotalWork]]&gt;0),Tasks[[#This Row],[_Res3Work]]&gt;0),Tasks[[#This Row],[_Res3Work]]/(Tasks[[#This Row],[_FinishWorkday]]-Tasks[[#This Row],[_StartWorkday]]+1),0)</f>
        <v>0</v>
      </c>
      <c r="EF201" s="43" t="n">
        <f aca="false">Tasks[[#This Row],[_Res3WorkPerWD]]*MAX(0,Tasks[[#This Row],[_StartWorkday]]-1)</f>
        <v>0</v>
      </c>
      <c r="EG201" s="43" t="n">
        <f aca="false">Tasks[[#This Row],[_Res3Work]]*Tasks[[#This Row],[_LeafProgress]]</f>
        <v>0</v>
      </c>
      <c r="EH201" s="43" t="str">
        <f aca="false">IF(Tasks[[#This Row],[_Res4Text]]="","",IF(Tasks[[#This Row],[_Res4Row]]&gt;0,INDEX(res_Name,Tasks[[#This Row],[_Res4Row]]),TRIM(LEFT(Tasks[[#This Row],[_Res4Text]],FIND("[",Tasks[[#This Row],[_Res4Text]]&amp;"[")-1))))</f>
        <v/>
      </c>
      <c r="EI2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1" s="43" t="n">
        <f aca="false">IF(OR(NOT(Tasks[[#This Row],[_IsLeaf]]=1),Tasks[[#This Row],[_Res4Row]]=0),0,N(Tasks[[#This Row],[_Days]])*HoursPerDay*IF(Tasks[[#This Row],[_Res4Units]]="",DefaultUnits,Tasks[[#This Row],[_Res4Units]]))</f>
        <v>0</v>
      </c>
      <c r="EK201" s="43" t="n">
        <f aca="false">IF(AND(AND(Tasks[[#This Row],[_IsLeaf]]=1,Tasks[[#This Row],[_LeafTotalWork]]&gt;0),Tasks[[#This Row],[_Res4Work]]&gt;0),Tasks[[#This Row],[_Res4Work]]/(Tasks[[#This Row],[_FinishWorkday]]-Tasks[[#This Row],[_StartWorkday]]+1),0)</f>
        <v>0</v>
      </c>
      <c r="EL201" s="43" t="n">
        <f aca="false">Tasks[[#This Row],[_Res4WorkPerWD]]*MAX(0,Tasks[[#This Row],[_StartWorkday]]-1)</f>
        <v>0</v>
      </c>
      <c r="EM201" s="43" t="n">
        <f aca="false">Tasks[[#This Row],[_Res4Work]]*Tasks[[#This Row],[_LeafProgress]]</f>
        <v>0</v>
      </c>
      <c r="EN201" s="43" t="n">
        <f aca="false">IF(ISNUMBER(Tasks[[#This Row],[% Complete]]),Tasks[[#This Row],[% Complete]],IF(Tasks[[#This Row],[Stage]]="",0,IFERROR(INDEX(stg_Pct,MATCH(Tasks[[#This Row],[Stage]],stg_Name,0)),0)))</f>
        <v>0</v>
      </c>
      <c r="EO201" s="43" t="n">
        <f aca="false">IF(NOT(Tasks[[#This Row],[_IsLeaf]]=1),0,IF(N(Tasks[[#This Row],[Actual Finish]])&gt;0,1,MIN(1,Tasks[[#This Row],[_Pct]])))</f>
        <v>0</v>
      </c>
      <c r="EP201" s="43" t="n">
        <f aca="false">IF(OR(NOT(Tasks[[#This Row],[_IsLeaf]]=1),Tasks[[#This Row],[_Res1Row]]=0),0,N(Tasks[[#This Row],[_Days]])*HoursPerDay*IF(Tasks[[#This Row],[_Units1]]="",DefaultUnits,Tasks[[#This Row],[_Units1]]))</f>
        <v>0</v>
      </c>
      <c r="EQ201" s="43" t="n">
        <f aca="false">Tasks[[#This Row],[_LeafWork]]+Tasks[[#This Row],[_Res2Work]]+Tasks[[#This Row],[_Res3Work]]+Tasks[[#This Row],[_Res4Work]]</f>
        <v>0</v>
      </c>
      <c r="ER20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1" s="43" t="n">
        <f aca="false">IF(NOT(Tasks[[#This Row],[_IsLeaf]]=1),0,MAX(_xlfn.MAXIFS(Tasks[_Row],Tasks[_Pred1UID],Tasks[[#This Row],[UID]]),_xlfn.MAXIFS(Tasks[_Row],Tasks[_Pred2UID],Tasks[[#This Row],[UID]]),_xlfn.MAXIFS(Tasks[_Row],Tasks[_Pred3UID],Tasks[[#This Row],[UID]]),_xlfn.MAXIFS(Tasks[_Row],Tasks[_Pred4UID],Tasks[[#This Row],[UID]])))</f>
        <v>0</v>
      </c>
      <c r="FA2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1" s="91" t="str">
        <f aca="false">IF(NOT(Tasks[[#This Row],[_IsLeaf]]=1),"",IF(N(Tasks[[#This Row],[_Days]])&lt;=0,Tasks[[#This Row],[_LeafLateFinish]],WORKDAY.INTL(Tasks[[#This Row],[_LeafLateFinish]],-(Tasks[[#This Row],[_Days]]-1),WorkWeek,Holidays)))</f>
        <v/>
      </c>
      <c r="FD2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1" s="90" t="b">
        <f aca="false">AND(Tasks[[#This Row],[_IsLeaf]]=1,Tasks[[#This Row],[_LeafProgress]]&lt;1,N(Tasks[[#This Row],[_LeafTotalSlack]])&lt;=CriticalSlackDays)</f>
        <v>0</v>
      </c>
      <c r="FF201" s="43" t="n">
        <f aca="false">IF(AND(Tasks[[#This Row],[_IsLeaf]]=1,Tasks[[#This Row],[_ConstraintCode]]=1,Tasks[[#This Row],[Mode]]&lt;&gt;"Manual",N(Tasks[[#This Row],[Actual Start]])=0),MAX(0,N(Tasks[[#This Row],[Free Slack]])),0)</f>
        <v>0</v>
      </c>
      <c r="FG201" s="91" t="str">
        <f aca="false">IF(NOT(Tasks[[#This Row],[_IsLeaf]]=1),"",IF(Tasks[[#This Row],[_AlapShift]]=0,Tasks[[#This Row],[_LeafCalcStart]],WORKDAY.INTL(Tasks[[#This Row],[_LeafCalcStart]],Tasks[[#This Row],[_AlapShift]],WorkWeek,Holidays)))</f>
        <v/>
      </c>
      <c r="FH201" s="91" t="str">
        <f aca="false">IF(NOT(Tasks[[#This Row],[_IsLeaf]]=1),"",IF(Tasks[[#This Row],[_AlapShift]]=0,Tasks[[#This Row],[_LeafCalcFinish]],WORKDAY.INTL(Tasks[[#This Row],[_LeafCalcFinish]],Tasks[[#This Row],[_AlapShift]],WorkWeek,Holidays)))</f>
        <v/>
      </c>
      <c r="FI201" s="91" t="str">
        <f aca="false">IF(NOT(Tasks[[#This Row],[_IsLeaf]]=1),"",IF(Tasks[[#This Row],[_AlapShift]]=0,Tasks[[#This Row],[_LeafFcstStart]],WORKDAY.INTL(Tasks[[#This Row],[_LeafFcstStart]],Tasks[[#This Row],[_AlapShift]],WorkWeek,Holidays)))</f>
        <v/>
      </c>
      <c r="FJ201" s="91" t="str">
        <f aca="false">IF(NOT(Tasks[[#This Row],[_IsLeaf]]=1),"",IF(Tasks[[#This Row],[_AlapShift]]=0,Tasks[[#This Row],[_LeafFcstFinish]],WORKDAY.INTL(Tasks[[#This Row],[_LeafFcstFinish]],Tasks[[#This Row],[_AlapShift]],WorkWeek,Holidays)))</f>
        <v/>
      </c>
      <c r="FK201" s="91" t="str">
        <f aca="false">IF(Tasks[[#This Row],[Task Name]]="","",IF(Tasks[[#This Row],[_IsSummary]],MIN(INDEX(Tasks[_ShownCalcStart],Tasks[[#This Row],[_Row]]+1):INDEX(Tasks[_ShownCalcStart],Tasks[[#This Row],[_Row]]+Tasks[[#This Row],[_Descendants]])),Tasks[[#This Row],[_ShownCalcStart]]))</f>
        <v/>
      </c>
      <c r="FL201" s="91" t="str">
        <f aca="false">IF(Tasks[[#This Row],[Task Name]]="","",IF(Tasks[[#This Row],[_IsSummary]],MAX(INDEX(Tasks[_ShownCalcFinish],Tasks[[#This Row],[_Row]]+1):INDEX(Tasks[_ShownCalcFinish],Tasks[[#This Row],[_Row]]+Tasks[[#This Row],[_Descendants]])),Tasks[[#This Row],[_ShownCalcFinish]]))</f>
        <v/>
      </c>
      <c r="FM2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1" s="43" t="n">
        <f aca="false">IF(AND(Tasks[[#This Row],[_IsLeaf]]=1,Tasks[[#This Row],[_LeafTotalWork]]&gt;0),NETWORKDAYS.INTL(ProjectStart,Tasks[[#This Row],[_ShownFcstStart]],WorkWeek,Holidays),0)</f>
        <v>0</v>
      </c>
      <c r="FZ201" s="43" t="n">
        <f aca="false">IF(AND(Tasks[[#This Row],[_IsLeaf]]=1,Tasks[[#This Row],[_LeafTotalWork]]&gt;0),MAX(Tasks[[#This Row],[_StartWorkday]],NETWORKDAYS.INTL(ProjectStart,Tasks[[#This Row],[_ShownFcstFinish]],WorkWeek,Holidays)),0)</f>
        <v>0</v>
      </c>
      <c r="GA201" s="43" t="n">
        <f aca="false">IF(AND(Tasks[[#This Row],[_IsLeaf]]=1,Tasks[[#This Row],[_LeafTotalWork]]&gt;0),Tasks[[#This Row],[_LeafWork]]/(Tasks[[#This Row],[_FinishWorkday]]-Tasks[[#This Row],[_StartWorkday]]+1),0)</f>
        <v>0</v>
      </c>
      <c r="GB201" s="43" t="n">
        <f aca="false">Tasks[[#This Row],[_WorkPerWorkday]]*(Tasks[[#This Row],[_StartWorkday]]-1)</f>
        <v>-0</v>
      </c>
      <c r="GC201" s="43" t="n">
        <f aca="false">IF(Tasks[[#This Row],[_IsLeaf]]=1,MAX(N(Tasks[[#This Row],[_Days]]),0.1),0)</f>
        <v>0</v>
      </c>
      <c r="GD201" s="43" t="n">
        <f aca="false">Tasks[[#This Row],[_WeightDur]]*Tasks[[#This Row],[_LeafProgress]]</f>
        <v>0</v>
      </c>
      <c r="GE201" s="43" t="n">
        <f aca="false">Tasks[[#This Row],[_WeightDur]]*Tasks[[#This Row],[_PlannedPct]]</f>
        <v>0</v>
      </c>
      <c r="GF2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1" s="43" t="str">
        <f aca="false">IF(AND(Tasks[[#This Row],[_IsLeaf]]=1,N(Tasks[[#This Row],[_Days]])=0,Tasks[[#This Row],[_LeafProgress]]&lt;1),Tasks[[#This Row],[_ShownFcstFinish]]+Tasks[[#This Row],[_Row]]/100000,"")</f>
        <v/>
      </c>
      <c r="GH2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1" s="43" t="str">
        <f aca="false">IF(Tasks[[#This Row],[Task Name]]="","",LEFT(Tasks[[#This Row],[WBS]],FIND(".",Tasks[[#This Row],[WBS]]&amp;".")-1))</f>
        <v/>
      </c>
      <c r="GJ201" s="43" t="str">
        <f aca="false">IF(AND(Tasks[[#This Row],[Task Name]]&lt;&gt;"",Tasks[[#This Row],[_Level]]=1),Tasks[[#This Row],[_Row]],"")</f>
        <v/>
      </c>
      <c r="GK201" s="43" t="str">
        <f aca="false">IF(AND(Tasks[[#This Row],[_IsLeaf]]=1,N(Tasks[[#This Row],[_Days]])=0),Tasks[[#This Row],[Planned Finish]]+Tasks[[#This Row],[_Row]]/100000,"")</f>
        <v/>
      </c>
      <c r="GL201" s="43" t="str">
        <f aca="false">IF(AND(Tasks[[#This Row],[_IsLeaf]]=1,Tasks[[#This Row],[_LeafProgress]]&lt;1,OR(N(Tasks[[#This Row],[Finish Var]])&gt;0,Tasks[[#This Row],[Status]]="Late Start")),MAX(0,Tasks[[#This Row],[Finish Var]])+1-Tasks[[#This Row],[_Row]]/1000000,"")</f>
        <v/>
      </c>
      <c r="GM201" s="43" t="str">
        <f aca="false">IF(AND(Tasks[[#This Row],[_IsLeaf]]=1,N(Tasks[[#This Row],[Actual Start]])=0,Tasks[[#This Row],[_ShownFcstStart]]&gt;=StatusDate,Tasks[[#This Row],[_ShownFcstStart]]&lt;=LookaheadEnd),Tasks[[#This Row],[_ShownFcstStart]]+Tasks[[#This Row],[_Row]]/100000,"")</f>
        <v/>
      </c>
      <c r="GN201" s="43" t="str">
        <f aca="false">IF(AND(Tasks[[#This Row],[_IsLeaf]]=1,Tasks[[#This Row],[_LeafProgress]]&lt;1,Tasks[[#This Row],[_ShownFcstFinish]]&gt;=StatusDate,Tasks[[#This Row],[_ShownFcstFinish]]&lt;=LookaheadEnd),Tasks[[#This Row],[_ShownFcstFinish]]+Tasks[[#This Row],[_Row]]/100000,"")</f>
        <v/>
      </c>
      <c r="GO201" s="43" t="str">
        <f aca="false">IF(Tasks[[#This Row],[_LeafCritical]],Tasks[[#This Row],[_ShownFcstStart]]+Tasks[[#This Row],[_Row]]/100000,"")</f>
        <v/>
      </c>
      <c r="GP201" s="43" t="n">
        <f aca="false">Tasks[[#This Row],[_LeafWork]]*Tasks[[#This Row],[_LeafProgress]]</f>
        <v>0</v>
      </c>
      <c r="GQ201" s="91" t="str">
        <f aca="false">IF(AND(Tasks[[#This Row],[_IsLeaf]]=1,Tasks[[#This Row],[_LeafProgress]]&gt;=1),IF(N(Tasks[[#This Row],[Actual Finish]])&gt;0,Tasks[[#This Row],[Actual Finish]],Tasks[[#This Row],[_ShownFcstFinish]]),"")</f>
        <v/>
      </c>
      <c r="GR201" s="43" t="n">
        <f aca="false">IF(Tasks[[#This Row],[_IsLeaf]]=1,N(Tasks[[#This Row],[Story Points]]),0)</f>
        <v>0</v>
      </c>
      <c r="GS201" s="43" t="str">
        <f aca="false">""</f>
        <v/>
      </c>
      <c r="GT201" s="90" t="b">
        <f aca="false">IF(Tasks[[#This Row],[Task Name]]="",FALSE(),AND(Tasks[[#This Row],[_IsLeaf]]=1,N(Tasks[[#This Row],[_Days]])=0))</f>
        <v>0</v>
      </c>
      <c r="GU201" s="91" t="n">
        <f aca="false">IF(Tasks[[#This Row],[Task Name]]="",0,IF(AND(Tasks[[#This Row],[_IsLeaf]]=1,NOT(Tasks[[#This Row],[_IsMilestone]]),N(Tasks[[#This Row],[Progress]])&gt;0),Tasks[[#This Row],[Start]],0))</f>
        <v>0</v>
      </c>
      <c r="GV201" s="91" t="n">
        <f aca="false">IF(Tasks[[#This Row],[_DoneFrom]]=0,0,IF(Tasks[[#This Row],[Progress]]&gt;=1,Tasks[[#This Row],[Finish]],MAX(Tasks[[#This Row],[_DoneFrom]],Tasks[[#This Row],[Start]]+ROUND((Tasks[[#This Row],[Finish]]-Tasks[[#This Row],[Start]]+1)*Tasks[[#This Row],[Progress]],0)-1)))</f>
        <v>0</v>
      </c>
      <c r="GW201" s="91" t="n">
        <f aca="false">IF(Tasks[[#This Row],[Task Name]]="",0,IF(OR(NOT(Tasks[[#This Row],[_IsLeaf]]=1),Tasks[[#This Row],[_IsMilestone]],N(Tasks[[#This Row],[Progress]])&gt;=1),0,IF(Tasks[[#This Row],[_DoneTo]]&gt;0,Tasks[[#This Row],[_DoneTo]]+1,Tasks[[#This Row],[Start]])))</f>
        <v>0</v>
      </c>
      <c r="GX201" s="91" t="n">
        <f aca="false">IF(Tasks[[#This Row],[_RemFrom]]=0,0,Tasks[[#This Row],[Finish]])</f>
        <v>0</v>
      </c>
      <c r="GY201" s="90" t="b">
        <f aca="false">IF(Tasks[[#This Row],[Task Name]]="",FALSE(),OR(NOT(BaselineSet),N(Tasks[[#This Row],[Baseline Start]])&gt;0))</f>
        <v>0</v>
      </c>
      <c r="GZ201"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1" s="92" t="str">
        <f aca="false">IF(Tasks[[#This Row],[_IsLeaf]]=1,Tasks[[#This Row],[_Row]],"")</f>
        <v/>
      </c>
      <c r="HD201" s="92" t="str">
        <f aca="false">IFERROR(INDEX(Tasks[UID],SMALL(Tasks[_PickKey],Tasks[[#This Row],[_Row]]))&amp;" "&amp;INDEX(Tasks[Task Name],SMALL(Tasks[_PickKey],Tasks[[#This Row],[_Row]])),"")</f>
        <v/>
      </c>
      <c r="HE201" s="43" t="str">
        <f aca="false">IF(Tasks[[#This Row],[Task Name]]="","",IF(Tasks[[#This Row],[_IsSummary]],NETWORKDAYS.INTL(Tasks[[#This Row],[Start]],Tasks[[#This Row],[Finish]],WorkWeek,Holidays),N(Tasks[[#This Row],[_Days]])))</f>
        <v/>
      </c>
      <c r="HF201" s="43" t="n">
        <f aca="false">IF(Tasks[[#This Row],[Expected]]="",0,((Tasks[[#This Row],[Pessimistic]]-Tasks[[#This Row],[Optimistic]])/6)^2)</f>
        <v>0</v>
      </c>
      <c r="HG201" s="43" t="n">
        <f aca="false">IF(Tasks[[#This Row],[Expected]]="",0,Tasks[[#This Row],[Expected]]-N(Tasks[[#This Row],[_Days]]))</f>
        <v>0</v>
      </c>
    </row>
    <row r="202" customFormat="false" ht="15" hidden="false" customHeight="false" outlineLevel="0" collapsed="false">
      <c r="A202" s="21" t="str">
        <f aca="false">IF(Tasks[[#This Row],[Task Name]]="","",COUNTA(Tasks[[#Headers],[Task Name]]:Tasks[[#This Row],[Task Name]])-1)</f>
        <v/>
      </c>
      <c r="B202" s="22" t="n">
        <v>210</v>
      </c>
      <c r="C202" s="22"/>
      <c r="D202" s="23"/>
      <c r="E202" s="22"/>
      <c r="F202" s="23"/>
      <c r="G202" s="22"/>
      <c r="H202" s="22"/>
      <c r="I202" s="23"/>
      <c r="J202" s="22"/>
      <c r="K202" s="22"/>
      <c r="L202" s="23"/>
      <c r="M202" s="22"/>
      <c r="N202" s="22"/>
      <c r="O202" s="23"/>
      <c r="P202" s="22"/>
      <c r="Q202" s="22"/>
      <c r="R202" s="23"/>
      <c r="S202" s="23"/>
      <c r="T202" s="84"/>
      <c r="U202" s="23"/>
      <c r="V202" s="84"/>
      <c r="W202" s="23"/>
      <c r="X202" s="84"/>
      <c r="Y202" s="23"/>
      <c r="Z202" s="84"/>
      <c r="AA202" s="23"/>
      <c r="AB202" s="23"/>
      <c r="AC202" s="7"/>
      <c r="AD202" s="7"/>
      <c r="AE202" s="63" t="str">
        <f aca="false">IF(Tasks[[#This Row],[Task Name]]="","",IF(Tasks[[#This Row],[_IsSummary]],MIN(INDEX(Tasks[_ShownFcstStart],Tasks[[#This Row],[_Row]]+1):INDEX(Tasks[_ShownFcstStart],Tasks[[#This Row],[_Row]]+Tasks[[#This Row],[_Descendants]])),Tasks[[#This Row],[_ShownFcstStart]]))</f>
        <v/>
      </c>
      <c r="AF202" s="63" t="str">
        <f aca="false">IF(Tasks[[#This Row],[Task Name]]="","",IF(Tasks[[#This Row],[_IsSummary]],MAX(INDEX(Tasks[_ShownFcstFinish],Tasks[[#This Row],[_Row]]+1):INDEX(Tasks[_ShownFcstFinish],Tasks[[#This Row],[_Row]]+Tasks[[#This Row],[_Descendants]])),Tasks[[#This Row],[_ShownFcstFinish]]))</f>
        <v/>
      </c>
      <c r="AG202" s="21" t="str">
        <f aca="false">""</f>
        <v/>
      </c>
      <c r="AH202" s="23"/>
      <c r="AI2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2" s="7"/>
      <c r="AK202" s="22"/>
      <c r="AL202" s="23"/>
      <c r="AM202" s="7"/>
      <c r="AN202" s="47" t="str">
        <f aca="false">IF(Tasks[[#This Row],[Task Name]]="","",IF(Tasks[[#This Row],[Finish]]&gt;=Tasks[[#This Row],[Planned Finish]],NETWORKDAYS.INTL(Tasks[[#This Row],[Planned Finish]],Tasks[[#This Row],[Finish]],WorkWeek,Holidays)-1,1-NETWORKDAYS.INTL(Tasks[[#This Row],[Finish]],Tasks[[#This Row],[Planned Finish]],WorkWeek,Holidays)))</f>
        <v/>
      </c>
      <c r="AO202" s="21" t="str">
        <f aca="false">IF(Tasks[[#This Row],[Task Name]]="","",IF(Tasks[[#This Row],[Progress]]&gt;=1,"Complete",IF(OR(N(Tasks[[#This Row],[Actual Start]])&gt;0,Tasks[[#This Row],[Progress]]&gt;0),IF(Tasks[[#This Row],[Finish Var]]&gt;0,"Behind","In Progress"),IF(Tasks[[#This Row],[Planned Start]]&lt;StatusDate,"Late Start","Not Started"))))</f>
        <v/>
      </c>
      <c r="AP202" s="21" t="str">
        <f aca="false">IF(Tasks[[#This Row],[Task Name]]="","",IF(IF(Tasks[[#This Row],[_IsSummary]],COUNTIF(INDEX(Tasks[_LeafCritical],Tasks[[#This Row],[_Row]]+1):INDEX(Tasks[_LeafCritical],Tasks[[#This Row],[_Row]]+Tasks[[#This Row],[_Descendants]]),TRUE())&gt;0,Tasks[[#This Row],[_LeafCritical]]),"Yes",""))</f>
        <v/>
      </c>
      <c r="AQ202" s="63" t="str">
        <f aca="false">IF(Tasks[[#This Row],[Task Name]]="","",IF(N(Tasks[[#This Row],[Baseline Start]])&gt;0,Tasks[[#This Row],[Baseline Start]],Tasks[[#This Row],[_CalcStart]]))</f>
        <v/>
      </c>
      <c r="AR202" s="63" t="str">
        <f aca="false">IF(Tasks[[#This Row],[Task Name]]="","",IF(N(Tasks[[#This Row],[Baseline Finish]])&gt;0,Tasks[[#This Row],[Baseline Finish]],Tasks[[#This Row],[_CalcFinish]]))</f>
        <v/>
      </c>
      <c r="AS202" s="47" t="str">
        <f aca="false">IF(Tasks[[#This Row],[Task Name]]="","",IF(Tasks[[#This Row],[Start]]&gt;=Tasks[[#This Row],[Planned Start]],NETWORKDAYS.INTL(Tasks[[#This Row],[Planned Start]],Tasks[[#This Row],[Start]],WorkWeek,Holidays)-1,1-NETWORKDAYS.INTL(Tasks[[#This Row],[Start]],Tasks[[#This Row],[Planned Start]],WorkWeek,Holidays)))</f>
        <v/>
      </c>
      <c r="AT202" s="63" t="str">
        <f aca="false">IF(Tasks[[#This Row],[Task Name]]="","",IF(Tasks[[#This Row],[_IsSummary]],MIN(INDEX(Tasks[_LeafLateStart],Tasks[[#This Row],[_Row]]+1):INDEX(Tasks[_LeafLateStart],Tasks[[#This Row],[_Row]]+Tasks[[#This Row],[_Descendants]])),Tasks[[#This Row],[_LeafLateStart]]))</f>
        <v/>
      </c>
      <c r="AU202" s="63" t="str">
        <f aca="false">IF(Tasks[[#This Row],[Task Name]]="","",IF(Tasks[[#This Row],[_IsSummary]],MAX(INDEX(Tasks[_LeafLateFinish],Tasks[[#This Row],[_Row]]+1):INDEX(Tasks[_LeafLateFinish],Tasks[[#This Row],[_Row]]+Tasks[[#This Row],[_Descendants]])),Tasks[[#This Row],[_LeafLateFinish]]))</f>
        <v/>
      </c>
      <c r="AV202" s="47" t="str">
        <f aca="false">IF(Tasks[[#This Row],[Task Name]]="","",IF(Tasks[[#This Row],[_IsSummary]],MIN(INDEX(Tasks[_LeafTotalSlack],Tasks[[#This Row],[_Row]]+1):INDEX(Tasks[_LeafTotalSlack],Tasks[[#This Row],[_Row]]+Tasks[[#This Row],[_Descendants]])),Tasks[[#This Row],[_LeafTotalSlack]]))</f>
        <v/>
      </c>
      <c r="AW2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5"/>
      <c r="BA20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t="str">
        <f aca="false">IF(Tasks[[#This Row],[Task Name]]="","",IF(Tasks[[#This Row],[_Level]]&lt;=OutlineShowLevel,"Yes","No"))</f>
        <v/>
      </c>
      <c r="BE202" s="86" t="str">
        <f aca="false">IF(Tasks[[#This Row],[Task Name]]="","",IF(Tasks[[#This Row],[_IsSummary]],SUM(INDEX(Tasks[_LeafTotalWork],Tasks[[#This Row],[_Row]]+1):INDEX(Tasks[_LeafTotalWork],Tasks[[#This Row],[_Row]]+Tasks[[#This Row],[_Descendants]])),Tasks[[#This Row],[_LeafTotalWork]]))</f>
        <v/>
      </c>
      <c r="BF202" s="23"/>
      <c r="BG2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t="str">
        <f aca="false">""</f>
        <v/>
      </c>
      <c r="BI202" s="87"/>
      <c r="BJ202" s="22"/>
      <c r="BK202" s="47" t="str">
        <f aca="false">IF(OR(Tasks[[#This Row],[Task Name]]="",Tasks[[#This Row],[Baseline Duration]]=""),"",Tasks[[#This Row],[_SpanDays]]-N(Tasks[[#This Row],[Baseline Duration]]))</f>
        <v/>
      </c>
      <c r="BL202" s="86" t="str">
        <f aca="false">IF(OR(Tasks[[#This Row],[Task Name]]="",Tasks[[#This Row],[Baseline Work]]=""),"",Tasks[[#This Row],[Work]]-N(Tasks[[#This Row],[Baseline Work]]))</f>
        <v/>
      </c>
      <c r="BM202" s="63" t="str">
        <f aca="false">IF(Tasks[[#This Row],[Task Name]]="","",IF(OR(TakeBaseline="Yes",N(Tasks[[#This Row],[Baseline Start]])=0),Tasks[[#This Row],[Start]],Tasks[[#This Row],[Baseline Start]]))</f>
        <v/>
      </c>
      <c r="BN202" s="63" t="str">
        <f aca="false">IF(Tasks[[#This Row],[Task Name]]="","",IF(OR(TakeBaseline="Yes",N(Tasks[[#This Row],[Baseline Finish]])=0),Tasks[[#This Row],[Finish]],Tasks[[#This Row],[Baseline Finish]]))</f>
        <v/>
      </c>
      <c r="BO202" s="21" t="str">
        <f aca="false">IF(Tasks[[#This Row],[Task Name]]="","",IF(OR(TakeBaseline="Yes",N(Tasks[[#This Row],[Baseline Duration]])=0),Tasks[[#This Row],[_SpanDays]],Tasks[[#This Row],[Baseline Duration]]))</f>
        <v/>
      </c>
      <c r="BP202" s="86" t="str">
        <f aca="false">IF(Tasks[[#This Row],[Task Name]]="","",IF(OR(TakeBaseline="Yes",N(Tasks[[#This Row],[Baseline Work]])=0),Tasks[[#This Row],[Work]],Tasks[[#This Row],[Baseline Work]]))</f>
        <v/>
      </c>
      <c r="BQ202" s="7"/>
      <c r="BR202" s="7"/>
      <c r="BS202" s="22"/>
      <c r="BT202" s="88"/>
      <c r="BU202" s="23"/>
      <c r="BV202" s="23"/>
      <c r="BW202" s="23"/>
      <c r="BX202" s="89" t="str">
        <f aca="false">IF(AND(Tasks[[#This Row],[_IsLeaf]]=1,ISNUMBER(Tasks[[#This Row],[Optimistic]]),ISNUMBER(Tasks[[#This Row],[Pessimistic]])),ROUND((Tasks[[#This Row],[Optimistic]]+4*N(Tasks[[#This Row],[_Days]])+Tasks[[#This Row],[Pessimistic]])/6,1),"")</f>
        <v/>
      </c>
      <c r="BY202" s="87"/>
      <c r="BZ202" s="87"/>
      <c r="CA202" s="22"/>
      <c r="CB202" s="43" t="str">
        <f aca="false">IF(Tasks[[#This Row],[Task Name]]="","",MAX(1,N(Tasks[[#This Row],[Level]])))</f>
        <v/>
      </c>
      <c r="CC202" s="43" t="n">
        <f aca="false">ROW()-ROW(Tasks[[#Headers],[ID]])</f>
        <v>197</v>
      </c>
      <c r="CD202" s="43" t="n">
        <f aca="false">IF(OR(Tasks[[#This Row],[Task Name]]="",Tasks[[#This Row],[_Level]]&lt;=1),0,IFERROR(LOOKUP(2,1/(Tasks[[#Headers],[_Level]]:Tasks[[#This Row],[_Level]]=Tasks[[#This Row],[_Level]]-1),ROW(Tasks[[#Headers],[_Level]]:Tasks[[#This Row],[_Level]])),0))</f>
        <v>0</v>
      </c>
      <c r="CE202" s="43" t="n">
        <f aca="false">IFERROR(N(INDEX(Tasks[_Level],Tasks[[#This Row],[_Row]]+1)),0)</f>
        <v>0</v>
      </c>
      <c r="CF202" s="90" t="b">
        <f aca="false">AND(Tasks[[#This Row],[Task Name]]&lt;&gt;"",Tasks[[#This Row],[_NextLevel]]&gt;Tasks[[#This Row],[_Level]])</f>
        <v>0</v>
      </c>
      <c r="CG202" s="43" t="n">
        <f aca="false">IF(Tasks[[#This Row],[_IsSummary]],COUNTIF(Tasks[WBS],Tasks[[#This Row],[WBS]]&amp;".*"),0)</f>
        <v>0</v>
      </c>
      <c r="CH202" s="43" t="n">
        <f aca="false">IF(AND(Tasks[[#This Row],[Task Name]]&lt;&gt;"",NOT(Tasks[[#This Row],[_IsSummary]])),1,0)</f>
        <v>0</v>
      </c>
      <c r="CI202" s="43" t="n">
        <f aca="false">IF(N(Tasks[[#This Row],[_Pred1UID]])=0,0,IFERROR(MATCH(Tasks[[#This Row],[_Pred1UID]],Tasks[UID],0),-1))</f>
        <v>0</v>
      </c>
      <c r="CJ202" s="43" t="n">
        <f aca="false">IF(N(Tasks[[#This Row],[_Pred2UID]])=0,0,IFERROR(MATCH(Tasks[[#This Row],[_Pred2UID]],Tasks[UID],0),-1))</f>
        <v>0</v>
      </c>
      <c r="CK202" s="43" t="n">
        <f aca="false">IF(N(Tasks[[#This Row],[_Pred3UID]])=0,0,IFERROR(MATCH(Tasks[[#This Row],[_Pred3UID]],Tasks[UID],0),-1))</f>
        <v>0</v>
      </c>
      <c r="CL202" s="43" t="n">
        <f aca="false">IF(N(Tasks[[#This Row],[_Pred4UID]])=0,0,IFERROR(MATCH(Tasks[[#This Row],[_Pred4UID]],Tasks[UID],0),-1))</f>
        <v>0</v>
      </c>
      <c r="CM2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2" s="91" t="n">
        <f aca="false">IF(OR(Tasks[[#This Row],[_ConstraintCode]]=2,Tasks[[#This Row],[_ConstraintCode]]=3,Tasks[[#This Row],[_ConstraintCode]]=4,Tasks[[#This Row],[_ConstraintCode]]=6),Tasks[[#This Row],[_ConstraintStart]],0)</f>
        <v>0</v>
      </c>
      <c r="CP202" s="91" t="n">
        <f aca="false">IF(OR(Tasks[[#This Row],[_ConstraintCode]]=2,Tasks[[#This Row],[_ConstraintCode]]=3,Tasks[[#This Row],[_ConstraintCode]]=5,Tasks[[#This Row],[_ConstraintCode]]=7),Tasks[[#This Row],[_ConstraintStart]],2958465)</f>
        <v>2958465</v>
      </c>
      <c r="CQ2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2" s="91" t="str">
        <f aca="false">IF(NOT(Tasks[[#This Row],[_IsLeaf]]=1),"",IF(N(Tasks[[#This Row],[_Days]])&lt;=0,Tasks[[#This Row],[_LeafCalcStart]],WORKDAY.INTL(Tasks[[#This Row],[_LeafCalcStart]],Tasks[[#This Row],[_Days]]-1,WorkWeek,Holidays)))</f>
        <v/>
      </c>
      <c r="CS2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2" s="43" t="str">
        <f aca="false">IF(Tasks[[#This Row],[_Predecessors]]="","",TRIM(MID(SUBSTITUTE(SUBSTITUTE(SUBSTITUTE(UPPER(Tasks[[#This Row],[_Predecessors]]),";",",")," ",""),",",REPT(" ",99)),1,99)))</f>
        <v/>
      </c>
      <c r="CV202" s="43" t="str">
        <f aca="false">IF(Tasks[[#This Row],[_Pred1Text]]="","",IFERROR(VALUE(LEFT(Tasks[[#This Row],[_Pred1Text]],MIN(FIND("F",Tasks[[#This Row],[_Pred1Text]]&amp;"F"),FIND("S",Tasks[[#This Row],[_Pred1Text]]&amp;"S"),FIND("+",Tasks[[#This Row],[_Pred1Text]]&amp;"+"),FIND("-",Tasks[[#This Row],[_Pred1Text]]&amp;"-"))-1)),""))</f>
        <v/>
      </c>
      <c r="CW2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2" s="43" t="str">
        <f aca="false">IF(Tasks[[#This Row],[_Pred1Text]]="","",TRIM(MID(SUBSTITUTE(SUBSTITUTE(SUBSTITUTE(UPPER(Tasks[[#This Row],[_Predecessors]]),";",",")," ",""),",",REPT(" ",99)),100,99)))</f>
        <v/>
      </c>
      <c r="CZ202" s="43" t="str">
        <f aca="false">IF(Tasks[[#This Row],[_Pred2Text]]="","",IFERROR(VALUE(LEFT(Tasks[[#This Row],[_Pred2Text]],MIN(FIND("F",Tasks[[#This Row],[_Pred2Text]]&amp;"F"),FIND("S",Tasks[[#This Row],[_Pred2Text]]&amp;"S"),FIND("+",Tasks[[#This Row],[_Pred2Text]]&amp;"+"),FIND("-",Tasks[[#This Row],[_Pred2Text]]&amp;"-"))-1)),""))</f>
        <v/>
      </c>
      <c r="DA2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2" s="43" t="str">
        <f aca="false">IF(Tasks[[#This Row],[_Pred2Text]]="","",TRIM(MID(SUBSTITUTE(SUBSTITUTE(SUBSTITUTE(UPPER(Tasks[[#This Row],[_Predecessors]]),";",",")," ",""),",",REPT(" ",99)),199,99)))</f>
        <v/>
      </c>
      <c r="DD202" s="43" t="str">
        <f aca="false">IF(Tasks[[#This Row],[_Pred3Text]]="","",IFERROR(VALUE(LEFT(Tasks[[#This Row],[_Pred3Text]],MIN(FIND("F",Tasks[[#This Row],[_Pred3Text]]&amp;"F"),FIND("S",Tasks[[#This Row],[_Pred3Text]]&amp;"S"),FIND("+",Tasks[[#This Row],[_Pred3Text]]&amp;"+"),FIND("-",Tasks[[#This Row],[_Pred3Text]]&amp;"-"))-1)),""))</f>
        <v/>
      </c>
      <c r="DE2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2" s="43" t="str">
        <f aca="false">IF(Tasks[[#This Row],[_Pred3Text]]="","",TRIM(MID(SUBSTITUTE(SUBSTITUTE(SUBSTITUTE(UPPER(Tasks[[#This Row],[_Predecessors]]),";",",")," ",""),",",REPT(" ",99)),298,99)))</f>
        <v/>
      </c>
      <c r="DH202" s="43" t="str">
        <f aca="false">IF(Tasks[[#This Row],[_Pred4Text]]="","",IFERROR(VALUE(LEFT(Tasks[[#This Row],[_Pred4Text]],MIN(FIND("F",Tasks[[#This Row],[_Pred4Text]]&amp;"F"),FIND("S",Tasks[[#This Row],[_Pred4Text]]&amp;"S"),FIND("+",Tasks[[#This Row],[_Pred4Text]]&amp;"+"),FIND("-",Tasks[[#This Row],[_Pred4Text]]&amp;"-"))-1)),""))</f>
        <v/>
      </c>
      <c r="DI2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2" s="43" t="str">
        <f aca="false">IF(OR(Tasks[[#This Row],[Task Name]]="",Tasks[[#This Row],[_Resources]]=""),"",TRIM(MID(SUBSTITUTE(Tasks[[#This Row],[_Resources]],",",REPT(" ",99)),1,99)))</f>
        <v/>
      </c>
      <c r="DL202" s="43" t="str">
        <f aca="false">IF(Tasks[[#This Row],[_Res1Text]]="","",TRIM(MID(SUBSTITUTE(Tasks[[#This Row],[_Resources]],",",REPT(" ",99)),100,99)))</f>
        <v/>
      </c>
      <c r="DM202" s="43" t="str">
        <f aca="false">IF(Tasks[[#This Row],[_Res2Text]]="","",TRIM(MID(SUBSTITUTE(Tasks[[#This Row],[_Resources]],",",REPT(" ",99)),199,99)))</f>
        <v/>
      </c>
      <c r="DN202" s="43" t="str">
        <f aca="false">IF(Tasks[[#This Row],[_Res3Text]]="","",TRIM(MID(SUBSTITUTE(Tasks[[#This Row],[_Resources]],",",REPT(" ",99)),298,99)))</f>
        <v/>
      </c>
      <c r="DO202" s="43" t="n">
        <f aca="false">IF(Tasks[[#This Row],[_Res1Text]]="",0,IFERROR(MATCH(TRIM(LEFT(Tasks[[#This Row],[_Res1Text]],FIND("[",Tasks[[#This Row],[_Res1Text]]&amp;"[")-1)),res_Name,0),IFERROR(MATCH(TRIM(LEFT(Tasks[[#This Row],[_Res1Text]],FIND("[",Tasks[[#This Row],[_Res1Text]]&amp;"[")-1)),res_Initials,0),0)))</f>
        <v>0</v>
      </c>
      <c r="DP202" s="43" t="n">
        <f aca="false">IF(Tasks[[#This Row],[_Res2Text]]="",0,IFERROR(MATCH(TRIM(LEFT(Tasks[[#This Row],[_Res2Text]],FIND("[",Tasks[[#This Row],[_Res2Text]]&amp;"[")-1)),res_Name,0),IFERROR(MATCH(TRIM(LEFT(Tasks[[#This Row],[_Res2Text]],FIND("[",Tasks[[#This Row],[_Res2Text]]&amp;"[")-1)),res_Initials,0),0)))</f>
        <v>0</v>
      </c>
      <c r="DQ202" s="43" t="n">
        <f aca="false">IF(Tasks[[#This Row],[_Res3Text]]="",0,IFERROR(MATCH(TRIM(LEFT(Tasks[[#This Row],[_Res3Text]],FIND("[",Tasks[[#This Row],[_Res3Text]]&amp;"[")-1)),res_Name,0),IFERROR(MATCH(TRIM(LEFT(Tasks[[#This Row],[_Res3Text]],FIND("[",Tasks[[#This Row],[_Res3Text]]&amp;"[")-1)),res_Initials,0),0)))</f>
        <v>0</v>
      </c>
      <c r="DR202" s="43" t="n">
        <f aca="false">IF(Tasks[[#This Row],[_Res4Text]]="",0,IFERROR(MATCH(TRIM(LEFT(Tasks[[#This Row],[_Res4Text]],FIND("[",Tasks[[#This Row],[_Res4Text]]&amp;"[")-1)),res_Name,0),IFERROR(MATCH(TRIM(LEFT(Tasks[[#This Row],[_Res4Text]],FIND("[",Tasks[[#This Row],[_Res4Text]]&amp;"[")-1)),res_Initials,0),0)))</f>
        <v>0</v>
      </c>
      <c r="DS202" s="43" t="str">
        <f aca="false">IF(Tasks[[#This Row],[_Res1Text]]="","",IF(Tasks[[#This Row],[_Res1Row]]&gt;0,INDEX(res_Name,Tasks[[#This Row],[_Res1Row]]),TRIM(LEFT(Tasks[[#This Row],[_Res1Text]],FIND("[",Tasks[[#This Row],[_Res1Text]]&amp;"[")-1))))</f>
        <v/>
      </c>
      <c r="DT2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2" s="43" t="n">
        <f aca="false">IF(NOT(Tasks[[#This Row],[_IsLeaf]]=1),0,(Tasks[[#This Row],[_Resource1]]&lt;&gt;"")+(Tasks[[#This Row],[_Res2]]&lt;&gt;"")+(Tasks[[#This Row],[_Res3]]&lt;&gt;"")+(Tasks[[#This Row],[_Res4]]&lt;&gt;""))</f>
        <v>0</v>
      </c>
      <c r="DV202" s="43" t="str">
        <f aca="false">IF(Tasks[[#This Row],[_Res2Text]]="","",IF(Tasks[[#This Row],[_Res2Row]]&gt;0,INDEX(res_Name,Tasks[[#This Row],[_Res2Row]]),TRIM(LEFT(Tasks[[#This Row],[_Res2Text]],FIND("[",Tasks[[#This Row],[_Res2Text]]&amp;"[")-1))))</f>
        <v/>
      </c>
      <c r="DW2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2" s="43" t="n">
        <f aca="false">IF(OR(NOT(Tasks[[#This Row],[_IsLeaf]]=1),Tasks[[#This Row],[_Res2Row]]=0),0,N(Tasks[[#This Row],[_Days]])*HoursPerDay*IF(Tasks[[#This Row],[_Res2Units]]="",DefaultUnits,Tasks[[#This Row],[_Res2Units]]))</f>
        <v>0</v>
      </c>
      <c r="DY202" s="43" t="n">
        <f aca="false">IF(AND(AND(Tasks[[#This Row],[_IsLeaf]]=1,Tasks[[#This Row],[_LeafTotalWork]]&gt;0),Tasks[[#This Row],[_Res2Work]]&gt;0),Tasks[[#This Row],[_Res2Work]]/(Tasks[[#This Row],[_FinishWorkday]]-Tasks[[#This Row],[_StartWorkday]]+1),0)</f>
        <v>0</v>
      </c>
      <c r="DZ202" s="43" t="n">
        <f aca="false">Tasks[[#This Row],[_Res2WorkPerWD]]*MAX(0,Tasks[[#This Row],[_StartWorkday]]-1)</f>
        <v>0</v>
      </c>
      <c r="EA202" s="43" t="n">
        <f aca="false">Tasks[[#This Row],[_Res2Work]]*Tasks[[#This Row],[_LeafProgress]]</f>
        <v>0</v>
      </c>
      <c r="EB202" s="43" t="str">
        <f aca="false">IF(Tasks[[#This Row],[_Res3Text]]="","",IF(Tasks[[#This Row],[_Res3Row]]&gt;0,INDEX(res_Name,Tasks[[#This Row],[_Res3Row]]),TRIM(LEFT(Tasks[[#This Row],[_Res3Text]],FIND("[",Tasks[[#This Row],[_Res3Text]]&amp;"[")-1))))</f>
        <v/>
      </c>
      <c r="EC2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2" s="43" t="n">
        <f aca="false">IF(OR(NOT(Tasks[[#This Row],[_IsLeaf]]=1),Tasks[[#This Row],[_Res3Row]]=0),0,N(Tasks[[#This Row],[_Days]])*HoursPerDay*IF(Tasks[[#This Row],[_Res3Units]]="",DefaultUnits,Tasks[[#This Row],[_Res3Units]]))</f>
        <v>0</v>
      </c>
      <c r="EE202" s="43" t="n">
        <f aca="false">IF(AND(AND(Tasks[[#This Row],[_IsLeaf]]=1,Tasks[[#This Row],[_LeafTotalWork]]&gt;0),Tasks[[#This Row],[_Res3Work]]&gt;0),Tasks[[#This Row],[_Res3Work]]/(Tasks[[#This Row],[_FinishWorkday]]-Tasks[[#This Row],[_StartWorkday]]+1),0)</f>
        <v>0</v>
      </c>
      <c r="EF202" s="43" t="n">
        <f aca="false">Tasks[[#This Row],[_Res3WorkPerWD]]*MAX(0,Tasks[[#This Row],[_StartWorkday]]-1)</f>
        <v>0</v>
      </c>
      <c r="EG202" s="43" t="n">
        <f aca="false">Tasks[[#This Row],[_Res3Work]]*Tasks[[#This Row],[_LeafProgress]]</f>
        <v>0</v>
      </c>
      <c r="EH202" s="43" t="str">
        <f aca="false">IF(Tasks[[#This Row],[_Res4Text]]="","",IF(Tasks[[#This Row],[_Res4Row]]&gt;0,INDEX(res_Name,Tasks[[#This Row],[_Res4Row]]),TRIM(LEFT(Tasks[[#This Row],[_Res4Text]],FIND("[",Tasks[[#This Row],[_Res4Text]]&amp;"[")-1))))</f>
        <v/>
      </c>
      <c r="EI2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2" s="43" t="n">
        <f aca="false">IF(OR(NOT(Tasks[[#This Row],[_IsLeaf]]=1),Tasks[[#This Row],[_Res4Row]]=0),0,N(Tasks[[#This Row],[_Days]])*HoursPerDay*IF(Tasks[[#This Row],[_Res4Units]]="",DefaultUnits,Tasks[[#This Row],[_Res4Units]]))</f>
        <v>0</v>
      </c>
      <c r="EK202" s="43" t="n">
        <f aca="false">IF(AND(AND(Tasks[[#This Row],[_IsLeaf]]=1,Tasks[[#This Row],[_LeafTotalWork]]&gt;0),Tasks[[#This Row],[_Res4Work]]&gt;0),Tasks[[#This Row],[_Res4Work]]/(Tasks[[#This Row],[_FinishWorkday]]-Tasks[[#This Row],[_StartWorkday]]+1),0)</f>
        <v>0</v>
      </c>
      <c r="EL202" s="43" t="n">
        <f aca="false">Tasks[[#This Row],[_Res4WorkPerWD]]*MAX(0,Tasks[[#This Row],[_StartWorkday]]-1)</f>
        <v>0</v>
      </c>
      <c r="EM202" s="43" t="n">
        <f aca="false">Tasks[[#This Row],[_Res4Work]]*Tasks[[#This Row],[_LeafProgress]]</f>
        <v>0</v>
      </c>
      <c r="EN202" s="43" t="n">
        <f aca="false">IF(ISNUMBER(Tasks[[#This Row],[% Complete]]),Tasks[[#This Row],[% Complete]],IF(Tasks[[#This Row],[Stage]]="",0,IFERROR(INDEX(stg_Pct,MATCH(Tasks[[#This Row],[Stage]],stg_Name,0)),0)))</f>
        <v>0</v>
      </c>
      <c r="EO202" s="43" t="n">
        <f aca="false">IF(NOT(Tasks[[#This Row],[_IsLeaf]]=1),0,IF(N(Tasks[[#This Row],[Actual Finish]])&gt;0,1,MIN(1,Tasks[[#This Row],[_Pct]])))</f>
        <v>0</v>
      </c>
      <c r="EP202" s="43" t="n">
        <f aca="false">IF(OR(NOT(Tasks[[#This Row],[_IsLeaf]]=1),Tasks[[#This Row],[_Res1Row]]=0),0,N(Tasks[[#This Row],[_Days]])*HoursPerDay*IF(Tasks[[#This Row],[_Units1]]="",DefaultUnits,Tasks[[#This Row],[_Units1]]))</f>
        <v>0</v>
      </c>
      <c r="EQ202" s="43" t="n">
        <f aca="false">Tasks[[#This Row],[_LeafWork]]+Tasks[[#This Row],[_Res2Work]]+Tasks[[#This Row],[_Res3Work]]+Tasks[[#This Row],[_Res4Work]]</f>
        <v>0</v>
      </c>
      <c r="ER20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2" s="43" t="n">
        <f aca="false">IF(NOT(Tasks[[#This Row],[_IsLeaf]]=1),0,MAX(_xlfn.MAXIFS(Tasks[_Row],Tasks[_Pred1UID],Tasks[[#This Row],[UID]]),_xlfn.MAXIFS(Tasks[_Row],Tasks[_Pred2UID],Tasks[[#This Row],[UID]]),_xlfn.MAXIFS(Tasks[_Row],Tasks[_Pred3UID],Tasks[[#This Row],[UID]]),_xlfn.MAXIFS(Tasks[_Row],Tasks[_Pred4UID],Tasks[[#This Row],[UID]])))</f>
        <v>0</v>
      </c>
      <c r="FA2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2" s="91" t="str">
        <f aca="false">IF(NOT(Tasks[[#This Row],[_IsLeaf]]=1),"",IF(N(Tasks[[#This Row],[_Days]])&lt;=0,Tasks[[#This Row],[_LeafLateFinish]],WORKDAY.INTL(Tasks[[#This Row],[_LeafLateFinish]],-(Tasks[[#This Row],[_Days]]-1),WorkWeek,Holidays)))</f>
        <v/>
      </c>
      <c r="FD2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2" s="90" t="b">
        <f aca="false">AND(Tasks[[#This Row],[_IsLeaf]]=1,Tasks[[#This Row],[_LeafProgress]]&lt;1,N(Tasks[[#This Row],[_LeafTotalSlack]])&lt;=CriticalSlackDays)</f>
        <v>0</v>
      </c>
      <c r="FF202" s="43" t="n">
        <f aca="false">IF(AND(Tasks[[#This Row],[_IsLeaf]]=1,Tasks[[#This Row],[_ConstraintCode]]=1,Tasks[[#This Row],[Mode]]&lt;&gt;"Manual",N(Tasks[[#This Row],[Actual Start]])=0),MAX(0,N(Tasks[[#This Row],[Free Slack]])),0)</f>
        <v>0</v>
      </c>
      <c r="FG202" s="91" t="str">
        <f aca="false">IF(NOT(Tasks[[#This Row],[_IsLeaf]]=1),"",IF(Tasks[[#This Row],[_AlapShift]]=0,Tasks[[#This Row],[_LeafCalcStart]],WORKDAY.INTL(Tasks[[#This Row],[_LeafCalcStart]],Tasks[[#This Row],[_AlapShift]],WorkWeek,Holidays)))</f>
        <v/>
      </c>
      <c r="FH202" s="91" t="str">
        <f aca="false">IF(NOT(Tasks[[#This Row],[_IsLeaf]]=1),"",IF(Tasks[[#This Row],[_AlapShift]]=0,Tasks[[#This Row],[_LeafCalcFinish]],WORKDAY.INTL(Tasks[[#This Row],[_LeafCalcFinish]],Tasks[[#This Row],[_AlapShift]],WorkWeek,Holidays)))</f>
        <v/>
      </c>
      <c r="FI202" s="91" t="str">
        <f aca="false">IF(NOT(Tasks[[#This Row],[_IsLeaf]]=1),"",IF(Tasks[[#This Row],[_AlapShift]]=0,Tasks[[#This Row],[_LeafFcstStart]],WORKDAY.INTL(Tasks[[#This Row],[_LeafFcstStart]],Tasks[[#This Row],[_AlapShift]],WorkWeek,Holidays)))</f>
        <v/>
      </c>
      <c r="FJ202" s="91" t="str">
        <f aca="false">IF(NOT(Tasks[[#This Row],[_IsLeaf]]=1),"",IF(Tasks[[#This Row],[_AlapShift]]=0,Tasks[[#This Row],[_LeafFcstFinish]],WORKDAY.INTL(Tasks[[#This Row],[_LeafFcstFinish]],Tasks[[#This Row],[_AlapShift]],WorkWeek,Holidays)))</f>
        <v/>
      </c>
      <c r="FK202" s="91" t="str">
        <f aca="false">IF(Tasks[[#This Row],[Task Name]]="","",IF(Tasks[[#This Row],[_IsSummary]],MIN(INDEX(Tasks[_ShownCalcStart],Tasks[[#This Row],[_Row]]+1):INDEX(Tasks[_ShownCalcStart],Tasks[[#This Row],[_Row]]+Tasks[[#This Row],[_Descendants]])),Tasks[[#This Row],[_ShownCalcStart]]))</f>
        <v/>
      </c>
      <c r="FL202" s="91" t="str">
        <f aca="false">IF(Tasks[[#This Row],[Task Name]]="","",IF(Tasks[[#This Row],[_IsSummary]],MAX(INDEX(Tasks[_ShownCalcFinish],Tasks[[#This Row],[_Row]]+1):INDEX(Tasks[_ShownCalcFinish],Tasks[[#This Row],[_Row]]+Tasks[[#This Row],[_Descendants]])),Tasks[[#This Row],[_ShownCalcFinish]]))</f>
        <v/>
      </c>
      <c r="FM2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2" s="43" t="n">
        <f aca="false">IF(AND(Tasks[[#This Row],[_IsLeaf]]=1,Tasks[[#This Row],[_LeafTotalWork]]&gt;0),NETWORKDAYS.INTL(ProjectStart,Tasks[[#This Row],[_ShownFcstStart]],WorkWeek,Holidays),0)</f>
        <v>0</v>
      </c>
      <c r="FZ202" s="43" t="n">
        <f aca="false">IF(AND(Tasks[[#This Row],[_IsLeaf]]=1,Tasks[[#This Row],[_LeafTotalWork]]&gt;0),MAX(Tasks[[#This Row],[_StartWorkday]],NETWORKDAYS.INTL(ProjectStart,Tasks[[#This Row],[_ShownFcstFinish]],WorkWeek,Holidays)),0)</f>
        <v>0</v>
      </c>
      <c r="GA202" s="43" t="n">
        <f aca="false">IF(AND(Tasks[[#This Row],[_IsLeaf]]=1,Tasks[[#This Row],[_LeafTotalWork]]&gt;0),Tasks[[#This Row],[_LeafWork]]/(Tasks[[#This Row],[_FinishWorkday]]-Tasks[[#This Row],[_StartWorkday]]+1),0)</f>
        <v>0</v>
      </c>
      <c r="GB202" s="43" t="n">
        <f aca="false">Tasks[[#This Row],[_WorkPerWorkday]]*(Tasks[[#This Row],[_StartWorkday]]-1)</f>
        <v>-0</v>
      </c>
      <c r="GC202" s="43" t="n">
        <f aca="false">IF(Tasks[[#This Row],[_IsLeaf]]=1,MAX(N(Tasks[[#This Row],[_Days]]),0.1),0)</f>
        <v>0</v>
      </c>
      <c r="GD202" s="43" t="n">
        <f aca="false">Tasks[[#This Row],[_WeightDur]]*Tasks[[#This Row],[_LeafProgress]]</f>
        <v>0</v>
      </c>
      <c r="GE202" s="43" t="n">
        <f aca="false">Tasks[[#This Row],[_WeightDur]]*Tasks[[#This Row],[_PlannedPct]]</f>
        <v>0</v>
      </c>
      <c r="GF2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2" s="43" t="str">
        <f aca="false">IF(AND(Tasks[[#This Row],[_IsLeaf]]=1,N(Tasks[[#This Row],[_Days]])=0,Tasks[[#This Row],[_LeafProgress]]&lt;1),Tasks[[#This Row],[_ShownFcstFinish]]+Tasks[[#This Row],[_Row]]/100000,"")</f>
        <v/>
      </c>
      <c r="GH2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2" s="43" t="str">
        <f aca="false">IF(Tasks[[#This Row],[Task Name]]="","",LEFT(Tasks[[#This Row],[WBS]],FIND(".",Tasks[[#This Row],[WBS]]&amp;".")-1))</f>
        <v/>
      </c>
      <c r="GJ202" s="43" t="str">
        <f aca="false">IF(AND(Tasks[[#This Row],[Task Name]]&lt;&gt;"",Tasks[[#This Row],[_Level]]=1),Tasks[[#This Row],[_Row]],"")</f>
        <v/>
      </c>
      <c r="GK202" s="43" t="str">
        <f aca="false">IF(AND(Tasks[[#This Row],[_IsLeaf]]=1,N(Tasks[[#This Row],[_Days]])=0),Tasks[[#This Row],[Planned Finish]]+Tasks[[#This Row],[_Row]]/100000,"")</f>
        <v/>
      </c>
      <c r="GL202" s="43" t="str">
        <f aca="false">IF(AND(Tasks[[#This Row],[_IsLeaf]]=1,Tasks[[#This Row],[_LeafProgress]]&lt;1,OR(N(Tasks[[#This Row],[Finish Var]])&gt;0,Tasks[[#This Row],[Status]]="Late Start")),MAX(0,Tasks[[#This Row],[Finish Var]])+1-Tasks[[#This Row],[_Row]]/1000000,"")</f>
        <v/>
      </c>
      <c r="GM202" s="43" t="str">
        <f aca="false">IF(AND(Tasks[[#This Row],[_IsLeaf]]=1,N(Tasks[[#This Row],[Actual Start]])=0,Tasks[[#This Row],[_ShownFcstStart]]&gt;=StatusDate,Tasks[[#This Row],[_ShownFcstStart]]&lt;=LookaheadEnd),Tasks[[#This Row],[_ShownFcstStart]]+Tasks[[#This Row],[_Row]]/100000,"")</f>
        <v/>
      </c>
      <c r="GN202" s="43" t="str">
        <f aca="false">IF(AND(Tasks[[#This Row],[_IsLeaf]]=1,Tasks[[#This Row],[_LeafProgress]]&lt;1,Tasks[[#This Row],[_ShownFcstFinish]]&gt;=StatusDate,Tasks[[#This Row],[_ShownFcstFinish]]&lt;=LookaheadEnd),Tasks[[#This Row],[_ShownFcstFinish]]+Tasks[[#This Row],[_Row]]/100000,"")</f>
        <v/>
      </c>
      <c r="GO202" s="43" t="str">
        <f aca="false">IF(Tasks[[#This Row],[_LeafCritical]],Tasks[[#This Row],[_ShownFcstStart]]+Tasks[[#This Row],[_Row]]/100000,"")</f>
        <v/>
      </c>
      <c r="GP202" s="43" t="n">
        <f aca="false">Tasks[[#This Row],[_LeafWork]]*Tasks[[#This Row],[_LeafProgress]]</f>
        <v>0</v>
      </c>
      <c r="GQ202" s="91" t="str">
        <f aca="false">IF(AND(Tasks[[#This Row],[_IsLeaf]]=1,Tasks[[#This Row],[_LeafProgress]]&gt;=1),IF(N(Tasks[[#This Row],[Actual Finish]])&gt;0,Tasks[[#This Row],[Actual Finish]],Tasks[[#This Row],[_ShownFcstFinish]]),"")</f>
        <v/>
      </c>
      <c r="GR202" s="43" t="n">
        <f aca="false">IF(Tasks[[#This Row],[_IsLeaf]]=1,N(Tasks[[#This Row],[Story Points]]),0)</f>
        <v>0</v>
      </c>
      <c r="GS202" s="43" t="str">
        <f aca="false">""</f>
        <v/>
      </c>
      <c r="GT202" s="90" t="b">
        <f aca="false">IF(Tasks[[#This Row],[Task Name]]="",FALSE(),AND(Tasks[[#This Row],[_IsLeaf]]=1,N(Tasks[[#This Row],[_Days]])=0))</f>
        <v>0</v>
      </c>
      <c r="GU202" s="91" t="n">
        <f aca="false">IF(Tasks[[#This Row],[Task Name]]="",0,IF(AND(Tasks[[#This Row],[_IsLeaf]]=1,NOT(Tasks[[#This Row],[_IsMilestone]]),N(Tasks[[#This Row],[Progress]])&gt;0),Tasks[[#This Row],[Start]],0))</f>
        <v>0</v>
      </c>
      <c r="GV202" s="91" t="n">
        <f aca="false">IF(Tasks[[#This Row],[_DoneFrom]]=0,0,IF(Tasks[[#This Row],[Progress]]&gt;=1,Tasks[[#This Row],[Finish]],MAX(Tasks[[#This Row],[_DoneFrom]],Tasks[[#This Row],[Start]]+ROUND((Tasks[[#This Row],[Finish]]-Tasks[[#This Row],[Start]]+1)*Tasks[[#This Row],[Progress]],0)-1)))</f>
        <v>0</v>
      </c>
      <c r="GW202" s="91" t="n">
        <f aca="false">IF(Tasks[[#This Row],[Task Name]]="",0,IF(OR(NOT(Tasks[[#This Row],[_IsLeaf]]=1),Tasks[[#This Row],[_IsMilestone]],N(Tasks[[#This Row],[Progress]])&gt;=1),0,IF(Tasks[[#This Row],[_DoneTo]]&gt;0,Tasks[[#This Row],[_DoneTo]]+1,Tasks[[#This Row],[Start]])))</f>
        <v>0</v>
      </c>
      <c r="GX202" s="91" t="n">
        <f aca="false">IF(Tasks[[#This Row],[_RemFrom]]=0,0,Tasks[[#This Row],[Finish]])</f>
        <v>0</v>
      </c>
      <c r="GY202" s="90" t="b">
        <f aca="false">IF(Tasks[[#This Row],[Task Name]]="",FALSE(),OR(NOT(BaselineSet),N(Tasks[[#This Row],[Baseline Start]])&gt;0))</f>
        <v>0</v>
      </c>
      <c r="GZ202"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2" s="92" t="str">
        <f aca="false">IF(Tasks[[#This Row],[_IsLeaf]]=1,Tasks[[#This Row],[_Row]],"")</f>
        <v/>
      </c>
      <c r="HD202" s="92" t="str">
        <f aca="false">IFERROR(INDEX(Tasks[UID],SMALL(Tasks[_PickKey],Tasks[[#This Row],[_Row]]))&amp;" "&amp;INDEX(Tasks[Task Name],SMALL(Tasks[_PickKey],Tasks[[#This Row],[_Row]])),"")</f>
        <v/>
      </c>
      <c r="HE202" s="43" t="str">
        <f aca="false">IF(Tasks[[#This Row],[Task Name]]="","",IF(Tasks[[#This Row],[_IsSummary]],NETWORKDAYS.INTL(Tasks[[#This Row],[Start]],Tasks[[#This Row],[Finish]],WorkWeek,Holidays),N(Tasks[[#This Row],[_Days]])))</f>
        <v/>
      </c>
      <c r="HF202" s="43" t="n">
        <f aca="false">IF(Tasks[[#This Row],[Expected]]="",0,((Tasks[[#This Row],[Pessimistic]]-Tasks[[#This Row],[Optimistic]])/6)^2)</f>
        <v>0</v>
      </c>
      <c r="HG202" s="43" t="n">
        <f aca="false">IF(Tasks[[#This Row],[Expected]]="",0,Tasks[[#This Row],[Expected]]-N(Tasks[[#This Row],[_Days]]))</f>
        <v>0</v>
      </c>
    </row>
    <row r="203" customFormat="false" ht="15" hidden="false" customHeight="false" outlineLevel="0" collapsed="false">
      <c r="A203" s="21" t="str">
        <f aca="false">IF(Tasks[[#This Row],[Task Name]]="","",COUNTA(Tasks[[#Headers],[Task Name]]:Tasks[[#This Row],[Task Name]])-1)</f>
        <v/>
      </c>
      <c r="B203" s="22" t="n">
        <v>211</v>
      </c>
      <c r="C203" s="22"/>
      <c r="D203" s="23"/>
      <c r="E203" s="22"/>
      <c r="F203" s="23"/>
      <c r="G203" s="22"/>
      <c r="H203" s="22"/>
      <c r="I203" s="23"/>
      <c r="J203" s="22"/>
      <c r="K203" s="22"/>
      <c r="L203" s="23"/>
      <c r="M203" s="22"/>
      <c r="N203" s="22"/>
      <c r="O203" s="23"/>
      <c r="P203" s="22"/>
      <c r="Q203" s="22"/>
      <c r="R203" s="23"/>
      <c r="S203" s="23"/>
      <c r="T203" s="84"/>
      <c r="U203" s="23"/>
      <c r="V203" s="84"/>
      <c r="W203" s="23"/>
      <c r="X203" s="84"/>
      <c r="Y203" s="23"/>
      <c r="Z203" s="84"/>
      <c r="AA203" s="23"/>
      <c r="AB203" s="23"/>
      <c r="AC203" s="7"/>
      <c r="AD203" s="7"/>
      <c r="AE203" s="63" t="str">
        <f aca="false">IF(Tasks[[#This Row],[Task Name]]="","",IF(Tasks[[#This Row],[_IsSummary]],MIN(INDEX(Tasks[_ShownFcstStart],Tasks[[#This Row],[_Row]]+1):INDEX(Tasks[_ShownFcstStart],Tasks[[#This Row],[_Row]]+Tasks[[#This Row],[_Descendants]])),Tasks[[#This Row],[_ShownFcstStart]]))</f>
        <v/>
      </c>
      <c r="AF203" s="63" t="str">
        <f aca="false">IF(Tasks[[#This Row],[Task Name]]="","",IF(Tasks[[#This Row],[_IsSummary]],MAX(INDEX(Tasks[_ShownFcstFinish],Tasks[[#This Row],[_Row]]+1):INDEX(Tasks[_ShownFcstFinish],Tasks[[#This Row],[_Row]]+Tasks[[#This Row],[_Descendants]])),Tasks[[#This Row],[_ShownFcstFinish]]))</f>
        <v/>
      </c>
      <c r="AG203" s="21" t="str">
        <f aca="false">""</f>
        <v/>
      </c>
      <c r="AH203" s="23"/>
      <c r="AI2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3" s="7"/>
      <c r="AK203" s="22"/>
      <c r="AL203" s="23"/>
      <c r="AM203" s="7"/>
      <c r="AN203" s="47" t="str">
        <f aca="false">IF(Tasks[[#This Row],[Task Name]]="","",IF(Tasks[[#This Row],[Finish]]&gt;=Tasks[[#This Row],[Planned Finish]],NETWORKDAYS.INTL(Tasks[[#This Row],[Planned Finish]],Tasks[[#This Row],[Finish]],WorkWeek,Holidays)-1,1-NETWORKDAYS.INTL(Tasks[[#This Row],[Finish]],Tasks[[#This Row],[Planned Finish]],WorkWeek,Holidays)))</f>
        <v/>
      </c>
      <c r="AO203" s="21" t="str">
        <f aca="false">IF(Tasks[[#This Row],[Task Name]]="","",IF(Tasks[[#This Row],[Progress]]&gt;=1,"Complete",IF(OR(N(Tasks[[#This Row],[Actual Start]])&gt;0,Tasks[[#This Row],[Progress]]&gt;0),IF(Tasks[[#This Row],[Finish Var]]&gt;0,"Behind","In Progress"),IF(Tasks[[#This Row],[Planned Start]]&lt;StatusDate,"Late Start","Not Started"))))</f>
        <v/>
      </c>
      <c r="AP203" s="21" t="str">
        <f aca="false">IF(Tasks[[#This Row],[Task Name]]="","",IF(IF(Tasks[[#This Row],[_IsSummary]],COUNTIF(INDEX(Tasks[_LeafCritical],Tasks[[#This Row],[_Row]]+1):INDEX(Tasks[_LeafCritical],Tasks[[#This Row],[_Row]]+Tasks[[#This Row],[_Descendants]]),TRUE())&gt;0,Tasks[[#This Row],[_LeafCritical]]),"Yes",""))</f>
        <v/>
      </c>
      <c r="AQ203" s="63" t="str">
        <f aca="false">IF(Tasks[[#This Row],[Task Name]]="","",IF(N(Tasks[[#This Row],[Baseline Start]])&gt;0,Tasks[[#This Row],[Baseline Start]],Tasks[[#This Row],[_CalcStart]]))</f>
        <v/>
      </c>
      <c r="AR203" s="63" t="str">
        <f aca="false">IF(Tasks[[#This Row],[Task Name]]="","",IF(N(Tasks[[#This Row],[Baseline Finish]])&gt;0,Tasks[[#This Row],[Baseline Finish]],Tasks[[#This Row],[_CalcFinish]]))</f>
        <v/>
      </c>
      <c r="AS203" s="47" t="str">
        <f aca="false">IF(Tasks[[#This Row],[Task Name]]="","",IF(Tasks[[#This Row],[Start]]&gt;=Tasks[[#This Row],[Planned Start]],NETWORKDAYS.INTL(Tasks[[#This Row],[Planned Start]],Tasks[[#This Row],[Start]],WorkWeek,Holidays)-1,1-NETWORKDAYS.INTL(Tasks[[#This Row],[Start]],Tasks[[#This Row],[Planned Start]],WorkWeek,Holidays)))</f>
        <v/>
      </c>
      <c r="AT203" s="63" t="str">
        <f aca="false">IF(Tasks[[#This Row],[Task Name]]="","",IF(Tasks[[#This Row],[_IsSummary]],MIN(INDEX(Tasks[_LeafLateStart],Tasks[[#This Row],[_Row]]+1):INDEX(Tasks[_LeafLateStart],Tasks[[#This Row],[_Row]]+Tasks[[#This Row],[_Descendants]])),Tasks[[#This Row],[_LeafLateStart]]))</f>
        <v/>
      </c>
      <c r="AU203" s="63" t="str">
        <f aca="false">IF(Tasks[[#This Row],[Task Name]]="","",IF(Tasks[[#This Row],[_IsSummary]],MAX(INDEX(Tasks[_LeafLateFinish],Tasks[[#This Row],[_Row]]+1):INDEX(Tasks[_LeafLateFinish],Tasks[[#This Row],[_Row]]+Tasks[[#This Row],[_Descendants]])),Tasks[[#This Row],[_LeafLateFinish]]))</f>
        <v/>
      </c>
      <c r="AV203" s="47" t="str">
        <f aca="false">IF(Tasks[[#This Row],[Task Name]]="","",IF(Tasks[[#This Row],[_IsSummary]],MIN(INDEX(Tasks[_LeafTotalSlack],Tasks[[#This Row],[_Row]]+1):INDEX(Tasks[_LeafTotalSlack],Tasks[[#This Row],[_Row]]+Tasks[[#This Row],[_Descendants]])),Tasks[[#This Row],[_LeafTotalSlack]]))</f>
        <v/>
      </c>
      <c r="AW2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5"/>
      <c r="BA20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t="str">
        <f aca="false">IF(Tasks[[#This Row],[Task Name]]="","",IF(Tasks[[#This Row],[_Level]]&lt;=OutlineShowLevel,"Yes","No"))</f>
        <v/>
      </c>
      <c r="BE203" s="86" t="str">
        <f aca="false">IF(Tasks[[#This Row],[Task Name]]="","",IF(Tasks[[#This Row],[_IsSummary]],SUM(INDEX(Tasks[_LeafTotalWork],Tasks[[#This Row],[_Row]]+1):INDEX(Tasks[_LeafTotalWork],Tasks[[#This Row],[_Row]]+Tasks[[#This Row],[_Descendants]])),Tasks[[#This Row],[_LeafTotalWork]]))</f>
        <v/>
      </c>
      <c r="BF203" s="23"/>
      <c r="BG2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t="str">
        <f aca="false">""</f>
        <v/>
      </c>
      <c r="BI203" s="87"/>
      <c r="BJ203" s="22"/>
      <c r="BK203" s="47" t="str">
        <f aca="false">IF(OR(Tasks[[#This Row],[Task Name]]="",Tasks[[#This Row],[Baseline Duration]]=""),"",Tasks[[#This Row],[_SpanDays]]-N(Tasks[[#This Row],[Baseline Duration]]))</f>
        <v/>
      </c>
      <c r="BL203" s="86" t="str">
        <f aca="false">IF(OR(Tasks[[#This Row],[Task Name]]="",Tasks[[#This Row],[Baseline Work]]=""),"",Tasks[[#This Row],[Work]]-N(Tasks[[#This Row],[Baseline Work]]))</f>
        <v/>
      </c>
      <c r="BM203" s="63" t="str">
        <f aca="false">IF(Tasks[[#This Row],[Task Name]]="","",IF(OR(TakeBaseline="Yes",N(Tasks[[#This Row],[Baseline Start]])=0),Tasks[[#This Row],[Start]],Tasks[[#This Row],[Baseline Start]]))</f>
        <v/>
      </c>
      <c r="BN203" s="63" t="str">
        <f aca="false">IF(Tasks[[#This Row],[Task Name]]="","",IF(OR(TakeBaseline="Yes",N(Tasks[[#This Row],[Baseline Finish]])=0),Tasks[[#This Row],[Finish]],Tasks[[#This Row],[Baseline Finish]]))</f>
        <v/>
      </c>
      <c r="BO203" s="21" t="str">
        <f aca="false">IF(Tasks[[#This Row],[Task Name]]="","",IF(OR(TakeBaseline="Yes",N(Tasks[[#This Row],[Baseline Duration]])=0),Tasks[[#This Row],[_SpanDays]],Tasks[[#This Row],[Baseline Duration]]))</f>
        <v/>
      </c>
      <c r="BP203" s="86" t="str">
        <f aca="false">IF(Tasks[[#This Row],[Task Name]]="","",IF(OR(TakeBaseline="Yes",N(Tasks[[#This Row],[Baseline Work]])=0),Tasks[[#This Row],[Work]],Tasks[[#This Row],[Baseline Work]]))</f>
        <v/>
      </c>
      <c r="BQ203" s="7"/>
      <c r="BR203" s="7"/>
      <c r="BS203" s="22"/>
      <c r="BT203" s="88"/>
      <c r="BU203" s="23"/>
      <c r="BV203" s="23"/>
      <c r="BW203" s="23"/>
      <c r="BX203" s="89" t="str">
        <f aca="false">IF(AND(Tasks[[#This Row],[_IsLeaf]]=1,ISNUMBER(Tasks[[#This Row],[Optimistic]]),ISNUMBER(Tasks[[#This Row],[Pessimistic]])),ROUND((Tasks[[#This Row],[Optimistic]]+4*N(Tasks[[#This Row],[_Days]])+Tasks[[#This Row],[Pessimistic]])/6,1),"")</f>
        <v/>
      </c>
      <c r="BY203" s="87"/>
      <c r="BZ203" s="87"/>
      <c r="CA203" s="22"/>
      <c r="CB203" s="43" t="str">
        <f aca="false">IF(Tasks[[#This Row],[Task Name]]="","",MAX(1,N(Tasks[[#This Row],[Level]])))</f>
        <v/>
      </c>
      <c r="CC203" s="43" t="n">
        <f aca="false">ROW()-ROW(Tasks[[#Headers],[ID]])</f>
        <v>198</v>
      </c>
      <c r="CD203" s="43" t="n">
        <f aca="false">IF(OR(Tasks[[#This Row],[Task Name]]="",Tasks[[#This Row],[_Level]]&lt;=1),0,IFERROR(LOOKUP(2,1/(Tasks[[#Headers],[_Level]]:Tasks[[#This Row],[_Level]]=Tasks[[#This Row],[_Level]]-1),ROW(Tasks[[#Headers],[_Level]]:Tasks[[#This Row],[_Level]])),0))</f>
        <v>0</v>
      </c>
      <c r="CE203" s="43" t="n">
        <f aca="false">IFERROR(N(INDEX(Tasks[_Level],Tasks[[#This Row],[_Row]]+1)),0)</f>
        <v>0</v>
      </c>
      <c r="CF203" s="90" t="b">
        <f aca="false">AND(Tasks[[#This Row],[Task Name]]&lt;&gt;"",Tasks[[#This Row],[_NextLevel]]&gt;Tasks[[#This Row],[_Level]])</f>
        <v>0</v>
      </c>
      <c r="CG203" s="43" t="n">
        <f aca="false">IF(Tasks[[#This Row],[_IsSummary]],COUNTIF(Tasks[WBS],Tasks[[#This Row],[WBS]]&amp;".*"),0)</f>
        <v>0</v>
      </c>
      <c r="CH203" s="43" t="n">
        <f aca="false">IF(AND(Tasks[[#This Row],[Task Name]]&lt;&gt;"",NOT(Tasks[[#This Row],[_IsSummary]])),1,0)</f>
        <v>0</v>
      </c>
      <c r="CI203" s="43" t="n">
        <f aca="false">IF(N(Tasks[[#This Row],[_Pred1UID]])=0,0,IFERROR(MATCH(Tasks[[#This Row],[_Pred1UID]],Tasks[UID],0),-1))</f>
        <v>0</v>
      </c>
      <c r="CJ203" s="43" t="n">
        <f aca="false">IF(N(Tasks[[#This Row],[_Pred2UID]])=0,0,IFERROR(MATCH(Tasks[[#This Row],[_Pred2UID]],Tasks[UID],0),-1))</f>
        <v>0</v>
      </c>
      <c r="CK203" s="43" t="n">
        <f aca="false">IF(N(Tasks[[#This Row],[_Pred3UID]])=0,0,IFERROR(MATCH(Tasks[[#This Row],[_Pred3UID]],Tasks[UID],0),-1))</f>
        <v>0</v>
      </c>
      <c r="CL203" s="43" t="n">
        <f aca="false">IF(N(Tasks[[#This Row],[_Pred4UID]])=0,0,IFERROR(MATCH(Tasks[[#This Row],[_Pred4UID]],Tasks[UID],0),-1))</f>
        <v>0</v>
      </c>
      <c r="CM2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3" s="91" t="n">
        <f aca="false">IF(OR(Tasks[[#This Row],[_ConstraintCode]]=2,Tasks[[#This Row],[_ConstraintCode]]=3,Tasks[[#This Row],[_ConstraintCode]]=4,Tasks[[#This Row],[_ConstraintCode]]=6),Tasks[[#This Row],[_ConstraintStart]],0)</f>
        <v>0</v>
      </c>
      <c r="CP203" s="91" t="n">
        <f aca="false">IF(OR(Tasks[[#This Row],[_ConstraintCode]]=2,Tasks[[#This Row],[_ConstraintCode]]=3,Tasks[[#This Row],[_ConstraintCode]]=5,Tasks[[#This Row],[_ConstraintCode]]=7),Tasks[[#This Row],[_ConstraintStart]],2958465)</f>
        <v>2958465</v>
      </c>
      <c r="CQ2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3" s="91" t="str">
        <f aca="false">IF(NOT(Tasks[[#This Row],[_IsLeaf]]=1),"",IF(N(Tasks[[#This Row],[_Days]])&lt;=0,Tasks[[#This Row],[_LeafCalcStart]],WORKDAY.INTL(Tasks[[#This Row],[_LeafCalcStart]],Tasks[[#This Row],[_Days]]-1,WorkWeek,Holidays)))</f>
        <v/>
      </c>
      <c r="CS2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3" s="43" t="str">
        <f aca="false">IF(Tasks[[#This Row],[_Predecessors]]="","",TRIM(MID(SUBSTITUTE(SUBSTITUTE(SUBSTITUTE(UPPER(Tasks[[#This Row],[_Predecessors]]),";",",")," ",""),",",REPT(" ",99)),1,99)))</f>
        <v/>
      </c>
      <c r="CV203" s="43" t="str">
        <f aca="false">IF(Tasks[[#This Row],[_Pred1Text]]="","",IFERROR(VALUE(LEFT(Tasks[[#This Row],[_Pred1Text]],MIN(FIND("F",Tasks[[#This Row],[_Pred1Text]]&amp;"F"),FIND("S",Tasks[[#This Row],[_Pred1Text]]&amp;"S"),FIND("+",Tasks[[#This Row],[_Pred1Text]]&amp;"+"),FIND("-",Tasks[[#This Row],[_Pred1Text]]&amp;"-"))-1)),""))</f>
        <v/>
      </c>
      <c r="CW2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3" s="43" t="str">
        <f aca="false">IF(Tasks[[#This Row],[_Pred1Text]]="","",TRIM(MID(SUBSTITUTE(SUBSTITUTE(SUBSTITUTE(UPPER(Tasks[[#This Row],[_Predecessors]]),";",",")," ",""),",",REPT(" ",99)),100,99)))</f>
        <v/>
      </c>
      <c r="CZ203" s="43" t="str">
        <f aca="false">IF(Tasks[[#This Row],[_Pred2Text]]="","",IFERROR(VALUE(LEFT(Tasks[[#This Row],[_Pred2Text]],MIN(FIND("F",Tasks[[#This Row],[_Pred2Text]]&amp;"F"),FIND("S",Tasks[[#This Row],[_Pred2Text]]&amp;"S"),FIND("+",Tasks[[#This Row],[_Pred2Text]]&amp;"+"),FIND("-",Tasks[[#This Row],[_Pred2Text]]&amp;"-"))-1)),""))</f>
        <v/>
      </c>
      <c r="DA2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3" s="43" t="str">
        <f aca="false">IF(Tasks[[#This Row],[_Pred2Text]]="","",TRIM(MID(SUBSTITUTE(SUBSTITUTE(SUBSTITUTE(UPPER(Tasks[[#This Row],[_Predecessors]]),";",",")," ",""),",",REPT(" ",99)),199,99)))</f>
        <v/>
      </c>
      <c r="DD203" s="43" t="str">
        <f aca="false">IF(Tasks[[#This Row],[_Pred3Text]]="","",IFERROR(VALUE(LEFT(Tasks[[#This Row],[_Pred3Text]],MIN(FIND("F",Tasks[[#This Row],[_Pred3Text]]&amp;"F"),FIND("S",Tasks[[#This Row],[_Pred3Text]]&amp;"S"),FIND("+",Tasks[[#This Row],[_Pred3Text]]&amp;"+"),FIND("-",Tasks[[#This Row],[_Pred3Text]]&amp;"-"))-1)),""))</f>
        <v/>
      </c>
      <c r="DE2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3" s="43" t="str">
        <f aca="false">IF(Tasks[[#This Row],[_Pred3Text]]="","",TRIM(MID(SUBSTITUTE(SUBSTITUTE(SUBSTITUTE(UPPER(Tasks[[#This Row],[_Predecessors]]),";",",")," ",""),",",REPT(" ",99)),298,99)))</f>
        <v/>
      </c>
      <c r="DH203" s="43" t="str">
        <f aca="false">IF(Tasks[[#This Row],[_Pred4Text]]="","",IFERROR(VALUE(LEFT(Tasks[[#This Row],[_Pred4Text]],MIN(FIND("F",Tasks[[#This Row],[_Pred4Text]]&amp;"F"),FIND("S",Tasks[[#This Row],[_Pred4Text]]&amp;"S"),FIND("+",Tasks[[#This Row],[_Pred4Text]]&amp;"+"),FIND("-",Tasks[[#This Row],[_Pred4Text]]&amp;"-"))-1)),""))</f>
        <v/>
      </c>
      <c r="DI2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3" s="43" t="str">
        <f aca="false">IF(OR(Tasks[[#This Row],[Task Name]]="",Tasks[[#This Row],[_Resources]]=""),"",TRIM(MID(SUBSTITUTE(Tasks[[#This Row],[_Resources]],",",REPT(" ",99)),1,99)))</f>
        <v/>
      </c>
      <c r="DL203" s="43" t="str">
        <f aca="false">IF(Tasks[[#This Row],[_Res1Text]]="","",TRIM(MID(SUBSTITUTE(Tasks[[#This Row],[_Resources]],",",REPT(" ",99)),100,99)))</f>
        <v/>
      </c>
      <c r="DM203" s="43" t="str">
        <f aca="false">IF(Tasks[[#This Row],[_Res2Text]]="","",TRIM(MID(SUBSTITUTE(Tasks[[#This Row],[_Resources]],",",REPT(" ",99)),199,99)))</f>
        <v/>
      </c>
      <c r="DN203" s="43" t="str">
        <f aca="false">IF(Tasks[[#This Row],[_Res3Text]]="","",TRIM(MID(SUBSTITUTE(Tasks[[#This Row],[_Resources]],",",REPT(" ",99)),298,99)))</f>
        <v/>
      </c>
      <c r="DO203" s="43" t="n">
        <f aca="false">IF(Tasks[[#This Row],[_Res1Text]]="",0,IFERROR(MATCH(TRIM(LEFT(Tasks[[#This Row],[_Res1Text]],FIND("[",Tasks[[#This Row],[_Res1Text]]&amp;"[")-1)),res_Name,0),IFERROR(MATCH(TRIM(LEFT(Tasks[[#This Row],[_Res1Text]],FIND("[",Tasks[[#This Row],[_Res1Text]]&amp;"[")-1)),res_Initials,0),0)))</f>
        <v>0</v>
      </c>
      <c r="DP203" s="43" t="n">
        <f aca="false">IF(Tasks[[#This Row],[_Res2Text]]="",0,IFERROR(MATCH(TRIM(LEFT(Tasks[[#This Row],[_Res2Text]],FIND("[",Tasks[[#This Row],[_Res2Text]]&amp;"[")-1)),res_Name,0),IFERROR(MATCH(TRIM(LEFT(Tasks[[#This Row],[_Res2Text]],FIND("[",Tasks[[#This Row],[_Res2Text]]&amp;"[")-1)),res_Initials,0),0)))</f>
        <v>0</v>
      </c>
      <c r="DQ203" s="43" t="n">
        <f aca="false">IF(Tasks[[#This Row],[_Res3Text]]="",0,IFERROR(MATCH(TRIM(LEFT(Tasks[[#This Row],[_Res3Text]],FIND("[",Tasks[[#This Row],[_Res3Text]]&amp;"[")-1)),res_Name,0),IFERROR(MATCH(TRIM(LEFT(Tasks[[#This Row],[_Res3Text]],FIND("[",Tasks[[#This Row],[_Res3Text]]&amp;"[")-1)),res_Initials,0),0)))</f>
        <v>0</v>
      </c>
      <c r="DR203" s="43" t="n">
        <f aca="false">IF(Tasks[[#This Row],[_Res4Text]]="",0,IFERROR(MATCH(TRIM(LEFT(Tasks[[#This Row],[_Res4Text]],FIND("[",Tasks[[#This Row],[_Res4Text]]&amp;"[")-1)),res_Name,0),IFERROR(MATCH(TRIM(LEFT(Tasks[[#This Row],[_Res4Text]],FIND("[",Tasks[[#This Row],[_Res4Text]]&amp;"[")-1)),res_Initials,0),0)))</f>
        <v>0</v>
      </c>
      <c r="DS203" s="43" t="str">
        <f aca="false">IF(Tasks[[#This Row],[_Res1Text]]="","",IF(Tasks[[#This Row],[_Res1Row]]&gt;0,INDEX(res_Name,Tasks[[#This Row],[_Res1Row]]),TRIM(LEFT(Tasks[[#This Row],[_Res1Text]],FIND("[",Tasks[[#This Row],[_Res1Text]]&amp;"[")-1))))</f>
        <v/>
      </c>
      <c r="DT2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3" s="43" t="n">
        <f aca="false">IF(NOT(Tasks[[#This Row],[_IsLeaf]]=1),0,(Tasks[[#This Row],[_Resource1]]&lt;&gt;"")+(Tasks[[#This Row],[_Res2]]&lt;&gt;"")+(Tasks[[#This Row],[_Res3]]&lt;&gt;"")+(Tasks[[#This Row],[_Res4]]&lt;&gt;""))</f>
        <v>0</v>
      </c>
      <c r="DV203" s="43" t="str">
        <f aca="false">IF(Tasks[[#This Row],[_Res2Text]]="","",IF(Tasks[[#This Row],[_Res2Row]]&gt;0,INDEX(res_Name,Tasks[[#This Row],[_Res2Row]]),TRIM(LEFT(Tasks[[#This Row],[_Res2Text]],FIND("[",Tasks[[#This Row],[_Res2Text]]&amp;"[")-1))))</f>
        <v/>
      </c>
      <c r="DW2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3" s="43" t="n">
        <f aca="false">IF(OR(NOT(Tasks[[#This Row],[_IsLeaf]]=1),Tasks[[#This Row],[_Res2Row]]=0),0,N(Tasks[[#This Row],[_Days]])*HoursPerDay*IF(Tasks[[#This Row],[_Res2Units]]="",DefaultUnits,Tasks[[#This Row],[_Res2Units]]))</f>
        <v>0</v>
      </c>
      <c r="DY203" s="43" t="n">
        <f aca="false">IF(AND(AND(Tasks[[#This Row],[_IsLeaf]]=1,Tasks[[#This Row],[_LeafTotalWork]]&gt;0),Tasks[[#This Row],[_Res2Work]]&gt;0),Tasks[[#This Row],[_Res2Work]]/(Tasks[[#This Row],[_FinishWorkday]]-Tasks[[#This Row],[_StartWorkday]]+1),0)</f>
        <v>0</v>
      </c>
      <c r="DZ203" s="43" t="n">
        <f aca="false">Tasks[[#This Row],[_Res2WorkPerWD]]*MAX(0,Tasks[[#This Row],[_StartWorkday]]-1)</f>
        <v>0</v>
      </c>
      <c r="EA203" s="43" t="n">
        <f aca="false">Tasks[[#This Row],[_Res2Work]]*Tasks[[#This Row],[_LeafProgress]]</f>
        <v>0</v>
      </c>
      <c r="EB203" s="43" t="str">
        <f aca="false">IF(Tasks[[#This Row],[_Res3Text]]="","",IF(Tasks[[#This Row],[_Res3Row]]&gt;0,INDEX(res_Name,Tasks[[#This Row],[_Res3Row]]),TRIM(LEFT(Tasks[[#This Row],[_Res3Text]],FIND("[",Tasks[[#This Row],[_Res3Text]]&amp;"[")-1))))</f>
        <v/>
      </c>
      <c r="EC2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3" s="43" t="n">
        <f aca="false">IF(OR(NOT(Tasks[[#This Row],[_IsLeaf]]=1),Tasks[[#This Row],[_Res3Row]]=0),0,N(Tasks[[#This Row],[_Days]])*HoursPerDay*IF(Tasks[[#This Row],[_Res3Units]]="",DefaultUnits,Tasks[[#This Row],[_Res3Units]]))</f>
        <v>0</v>
      </c>
      <c r="EE203" s="43" t="n">
        <f aca="false">IF(AND(AND(Tasks[[#This Row],[_IsLeaf]]=1,Tasks[[#This Row],[_LeafTotalWork]]&gt;0),Tasks[[#This Row],[_Res3Work]]&gt;0),Tasks[[#This Row],[_Res3Work]]/(Tasks[[#This Row],[_FinishWorkday]]-Tasks[[#This Row],[_StartWorkday]]+1),0)</f>
        <v>0</v>
      </c>
      <c r="EF203" s="43" t="n">
        <f aca="false">Tasks[[#This Row],[_Res3WorkPerWD]]*MAX(0,Tasks[[#This Row],[_StartWorkday]]-1)</f>
        <v>0</v>
      </c>
      <c r="EG203" s="43" t="n">
        <f aca="false">Tasks[[#This Row],[_Res3Work]]*Tasks[[#This Row],[_LeafProgress]]</f>
        <v>0</v>
      </c>
      <c r="EH203" s="43" t="str">
        <f aca="false">IF(Tasks[[#This Row],[_Res4Text]]="","",IF(Tasks[[#This Row],[_Res4Row]]&gt;0,INDEX(res_Name,Tasks[[#This Row],[_Res4Row]]),TRIM(LEFT(Tasks[[#This Row],[_Res4Text]],FIND("[",Tasks[[#This Row],[_Res4Text]]&amp;"[")-1))))</f>
        <v/>
      </c>
      <c r="EI2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3" s="43" t="n">
        <f aca="false">IF(OR(NOT(Tasks[[#This Row],[_IsLeaf]]=1),Tasks[[#This Row],[_Res4Row]]=0),0,N(Tasks[[#This Row],[_Days]])*HoursPerDay*IF(Tasks[[#This Row],[_Res4Units]]="",DefaultUnits,Tasks[[#This Row],[_Res4Units]]))</f>
        <v>0</v>
      </c>
      <c r="EK203" s="43" t="n">
        <f aca="false">IF(AND(AND(Tasks[[#This Row],[_IsLeaf]]=1,Tasks[[#This Row],[_LeafTotalWork]]&gt;0),Tasks[[#This Row],[_Res4Work]]&gt;0),Tasks[[#This Row],[_Res4Work]]/(Tasks[[#This Row],[_FinishWorkday]]-Tasks[[#This Row],[_StartWorkday]]+1),0)</f>
        <v>0</v>
      </c>
      <c r="EL203" s="43" t="n">
        <f aca="false">Tasks[[#This Row],[_Res4WorkPerWD]]*MAX(0,Tasks[[#This Row],[_StartWorkday]]-1)</f>
        <v>0</v>
      </c>
      <c r="EM203" s="43" t="n">
        <f aca="false">Tasks[[#This Row],[_Res4Work]]*Tasks[[#This Row],[_LeafProgress]]</f>
        <v>0</v>
      </c>
      <c r="EN203" s="43" t="n">
        <f aca="false">IF(ISNUMBER(Tasks[[#This Row],[% Complete]]),Tasks[[#This Row],[% Complete]],IF(Tasks[[#This Row],[Stage]]="",0,IFERROR(INDEX(stg_Pct,MATCH(Tasks[[#This Row],[Stage]],stg_Name,0)),0)))</f>
        <v>0</v>
      </c>
      <c r="EO203" s="43" t="n">
        <f aca="false">IF(NOT(Tasks[[#This Row],[_IsLeaf]]=1),0,IF(N(Tasks[[#This Row],[Actual Finish]])&gt;0,1,MIN(1,Tasks[[#This Row],[_Pct]])))</f>
        <v>0</v>
      </c>
      <c r="EP203" s="43" t="n">
        <f aca="false">IF(OR(NOT(Tasks[[#This Row],[_IsLeaf]]=1),Tasks[[#This Row],[_Res1Row]]=0),0,N(Tasks[[#This Row],[_Days]])*HoursPerDay*IF(Tasks[[#This Row],[_Units1]]="",DefaultUnits,Tasks[[#This Row],[_Units1]]))</f>
        <v>0</v>
      </c>
      <c r="EQ203" s="43" t="n">
        <f aca="false">Tasks[[#This Row],[_LeafWork]]+Tasks[[#This Row],[_Res2Work]]+Tasks[[#This Row],[_Res3Work]]+Tasks[[#This Row],[_Res4Work]]</f>
        <v>0</v>
      </c>
      <c r="ER20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3" s="43" t="n">
        <f aca="false">IF(NOT(Tasks[[#This Row],[_IsLeaf]]=1),0,MAX(_xlfn.MAXIFS(Tasks[_Row],Tasks[_Pred1UID],Tasks[[#This Row],[UID]]),_xlfn.MAXIFS(Tasks[_Row],Tasks[_Pred2UID],Tasks[[#This Row],[UID]]),_xlfn.MAXIFS(Tasks[_Row],Tasks[_Pred3UID],Tasks[[#This Row],[UID]]),_xlfn.MAXIFS(Tasks[_Row],Tasks[_Pred4UID],Tasks[[#This Row],[UID]])))</f>
        <v>0</v>
      </c>
      <c r="FA2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3" s="91" t="str">
        <f aca="false">IF(NOT(Tasks[[#This Row],[_IsLeaf]]=1),"",IF(N(Tasks[[#This Row],[_Days]])&lt;=0,Tasks[[#This Row],[_LeafLateFinish]],WORKDAY.INTL(Tasks[[#This Row],[_LeafLateFinish]],-(Tasks[[#This Row],[_Days]]-1),WorkWeek,Holidays)))</f>
        <v/>
      </c>
      <c r="FD2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3" s="90" t="b">
        <f aca="false">AND(Tasks[[#This Row],[_IsLeaf]]=1,Tasks[[#This Row],[_LeafProgress]]&lt;1,N(Tasks[[#This Row],[_LeafTotalSlack]])&lt;=CriticalSlackDays)</f>
        <v>0</v>
      </c>
      <c r="FF203" s="43" t="n">
        <f aca="false">IF(AND(Tasks[[#This Row],[_IsLeaf]]=1,Tasks[[#This Row],[_ConstraintCode]]=1,Tasks[[#This Row],[Mode]]&lt;&gt;"Manual",N(Tasks[[#This Row],[Actual Start]])=0),MAX(0,N(Tasks[[#This Row],[Free Slack]])),0)</f>
        <v>0</v>
      </c>
      <c r="FG203" s="91" t="str">
        <f aca="false">IF(NOT(Tasks[[#This Row],[_IsLeaf]]=1),"",IF(Tasks[[#This Row],[_AlapShift]]=0,Tasks[[#This Row],[_LeafCalcStart]],WORKDAY.INTL(Tasks[[#This Row],[_LeafCalcStart]],Tasks[[#This Row],[_AlapShift]],WorkWeek,Holidays)))</f>
        <v/>
      </c>
      <c r="FH203" s="91" t="str">
        <f aca="false">IF(NOT(Tasks[[#This Row],[_IsLeaf]]=1),"",IF(Tasks[[#This Row],[_AlapShift]]=0,Tasks[[#This Row],[_LeafCalcFinish]],WORKDAY.INTL(Tasks[[#This Row],[_LeafCalcFinish]],Tasks[[#This Row],[_AlapShift]],WorkWeek,Holidays)))</f>
        <v/>
      </c>
      <c r="FI203" s="91" t="str">
        <f aca="false">IF(NOT(Tasks[[#This Row],[_IsLeaf]]=1),"",IF(Tasks[[#This Row],[_AlapShift]]=0,Tasks[[#This Row],[_LeafFcstStart]],WORKDAY.INTL(Tasks[[#This Row],[_LeafFcstStart]],Tasks[[#This Row],[_AlapShift]],WorkWeek,Holidays)))</f>
        <v/>
      </c>
      <c r="FJ203" s="91" t="str">
        <f aca="false">IF(NOT(Tasks[[#This Row],[_IsLeaf]]=1),"",IF(Tasks[[#This Row],[_AlapShift]]=0,Tasks[[#This Row],[_LeafFcstFinish]],WORKDAY.INTL(Tasks[[#This Row],[_LeafFcstFinish]],Tasks[[#This Row],[_AlapShift]],WorkWeek,Holidays)))</f>
        <v/>
      </c>
      <c r="FK203" s="91" t="str">
        <f aca="false">IF(Tasks[[#This Row],[Task Name]]="","",IF(Tasks[[#This Row],[_IsSummary]],MIN(INDEX(Tasks[_ShownCalcStart],Tasks[[#This Row],[_Row]]+1):INDEX(Tasks[_ShownCalcStart],Tasks[[#This Row],[_Row]]+Tasks[[#This Row],[_Descendants]])),Tasks[[#This Row],[_ShownCalcStart]]))</f>
        <v/>
      </c>
      <c r="FL203" s="91" t="str">
        <f aca="false">IF(Tasks[[#This Row],[Task Name]]="","",IF(Tasks[[#This Row],[_IsSummary]],MAX(INDEX(Tasks[_ShownCalcFinish],Tasks[[#This Row],[_Row]]+1):INDEX(Tasks[_ShownCalcFinish],Tasks[[#This Row],[_Row]]+Tasks[[#This Row],[_Descendants]])),Tasks[[#This Row],[_ShownCalcFinish]]))</f>
        <v/>
      </c>
      <c r="FM2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3" s="43" t="n">
        <f aca="false">IF(AND(Tasks[[#This Row],[_IsLeaf]]=1,Tasks[[#This Row],[_LeafTotalWork]]&gt;0),NETWORKDAYS.INTL(ProjectStart,Tasks[[#This Row],[_ShownFcstStart]],WorkWeek,Holidays),0)</f>
        <v>0</v>
      </c>
      <c r="FZ203" s="43" t="n">
        <f aca="false">IF(AND(Tasks[[#This Row],[_IsLeaf]]=1,Tasks[[#This Row],[_LeafTotalWork]]&gt;0),MAX(Tasks[[#This Row],[_StartWorkday]],NETWORKDAYS.INTL(ProjectStart,Tasks[[#This Row],[_ShownFcstFinish]],WorkWeek,Holidays)),0)</f>
        <v>0</v>
      </c>
      <c r="GA203" s="43" t="n">
        <f aca="false">IF(AND(Tasks[[#This Row],[_IsLeaf]]=1,Tasks[[#This Row],[_LeafTotalWork]]&gt;0),Tasks[[#This Row],[_LeafWork]]/(Tasks[[#This Row],[_FinishWorkday]]-Tasks[[#This Row],[_StartWorkday]]+1),0)</f>
        <v>0</v>
      </c>
      <c r="GB203" s="43" t="n">
        <f aca="false">Tasks[[#This Row],[_WorkPerWorkday]]*(Tasks[[#This Row],[_StartWorkday]]-1)</f>
        <v>-0</v>
      </c>
      <c r="GC203" s="43" t="n">
        <f aca="false">IF(Tasks[[#This Row],[_IsLeaf]]=1,MAX(N(Tasks[[#This Row],[_Days]]),0.1),0)</f>
        <v>0</v>
      </c>
      <c r="GD203" s="43" t="n">
        <f aca="false">Tasks[[#This Row],[_WeightDur]]*Tasks[[#This Row],[_LeafProgress]]</f>
        <v>0</v>
      </c>
      <c r="GE203" s="43" t="n">
        <f aca="false">Tasks[[#This Row],[_WeightDur]]*Tasks[[#This Row],[_PlannedPct]]</f>
        <v>0</v>
      </c>
      <c r="GF2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3" s="43" t="str">
        <f aca="false">IF(AND(Tasks[[#This Row],[_IsLeaf]]=1,N(Tasks[[#This Row],[_Days]])=0,Tasks[[#This Row],[_LeafProgress]]&lt;1),Tasks[[#This Row],[_ShownFcstFinish]]+Tasks[[#This Row],[_Row]]/100000,"")</f>
        <v/>
      </c>
      <c r="GH2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3" s="43" t="str">
        <f aca="false">IF(Tasks[[#This Row],[Task Name]]="","",LEFT(Tasks[[#This Row],[WBS]],FIND(".",Tasks[[#This Row],[WBS]]&amp;".")-1))</f>
        <v/>
      </c>
      <c r="GJ203" s="43" t="str">
        <f aca="false">IF(AND(Tasks[[#This Row],[Task Name]]&lt;&gt;"",Tasks[[#This Row],[_Level]]=1),Tasks[[#This Row],[_Row]],"")</f>
        <v/>
      </c>
      <c r="GK203" s="43" t="str">
        <f aca="false">IF(AND(Tasks[[#This Row],[_IsLeaf]]=1,N(Tasks[[#This Row],[_Days]])=0),Tasks[[#This Row],[Planned Finish]]+Tasks[[#This Row],[_Row]]/100000,"")</f>
        <v/>
      </c>
      <c r="GL203" s="43" t="str">
        <f aca="false">IF(AND(Tasks[[#This Row],[_IsLeaf]]=1,Tasks[[#This Row],[_LeafProgress]]&lt;1,OR(N(Tasks[[#This Row],[Finish Var]])&gt;0,Tasks[[#This Row],[Status]]="Late Start")),MAX(0,Tasks[[#This Row],[Finish Var]])+1-Tasks[[#This Row],[_Row]]/1000000,"")</f>
        <v/>
      </c>
      <c r="GM203" s="43" t="str">
        <f aca="false">IF(AND(Tasks[[#This Row],[_IsLeaf]]=1,N(Tasks[[#This Row],[Actual Start]])=0,Tasks[[#This Row],[_ShownFcstStart]]&gt;=StatusDate,Tasks[[#This Row],[_ShownFcstStart]]&lt;=LookaheadEnd),Tasks[[#This Row],[_ShownFcstStart]]+Tasks[[#This Row],[_Row]]/100000,"")</f>
        <v/>
      </c>
      <c r="GN203" s="43" t="str">
        <f aca="false">IF(AND(Tasks[[#This Row],[_IsLeaf]]=1,Tasks[[#This Row],[_LeafProgress]]&lt;1,Tasks[[#This Row],[_ShownFcstFinish]]&gt;=StatusDate,Tasks[[#This Row],[_ShownFcstFinish]]&lt;=LookaheadEnd),Tasks[[#This Row],[_ShownFcstFinish]]+Tasks[[#This Row],[_Row]]/100000,"")</f>
        <v/>
      </c>
      <c r="GO203" s="43" t="str">
        <f aca="false">IF(Tasks[[#This Row],[_LeafCritical]],Tasks[[#This Row],[_ShownFcstStart]]+Tasks[[#This Row],[_Row]]/100000,"")</f>
        <v/>
      </c>
      <c r="GP203" s="43" t="n">
        <f aca="false">Tasks[[#This Row],[_LeafWork]]*Tasks[[#This Row],[_LeafProgress]]</f>
        <v>0</v>
      </c>
      <c r="GQ203" s="91" t="str">
        <f aca="false">IF(AND(Tasks[[#This Row],[_IsLeaf]]=1,Tasks[[#This Row],[_LeafProgress]]&gt;=1),IF(N(Tasks[[#This Row],[Actual Finish]])&gt;0,Tasks[[#This Row],[Actual Finish]],Tasks[[#This Row],[_ShownFcstFinish]]),"")</f>
        <v/>
      </c>
      <c r="GR203" s="43" t="n">
        <f aca="false">IF(Tasks[[#This Row],[_IsLeaf]]=1,N(Tasks[[#This Row],[Story Points]]),0)</f>
        <v>0</v>
      </c>
      <c r="GS203" s="43" t="str">
        <f aca="false">""</f>
        <v/>
      </c>
      <c r="GT203" s="90" t="b">
        <f aca="false">IF(Tasks[[#This Row],[Task Name]]="",FALSE(),AND(Tasks[[#This Row],[_IsLeaf]]=1,N(Tasks[[#This Row],[_Days]])=0))</f>
        <v>0</v>
      </c>
      <c r="GU203" s="91" t="n">
        <f aca="false">IF(Tasks[[#This Row],[Task Name]]="",0,IF(AND(Tasks[[#This Row],[_IsLeaf]]=1,NOT(Tasks[[#This Row],[_IsMilestone]]),N(Tasks[[#This Row],[Progress]])&gt;0),Tasks[[#This Row],[Start]],0))</f>
        <v>0</v>
      </c>
      <c r="GV203" s="91" t="n">
        <f aca="false">IF(Tasks[[#This Row],[_DoneFrom]]=0,0,IF(Tasks[[#This Row],[Progress]]&gt;=1,Tasks[[#This Row],[Finish]],MAX(Tasks[[#This Row],[_DoneFrom]],Tasks[[#This Row],[Start]]+ROUND((Tasks[[#This Row],[Finish]]-Tasks[[#This Row],[Start]]+1)*Tasks[[#This Row],[Progress]],0)-1)))</f>
        <v>0</v>
      </c>
      <c r="GW203" s="91" t="n">
        <f aca="false">IF(Tasks[[#This Row],[Task Name]]="",0,IF(OR(NOT(Tasks[[#This Row],[_IsLeaf]]=1),Tasks[[#This Row],[_IsMilestone]],N(Tasks[[#This Row],[Progress]])&gt;=1),0,IF(Tasks[[#This Row],[_DoneTo]]&gt;0,Tasks[[#This Row],[_DoneTo]]+1,Tasks[[#This Row],[Start]])))</f>
        <v>0</v>
      </c>
      <c r="GX203" s="91" t="n">
        <f aca="false">IF(Tasks[[#This Row],[_RemFrom]]=0,0,Tasks[[#This Row],[Finish]])</f>
        <v>0</v>
      </c>
      <c r="GY203" s="90" t="b">
        <f aca="false">IF(Tasks[[#This Row],[Task Name]]="",FALSE(),OR(NOT(BaselineSet),N(Tasks[[#This Row],[Baseline Start]])&gt;0))</f>
        <v>0</v>
      </c>
      <c r="GZ203"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3" s="92" t="str">
        <f aca="false">IF(Tasks[[#This Row],[_IsLeaf]]=1,Tasks[[#This Row],[_Row]],"")</f>
        <v/>
      </c>
      <c r="HD203" s="92" t="str">
        <f aca="false">IFERROR(INDEX(Tasks[UID],SMALL(Tasks[_PickKey],Tasks[[#This Row],[_Row]]))&amp;" "&amp;INDEX(Tasks[Task Name],SMALL(Tasks[_PickKey],Tasks[[#This Row],[_Row]])),"")</f>
        <v/>
      </c>
      <c r="HE203" s="43" t="str">
        <f aca="false">IF(Tasks[[#This Row],[Task Name]]="","",IF(Tasks[[#This Row],[_IsSummary]],NETWORKDAYS.INTL(Tasks[[#This Row],[Start]],Tasks[[#This Row],[Finish]],WorkWeek,Holidays),N(Tasks[[#This Row],[_Days]])))</f>
        <v/>
      </c>
      <c r="HF203" s="43" t="n">
        <f aca="false">IF(Tasks[[#This Row],[Expected]]="",0,((Tasks[[#This Row],[Pessimistic]]-Tasks[[#This Row],[Optimistic]])/6)^2)</f>
        <v>0</v>
      </c>
      <c r="HG203" s="43" t="n">
        <f aca="false">IF(Tasks[[#This Row],[Expected]]="",0,Tasks[[#This Row],[Expected]]-N(Tasks[[#This Row],[_Days]]))</f>
        <v>0</v>
      </c>
    </row>
    <row r="204" customFormat="false" ht="15" hidden="false" customHeight="false" outlineLevel="0" collapsed="false">
      <c r="A204" s="21" t="str">
        <f aca="false">IF(Tasks[[#This Row],[Task Name]]="","",COUNTA(Tasks[[#Headers],[Task Name]]:Tasks[[#This Row],[Task Name]])-1)</f>
        <v/>
      </c>
      <c r="B204" s="22" t="n">
        <v>212</v>
      </c>
      <c r="C204" s="22"/>
      <c r="D204" s="23"/>
      <c r="E204" s="22"/>
      <c r="F204" s="23"/>
      <c r="G204" s="22"/>
      <c r="H204" s="22"/>
      <c r="I204" s="23"/>
      <c r="J204" s="22"/>
      <c r="K204" s="22"/>
      <c r="L204" s="23"/>
      <c r="M204" s="22"/>
      <c r="N204" s="22"/>
      <c r="O204" s="23"/>
      <c r="P204" s="22"/>
      <c r="Q204" s="22"/>
      <c r="R204" s="23"/>
      <c r="S204" s="23"/>
      <c r="T204" s="84"/>
      <c r="U204" s="23"/>
      <c r="V204" s="84"/>
      <c r="W204" s="23"/>
      <c r="X204" s="84"/>
      <c r="Y204" s="23"/>
      <c r="Z204" s="84"/>
      <c r="AA204" s="23"/>
      <c r="AB204" s="23"/>
      <c r="AC204" s="7"/>
      <c r="AD204" s="7"/>
      <c r="AE204" s="63" t="str">
        <f aca="false">IF(Tasks[[#This Row],[Task Name]]="","",IF(Tasks[[#This Row],[_IsSummary]],MIN(INDEX(Tasks[_ShownFcstStart],Tasks[[#This Row],[_Row]]+1):INDEX(Tasks[_ShownFcstStart],Tasks[[#This Row],[_Row]]+Tasks[[#This Row],[_Descendants]])),Tasks[[#This Row],[_ShownFcstStart]]))</f>
        <v/>
      </c>
      <c r="AF204" s="63" t="str">
        <f aca="false">IF(Tasks[[#This Row],[Task Name]]="","",IF(Tasks[[#This Row],[_IsSummary]],MAX(INDEX(Tasks[_ShownFcstFinish],Tasks[[#This Row],[_Row]]+1):INDEX(Tasks[_ShownFcstFinish],Tasks[[#This Row],[_Row]]+Tasks[[#This Row],[_Descendants]])),Tasks[[#This Row],[_ShownFcstFinish]]))</f>
        <v/>
      </c>
      <c r="AG204" s="21" t="str">
        <f aca="false">""</f>
        <v/>
      </c>
      <c r="AH204" s="23"/>
      <c r="AI2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4" s="7"/>
      <c r="AK204" s="22"/>
      <c r="AL204" s="23"/>
      <c r="AM204" s="7"/>
      <c r="AN204" s="47" t="str">
        <f aca="false">IF(Tasks[[#This Row],[Task Name]]="","",IF(Tasks[[#This Row],[Finish]]&gt;=Tasks[[#This Row],[Planned Finish]],NETWORKDAYS.INTL(Tasks[[#This Row],[Planned Finish]],Tasks[[#This Row],[Finish]],WorkWeek,Holidays)-1,1-NETWORKDAYS.INTL(Tasks[[#This Row],[Finish]],Tasks[[#This Row],[Planned Finish]],WorkWeek,Holidays)))</f>
        <v/>
      </c>
      <c r="AO204" s="21" t="str">
        <f aca="false">IF(Tasks[[#This Row],[Task Name]]="","",IF(Tasks[[#This Row],[Progress]]&gt;=1,"Complete",IF(OR(N(Tasks[[#This Row],[Actual Start]])&gt;0,Tasks[[#This Row],[Progress]]&gt;0),IF(Tasks[[#This Row],[Finish Var]]&gt;0,"Behind","In Progress"),IF(Tasks[[#This Row],[Planned Start]]&lt;StatusDate,"Late Start","Not Started"))))</f>
        <v/>
      </c>
      <c r="AP204" s="21" t="str">
        <f aca="false">IF(Tasks[[#This Row],[Task Name]]="","",IF(IF(Tasks[[#This Row],[_IsSummary]],COUNTIF(INDEX(Tasks[_LeafCritical],Tasks[[#This Row],[_Row]]+1):INDEX(Tasks[_LeafCritical],Tasks[[#This Row],[_Row]]+Tasks[[#This Row],[_Descendants]]),TRUE())&gt;0,Tasks[[#This Row],[_LeafCritical]]),"Yes",""))</f>
        <v/>
      </c>
      <c r="AQ204" s="63" t="str">
        <f aca="false">IF(Tasks[[#This Row],[Task Name]]="","",IF(N(Tasks[[#This Row],[Baseline Start]])&gt;0,Tasks[[#This Row],[Baseline Start]],Tasks[[#This Row],[_CalcStart]]))</f>
        <v/>
      </c>
      <c r="AR204" s="63" t="str">
        <f aca="false">IF(Tasks[[#This Row],[Task Name]]="","",IF(N(Tasks[[#This Row],[Baseline Finish]])&gt;0,Tasks[[#This Row],[Baseline Finish]],Tasks[[#This Row],[_CalcFinish]]))</f>
        <v/>
      </c>
      <c r="AS204" s="47" t="str">
        <f aca="false">IF(Tasks[[#This Row],[Task Name]]="","",IF(Tasks[[#This Row],[Start]]&gt;=Tasks[[#This Row],[Planned Start]],NETWORKDAYS.INTL(Tasks[[#This Row],[Planned Start]],Tasks[[#This Row],[Start]],WorkWeek,Holidays)-1,1-NETWORKDAYS.INTL(Tasks[[#This Row],[Start]],Tasks[[#This Row],[Planned Start]],WorkWeek,Holidays)))</f>
        <v/>
      </c>
      <c r="AT204" s="63" t="str">
        <f aca="false">IF(Tasks[[#This Row],[Task Name]]="","",IF(Tasks[[#This Row],[_IsSummary]],MIN(INDEX(Tasks[_LeafLateStart],Tasks[[#This Row],[_Row]]+1):INDEX(Tasks[_LeafLateStart],Tasks[[#This Row],[_Row]]+Tasks[[#This Row],[_Descendants]])),Tasks[[#This Row],[_LeafLateStart]]))</f>
        <v/>
      </c>
      <c r="AU204" s="63" t="str">
        <f aca="false">IF(Tasks[[#This Row],[Task Name]]="","",IF(Tasks[[#This Row],[_IsSummary]],MAX(INDEX(Tasks[_LeafLateFinish],Tasks[[#This Row],[_Row]]+1):INDEX(Tasks[_LeafLateFinish],Tasks[[#This Row],[_Row]]+Tasks[[#This Row],[_Descendants]])),Tasks[[#This Row],[_LeafLateFinish]]))</f>
        <v/>
      </c>
      <c r="AV204" s="47" t="str">
        <f aca="false">IF(Tasks[[#This Row],[Task Name]]="","",IF(Tasks[[#This Row],[_IsSummary]],MIN(INDEX(Tasks[_LeafTotalSlack],Tasks[[#This Row],[_Row]]+1):INDEX(Tasks[_LeafTotalSlack],Tasks[[#This Row],[_Row]]+Tasks[[#This Row],[_Descendants]])),Tasks[[#This Row],[_LeafTotalSlack]]))</f>
        <v/>
      </c>
      <c r="AW2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5"/>
      <c r="BA20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t="str">
        <f aca="false">IF(Tasks[[#This Row],[Task Name]]="","",IF(Tasks[[#This Row],[_Level]]&lt;=OutlineShowLevel,"Yes","No"))</f>
        <v/>
      </c>
      <c r="BE204" s="86" t="str">
        <f aca="false">IF(Tasks[[#This Row],[Task Name]]="","",IF(Tasks[[#This Row],[_IsSummary]],SUM(INDEX(Tasks[_LeafTotalWork],Tasks[[#This Row],[_Row]]+1):INDEX(Tasks[_LeafTotalWork],Tasks[[#This Row],[_Row]]+Tasks[[#This Row],[_Descendants]])),Tasks[[#This Row],[_LeafTotalWork]]))</f>
        <v/>
      </c>
      <c r="BF204" s="23"/>
      <c r="BG2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t="str">
        <f aca="false">""</f>
        <v/>
      </c>
      <c r="BI204" s="87"/>
      <c r="BJ204" s="22"/>
      <c r="BK204" s="47" t="str">
        <f aca="false">IF(OR(Tasks[[#This Row],[Task Name]]="",Tasks[[#This Row],[Baseline Duration]]=""),"",Tasks[[#This Row],[_SpanDays]]-N(Tasks[[#This Row],[Baseline Duration]]))</f>
        <v/>
      </c>
      <c r="BL204" s="86" t="str">
        <f aca="false">IF(OR(Tasks[[#This Row],[Task Name]]="",Tasks[[#This Row],[Baseline Work]]=""),"",Tasks[[#This Row],[Work]]-N(Tasks[[#This Row],[Baseline Work]]))</f>
        <v/>
      </c>
      <c r="BM204" s="63" t="str">
        <f aca="false">IF(Tasks[[#This Row],[Task Name]]="","",IF(OR(TakeBaseline="Yes",N(Tasks[[#This Row],[Baseline Start]])=0),Tasks[[#This Row],[Start]],Tasks[[#This Row],[Baseline Start]]))</f>
        <v/>
      </c>
      <c r="BN204" s="63" t="str">
        <f aca="false">IF(Tasks[[#This Row],[Task Name]]="","",IF(OR(TakeBaseline="Yes",N(Tasks[[#This Row],[Baseline Finish]])=0),Tasks[[#This Row],[Finish]],Tasks[[#This Row],[Baseline Finish]]))</f>
        <v/>
      </c>
      <c r="BO204" s="21" t="str">
        <f aca="false">IF(Tasks[[#This Row],[Task Name]]="","",IF(OR(TakeBaseline="Yes",N(Tasks[[#This Row],[Baseline Duration]])=0),Tasks[[#This Row],[_SpanDays]],Tasks[[#This Row],[Baseline Duration]]))</f>
        <v/>
      </c>
      <c r="BP204" s="86" t="str">
        <f aca="false">IF(Tasks[[#This Row],[Task Name]]="","",IF(OR(TakeBaseline="Yes",N(Tasks[[#This Row],[Baseline Work]])=0),Tasks[[#This Row],[Work]],Tasks[[#This Row],[Baseline Work]]))</f>
        <v/>
      </c>
      <c r="BQ204" s="7"/>
      <c r="BR204" s="7"/>
      <c r="BS204" s="22"/>
      <c r="BT204" s="88"/>
      <c r="BU204" s="23"/>
      <c r="BV204" s="23"/>
      <c r="BW204" s="23"/>
      <c r="BX204" s="89" t="str">
        <f aca="false">IF(AND(Tasks[[#This Row],[_IsLeaf]]=1,ISNUMBER(Tasks[[#This Row],[Optimistic]]),ISNUMBER(Tasks[[#This Row],[Pessimistic]])),ROUND((Tasks[[#This Row],[Optimistic]]+4*N(Tasks[[#This Row],[_Days]])+Tasks[[#This Row],[Pessimistic]])/6,1),"")</f>
        <v/>
      </c>
      <c r="BY204" s="87"/>
      <c r="BZ204" s="87"/>
      <c r="CA204" s="22"/>
      <c r="CB204" s="43" t="str">
        <f aca="false">IF(Tasks[[#This Row],[Task Name]]="","",MAX(1,N(Tasks[[#This Row],[Level]])))</f>
        <v/>
      </c>
      <c r="CC204" s="43" t="n">
        <f aca="false">ROW()-ROW(Tasks[[#Headers],[ID]])</f>
        <v>199</v>
      </c>
      <c r="CD204" s="43" t="n">
        <f aca="false">IF(OR(Tasks[[#This Row],[Task Name]]="",Tasks[[#This Row],[_Level]]&lt;=1),0,IFERROR(LOOKUP(2,1/(Tasks[[#Headers],[_Level]]:Tasks[[#This Row],[_Level]]=Tasks[[#This Row],[_Level]]-1),ROW(Tasks[[#Headers],[_Level]]:Tasks[[#This Row],[_Level]])),0))</f>
        <v>0</v>
      </c>
      <c r="CE204" s="43" t="n">
        <f aca="false">IFERROR(N(INDEX(Tasks[_Level],Tasks[[#This Row],[_Row]]+1)),0)</f>
        <v>0</v>
      </c>
      <c r="CF204" s="90" t="b">
        <f aca="false">AND(Tasks[[#This Row],[Task Name]]&lt;&gt;"",Tasks[[#This Row],[_NextLevel]]&gt;Tasks[[#This Row],[_Level]])</f>
        <v>0</v>
      </c>
      <c r="CG204" s="43" t="n">
        <f aca="false">IF(Tasks[[#This Row],[_IsSummary]],COUNTIF(Tasks[WBS],Tasks[[#This Row],[WBS]]&amp;".*"),0)</f>
        <v>0</v>
      </c>
      <c r="CH204" s="43" t="n">
        <f aca="false">IF(AND(Tasks[[#This Row],[Task Name]]&lt;&gt;"",NOT(Tasks[[#This Row],[_IsSummary]])),1,0)</f>
        <v>0</v>
      </c>
      <c r="CI204" s="43" t="n">
        <f aca="false">IF(N(Tasks[[#This Row],[_Pred1UID]])=0,0,IFERROR(MATCH(Tasks[[#This Row],[_Pred1UID]],Tasks[UID],0),-1))</f>
        <v>0</v>
      </c>
      <c r="CJ204" s="43" t="n">
        <f aca="false">IF(N(Tasks[[#This Row],[_Pred2UID]])=0,0,IFERROR(MATCH(Tasks[[#This Row],[_Pred2UID]],Tasks[UID],0),-1))</f>
        <v>0</v>
      </c>
      <c r="CK204" s="43" t="n">
        <f aca="false">IF(N(Tasks[[#This Row],[_Pred3UID]])=0,0,IFERROR(MATCH(Tasks[[#This Row],[_Pred3UID]],Tasks[UID],0),-1))</f>
        <v>0</v>
      </c>
      <c r="CL204" s="43" t="n">
        <f aca="false">IF(N(Tasks[[#This Row],[_Pred4UID]])=0,0,IFERROR(MATCH(Tasks[[#This Row],[_Pred4UID]],Tasks[UID],0),-1))</f>
        <v>0</v>
      </c>
      <c r="CM2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4" s="91" t="n">
        <f aca="false">IF(OR(Tasks[[#This Row],[_ConstraintCode]]=2,Tasks[[#This Row],[_ConstraintCode]]=3,Tasks[[#This Row],[_ConstraintCode]]=4,Tasks[[#This Row],[_ConstraintCode]]=6),Tasks[[#This Row],[_ConstraintStart]],0)</f>
        <v>0</v>
      </c>
      <c r="CP204" s="91" t="n">
        <f aca="false">IF(OR(Tasks[[#This Row],[_ConstraintCode]]=2,Tasks[[#This Row],[_ConstraintCode]]=3,Tasks[[#This Row],[_ConstraintCode]]=5,Tasks[[#This Row],[_ConstraintCode]]=7),Tasks[[#This Row],[_ConstraintStart]],2958465)</f>
        <v>2958465</v>
      </c>
      <c r="CQ2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4" s="91" t="str">
        <f aca="false">IF(NOT(Tasks[[#This Row],[_IsLeaf]]=1),"",IF(N(Tasks[[#This Row],[_Days]])&lt;=0,Tasks[[#This Row],[_LeafCalcStart]],WORKDAY.INTL(Tasks[[#This Row],[_LeafCalcStart]],Tasks[[#This Row],[_Days]]-1,WorkWeek,Holidays)))</f>
        <v/>
      </c>
      <c r="CS2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4" s="43" t="str">
        <f aca="false">IF(Tasks[[#This Row],[_Predecessors]]="","",TRIM(MID(SUBSTITUTE(SUBSTITUTE(SUBSTITUTE(UPPER(Tasks[[#This Row],[_Predecessors]]),";",",")," ",""),",",REPT(" ",99)),1,99)))</f>
        <v/>
      </c>
      <c r="CV204" s="43" t="str">
        <f aca="false">IF(Tasks[[#This Row],[_Pred1Text]]="","",IFERROR(VALUE(LEFT(Tasks[[#This Row],[_Pred1Text]],MIN(FIND("F",Tasks[[#This Row],[_Pred1Text]]&amp;"F"),FIND("S",Tasks[[#This Row],[_Pred1Text]]&amp;"S"),FIND("+",Tasks[[#This Row],[_Pred1Text]]&amp;"+"),FIND("-",Tasks[[#This Row],[_Pred1Text]]&amp;"-"))-1)),""))</f>
        <v/>
      </c>
      <c r="CW2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4" s="43" t="str">
        <f aca="false">IF(Tasks[[#This Row],[_Pred1Text]]="","",TRIM(MID(SUBSTITUTE(SUBSTITUTE(SUBSTITUTE(UPPER(Tasks[[#This Row],[_Predecessors]]),";",",")," ",""),",",REPT(" ",99)),100,99)))</f>
        <v/>
      </c>
      <c r="CZ204" s="43" t="str">
        <f aca="false">IF(Tasks[[#This Row],[_Pred2Text]]="","",IFERROR(VALUE(LEFT(Tasks[[#This Row],[_Pred2Text]],MIN(FIND("F",Tasks[[#This Row],[_Pred2Text]]&amp;"F"),FIND("S",Tasks[[#This Row],[_Pred2Text]]&amp;"S"),FIND("+",Tasks[[#This Row],[_Pred2Text]]&amp;"+"),FIND("-",Tasks[[#This Row],[_Pred2Text]]&amp;"-"))-1)),""))</f>
        <v/>
      </c>
      <c r="DA2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4" s="43" t="str">
        <f aca="false">IF(Tasks[[#This Row],[_Pred2Text]]="","",TRIM(MID(SUBSTITUTE(SUBSTITUTE(SUBSTITUTE(UPPER(Tasks[[#This Row],[_Predecessors]]),";",",")," ",""),",",REPT(" ",99)),199,99)))</f>
        <v/>
      </c>
      <c r="DD204" s="43" t="str">
        <f aca="false">IF(Tasks[[#This Row],[_Pred3Text]]="","",IFERROR(VALUE(LEFT(Tasks[[#This Row],[_Pred3Text]],MIN(FIND("F",Tasks[[#This Row],[_Pred3Text]]&amp;"F"),FIND("S",Tasks[[#This Row],[_Pred3Text]]&amp;"S"),FIND("+",Tasks[[#This Row],[_Pred3Text]]&amp;"+"),FIND("-",Tasks[[#This Row],[_Pred3Text]]&amp;"-"))-1)),""))</f>
        <v/>
      </c>
      <c r="DE2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4" s="43" t="str">
        <f aca="false">IF(Tasks[[#This Row],[_Pred3Text]]="","",TRIM(MID(SUBSTITUTE(SUBSTITUTE(SUBSTITUTE(UPPER(Tasks[[#This Row],[_Predecessors]]),";",",")," ",""),",",REPT(" ",99)),298,99)))</f>
        <v/>
      </c>
      <c r="DH204" s="43" t="str">
        <f aca="false">IF(Tasks[[#This Row],[_Pred4Text]]="","",IFERROR(VALUE(LEFT(Tasks[[#This Row],[_Pred4Text]],MIN(FIND("F",Tasks[[#This Row],[_Pred4Text]]&amp;"F"),FIND("S",Tasks[[#This Row],[_Pred4Text]]&amp;"S"),FIND("+",Tasks[[#This Row],[_Pred4Text]]&amp;"+"),FIND("-",Tasks[[#This Row],[_Pred4Text]]&amp;"-"))-1)),""))</f>
        <v/>
      </c>
      <c r="DI2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4" s="43" t="str">
        <f aca="false">IF(OR(Tasks[[#This Row],[Task Name]]="",Tasks[[#This Row],[_Resources]]=""),"",TRIM(MID(SUBSTITUTE(Tasks[[#This Row],[_Resources]],",",REPT(" ",99)),1,99)))</f>
        <v/>
      </c>
      <c r="DL204" s="43" t="str">
        <f aca="false">IF(Tasks[[#This Row],[_Res1Text]]="","",TRIM(MID(SUBSTITUTE(Tasks[[#This Row],[_Resources]],",",REPT(" ",99)),100,99)))</f>
        <v/>
      </c>
      <c r="DM204" s="43" t="str">
        <f aca="false">IF(Tasks[[#This Row],[_Res2Text]]="","",TRIM(MID(SUBSTITUTE(Tasks[[#This Row],[_Resources]],",",REPT(" ",99)),199,99)))</f>
        <v/>
      </c>
      <c r="DN204" s="43" t="str">
        <f aca="false">IF(Tasks[[#This Row],[_Res3Text]]="","",TRIM(MID(SUBSTITUTE(Tasks[[#This Row],[_Resources]],",",REPT(" ",99)),298,99)))</f>
        <v/>
      </c>
      <c r="DO204" s="43" t="n">
        <f aca="false">IF(Tasks[[#This Row],[_Res1Text]]="",0,IFERROR(MATCH(TRIM(LEFT(Tasks[[#This Row],[_Res1Text]],FIND("[",Tasks[[#This Row],[_Res1Text]]&amp;"[")-1)),res_Name,0),IFERROR(MATCH(TRIM(LEFT(Tasks[[#This Row],[_Res1Text]],FIND("[",Tasks[[#This Row],[_Res1Text]]&amp;"[")-1)),res_Initials,0),0)))</f>
        <v>0</v>
      </c>
      <c r="DP204" s="43" t="n">
        <f aca="false">IF(Tasks[[#This Row],[_Res2Text]]="",0,IFERROR(MATCH(TRIM(LEFT(Tasks[[#This Row],[_Res2Text]],FIND("[",Tasks[[#This Row],[_Res2Text]]&amp;"[")-1)),res_Name,0),IFERROR(MATCH(TRIM(LEFT(Tasks[[#This Row],[_Res2Text]],FIND("[",Tasks[[#This Row],[_Res2Text]]&amp;"[")-1)),res_Initials,0),0)))</f>
        <v>0</v>
      </c>
      <c r="DQ204" s="43" t="n">
        <f aca="false">IF(Tasks[[#This Row],[_Res3Text]]="",0,IFERROR(MATCH(TRIM(LEFT(Tasks[[#This Row],[_Res3Text]],FIND("[",Tasks[[#This Row],[_Res3Text]]&amp;"[")-1)),res_Name,0),IFERROR(MATCH(TRIM(LEFT(Tasks[[#This Row],[_Res3Text]],FIND("[",Tasks[[#This Row],[_Res3Text]]&amp;"[")-1)),res_Initials,0),0)))</f>
        <v>0</v>
      </c>
      <c r="DR204" s="43" t="n">
        <f aca="false">IF(Tasks[[#This Row],[_Res4Text]]="",0,IFERROR(MATCH(TRIM(LEFT(Tasks[[#This Row],[_Res4Text]],FIND("[",Tasks[[#This Row],[_Res4Text]]&amp;"[")-1)),res_Name,0),IFERROR(MATCH(TRIM(LEFT(Tasks[[#This Row],[_Res4Text]],FIND("[",Tasks[[#This Row],[_Res4Text]]&amp;"[")-1)),res_Initials,0),0)))</f>
        <v>0</v>
      </c>
      <c r="DS204" s="43" t="str">
        <f aca="false">IF(Tasks[[#This Row],[_Res1Text]]="","",IF(Tasks[[#This Row],[_Res1Row]]&gt;0,INDEX(res_Name,Tasks[[#This Row],[_Res1Row]]),TRIM(LEFT(Tasks[[#This Row],[_Res1Text]],FIND("[",Tasks[[#This Row],[_Res1Text]]&amp;"[")-1))))</f>
        <v/>
      </c>
      <c r="DT2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4" s="43" t="n">
        <f aca="false">IF(NOT(Tasks[[#This Row],[_IsLeaf]]=1),0,(Tasks[[#This Row],[_Resource1]]&lt;&gt;"")+(Tasks[[#This Row],[_Res2]]&lt;&gt;"")+(Tasks[[#This Row],[_Res3]]&lt;&gt;"")+(Tasks[[#This Row],[_Res4]]&lt;&gt;""))</f>
        <v>0</v>
      </c>
      <c r="DV204" s="43" t="str">
        <f aca="false">IF(Tasks[[#This Row],[_Res2Text]]="","",IF(Tasks[[#This Row],[_Res2Row]]&gt;0,INDEX(res_Name,Tasks[[#This Row],[_Res2Row]]),TRIM(LEFT(Tasks[[#This Row],[_Res2Text]],FIND("[",Tasks[[#This Row],[_Res2Text]]&amp;"[")-1))))</f>
        <v/>
      </c>
      <c r="DW2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4" s="43" t="n">
        <f aca="false">IF(OR(NOT(Tasks[[#This Row],[_IsLeaf]]=1),Tasks[[#This Row],[_Res2Row]]=0),0,N(Tasks[[#This Row],[_Days]])*HoursPerDay*IF(Tasks[[#This Row],[_Res2Units]]="",DefaultUnits,Tasks[[#This Row],[_Res2Units]]))</f>
        <v>0</v>
      </c>
      <c r="DY204" s="43" t="n">
        <f aca="false">IF(AND(AND(Tasks[[#This Row],[_IsLeaf]]=1,Tasks[[#This Row],[_LeafTotalWork]]&gt;0),Tasks[[#This Row],[_Res2Work]]&gt;0),Tasks[[#This Row],[_Res2Work]]/(Tasks[[#This Row],[_FinishWorkday]]-Tasks[[#This Row],[_StartWorkday]]+1),0)</f>
        <v>0</v>
      </c>
      <c r="DZ204" s="43" t="n">
        <f aca="false">Tasks[[#This Row],[_Res2WorkPerWD]]*MAX(0,Tasks[[#This Row],[_StartWorkday]]-1)</f>
        <v>0</v>
      </c>
      <c r="EA204" s="43" t="n">
        <f aca="false">Tasks[[#This Row],[_Res2Work]]*Tasks[[#This Row],[_LeafProgress]]</f>
        <v>0</v>
      </c>
      <c r="EB204" s="43" t="str">
        <f aca="false">IF(Tasks[[#This Row],[_Res3Text]]="","",IF(Tasks[[#This Row],[_Res3Row]]&gt;0,INDEX(res_Name,Tasks[[#This Row],[_Res3Row]]),TRIM(LEFT(Tasks[[#This Row],[_Res3Text]],FIND("[",Tasks[[#This Row],[_Res3Text]]&amp;"[")-1))))</f>
        <v/>
      </c>
      <c r="EC2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4" s="43" t="n">
        <f aca="false">IF(OR(NOT(Tasks[[#This Row],[_IsLeaf]]=1),Tasks[[#This Row],[_Res3Row]]=0),0,N(Tasks[[#This Row],[_Days]])*HoursPerDay*IF(Tasks[[#This Row],[_Res3Units]]="",DefaultUnits,Tasks[[#This Row],[_Res3Units]]))</f>
        <v>0</v>
      </c>
      <c r="EE204" s="43" t="n">
        <f aca="false">IF(AND(AND(Tasks[[#This Row],[_IsLeaf]]=1,Tasks[[#This Row],[_LeafTotalWork]]&gt;0),Tasks[[#This Row],[_Res3Work]]&gt;0),Tasks[[#This Row],[_Res3Work]]/(Tasks[[#This Row],[_FinishWorkday]]-Tasks[[#This Row],[_StartWorkday]]+1),0)</f>
        <v>0</v>
      </c>
      <c r="EF204" s="43" t="n">
        <f aca="false">Tasks[[#This Row],[_Res3WorkPerWD]]*MAX(0,Tasks[[#This Row],[_StartWorkday]]-1)</f>
        <v>0</v>
      </c>
      <c r="EG204" s="43" t="n">
        <f aca="false">Tasks[[#This Row],[_Res3Work]]*Tasks[[#This Row],[_LeafProgress]]</f>
        <v>0</v>
      </c>
      <c r="EH204" s="43" t="str">
        <f aca="false">IF(Tasks[[#This Row],[_Res4Text]]="","",IF(Tasks[[#This Row],[_Res4Row]]&gt;0,INDEX(res_Name,Tasks[[#This Row],[_Res4Row]]),TRIM(LEFT(Tasks[[#This Row],[_Res4Text]],FIND("[",Tasks[[#This Row],[_Res4Text]]&amp;"[")-1))))</f>
        <v/>
      </c>
      <c r="EI2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4" s="43" t="n">
        <f aca="false">IF(OR(NOT(Tasks[[#This Row],[_IsLeaf]]=1),Tasks[[#This Row],[_Res4Row]]=0),0,N(Tasks[[#This Row],[_Days]])*HoursPerDay*IF(Tasks[[#This Row],[_Res4Units]]="",DefaultUnits,Tasks[[#This Row],[_Res4Units]]))</f>
        <v>0</v>
      </c>
      <c r="EK204" s="43" t="n">
        <f aca="false">IF(AND(AND(Tasks[[#This Row],[_IsLeaf]]=1,Tasks[[#This Row],[_LeafTotalWork]]&gt;0),Tasks[[#This Row],[_Res4Work]]&gt;0),Tasks[[#This Row],[_Res4Work]]/(Tasks[[#This Row],[_FinishWorkday]]-Tasks[[#This Row],[_StartWorkday]]+1),0)</f>
        <v>0</v>
      </c>
      <c r="EL204" s="43" t="n">
        <f aca="false">Tasks[[#This Row],[_Res4WorkPerWD]]*MAX(0,Tasks[[#This Row],[_StartWorkday]]-1)</f>
        <v>0</v>
      </c>
      <c r="EM204" s="43" t="n">
        <f aca="false">Tasks[[#This Row],[_Res4Work]]*Tasks[[#This Row],[_LeafProgress]]</f>
        <v>0</v>
      </c>
      <c r="EN204" s="43" t="n">
        <f aca="false">IF(ISNUMBER(Tasks[[#This Row],[% Complete]]),Tasks[[#This Row],[% Complete]],IF(Tasks[[#This Row],[Stage]]="",0,IFERROR(INDEX(stg_Pct,MATCH(Tasks[[#This Row],[Stage]],stg_Name,0)),0)))</f>
        <v>0</v>
      </c>
      <c r="EO204" s="43" t="n">
        <f aca="false">IF(NOT(Tasks[[#This Row],[_IsLeaf]]=1),0,IF(N(Tasks[[#This Row],[Actual Finish]])&gt;0,1,MIN(1,Tasks[[#This Row],[_Pct]])))</f>
        <v>0</v>
      </c>
      <c r="EP204" s="43" t="n">
        <f aca="false">IF(OR(NOT(Tasks[[#This Row],[_IsLeaf]]=1),Tasks[[#This Row],[_Res1Row]]=0),0,N(Tasks[[#This Row],[_Days]])*HoursPerDay*IF(Tasks[[#This Row],[_Units1]]="",DefaultUnits,Tasks[[#This Row],[_Units1]]))</f>
        <v>0</v>
      </c>
      <c r="EQ204" s="43" t="n">
        <f aca="false">Tasks[[#This Row],[_LeafWork]]+Tasks[[#This Row],[_Res2Work]]+Tasks[[#This Row],[_Res3Work]]+Tasks[[#This Row],[_Res4Work]]</f>
        <v>0</v>
      </c>
      <c r="ER20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4" s="43" t="n">
        <f aca="false">IF(NOT(Tasks[[#This Row],[_IsLeaf]]=1),0,MAX(_xlfn.MAXIFS(Tasks[_Row],Tasks[_Pred1UID],Tasks[[#This Row],[UID]]),_xlfn.MAXIFS(Tasks[_Row],Tasks[_Pred2UID],Tasks[[#This Row],[UID]]),_xlfn.MAXIFS(Tasks[_Row],Tasks[_Pred3UID],Tasks[[#This Row],[UID]]),_xlfn.MAXIFS(Tasks[_Row],Tasks[_Pred4UID],Tasks[[#This Row],[UID]])))</f>
        <v>0</v>
      </c>
      <c r="FA2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4" s="91" t="str">
        <f aca="false">IF(NOT(Tasks[[#This Row],[_IsLeaf]]=1),"",IF(N(Tasks[[#This Row],[_Days]])&lt;=0,Tasks[[#This Row],[_LeafLateFinish]],WORKDAY.INTL(Tasks[[#This Row],[_LeafLateFinish]],-(Tasks[[#This Row],[_Days]]-1),WorkWeek,Holidays)))</f>
        <v/>
      </c>
      <c r="FD2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4" s="90" t="b">
        <f aca="false">AND(Tasks[[#This Row],[_IsLeaf]]=1,Tasks[[#This Row],[_LeafProgress]]&lt;1,N(Tasks[[#This Row],[_LeafTotalSlack]])&lt;=CriticalSlackDays)</f>
        <v>0</v>
      </c>
      <c r="FF204" s="43" t="n">
        <f aca="false">IF(AND(Tasks[[#This Row],[_IsLeaf]]=1,Tasks[[#This Row],[_ConstraintCode]]=1,Tasks[[#This Row],[Mode]]&lt;&gt;"Manual",N(Tasks[[#This Row],[Actual Start]])=0),MAX(0,N(Tasks[[#This Row],[Free Slack]])),0)</f>
        <v>0</v>
      </c>
      <c r="FG204" s="91" t="str">
        <f aca="false">IF(NOT(Tasks[[#This Row],[_IsLeaf]]=1),"",IF(Tasks[[#This Row],[_AlapShift]]=0,Tasks[[#This Row],[_LeafCalcStart]],WORKDAY.INTL(Tasks[[#This Row],[_LeafCalcStart]],Tasks[[#This Row],[_AlapShift]],WorkWeek,Holidays)))</f>
        <v/>
      </c>
      <c r="FH204" s="91" t="str">
        <f aca="false">IF(NOT(Tasks[[#This Row],[_IsLeaf]]=1),"",IF(Tasks[[#This Row],[_AlapShift]]=0,Tasks[[#This Row],[_LeafCalcFinish]],WORKDAY.INTL(Tasks[[#This Row],[_LeafCalcFinish]],Tasks[[#This Row],[_AlapShift]],WorkWeek,Holidays)))</f>
        <v/>
      </c>
      <c r="FI204" s="91" t="str">
        <f aca="false">IF(NOT(Tasks[[#This Row],[_IsLeaf]]=1),"",IF(Tasks[[#This Row],[_AlapShift]]=0,Tasks[[#This Row],[_LeafFcstStart]],WORKDAY.INTL(Tasks[[#This Row],[_LeafFcstStart]],Tasks[[#This Row],[_AlapShift]],WorkWeek,Holidays)))</f>
        <v/>
      </c>
      <c r="FJ204" s="91" t="str">
        <f aca="false">IF(NOT(Tasks[[#This Row],[_IsLeaf]]=1),"",IF(Tasks[[#This Row],[_AlapShift]]=0,Tasks[[#This Row],[_LeafFcstFinish]],WORKDAY.INTL(Tasks[[#This Row],[_LeafFcstFinish]],Tasks[[#This Row],[_AlapShift]],WorkWeek,Holidays)))</f>
        <v/>
      </c>
      <c r="FK204" s="91" t="str">
        <f aca="false">IF(Tasks[[#This Row],[Task Name]]="","",IF(Tasks[[#This Row],[_IsSummary]],MIN(INDEX(Tasks[_ShownCalcStart],Tasks[[#This Row],[_Row]]+1):INDEX(Tasks[_ShownCalcStart],Tasks[[#This Row],[_Row]]+Tasks[[#This Row],[_Descendants]])),Tasks[[#This Row],[_ShownCalcStart]]))</f>
        <v/>
      </c>
      <c r="FL204" s="91" t="str">
        <f aca="false">IF(Tasks[[#This Row],[Task Name]]="","",IF(Tasks[[#This Row],[_IsSummary]],MAX(INDEX(Tasks[_ShownCalcFinish],Tasks[[#This Row],[_Row]]+1):INDEX(Tasks[_ShownCalcFinish],Tasks[[#This Row],[_Row]]+Tasks[[#This Row],[_Descendants]])),Tasks[[#This Row],[_ShownCalcFinish]]))</f>
        <v/>
      </c>
      <c r="FM2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4" s="43" t="n">
        <f aca="false">IF(AND(Tasks[[#This Row],[_IsLeaf]]=1,Tasks[[#This Row],[_LeafTotalWork]]&gt;0),NETWORKDAYS.INTL(ProjectStart,Tasks[[#This Row],[_ShownFcstStart]],WorkWeek,Holidays),0)</f>
        <v>0</v>
      </c>
      <c r="FZ204" s="43" t="n">
        <f aca="false">IF(AND(Tasks[[#This Row],[_IsLeaf]]=1,Tasks[[#This Row],[_LeafTotalWork]]&gt;0),MAX(Tasks[[#This Row],[_StartWorkday]],NETWORKDAYS.INTL(ProjectStart,Tasks[[#This Row],[_ShownFcstFinish]],WorkWeek,Holidays)),0)</f>
        <v>0</v>
      </c>
      <c r="GA204" s="43" t="n">
        <f aca="false">IF(AND(Tasks[[#This Row],[_IsLeaf]]=1,Tasks[[#This Row],[_LeafTotalWork]]&gt;0),Tasks[[#This Row],[_LeafWork]]/(Tasks[[#This Row],[_FinishWorkday]]-Tasks[[#This Row],[_StartWorkday]]+1),0)</f>
        <v>0</v>
      </c>
      <c r="GB204" s="43" t="n">
        <f aca="false">Tasks[[#This Row],[_WorkPerWorkday]]*(Tasks[[#This Row],[_StartWorkday]]-1)</f>
        <v>-0</v>
      </c>
      <c r="GC204" s="43" t="n">
        <f aca="false">IF(Tasks[[#This Row],[_IsLeaf]]=1,MAX(N(Tasks[[#This Row],[_Days]]),0.1),0)</f>
        <v>0</v>
      </c>
      <c r="GD204" s="43" t="n">
        <f aca="false">Tasks[[#This Row],[_WeightDur]]*Tasks[[#This Row],[_LeafProgress]]</f>
        <v>0</v>
      </c>
      <c r="GE204" s="43" t="n">
        <f aca="false">Tasks[[#This Row],[_WeightDur]]*Tasks[[#This Row],[_PlannedPct]]</f>
        <v>0</v>
      </c>
      <c r="GF2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4" s="43" t="str">
        <f aca="false">IF(AND(Tasks[[#This Row],[_IsLeaf]]=1,N(Tasks[[#This Row],[_Days]])=0,Tasks[[#This Row],[_LeafProgress]]&lt;1),Tasks[[#This Row],[_ShownFcstFinish]]+Tasks[[#This Row],[_Row]]/100000,"")</f>
        <v/>
      </c>
      <c r="GH2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4" s="43" t="str">
        <f aca="false">IF(Tasks[[#This Row],[Task Name]]="","",LEFT(Tasks[[#This Row],[WBS]],FIND(".",Tasks[[#This Row],[WBS]]&amp;".")-1))</f>
        <v/>
      </c>
      <c r="GJ204" s="43" t="str">
        <f aca="false">IF(AND(Tasks[[#This Row],[Task Name]]&lt;&gt;"",Tasks[[#This Row],[_Level]]=1),Tasks[[#This Row],[_Row]],"")</f>
        <v/>
      </c>
      <c r="GK204" s="43" t="str">
        <f aca="false">IF(AND(Tasks[[#This Row],[_IsLeaf]]=1,N(Tasks[[#This Row],[_Days]])=0),Tasks[[#This Row],[Planned Finish]]+Tasks[[#This Row],[_Row]]/100000,"")</f>
        <v/>
      </c>
      <c r="GL204" s="43" t="str">
        <f aca="false">IF(AND(Tasks[[#This Row],[_IsLeaf]]=1,Tasks[[#This Row],[_LeafProgress]]&lt;1,OR(N(Tasks[[#This Row],[Finish Var]])&gt;0,Tasks[[#This Row],[Status]]="Late Start")),MAX(0,Tasks[[#This Row],[Finish Var]])+1-Tasks[[#This Row],[_Row]]/1000000,"")</f>
        <v/>
      </c>
      <c r="GM204" s="43" t="str">
        <f aca="false">IF(AND(Tasks[[#This Row],[_IsLeaf]]=1,N(Tasks[[#This Row],[Actual Start]])=0,Tasks[[#This Row],[_ShownFcstStart]]&gt;=StatusDate,Tasks[[#This Row],[_ShownFcstStart]]&lt;=LookaheadEnd),Tasks[[#This Row],[_ShownFcstStart]]+Tasks[[#This Row],[_Row]]/100000,"")</f>
        <v/>
      </c>
      <c r="GN204" s="43" t="str">
        <f aca="false">IF(AND(Tasks[[#This Row],[_IsLeaf]]=1,Tasks[[#This Row],[_LeafProgress]]&lt;1,Tasks[[#This Row],[_ShownFcstFinish]]&gt;=StatusDate,Tasks[[#This Row],[_ShownFcstFinish]]&lt;=LookaheadEnd),Tasks[[#This Row],[_ShownFcstFinish]]+Tasks[[#This Row],[_Row]]/100000,"")</f>
        <v/>
      </c>
      <c r="GO204" s="43" t="str">
        <f aca="false">IF(Tasks[[#This Row],[_LeafCritical]],Tasks[[#This Row],[_ShownFcstStart]]+Tasks[[#This Row],[_Row]]/100000,"")</f>
        <v/>
      </c>
      <c r="GP204" s="43" t="n">
        <f aca="false">Tasks[[#This Row],[_LeafWork]]*Tasks[[#This Row],[_LeafProgress]]</f>
        <v>0</v>
      </c>
      <c r="GQ204" s="91" t="str">
        <f aca="false">IF(AND(Tasks[[#This Row],[_IsLeaf]]=1,Tasks[[#This Row],[_LeafProgress]]&gt;=1),IF(N(Tasks[[#This Row],[Actual Finish]])&gt;0,Tasks[[#This Row],[Actual Finish]],Tasks[[#This Row],[_ShownFcstFinish]]),"")</f>
        <v/>
      </c>
      <c r="GR204" s="43" t="n">
        <f aca="false">IF(Tasks[[#This Row],[_IsLeaf]]=1,N(Tasks[[#This Row],[Story Points]]),0)</f>
        <v>0</v>
      </c>
      <c r="GS204" s="43" t="str">
        <f aca="false">""</f>
        <v/>
      </c>
      <c r="GT204" s="90" t="b">
        <f aca="false">IF(Tasks[[#This Row],[Task Name]]="",FALSE(),AND(Tasks[[#This Row],[_IsLeaf]]=1,N(Tasks[[#This Row],[_Days]])=0))</f>
        <v>0</v>
      </c>
      <c r="GU204" s="91" t="n">
        <f aca="false">IF(Tasks[[#This Row],[Task Name]]="",0,IF(AND(Tasks[[#This Row],[_IsLeaf]]=1,NOT(Tasks[[#This Row],[_IsMilestone]]),N(Tasks[[#This Row],[Progress]])&gt;0),Tasks[[#This Row],[Start]],0))</f>
        <v>0</v>
      </c>
      <c r="GV204" s="91" t="n">
        <f aca="false">IF(Tasks[[#This Row],[_DoneFrom]]=0,0,IF(Tasks[[#This Row],[Progress]]&gt;=1,Tasks[[#This Row],[Finish]],MAX(Tasks[[#This Row],[_DoneFrom]],Tasks[[#This Row],[Start]]+ROUND((Tasks[[#This Row],[Finish]]-Tasks[[#This Row],[Start]]+1)*Tasks[[#This Row],[Progress]],0)-1)))</f>
        <v>0</v>
      </c>
      <c r="GW204" s="91" t="n">
        <f aca="false">IF(Tasks[[#This Row],[Task Name]]="",0,IF(OR(NOT(Tasks[[#This Row],[_IsLeaf]]=1),Tasks[[#This Row],[_IsMilestone]],N(Tasks[[#This Row],[Progress]])&gt;=1),0,IF(Tasks[[#This Row],[_DoneTo]]&gt;0,Tasks[[#This Row],[_DoneTo]]+1,Tasks[[#This Row],[Start]])))</f>
        <v>0</v>
      </c>
      <c r="GX204" s="91" t="n">
        <f aca="false">IF(Tasks[[#This Row],[_RemFrom]]=0,0,Tasks[[#This Row],[Finish]])</f>
        <v>0</v>
      </c>
      <c r="GY204" s="90" t="b">
        <f aca="false">IF(Tasks[[#This Row],[Task Name]]="",FALSE(),OR(NOT(BaselineSet),N(Tasks[[#This Row],[Baseline Start]])&gt;0))</f>
        <v>0</v>
      </c>
      <c r="GZ204"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4" s="92" t="str">
        <f aca="false">IF(Tasks[[#This Row],[_IsLeaf]]=1,Tasks[[#This Row],[_Row]],"")</f>
        <v/>
      </c>
      <c r="HD204" s="92" t="str">
        <f aca="false">IFERROR(INDEX(Tasks[UID],SMALL(Tasks[_PickKey],Tasks[[#This Row],[_Row]]))&amp;" "&amp;INDEX(Tasks[Task Name],SMALL(Tasks[_PickKey],Tasks[[#This Row],[_Row]])),"")</f>
        <v/>
      </c>
      <c r="HE204" s="43" t="str">
        <f aca="false">IF(Tasks[[#This Row],[Task Name]]="","",IF(Tasks[[#This Row],[_IsSummary]],NETWORKDAYS.INTL(Tasks[[#This Row],[Start]],Tasks[[#This Row],[Finish]],WorkWeek,Holidays),N(Tasks[[#This Row],[_Days]])))</f>
        <v/>
      </c>
      <c r="HF204" s="43" t="n">
        <f aca="false">IF(Tasks[[#This Row],[Expected]]="",0,((Tasks[[#This Row],[Pessimistic]]-Tasks[[#This Row],[Optimistic]])/6)^2)</f>
        <v>0</v>
      </c>
      <c r="HG204" s="43" t="n">
        <f aca="false">IF(Tasks[[#This Row],[Expected]]="",0,Tasks[[#This Row],[Expected]]-N(Tasks[[#This Row],[_Days]]))</f>
        <v>0</v>
      </c>
    </row>
    <row r="205" customFormat="false" ht="15" hidden="false" customHeight="false" outlineLevel="0" collapsed="false">
      <c r="A205" s="21" t="str">
        <f aca="false">IF(Tasks[[#This Row],[Task Name]]="","",COUNTA(Tasks[[#Headers],[Task Name]]:Tasks[[#This Row],[Task Name]])-1)</f>
        <v/>
      </c>
      <c r="B205" s="22" t="n">
        <v>213</v>
      </c>
      <c r="C205" s="22"/>
      <c r="D205" s="23"/>
      <c r="E205" s="22"/>
      <c r="F205" s="23"/>
      <c r="G205" s="22"/>
      <c r="H205" s="22"/>
      <c r="I205" s="23"/>
      <c r="J205" s="22"/>
      <c r="K205" s="22"/>
      <c r="L205" s="23"/>
      <c r="M205" s="22"/>
      <c r="N205" s="22"/>
      <c r="O205" s="23"/>
      <c r="P205" s="22"/>
      <c r="Q205" s="22"/>
      <c r="R205" s="23"/>
      <c r="S205" s="23"/>
      <c r="T205" s="84"/>
      <c r="U205" s="23"/>
      <c r="V205" s="84"/>
      <c r="W205" s="23"/>
      <c r="X205" s="84"/>
      <c r="Y205" s="23"/>
      <c r="Z205" s="84"/>
      <c r="AA205" s="23"/>
      <c r="AB205" s="23"/>
      <c r="AC205" s="7"/>
      <c r="AD205" s="7"/>
      <c r="AE205" s="63" t="str">
        <f aca="false">IF(Tasks[[#This Row],[Task Name]]="","",IF(Tasks[[#This Row],[_IsSummary]],MIN(INDEX(Tasks[_ShownFcstStart],Tasks[[#This Row],[_Row]]+1):INDEX(Tasks[_ShownFcstStart],Tasks[[#This Row],[_Row]]+Tasks[[#This Row],[_Descendants]])),Tasks[[#This Row],[_ShownFcstStart]]))</f>
        <v/>
      </c>
      <c r="AF205" s="63" t="str">
        <f aca="false">IF(Tasks[[#This Row],[Task Name]]="","",IF(Tasks[[#This Row],[_IsSummary]],MAX(INDEX(Tasks[_ShownFcstFinish],Tasks[[#This Row],[_Row]]+1):INDEX(Tasks[_ShownFcstFinish],Tasks[[#This Row],[_Row]]+Tasks[[#This Row],[_Descendants]])),Tasks[[#This Row],[_ShownFcstFinish]]))</f>
        <v/>
      </c>
      <c r="AG205" s="21" t="str">
        <f aca="false">""</f>
        <v/>
      </c>
      <c r="AH205" s="23"/>
      <c r="AI2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5" s="7"/>
      <c r="AK205" s="22"/>
      <c r="AL205" s="23"/>
      <c r="AM205" s="7"/>
      <c r="AN205" s="47" t="str">
        <f aca="false">IF(Tasks[[#This Row],[Task Name]]="","",IF(Tasks[[#This Row],[Finish]]&gt;=Tasks[[#This Row],[Planned Finish]],NETWORKDAYS.INTL(Tasks[[#This Row],[Planned Finish]],Tasks[[#This Row],[Finish]],WorkWeek,Holidays)-1,1-NETWORKDAYS.INTL(Tasks[[#This Row],[Finish]],Tasks[[#This Row],[Planned Finish]],WorkWeek,Holidays)))</f>
        <v/>
      </c>
      <c r="AO205" s="21" t="str">
        <f aca="false">IF(Tasks[[#This Row],[Task Name]]="","",IF(Tasks[[#This Row],[Progress]]&gt;=1,"Complete",IF(OR(N(Tasks[[#This Row],[Actual Start]])&gt;0,Tasks[[#This Row],[Progress]]&gt;0),IF(Tasks[[#This Row],[Finish Var]]&gt;0,"Behind","In Progress"),IF(Tasks[[#This Row],[Planned Start]]&lt;StatusDate,"Late Start","Not Started"))))</f>
        <v/>
      </c>
      <c r="AP205" s="21" t="str">
        <f aca="false">IF(Tasks[[#This Row],[Task Name]]="","",IF(IF(Tasks[[#This Row],[_IsSummary]],COUNTIF(INDEX(Tasks[_LeafCritical],Tasks[[#This Row],[_Row]]+1):INDEX(Tasks[_LeafCritical],Tasks[[#This Row],[_Row]]+Tasks[[#This Row],[_Descendants]]),TRUE())&gt;0,Tasks[[#This Row],[_LeafCritical]]),"Yes",""))</f>
        <v/>
      </c>
      <c r="AQ205" s="63" t="str">
        <f aca="false">IF(Tasks[[#This Row],[Task Name]]="","",IF(N(Tasks[[#This Row],[Baseline Start]])&gt;0,Tasks[[#This Row],[Baseline Start]],Tasks[[#This Row],[_CalcStart]]))</f>
        <v/>
      </c>
      <c r="AR205" s="63" t="str">
        <f aca="false">IF(Tasks[[#This Row],[Task Name]]="","",IF(N(Tasks[[#This Row],[Baseline Finish]])&gt;0,Tasks[[#This Row],[Baseline Finish]],Tasks[[#This Row],[_CalcFinish]]))</f>
        <v/>
      </c>
      <c r="AS205" s="47" t="str">
        <f aca="false">IF(Tasks[[#This Row],[Task Name]]="","",IF(Tasks[[#This Row],[Start]]&gt;=Tasks[[#This Row],[Planned Start]],NETWORKDAYS.INTL(Tasks[[#This Row],[Planned Start]],Tasks[[#This Row],[Start]],WorkWeek,Holidays)-1,1-NETWORKDAYS.INTL(Tasks[[#This Row],[Start]],Tasks[[#This Row],[Planned Start]],WorkWeek,Holidays)))</f>
        <v/>
      </c>
      <c r="AT205" s="63" t="str">
        <f aca="false">IF(Tasks[[#This Row],[Task Name]]="","",IF(Tasks[[#This Row],[_IsSummary]],MIN(INDEX(Tasks[_LeafLateStart],Tasks[[#This Row],[_Row]]+1):INDEX(Tasks[_LeafLateStart],Tasks[[#This Row],[_Row]]+Tasks[[#This Row],[_Descendants]])),Tasks[[#This Row],[_LeafLateStart]]))</f>
        <v/>
      </c>
      <c r="AU205" s="63" t="str">
        <f aca="false">IF(Tasks[[#This Row],[Task Name]]="","",IF(Tasks[[#This Row],[_IsSummary]],MAX(INDEX(Tasks[_LeafLateFinish],Tasks[[#This Row],[_Row]]+1):INDEX(Tasks[_LeafLateFinish],Tasks[[#This Row],[_Row]]+Tasks[[#This Row],[_Descendants]])),Tasks[[#This Row],[_LeafLateFinish]]))</f>
        <v/>
      </c>
      <c r="AV205" s="47" t="str">
        <f aca="false">IF(Tasks[[#This Row],[Task Name]]="","",IF(Tasks[[#This Row],[_IsSummary]],MIN(INDEX(Tasks[_LeafTotalSlack],Tasks[[#This Row],[_Row]]+1):INDEX(Tasks[_LeafTotalSlack],Tasks[[#This Row],[_Row]]+Tasks[[#This Row],[_Descendants]])),Tasks[[#This Row],[_LeafTotalSlack]]))</f>
        <v/>
      </c>
      <c r="AW2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5"/>
      <c r="BA20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t="str">
        <f aca="false">IF(Tasks[[#This Row],[Task Name]]="","",IF(Tasks[[#This Row],[_Level]]&lt;=OutlineShowLevel,"Yes","No"))</f>
        <v/>
      </c>
      <c r="BE205" s="86" t="str">
        <f aca="false">IF(Tasks[[#This Row],[Task Name]]="","",IF(Tasks[[#This Row],[_IsSummary]],SUM(INDEX(Tasks[_LeafTotalWork],Tasks[[#This Row],[_Row]]+1):INDEX(Tasks[_LeafTotalWork],Tasks[[#This Row],[_Row]]+Tasks[[#This Row],[_Descendants]])),Tasks[[#This Row],[_LeafTotalWork]]))</f>
        <v/>
      </c>
      <c r="BF205" s="23"/>
      <c r="BG2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t="str">
        <f aca="false">""</f>
        <v/>
      </c>
      <c r="BI205" s="87"/>
      <c r="BJ205" s="22"/>
      <c r="BK205" s="47" t="str">
        <f aca="false">IF(OR(Tasks[[#This Row],[Task Name]]="",Tasks[[#This Row],[Baseline Duration]]=""),"",Tasks[[#This Row],[_SpanDays]]-N(Tasks[[#This Row],[Baseline Duration]]))</f>
        <v/>
      </c>
      <c r="BL205" s="86" t="str">
        <f aca="false">IF(OR(Tasks[[#This Row],[Task Name]]="",Tasks[[#This Row],[Baseline Work]]=""),"",Tasks[[#This Row],[Work]]-N(Tasks[[#This Row],[Baseline Work]]))</f>
        <v/>
      </c>
      <c r="BM205" s="63" t="str">
        <f aca="false">IF(Tasks[[#This Row],[Task Name]]="","",IF(OR(TakeBaseline="Yes",N(Tasks[[#This Row],[Baseline Start]])=0),Tasks[[#This Row],[Start]],Tasks[[#This Row],[Baseline Start]]))</f>
        <v/>
      </c>
      <c r="BN205" s="63" t="str">
        <f aca="false">IF(Tasks[[#This Row],[Task Name]]="","",IF(OR(TakeBaseline="Yes",N(Tasks[[#This Row],[Baseline Finish]])=0),Tasks[[#This Row],[Finish]],Tasks[[#This Row],[Baseline Finish]]))</f>
        <v/>
      </c>
      <c r="BO205" s="21" t="str">
        <f aca="false">IF(Tasks[[#This Row],[Task Name]]="","",IF(OR(TakeBaseline="Yes",N(Tasks[[#This Row],[Baseline Duration]])=0),Tasks[[#This Row],[_SpanDays]],Tasks[[#This Row],[Baseline Duration]]))</f>
        <v/>
      </c>
      <c r="BP205" s="86" t="str">
        <f aca="false">IF(Tasks[[#This Row],[Task Name]]="","",IF(OR(TakeBaseline="Yes",N(Tasks[[#This Row],[Baseline Work]])=0),Tasks[[#This Row],[Work]],Tasks[[#This Row],[Baseline Work]]))</f>
        <v/>
      </c>
      <c r="BQ205" s="7"/>
      <c r="BR205" s="7"/>
      <c r="BS205" s="22"/>
      <c r="BT205" s="88"/>
      <c r="BU205" s="23"/>
      <c r="BV205" s="23"/>
      <c r="BW205" s="23"/>
      <c r="BX205" s="89" t="str">
        <f aca="false">IF(AND(Tasks[[#This Row],[_IsLeaf]]=1,ISNUMBER(Tasks[[#This Row],[Optimistic]]),ISNUMBER(Tasks[[#This Row],[Pessimistic]])),ROUND((Tasks[[#This Row],[Optimistic]]+4*N(Tasks[[#This Row],[_Days]])+Tasks[[#This Row],[Pessimistic]])/6,1),"")</f>
        <v/>
      </c>
      <c r="BY205" s="87"/>
      <c r="BZ205" s="87"/>
      <c r="CA205" s="22"/>
      <c r="CB205" s="43" t="str">
        <f aca="false">IF(Tasks[[#This Row],[Task Name]]="","",MAX(1,N(Tasks[[#This Row],[Level]])))</f>
        <v/>
      </c>
      <c r="CC205" s="43" t="n">
        <f aca="false">ROW()-ROW(Tasks[[#Headers],[ID]])</f>
        <v>200</v>
      </c>
      <c r="CD205" s="43" t="n">
        <f aca="false">IF(OR(Tasks[[#This Row],[Task Name]]="",Tasks[[#This Row],[_Level]]&lt;=1),0,IFERROR(LOOKUP(2,1/(Tasks[[#Headers],[_Level]]:Tasks[[#This Row],[_Level]]=Tasks[[#This Row],[_Level]]-1),ROW(Tasks[[#Headers],[_Level]]:Tasks[[#This Row],[_Level]])),0))</f>
        <v>0</v>
      </c>
      <c r="CE205" s="43" t="n">
        <f aca="false">IFERROR(N(INDEX(Tasks[_Level],Tasks[[#This Row],[_Row]]+1)),0)</f>
        <v>0</v>
      </c>
      <c r="CF205" s="90" t="b">
        <f aca="false">AND(Tasks[[#This Row],[Task Name]]&lt;&gt;"",Tasks[[#This Row],[_NextLevel]]&gt;Tasks[[#This Row],[_Level]])</f>
        <v>0</v>
      </c>
      <c r="CG205" s="43" t="n">
        <f aca="false">IF(Tasks[[#This Row],[_IsSummary]],COUNTIF(Tasks[WBS],Tasks[[#This Row],[WBS]]&amp;".*"),0)</f>
        <v>0</v>
      </c>
      <c r="CH205" s="43" t="n">
        <f aca="false">IF(AND(Tasks[[#This Row],[Task Name]]&lt;&gt;"",NOT(Tasks[[#This Row],[_IsSummary]])),1,0)</f>
        <v>0</v>
      </c>
      <c r="CI205" s="43" t="n">
        <f aca="false">IF(N(Tasks[[#This Row],[_Pred1UID]])=0,0,IFERROR(MATCH(Tasks[[#This Row],[_Pred1UID]],Tasks[UID],0),-1))</f>
        <v>0</v>
      </c>
      <c r="CJ205" s="43" t="n">
        <f aca="false">IF(N(Tasks[[#This Row],[_Pred2UID]])=0,0,IFERROR(MATCH(Tasks[[#This Row],[_Pred2UID]],Tasks[UID],0),-1))</f>
        <v>0</v>
      </c>
      <c r="CK205" s="43" t="n">
        <f aca="false">IF(N(Tasks[[#This Row],[_Pred3UID]])=0,0,IFERROR(MATCH(Tasks[[#This Row],[_Pred3UID]],Tasks[UID],0),-1))</f>
        <v>0</v>
      </c>
      <c r="CL205" s="43" t="n">
        <f aca="false">IF(N(Tasks[[#This Row],[_Pred4UID]])=0,0,IFERROR(MATCH(Tasks[[#This Row],[_Pred4UID]],Tasks[UID],0),-1))</f>
        <v>0</v>
      </c>
      <c r="CM2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5" s="91" t="n">
        <f aca="false">IF(OR(Tasks[[#This Row],[_ConstraintCode]]=2,Tasks[[#This Row],[_ConstraintCode]]=3,Tasks[[#This Row],[_ConstraintCode]]=4,Tasks[[#This Row],[_ConstraintCode]]=6),Tasks[[#This Row],[_ConstraintStart]],0)</f>
        <v>0</v>
      </c>
      <c r="CP205" s="91" t="n">
        <f aca="false">IF(OR(Tasks[[#This Row],[_ConstraintCode]]=2,Tasks[[#This Row],[_ConstraintCode]]=3,Tasks[[#This Row],[_ConstraintCode]]=5,Tasks[[#This Row],[_ConstraintCode]]=7),Tasks[[#This Row],[_ConstraintStart]],2958465)</f>
        <v>2958465</v>
      </c>
      <c r="CQ2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5" s="91" t="str">
        <f aca="false">IF(NOT(Tasks[[#This Row],[_IsLeaf]]=1),"",IF(N(Tasks[[#This Row],[_Days]])&lt;=0,Tasks[[#This Row],[_LeafCalcStart]],WORKDAY.INTL(Tasks[[#This Row],[_LeafCalcStart]],Tasks[[#This Row],[_Days]]-1,WorkWeek,Holidays)))</f>
        <v/>
      </c>
      <c r="CS2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5" s="43" t="str">
        <f aca="false">IF(Tasks[[#This Row],[_Predecessors]]="","",TRIM(MID(SUBSTITUTE(SUBSTITUTE(SUBSTITUTE(UPPER(Tasks[[#This Row],[_Predecessors]]),";",",")," ",""),",",REPT(" ",99)),1,99)))</f>
        <v/>
      </c>
      <c r="CV205" s="43" t="str">
        <f aca="false">IF(Tasks[[#This Row],[_Pred1Text]]="","",IFERROR(VALUE(LEFT(Tasks[[#This Row],[_Pred1Text]],MIN(FIND("F",Tasks[[#This Row],[_Pred1Text]]&amp;"F"),FIND("S",Tasks[[#This Row],[_Pred1Text]]&amp;"S"),FIND("+",Tasks[[#This Row],[_Pred1Text]]&amp;"+"),FIND("-",Tasks[[#This Row],[_Pred1Text]]&amp;"-"))-1)),""))</f>
        <v/>
      </c>
      <c r="CW2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5" s="43" t="str">
        <f aca="false">IF(Tasks[[#This Row],[_Pred1Text]]="","",TRIM(MID(SUBSTITUTE(SUBSTITUTE(SUBSTITUTE(UPPER(Tasks[[#This Row],[_Predecessors]]),";",",")," ",""),",",REPT(" ",99)),100,99)))</f>
        <v/>
      </c>
      <c r="CZ205" s="43" t="str">
        <f aca="false">IF(Tasks[[#This Row],[_Pred2Text]]="","",IFERROR(VALUE(LEFT(Tasks[[#This Row],[_Pred2Text]],MIN(FIND("F",Tasks[[#This Row],[_Pred2Text]]&amp;"F"),FIND("S",Tasks[[#This Row],[_Pred2Text]]&amp;"S"),FIND("+",Tasks[[#This Row],[_Pred2Text]]&amp;"+"),FIND("-",Tasks[[#This Row],[_Pred2Text]]&amp;"-"))-1)),""))</f>
        <v/>
      </c>
      <c r="DA2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5" s="43" t="str">
        <f aca="false">IF(Tasks[[#This Row],[_Pred2Text]]="","",TRIM(MID(SUBSTITUTE(SUBSTITUTE(SUBSTITUTE(UPPER(Tasks[[#This Row],[_Predecessors]]),";",",")," ",""),",",REPT(" ",99)),199,99)))</f>
        <v/>
      </c>
      <c r="DD205" s="43" t="str">
        <f aca="false">IF(Tasks[[#This Row],[_Pred3Text]]="","",IFERROR(VALUE(LEFT(Tasks[[#This Row],[_Pred3Text]],MIN(FIND("F",Tasks[[#This Row],[_Pred3Text]]&amp;"F"),FIND("S",Tasks[[#This Row],[_Pred3Text]]&amp;"S"),FIND("+",Tasks[[#This Row],[_Pred3Text]]&amp;"+"),FIND("-",Tasks[[#This Row],[_Pred3Text]]&amp;"-"))-1)),""))</f>
        <v/>
      </c>
      <c r="DE2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5" s="43" t="str">
        <f aca="false">IF(Tasks[[#This Row],[_Pred3Text]]="","",TRIM(MID(SUBSTITUTE(SUBSTITUTE(SUBSTITUTE(UPPER(Tasks[[#This Row],[_Predecessors]]),";",",")," ",""),",",REPT(" ",99)),298,99)))</f>
        <v/>
      </c>
      <c r="DH205" s="43" t="str">
        <f aca="false">IF(Tasks[[#This Row],[_Pred4Text]]="","",IFERROR(VALUE(LEFT(Tasks[[#This Row],[_Pred4Text]],MIN(FIND("F",Tasks[[#This Row],[_Pred4Text]]&amp;"F"),FIND("S",Tasks[[#This Row],[_Pred4Text]]&amp;"S"),FIND("+",Tasks[[#This Row],[_Pred4Text]]&amp;"+"),FIND("-",Tasks[[#This Row],[_Pred4Text]]&amp;"-"))-1)),""))</f>
        <v/>
      </c>
      <c r="DI2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5" s="43" t="str">
        <f aca="false">IF(OR(Tasks[[#This Row],[Task Name]]="",Tasks[[#This Row],[_Resources]]=""),"",TRIM(MID(SUBSTITUTE(Tasks[[#This Row],[_Resources]],",",REPT(" ",99)),1,99)))</f>
        <v/>
      </c>
      <c r="DL205" s="43" t="str">
        <f aca="false">IF(Tasks[[#This Row],[_Res1Text]]="","",TRIM(MID(SUBSTITUTE(Tasks[[#This Row],[_Resources]],",",REPT(" ",99)),100,99)))</f>
        <v/>
      </c>
      <c r="DM205" s="43" t="str">
        <f aca="false">IF(Tasks[[#This Row],[_Res2Text]]="","",TRIM(MID(SUBSTITUTE(Tasks[[#This Row],[_Resources]],",",REPT(" ",99)),199,99)))</f>
        <v/>
      </c>
      <c r="DN205" s="43" t="str">
        <f aca="false">IF(Tasks[[#This Row],[_Res3Text]]="","",TRIM(MID(SUBSTITUTE(Tasks[[#This Row],[_Resources]],",",REPT(" ",99)),298,99)))</f>
        <v/>
      </c>
      <c r="DO205" s="43" t="n">
        <f aca="false">IF(Tasks[[#This Row],[_Res1Text]]="",0,IFERROR(MATCH(TRIM(LEFT(Tasks[[#This Row],[_Res1Text]],FIND("[",Tasks[[#This Row],[_Res1Text]]&amp;"[")-1)),res_Name,0),IFERROR(MATCH(TRIM(LEFT(Tasks[[#This Row],[_Res1Text]],FIND("[",Tasks[[#This Row],[_Res1Text]]&amp;"[")-1)),res_Initials,0),0)))</f>
        <v>0</v>
      </c>
      <c r="DP205" s="43" t="n">
        <f aca="false">IF(Tasks[[#This Row],[_Res2Text]]="",0,IFERROR(MATCH(TRIM(LEFT(Tasks[[#This Row],[_Res2Text]],FIND("[",Tasks[[#This Row],[_Res2Text]]&amp;"[")-1)),res_Name,0),IFERROR(MATCH(TRIM(LEFT(Tasks[[#This Row],[_Res2Text]],FIND("[",Tasks[[#This Row],[_Res2Text]]&amp;"[")-1)),res_Initials,0),0)))</f>
        <v>0</v>
      </c>
      <c r="DQ205" s="43" t="n">
        <f aca="false">IF(Tasks[[#This Row],[_Res3Text]]="",0,IFERROR(MATCH(TRIM(LEFT(Tasks[[#This Row],[_Res3Text]],FIND("[",Tasks[[#This Row],[_Res3Text]]&amp;"[")-1)),res_Name,0),IFERROR(MATCH(TRIM(LEFT(Tasks[[#This Row],[_Res3Text]],FIND("[",Tasks[[#This Row],[_Res3Text]]&amp;"[")-1)),res_Initials,0),0)))</f>
        <v>0</v>
      </c>
      <c r="DR205" s="43" t="n">
        <f aca="false">IF(Tasks[[#This Row],[_Res4Text]]="",0,IFERROR(MATCH(TRIM(LEFT(Tasks[[#This Row],[_Res4Text]],FIND("[",Tasks[[#This Row],[_Res4Text]]&amp;"[")-1)),res_Name,0),IFERROR(MATCH(TRIM(LEFT(Tasks[[#This Row],[_Res4Text]],FIND("[",Tasks[[#This Row],[_Res4Text]]&amp;"[")-1)),res_Initials,0),0)))</f>
        <v>0</v>
      </c>
      <c r="DS205" s="43" t="str">
        <f aca="false">IF(Tasks[[#This Row],[_Res1Text]]="","",IF(Tasks[[#This Row],[_Res1Row]]&gt;0,INDEX(res_Name,Tasks[[#This Row],[_Res1Row]]),TRIM(LEFT(Tasks[[#This Row],[_Res1Text]],FIND("[",Tasks[[#This Row],[_Res1Text]]&amp;"[")-1))))</f>
        <v/>
      </c>
      <c r="DT2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5" s="43" t="n">
        <f aca="false">IF(NOT(Tasks[[#This Row],[_IsLeaf]]=1),0,(Tasks[[#This Row],[_Resource1]]&lt;&gt;"")+(Tasks[[#This Row],[_Res2]]&lt;&gt;"")+(Tasks[[#This Row],[_Res3]]&lt;&gt;"")+(Tasks[[#This Row],[_Res4]]&lt;&gt;""))</f>
        <v>0</v>
      </c>
      <c r="DV205" s="43" t="str">
        <f aca="false">IF(Tasks[[#This Row],[_Res2Text]]="","",IF(Tasks[[#This Row],[_Res2Row]]&gt;0,INDEX(res_Name,Tasks[[#This Row],[_Res2Row]]),TRIM(LEFT(Tasks[[#This Row],[_Res2Text]],FIND("[",Tasks[[#This Row],[_Res2Text]]&amp;"[")-1))))</f>
        <v/>
      </c>
      <c r="DW2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5" s="43" t="n">
        <f aca="false">IF(OR(NOT(Tasks[[#This Row],[_IsLeaf]]=1),Tasks[[#This Row],[_Res2Row]]=0),0,N(Tasks[[#This Row],[_Days]])*HoursPerDay*IF(Tasks[[#This Row],[_Res2Units]]="",DefaultUnits,Tasks[[#This Row],[_Res2Units]]))</f>
        <v>0</v>
      </c>
      <c r="DY205" s="43" t="n">
        <f aca="false">IF(AND(AND(Tasks[[#This Row],[_IsLeaf]]=1,Tasks[[#This Row],[_LeafTotalWork]]&gt;0),Tasks[[#This Row],[_Res2Work]]&gt;0),Tasks[[#This Row],[_Res2Work]]/(Tasks[[#This Row],[_FinishWorkday]]-Tasks[[#This Row],[_StartWorkday]]+1),0)</f>
        <v>0</v>
      </c>
      <c r="DZ205" s="43" t="n">
        <f aca="false">Tasks[[#This Row],[_Res2WorkPerWD]]*MAX(0,Tasks[[#This Row],[_StartWorkday]]-1)</f>
        <v>0</v>
      </c>
      <c r="EA205" s="43" t="n">
        <f aca="false">Tasks[[#This Row],[_Res2Work]]*Tasks[[#This Row],[_LeafProgress]]</f>
        <v>0</v>
      </c>
      <c r="EB205" s="43" t="str">
        <f aca="false">IF(Tasks[[#This Row],[_Res3Text]]="","",IF(Tasks[[#This Row],[_Res3Row]]&gt;0,INDEX(res_Name,Tasks[[#This Row],[_Res3Row]]),TRIM(LEFT(Tasks[[#This Row],[_Res3Text]],FIND("[",Tasks[[#This Row],[_Res3Text]]&amp;"[")-1))))</f>
        <v/>
      </c>
      <c r="EC2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5" s="43" t="n">
        <f aca="false">IF(OR(NOT(Tasks[[#This Row],[_IsLeaf]]=1),Tasks[[#This Row],[_Res3Row]]=0),0,N(Tasks[[#This Row],[_Days]])*HoursPerDay*IF(Tasks[[#This Row],[_Res3Units]]="",DefaultUnits,Tasks[[#This Row],[_Res3Units]]))</f>
        <v>0</v>
      </c>
      <c r="EE205" s="43" t="n">
        <f aca="false">IF(AND(AND(Tasks[[#This Row],[_IsLeaf]]=1,Tasks[[#This Row],[_LeafTotalWork]]&gt;0),Tasks[[#This Row],[_Res3Work]]&gt;0),Tasks[[#This Row],[_Res3Work]]/(Tasks[[#This Row],[_FinishWorkday]]-Tasks[[#This Row],[_StartWorkday]]+1),0)</f>
        <v>0</v>
      </c>
      <c r="EF205" s="43" t="n">
        <f aca="false">Tasks[[#This Row],[_Res3WorkPerWD]]*MAX(0,Tasks[[#This Row],[_StartWorkday]]-1)</f>
        <v>0</v>
      </c>
      <c r="EG205" s="43" t="n">
        <f aca="false">Tasks[[#This Row],[_Res3Work]]*Tasks[[#This Row],[_LeafProgress]]</f>
        <v>0</v>
      </c>
      <c r="EH205" s="43" t="str">
        <f aca="false">IF(Tasks[[#This Row],[_Res4Text]]="","",IF(Tasks[[#This Row],[_Res4Row]]&gt;0,INDEX(res_Name,Tasks[[#This Row],[_Res4Row]]),TRIM(LEFT(Tasks[[#This Row],[_Res4Text]],FIND("[",Tasks[[#This Row],[_Res4Text]]&amp;"[")-1))))</f>
        <v/>
      </c>
      <c r="EI2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5" s="43" t="n">
        <f aca="false">IF(OR(NOT(Tasks[[#This Row],[_IsLeaf]]=1),Tasks[[#This Row],[_Res4Row]]=0),0,N(Tasks[[#This Row],[_Days]])*HoursPerDay*IF(Tasks[[#This Row],[_Res4Units]]="",DefaultUnits,Tasks[[#This Row],[_Res4Units]]))</f>
        <v>0</v>
      </c>
      <c r="EK205" s="43" t="n">
        <f aca="false">IF(AND(AND(Tasks[[#This Row],[_IsLeaf]]=1,Tasks[[#This Row],[_LeafTotalWork]]&gt;0),Tasks[[#This Row],[_Res4Work]]&gt;0),Tasks[[#This Row],[_Res4Work]]/(Tasks[[#This Row],[_FinishWorkday]]-Tasks[[#This Row],[_StartWorkday]]+1),0)</f>
        <v>0</v>
      </c>
      <c r="EL205" s="43" t="n">
        <f aca="false">Tasks[[#This Row],[_Res4WorkPerWD]]*MAX(0,Tasks[[#This Row],[_StartWorkday]]-1)</f>
        <v>0</v>
      </c>
      <c r="EM205" s="43" t="n">
        <f aca="false">Tasks[[#This Row],[_Res4Work]]*Tasks[[#This Row],[_LeafProgress]]</f>
        <v>0</v>
      </c>
      <c r="EN205" s="43" t="n">
        <f aca="false">IF(ISNUMBER(Tasks[[#This Row],[% Complete]]),Tasks[[#This Row],[% Complete]],IF(Tasks[[#This Row],[Stage]]="",0,IFERROR(INDEX(stg_Pct,MATCH(Tasks[[#This Row],[Stage]],stg_Name,0)),0)))</f>
        <v>0</v>
      </c>
      <c r="EO205" s="43" t="n">
        <f aca="false">IF(NOT(Tasks[[#This Row],[_IsLeaf]]=1),0,IF(N(Tasks[[#This Row],[Actual Finish]])&gt;0,1,MIN(1,Tasks[[#This Row],[_Pct]])))</f>
        <v>0</v>
      </c>
      <c r="EP205" s="43" t="n">
        <f aca="false">IF(OR(NOT(Tasks[[#This Row],[_IsLeaf]]=1),Tasks[[#This Row],[_Res1Row]]=0),0,N(Tasks[[#This Row],[_Days]])*HoursPerDay*IF(Tasks[[#This Row],[_Units1]]="",DefaultUnits,Tasks[[#This Row],[_Units1]]))</f>
        <v>0</v>
      </c>
      <c r="EQ205" s="43" t="n">
        <f aca="false">Tasks[[#This Row],[_LeafWork]]+Tasks[[#This Row],[_Res2Work]]+Tasks[[#This Row],[_Res3Work]]+Tasks[[#This Row],[_Res4Work]]</f>
        <v>0</v>
      </c>
      <c r="ER20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5" s="43" t="n">
        <f aca="false">IF(NOT(Tasks[[#This Row],[_IsLeaf]]=1),0,MAX(_xlfn.MAXIFS(Tasks[_Row],Tasks[_Pred1UID],Tasks[[#This Row],[UID]]),_xlfn.MAXIFS(Tasks[_Row],Tasks[_Pred2UID],Tasks[[#This Row],[UID]]),_xlfn.MAXIFS(Tasks[_Row],Tasks[_Pred3UID],Tasks[[#This Row],[UID]]),_xlfn.MAXIFS(Tasks[_Row],Tasks[_Pred4UID],Tasks[[#This Row],[UID]])))</f>
        <v>0</v>
      </c>
      <c r="FA2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5" s="91" t="str">
        <f aca="false">IF(NOT(Tasks[[#This Row],[_IsLeaf]]=1),"",IF(N(Tasks[[#This Row],[_Days]])&lt;=0,Tasks[[#This Row],[_LeafLateFinish]],WORKDAY.INTL(Tasks[[#This Row],[_LeafLateFinish]],-(Tasks[[#This Row],[_Days]]-1),WorkWeek,Holidays)))</f>
        <v/>
      </c>
      <c r="FD2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5" s="90" t="b">
        <f aca="false">AND(Tasks[[#This Row],[_IsLeaf]]=1,Tasks[[#This Row],[_LeafProgress]]&lt;1,N(Tasks[[#This Row],[_LeafTotalSlack]])&lt;=CriticalSlackDays)</f>
        <v>0</v>
      </c>
      <c r="FF205" s="43" t="n">
        <f aca="false">IF(AND(Tasks[[#This Row],[_IsLeaf]]=1,Tasks[[#This Row],[_ConstraintCode]]=1,Tasks[[#This Row],[Mode]]&lt;&gt;"Manual",N(Tasks[[#This Row],[Actual Start]])=0),MAX(0,N(Tasks[[#This Row],[Free Slack]])),0)</f>
        <v>0</v>
      </c>
      <c r="FG205" s="91" t="str">
        <f aca="false">IF(NOT(Tasks[[#This Row],[_IsLeaf]]=1),"",IF(Tasks[[#This Row],[_AlapShift]]=0,Tasks[[#This Row],[_LeafCalcStart]],WORKDAY.INTL(Tasks[[#This Row],[_LeafCalcStart]],Tasks[[#This Row],[_AlapShift]],WorkWeek,Holidays)))</f>
        <v/>
      </c>
      <c r="FH205" s="91" t="str">
        <f aca="false">IF(NOT(Tasks[[#This Row],[_IsLeaf]]=1),"",IF(Tasks[[#This Row],[_AlapShift]]=0,Tasks[[#This Row],[_LeafCalcFinish]],WORKDAY.INTL(Tasks[[#This Row],[_LeafCalcFinish]],Tasks[[#This Row],[_AlapShift]],WorkWeek,Holidays)))</f>
        <v/>
      </c>
      <c r="FI205" s="91" t="str">
        <f aca="false">IF(NOT(Tasks[[#This Row],[_IsLeaf]]=1),"",IF(Tasks[[#This Row],[_AlapShift]]=0,Tasks[[#This Row],[_LeafFcstStart]],WORKDAY.INTL(Tasks[[#This Row],[_LeafFcstStart]],Tasks[[#This Row],[_AlapShift]],WorkWeek,Holidays)))</f>
        <v/>
      </c>
      <c r="FJ205" s="91" t="str">
        <f aca="false">IF(NOT(Tasks[[#This Row],[_IsLeaf]]=1),"",IF(Tasks[[#This Row],[_AlapShift]]=0,Tasks[[#This Row],[_LeafFcstFinish]],WORKDAY.INTL(Tasks[[#This Row],[_LeafFcstFinish]],Tasks[[#This Row],[_AlapShift]],WorkWeek,Holidays)))</f>
        <v/>
      </c>
      <c r="FK205" s="91" t="str">
        <f aca="false">IF(Tasks[[#This Row],[Task Name]]="","",IF(Tasks[[#This Row],[_IsSummary]],MIN(INDEX(Tasks[_ShownCalcStart],Tasks[[#This Row],[_Row]]+1):INDEX(Tasks[_ShownCalcStart],Tasks[[#This Row],[_Row]]+Tasks[[#This Row],[_Descendants]])),Tasks[[#This Row],[_ShownCalcStart]]))</f>
        <v/>
      </c>
      <c r="FL205" s="91" t="str">
        <f aca="false">IF(Tasks[[#This Row],[Task Name]]="","",IF(Tasks[[#This Row],[_IsSummary]],MAX(INDEX(Tasks[_ShownCalcFinish],Tasks[[#This Row],[_Row]]+1):INDEX(Tasks[_ShownCalcFinish],Tasks[[#This Row],[_Row]]+Tasks[[#This Row],[_Descendants]])),Tasks[[#This Row],[_ShownCalcFinish]]))</f>
        <v/>
      </c>
      <c r="FM2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5" s="43" t="n">
        <f aca="false">IF(AND(Tasks[[#This Row],[_IsLeaf]]=1,Tasks[[#This Row],[_LeafTotalWork]]&gt;0),NETWORKDAYS.INTL(ProjectStart,Tasks[[#This Row],[_ShownFcstStart]],WorkWeek,Holidays),0)</f>
        <v>0</v>
      </c>
      <c r="FZ205" s="43" t="n">
        <f aca="false">IF(AND(Tasks[[#This Row],[_IsLeaf]]=1,Tasks[[#This Row],[_LeafTotalWork]]&gt;0),MAX(Tasks[[#This Row],[_StartWorkday]],NETWORKDAYS.INTL(ProjectStart,Tasks[[#This Row],[_ShownFcstFinish]],WorkWeek,Holidays)),0)</f>
        <v>0</v>
      </c>
      <c r="GA205" s="43" t="n">
        <f aca="false">IF(AND(Tasks[[#This Row],[_IsLeaf]]=1,Tasks[[#This Row],[_LeafTotalWork]]&gt;0),Tasks[[#This Row],[_LeafWork]]/(Tasks[[#This Row],[_FinishWorkday]]-Tasks[[#This Row],[_StartWorkday]]+1),0)</f>
        <v>0</v>
      </c>
      <c r="GB205" s="43" t="n">
        <f aca="false">Tasks[[#This Row],[_WorkPerWorkday]]*(Tasks[[#This Row],[_StartWorkday]]-1)</f>
        <v>-0</v>
      </c>
      <c r="GC205" s="43" t="n">
        <f aca="false">IF(Tasks[[#This Row],[_IsLeaf]]=1,MAX(N(Tasks[[#This Row],[_Days]]),0.1),0)</f>
        <v>0</v>
      </c>
      <c r="GD205" s="43" t="n">
        <f aca="false">Tasks[[#This Row],[_WeightDur]]*Tasks[[#This Row],[_LeafProgress]]</f>
        <v>0</v>
      </c>
      <c r="GE205" s="43" t="n">
        <f aca="false">Tasks[[#This Row],[_WeightDur]]*Tasks[[#This Row],[_PlannedPct]]</f>
        <v>0</v>
      </c>
      <c r="GF2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5" s="43" t="str">
        <f aca="false">IF(AND(Tasks[[#This Row],[_IsLeaf]]=1,N(Tasks[[#This Row],[_Days]])=0,Tasks[[#This Row],[_LeafProgress]]&lt;1),Tasks[[#This Row],[_ShownFcstFinish]]+Tasks[[#This Row],[_Row]]/100000,"")</f>
        <v/>
      </c>
      <c r="GH2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5" s="43" t="str">
        <f aca="false">IF(Tasks[[#This Row],[Task Name]]="","",LEFT(Tasks[[#This Row],[WBS]],FIND(".",Tasks[[#This Row],[WBS]]&amp;".")-1))</f>
        <v/>
      </c>
      <c r="GJ205" s="43" t="str">
        <f aca="false">IF(AND(Tasks[[#This Row],[Task Name]]&lt;&gt;"",Tasks[[#This Row],[_Level]]=1),Tasks[[#This Row],[_Row]],"")</f>
        <v/>
      </c>
      <c r="GK205" s="43" t="str">
        <f aca="false">IF(AND(Tasks[[#This Row],[_IsLeaf]]=1,N(Tasks[[#This Row],[_Days]])=0),Tasks[[#This Row],[Planned Finish]]+Tasks[[#This Row],[_Row]]/100000,"")</f>
        <v/>
      </c>
      <c r="GL205" s="43" t="str">
        <f aca="false">IF(AND(Tasks[[#This Row],[_IsLeaf]]=1,Tasks[[#This Row],[_LeafProgress]]&lt;1,OR(N(Tasks[[#This Row],[Finish Var]])&gt;0,Tasks[[#This Row],[Status]]="Late Start")),MAX(0,Tasks[[#This Row],[Finish Var]])+1-Tasks[[#This Row],[_Row]]/1000000,"")</f>
        <v/>
      </c>
      <c r="GM205" s="43" t="str">
        <f aca="false">IF(AND(Tasks[[#This Row],[_IsLeaf]]=1,N(Tasks[[#This Row],[Actual Start]])=0,Tasks[[#This Row],[_ShownFcstStart]]&gt;=StatusDate,Tasks[[#This Row],[_ShownFcstStart]]&lt;=LookaheadEnd),Tasks[[#This Row],[_ShownFcstStart]]+Tasks[[#This Row],[_Row]]/100000,"")</f>
        <v/>
      </c>
      <c r="GN205" s="43" t="str">
        <f aca="false">IF(AND(Tasks[[#This Row],[_IsLeaf]]=1,Tasks[[#This Row],[_LeafProgress]]&lt;1,Tasks[[#This Row],[_ShownFcstFinish]]&gt;=StatusDate,Tasks[[#This Row],[_ShownFcstFinish]]&lt;=LookaheadEnd),Tasks[[#This Row],[_ShownFcstFinish]]+Tasks[[#This Row],[_Row]]/100000,"")</f>
        <v/>
      </c>
      <c r="GO205" s="43" t="str">
        <f aca="false">IF(Tasks[[#This Row],[_LeafCritical]],Tasks[[#This Row],[_ShownFcstStart]]+Tasks[[#This Row],[_Row]]/100000,"")</f>
        <v/>
      </c>
      <c r="GP205" s="43" t="n">
        <f aca="false">Tasks[[#This Row],[_LeafWork]]*Tasks[[#This Row],[_LeafProgress]]</f>
        <v>0</v>
      </c>
      <c r="GQ205" s="91" t="str">
        <f aca="false">IF(AND(Tasks[[#This Row],[_IsLeaf]]=1,Tasks[[#This Row],[_LeafProgress]]&gt;=1),IF(N(Tasks[[#This Row],[Actual Finish]])&gt;0,Tasks[[#This Row],[Actual Finish]],Tasks[[#This Row],[_ShownFcstFinish]]),"")</f>
        <v/>
      </c>
      <c r="GR205" s="43" t="n">
        <f aca="false">IF(Tasks[[#This Row],[_IsLeaf]]=1,N(Tasks[[#This Row],[Story Points]]),0)</f>
        <v>0</v>
      </c>
      <c r="GS205" s="43" t="str">
        <f aca="false">""</f>
        <v/>
      </c>
      <c r="GT205" s="90" t="b">
        <f aca="false">IF(Tasks[[#This Row],[Task Name]]="",FALSE(),AND(Tasks[[#This Row],[_IsLeaf]]=1,N(Tasks[[#This Row],[_Days]])=0))</f>
        <v>0</v>
      </c>
      <c r="GU205" s="91" t="n">
        <f aca="false">IF(Tasks[[#This Row],[Task Name]]="",0,IF(AND(Tasks[[#This Row],[_IsLeaf]]=1,NOT(Tasks[[#This Row],[_IsMilestone]]),N(Tasks[[#This Row],[Progress]])&gt;0),Tasks[[#This Row],[Start]],0))</f>
        <v>0</v>
      </c>
      <c r="GV205" s="91" t="n">
        <f aca="false">IF(Tasks[[#This Row],[_DoneFrom]]=0,0,IF(Tasks[[#This Row],[Progress]]&gt;=1,Tasks[[#This Row],[Finish]],MAX(Tasks[[#This Row],[_DoneFrom]],Tasks[[#This Row],[Start]]+ROUND((Tasks[[#This Row],[Finish]]-Tasks[[#This Row],[Start]]+1)*Tasks[[#This Row],[Progress]],0)-1)))</f>
        <v>0</v>
      </c>
      <c r="GW205" s="91" t="n">
        <f aca="false">IF(Tasks[[#This Row],[Task Name]]="",0,IF(OR(NOT(Tasks[[#This Row],[_IsLeaf]]=1),Tasks[[#This Row],[_IsMilestone]],N(Tasks[[#This Row],[Progress]])&gt;=1),0,IF(Tasks[[#This Row],[_DoneTo]]&gt;0,Tasks[[#This Row],[_DoneTo]]+1,Tasks[[#This Row],[Start]])))</f>
        <v>0</v>
      </c>
      <c r="GX205" s="91" t="n">
        <f aca="false">IF(Tasks[[#This Row],[_RemFrom]]=0,0,Tasks[[#This Row],[Finish]])</f>
        <v>0</v>
      </c>
      <c r="GY205" s="90" t="b">
        <f aca="false">IF(Tasks[[#This Row],[Task Name]]="",FALSE(),OR(NOT(BaselineSet),N(Tasks[[#This Row],[Baseline Start]])&gt;0))</f>
        <v>0</v>
      </c>
      <c r="GZ205" s="43" t="str">
        <f aca="false">IF(AND(Sandbox="Yes",Tasks[[#This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5" s="92" t="str">
        <f aca="false">IF(Tasks[[#This Row],[_IsLeaf]]=1,Tasks[[#This Row],[_Row]],"")</f>
        <v/>
      </c>
      <c r="HD205" s="92" t="str">
        <f aca="false">IFERROR(INDEX(Tasks[UID],SMALL(Tasks[_PickKey],Tasks[[#This Row],[_Row]]))&amp;" "&amp;INDEX(Tasks[Task Name],SMALL(Tasks[_PickKey],Tasks[[#This Row],[_Row]])),"")</f>
        <v/>
      </c>
      <c r="HE205" s="43" t="str">
        <f aca="false">IF(Tasks[[#This Row],[Task Name]]="","",IF(Tasks[[#This Row],[_IsSummary]],NETWORKDAYS.INTL(Tasks[[#This Row],[Start]],Tasks[[#This Row],[Finish]],WorkWeek,Holidays),N(Tasks[[#This Row],[_Days]])))</f>
        <v/>
      </c>
      <c r="HF205" s="43" t="n">
        <f aca="false">IF(Tasks[[#This Row],[Expected]]="",0,((Tasks[[#This Row],[Pessimistic]]-Tasks[[#This Row],[Optimistic]])/6)^2)</f>
        <v>0</v>
      </c>
      <c r="HG205" s="43" t="n">
        <f aca="false">IF(Tasks[[#This Row],[Expected]]="",0,Tasks[[#This Row],[Expected]]-N(Tasks[[#This Row],[_Days]]))</f>
        <v>0</v>
      </c>
    </row>
  </sheetData>
  <conditionalFormatting sqref="A6:BT205">
    <cfRule type="expression" priority="2" aboveAverage="0" equalAverage="0" bottom="0" percent="0" rank="0" text="" dxfId="36">
      <formula>$CF6=1</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BY6:BY205 BZ6:BZ205 CA6:CA205 HC6:HC205 HD6:HD205">
    <cfRule type="expression" priority="3" aboveAverage="0" equalAverage="0" bottom="0" percent="0" rank="0" text="" dxfId="37">
      <formula>$CF6=1</formula>
    </cfRule>
  </conditionalFormatting>
  <conditionalFormatting sqref="AO6:AO205">
    <cfRule type="expression" priority="4" aboveAverage="0" equalAverage="0" bottom="0" percent="0" rank="0" text="" dxfId="23">
      <formula>$AO6="Complete"</formula>
    </cfRule>
    <cfRule type="expression" priority="5" aboveAverage="0" equalAverage="0" bottom="0" percent="0" rank="0" text="" dxfId="38">
      <formula>$AO6="In Progress"</formula>
    </cfRule>
    <cfRule type="expression" priority="6" aboveAverage="0" equalAverage="0" bottom="0" percent="0" rank="0" text="" dxfId="24">
      <formula>$AO6="Behind"</formula>
    </cfRule>
    <cfRule type="expression" priority="7" aboveAverage="0" equalAverage="0" bottom="0" percent="0" rank="0" text="" dxfId="39">
      <formula>$AO6="Late Start"</formula>
    </cfRule>
    <cfRule type="expression" priority="8" aboveAverage="0" equalAverage="0" bottom="0" percent="0" rank="0" text="" dxfId="40">
      <formula>$AO6="Not Started"</formula>
    </cfRule>
  </conditionalFormatting>
  <conditionalFormatting sqref="AS6:AS205">
    <cfRule type="expression" priority="9" aboveAverage="0" equalAverage="0" bottom="0" percent="0" rank="0" text="" dxfId="24">
      <formula>AND(ISNUMBER($AS6),$AS6&gt;0)</formula>
    </cfRule>
    <cfRule type="expression" priority="10" aboveAverage="0" equalAverage="0" bottom="0" percent="0" rank="0" text="" dxfId="23">
      <formula>AND(ISNUMBER($AS6),$AS6&lt;0)</formula>
    </cfRule>
  </conditionalFormatting>
  <conditionalFormatting sqref="AN6:AN205">
    <cfRule type="expression" priority="11" aboveAverage="0" equalAverage="0" bottom="0" percent="0" rank="0" text="" dxfId="24">
      <formula>AND(ISNUMBER($AN6),$AN6&gt;0)</formula>
    </cfRule>
    <cfRule type="expression" priority="12" aboveAverage="0" equalAverage="0" bottom="0" percent="0" rank="0" text="" dxfId="23">
      <formula>AND(ISNUMBER($AN6),$AN6&lt;0)</formula>
    </cfRule>
  </conditionalFormatting>
  <conditionalFormatting sqref="BK6:BK205">
    <cfRule type="expression" priority="13" aboveAverage="0" equalAverage="0" bottom="0" percent="0" rank="0" text="" dxfId="24">
      <formula>AND(ISNUMBER($BK6),$BK6&gt;0)</formula>
    </cfRule>
    <cfRule type="expression" priority="14" aboveAverage="0" equalAverage="0" bottom="0" percent="0" rank="0" text="" dxfId="23">
      <formula>AND(ISNUMBER($BK6),$BK6&lt;0)</formula>
    </cfRule>
  </conditionalFormatting>
  <conditionalFormatting sqref="BL6:BL205">
    <cfRule type="expression" priority="15" aboveAverage="0" equalAverage="0" bottom="0" percent="0" rank="0" text="" dxfId="24">
      <formula>AND(ISNUMBER($BL6),$BL6&gt;0)</formula>
    </cfRule>
    <cfRule type="expression" priority="16" aboveAverage="0" equalAverage="0" bottom="0" percent="0" rank="0" text="" dxfId="23">
      <formula>AND(ISNUMBER($BL6),$BL6&lt;0)</formula>
    </cfRule>
  </conditionalFormatting>
  <conditionalFormatting sqref="D6:D205">
    <cfRule type="expression" priority="17" aboveAverage="0" equalAverage="0" bottom="0" percent="0" rank="0" text="" dxfId="41">
      <formula>AND($CH6=1,N($E6)=0)</formula>
    </cfRule>
  </conditionalFormatting>
  <conditionalFormatting sqref="BC6:BC205">
    <cfRule type="expression" priority="18" aboveAverage="0" equalAverage="0" bottom="0" percent="0" rank="0" text="" dxfId="42">
      <formula>$BC6="?"</formula>
    </cfRule>
  </conditionalFormatting>
  <conditionalFormatting sqref="B6:B205">
    <cfRule type="expression" priority="19" aboveAverage="0" equalAverage="0" bottom="0" percent="0" rank="0" text="" dxfId="21">
      <formula>OR(AND($D6&lt;&gt;"",$B6=""),AND($B6&lt;&gt;"",COUNTIF(tsk_UID,$B6)&gt;1))</formula>
    </cfRule>
  </conditionalFormatting>
  <conditionalFormatting sqref="AY6:AY205">
    <cfRule type="expression" priority="20" aboveAverage="0" equalAverage="0" bottom="0" percent="0" rank="0" text="" dxfId="43">
      <formula>$AY6&lt;&gt;""</formula>
    </cfRule>
  </conditionalFormatting>
  <conditionalFormatting sqref="AX6:AX205">
    <cfRule type="expression" priority="21" aboveAverage="0" equalAverage="0" bottom="0" percent="0" rank="0" text="" dxfId="24">
      <formula>LEFT($AX6,4)="Late"</formula>
    </cfRule>
    <cfRule type="expression" priority="22" aboveAverage="0" equalAverage="0" bottom="0" percent="0" rank="0" text="" dxfId="23">
      <formula>$AX6="OK"</formula>
    </cfRule>
  </conditionalFormatting>
  <conditionalFormatting sqref="BH6:BH205">
    <cfRule type="expression" priority="23" aboveAverage="0" equalAverage="0" bottom="0" percent="0" rank="0" text="" dxfId="21">
      <formula>$BH6="Yes"</formula>
    </cfRule>
  </conditionalFormatting>
  <conditionalFormatting sqref="AP6:AP205">
    <cfRule type="expression" priority="24" aboveAverage="0" equalAverage="0" bottom="0" percent="0" rank="0" text="" dxfId="25">
      <formula>$AP6="Yes"</formula>
    </cfRule>
  </conditionalFormatting>
  <conditionalFormatting sqref="AV6:AV205">
    <cfRule type="expression" priority="25" aboveAverage="0" equalAverage="0" bottom="0" percent="0" rank="0" text="" dxfId="24">
      <formula>AND(ISNUMBER($AV6),$AV6&lt;0)</formula>
    </cfRule>
  </conditionalFormatting>
  <conditionalFormatting sqref="AW6:AW205">
    <cfRule type="expression" priority="26" aboveAverage="0" equalAverage="0" bottom="0" percent="0" rank="0" text="" dxfId="24">
      <formula>AND(ISNUMBER($AW6),$AW6&lt;0)</formula>
    </cfRule>
  </conditionalFormatting>
  <conditionalFormatting sqref="HI6:NB205">
    <cfRule type="expression" priority="27" aboveAverage="0" equalAverage="0" bottom="0" percent="0" rank="0" text="" dxfId="31">
      <formula>AND(N($AJ6)&gt;0,N($AJ6)&gt;=HI$5,N($AJ6)&lt;IF(GanttPeriod&lt;28,HI$5+GanttPeriod,EDATE(HI$5,IF(GanttPeriod&gt;=90,3,1))))</formula>
    </cfRule>
    <cfRule type="expression" priority="28" aboveAverage="0" equalAverage="0" bottom="0" percent="0" rank="0" text="" dxfId="44">
      <formula>AND($CF6,AND($AE6&gt;0,HI$5&lt;=$AF6,IF(GanttPeriod&lt;28,HI$5+GanttPeriod,EDATE(HI$5,IF(GanttPeriod&gt;=90,3,1)))-1&gt;=$AE6))</formula>
    </cfRule>
    <cfRule type="expression" priority="29" aboveAverage="0" equalAverage="0" bottom="0" percent="0" rank="0" text="" dxfId="32">
      <formula>AND($GT6,AND($AE6&gt;0,$AE6&gt;=HI$5,$AE6&lt;IF(GanttPeriod&lt;28,HI$5+GanttPeriod,EDATE(HI$5,IF(GanttPeriod&gt;=90,3,1)))))</formula>
    </cfRule>
    <cfRule type="expression" priority="30" aboveAverage="0" equalAverage="0" bottom="0" percent="0" rank="0" text="" dxfId="26">
      <formula>AND($GU6&gt;0,HI$5&lt;=$GV6,IF(GanttPeriod&lt;28,HI$5+GanttPeriod,EDATE(HI$5,IF(GanttPeriod&gt;=90,3,1)))-1&gt;=$GU6)</formula>
    </cfRule>
    <cfRule type="expression" priority="31" aboveAverage="0" equalAverage="0" bottom="0" percent="0" rank="0" text="" dxfId="45">
      <formula>AND($GY6,ISNUMBER($AR6),HI$5&gt;$AR6,AND($GW6&gt;0,HI$5&lt;=$GX6,IF(GanttPeriod&lt;28,HI$5+GanttPeriod,EDATE(HI$5,IF(GanttPeriod&gt;=90,3,1)))-1&gt;=$GW6))</formula>
    </cfRule>
    <cfRule type="expression" priority="32" aboveAverage="0" equalAverage="0" bottom="0" percent="0" rank="0" text="" dxfId="27">
      <formula>AND($AP6="Yes",AND($GW6&gt;0,HI$5&lt;=$GX6,IF(GanttPeriod&lt;28,HI$5+GanttPeriod,EDATE(HI$5,IF(GanttPeriod&gt;=90,3,1)))-1&gt;=$GW6))</formula>
    </cfRule>
    <cfRule type="expression" priority="33" aboveAverage="0" equalAverage="0" bottom="0" percent="0" rank="0" text="" dxfId="46">
      <formula>AND($GW6&gt;0,HI$5&lt;=$GX6,IF(GanttPeriod&lt;28,HI$5+GanttPeriod,EDATE(HI$5,IF(GanttPeriod&gt;=90,3,1)))-1&gt;=$GW6)</formula>
    </cfRule>
    <cfRule type="expression" priority="34" aboveAverage="0" equalAverage="0" bottom="0" percent="0" rank="0" text="" dxfId="47">
      <formula>AND($GY6,ISNUMBER($AQ6),AND($AQ6&gt;0,HI$5&lt;=$AR6,IF(GanttPeriod&lt;28,HI$5+GanttPeriod,EDATE(HI$5,IF(GanttPeriod&gt;=90,3,1)))-1&gt;=$AQ6))</formula>
    </cfRule>
    <cfRule type="expression" priority="35" aboveAverage="0" equalAverage="0" bottom="0" percent="0" rank="0" text="" dxfId="48">
      <formula>AND(AND($GY6,ISNUMBER($AQ6),AND($AQ6&gt;0,HI$5&lt;=$AR6,IF(GanttPeriod&lt;28,HI$5+GanttPeriod,EDATE(HI$5,IF(GanttPeriod&gt;=90,3,1)))-1&gt;=$AQ6)),AND($AQ6&gt;0,$AQ6&gt;=HI$5,$AQ6&lt;IF(GanttPeriod&lt;28,HI$5+GanttPeriod,EDATE(HI$5,IF(GanttPeriod&gt;=90,3,1)))),AND($AR6&gt;0,$AR6&gt;=HI$5,$AR6&lt;IF(GanttPeriod&lt;28,HI$5+GanttPeriod,EDATE(HI$5,IF(GanttPeriod&gt;=90,3,1)))))</formula>
    </cfRule>
    <cfRule type="expression" priority="36" aboveAverage="0" equalAverage="0" bottom="0" percent="0" rank="0" text="" dxfId="49">
      <formula>AND(AND($GY6,ISNUMBER($AQ6),AND($AQ6&gt;0,HI$5&lt;=$AR6,IF(GanttPeriod&lt;28,HI$5+GanttPeriod,EDATE(HI$5,IF(GanttPeriod&gt;=90,3,1)))-1&gt;=$AQ6)),AND($AQ6&gt;0,$AQ6&gt;=HI$5,$AQ6&lt;IF(GanttPeriod&lt;28,HI$5+GanttPeriod,EDATE(HI$5,IF(GanttPeriod&gt;=90,3,1)))))</formula>
    </cfRule>
    <cfRule type="expression" priority="37" aboveAverage="0" equalAverage="0" bottom="0" percent="0" rank="0" text="" dxfId="50">
      <formula>AND(AND($GY6,ISNUMBER($AQ6),AND($AQ6&gt;0,HI$5&lt;=$AR6,IF(GanttPeriod&lt;28,HI$5+GanttPeriod,EDATE(HI$5,IF(GanttPeriod&gt;=90,3,1)))-1&gt;=$AQ6)),AND($AR6&gt;0,$AR6&gt;=HI$5,$AR6&lt;IF(GanttPeriod&lt;28,HI$5+GanttPeriod,EDATE(HI$5,IF(GanttPeriod&gt;=90,3,1)))))</formula>
    </cfRule>
    <cfRule type="expression" priority="38" aboveAverage="0" equalAverage="0" bottom="0" percent="0" rank="0" text="" dxfId="51">
      <formula>AND($GY6,ISNUMBER($AQ6),AND($AQ6&gt;0,HI$5&lt;=$AR6,IF(GanttPeriod&lt;28,HI$5+GanttPeriod,EDATE(HI$5,IF(GanttPeriod&gt;=90,3,1)))-1&gt;=$AQ6))</formula>
    </cfRule>
    <cfRule type="expression" priority="39" aboveAverage="0" equalAverage="0" bottom="0" percent="0" rank="0" text="" dxfId="30">
      <formula>AND(StatusDate&gt;0,StatusDate&gt;=HI$5,StatusDate&lt;IF(GanttPeriod&lt;28,HI$5+GanttPeriod,EDATE(HI$5,IF(GanttPeriod&gt;=90,3,1))))</formula>
    </cfRule>
    <cfRule type="expression" priority="40" aboveAverage="0" equalAverage="0" bottom="0" percent="0" rank="0" text="" dxfId="52">
      <formula>AND(GanttPeriod=1,NETWORKDAYS.INTL(HI$5,HI$5,WorkWeek,Holidays)=0)</formula>
    </cfRule>
  </conditionalFormatting>
  <conditionalFormatting sqref="HI5:NB5">
    <cfRule type="expression" priority="41" aboveAverage="0" equalAverage="0" bottom="0" percent="0" rank="0" text="" dxfId="31">
      <formula>AND(StatusDate&gt;0,StatusDate&gt;=HI$5,StatusDate&lt;IF(GanttPeriod&lt;28,HI$5+GanttPeriod,EDATE(HI$5,IF(GanttPeriod&gt;=90,3,1))))</formula>
    </cfRule>
    <cfRule type="expression" priority="42" aboveAverage="0" equalAverage="0" bottom="0" percent="0" rank="0" text="" dxfId="53">
      <formula>GanttPeriod&gt;=28</formula>
    </cfRule>
  </conditionalFormatting>
  <dataValidations count="43">
    <dataValidation allowBlank="false" error="A UID is a whole number used by no other task: type Settings &gt; NextFreeUID (also at the top of this sheet)." errorStyle="stop" errorTitle="UID" operator="between" prompt="Pre-filled and permanent: predecessors point at it. A new row: type the Next free UID shown at the top of this sheet. A duplicate is refused." promptTitle="UID" showDropDown="false" showErrorMessage="true" showInputMessage="true" sqref="B6:B205" type="custom">
      <formula1>AND(ISNUMBER(B6),B6&gt;=1,B6=INT(B6),COUNTIF(tsk_UID,B6)=1)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Style="stop" operator="between" showDropDown="false" showErrorMessage="false" showInputMessage="false" sqref="AK6:AK205" type="list">
      <formula1>L_Mode</formula1>
      <formula2>0</formula2>
    </dataValidation>
    <dataValidation allowBlank="false" error="Working days: 3, 3d or 2w (a week = 5 days). 0 = a milestone." errorStyle="stop" errorTitle="Duration" operator="between" prompt="e.g. 5, 5d or 2w (a week = 5 days). 0 = a milestone. Summaries roll up: leave them blank." promptTitle="Duration (working days)" showDropDown="false" showErrorMessage="true" showInputMessage="true" sqref="E6:E205" type="custom">
      <formula1>OR(AND(ISNUMBER(E6),E6&gt;=0),IFERROR(AND(OR(LOWER(RIGHT(E6,1))="d",LOWER(RIGHT(E6,1))="w"),VALUE(LEFT(E6,LEN(E6)-1))&gt;=0),0))</formula1>
      <formula2>0</formula2>
    </dataValidation>
    <dataValidation allowBlank="false" error="Type a date on or after the project start (Start sheet)." errorStyle="stop" errorTitle="Date" operator="greaterThanOrEqual" showDropDown="false" showErrorMessage="true" showInputMessage="false" sqref="AM6:AM205" type="date">
      <formula1>ProjectStart</formula1>
      <formula2>0</formula2>
    </dataValidation>
    <dataValidation allowBlank="false" error="Type a date on or after the project start (Start sheet)." errorStyle="stop" errorTitle="Date" operator="greaterThanOrEqual" prompt="Optional: the date it must be done by. Issues and the Gantt flag a forecast after it." promptTitle="Deadline" showDropDown="false" showErrorMessage="true" showInputMessage="true" sqref="AJ6:AJ205" type="date">
      <formula1>ProjectStart</formula1>
      <formula2>0</formula2>
    </dataValidation>
    <dataValidation allowBlank="false" error="Type a date on or after the project start (Start sheet)." errorStyle="stop" errorTitle="Date" operator="greaterThanOrEqual" prompt="The day work really started. Leave blank until it starts." promptTitle="Actual Start" showDropDown="false" showErrorMessage="true" showInputMessage="true" sqref="AC6:AC205" type="date">
      <formula1>ProjectStart</formula1>
      <formula2>0</formula2>
    </dataValidation>
    <dataValidation allowBlank="false" error="Type a date on or after the project start (Start sheet)." errorStyle="stop" errorTitle="Date" operator="greaterThanOrEqual" prompt="The day it really finished: the task counts as 100% complete." promptTitle="Actual Finish" showDropDown="false" showErrorMessage="true" showInputMessage="true" sqref="AD6:AD205" type="date">
      <formula1>ProjectStart</formula1>
      <formula2>0</formula2>
    </dataValidation>
    <dataValidation allowBlank="false" errorStyle="stop" operator="between" showDropDown="false" showErrorMessage="false" showInputMessage="false" sqref="AL6:AL205" type="list">
      <formula1>L_Constraint</formula1>
      <formula2>0</formula2>
    </dataValidation>
    <dataValidation allowBlank="false" error="Enter 0% - 100%." errorStyle="stop" operator="between" prompt="Only to override the Stage's %: 0% - 100%. Blank = the Stage's %." promptTitle="% Complete (optional)" showDropDown="false" showErrorMessage="true" showInputMessage="true" sqref="AZ6:AZ205" type="decimal">
      <formula1>0</formula1>
      <formula2>1</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AB6:AB205" type="list">
      <formula1>L_Stage</formula1>
      <formula2>0</formula2>
    </dataValidation>
    <dataValidation allowBlank="false" errorStyle="stop" operator="between" prompt="Used only while Res1-4 are blank: e.g. Alex Chen, JL[50%]. Pasted or imported plans land here." promptTitle="Resources (typed)" showDropDown="false" showErrorMessage="false" showInputMessage="true" sqref="AA6:AA205" type="list">
      <formula1>res_Name</formula1>
      <formula2>0</formula2>
    </dataValidation>
    <dataValidation allowBlank="false" errorStyle="stop" operator="greaterThanOrEqual" showDropDown="false" showErrorMessage="false" showInputMessage="false" sqref="BI6:BI205" type="decimal">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 allowBlank="true" errorStyle="stop" operator="between" prompt="Anything worth knowing: assumptions, links, who to ask." promptTitle="Notes" showDropDown="false" showErrorMessage="false" showInputMessage="true" sqref="AH6:AH205" type="none">
      <formula1>0</formula1>
      <formula2>0</formula2>
    </dataValidation>
    <dataValidation allowBlank="true" errorStyle="stop" operator="between" prompt="Used only while Pred1-4 are blank: e.g. 12, 14SS+2d (by UID). Pasted or imported plans land here." promptTitle="Predecessors (typed)" showDropDown="false" showErrorMessage="false" showInputMessage="true" sqref="R6:R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BF6:BF205" type="none">
      <formula1>0</formula1>
      <formula2>0</formula2>
    </dataValidation>
    <dataValidation allowBlank="false" errorStyle="stop" operator="between" prompt="Pick the task that must come first (UID and name), or type its UID. It must be a detail task listed above this one." promptTitle="Predecessor 1" showDropDown="false" showErrorMessage="false" showInputMessage="true" sqref="F6:F205" type="list">
      <formula1>tsk_PickList</formula1>
      <formula2>0</formula2>
    </dataValidation>
    <dataValidation allowBlank="false" errorStyle="stop" operator="between" prompt="Pick the task that must come first (UID and name), or type its UID. It must be a detail task listed above this one." promptTitle="Predecessor 2" showDropDown="false" showErrorMessage="false" showInputMessage="true" sqref="I6:I205" type="list">
      <formula1>tsk_PickList</formula1>
      <formula2>0</formula2>
    </dataValidation>
    <dataValidation allowBlank="false" errorStyle="stop" operator="between" prompt="Pick the task that must come first (UID and name), or type its UID. It must be a detail task listed above this one." promptTitle="Predecessor 3" showDropDown="false" showErrorMessage="false" showInputMessage="true" sqref="L6:L205" type="list">
      <formula1>tsk_PickList</formula1>
      <formula2>0</formula2>
    </dataValidation>
    <dataValidation allowBlank="false" errorStyle="stop" operator="between" prompt="Pick the task that must come first (UID and name), or type its UID. It must be a detail task listed above this one." promptTitle="Predecessor 4" showDropDown="false" showErrorMessage="false" showInputMessage="true" sqref="O6:O205" type="list">
      <formula1>tsk_PickList</formula1>
      <formula2>0</formula2>
    </dataValidation>
    <dataValidation allowBlank="false" errorStyle="stop" operator="between" prompt="Blank or FS = after it finishes; SS = after it starts; FF = finish together; SF = finish after it starts." promptTitle="Link type 1" showDropDown="false" showErrorMessage="false" showInputMessage="true" sqref="G6:G205" type="list">
      <formula1>L_DepType</formula1>
      <formula2>0</formula2>
    </dataValidation>
    <dataValidation allowBlank="false" errorStyle="stop" operator="between" prompt="Blank or FS = after it finishes; SS = after it starts; FF = finish together; SF = finish after it starts." promptTitle="Link type 2" showDropDown="false" showErrorMessage="false" showInputMessage="true" sqref="J6:J205" type="list">
      <formula1>L_DepType</formula1>
      <formula2>0</formula2>
    </dataValidation>
    <dataValidation allowBlank="false" errorStyle="stop" operator="between" prompt="Blank or FS = after it finishes; SS = after it starts; FF = finish together; SF = finish after it starts." promptTitle="Link type 3" showDropDown="false" showErrorMessage="false" showInputMessage="true" sqref="M6:M205" type="list">
      <formula1>L_DepType</formula1>
      <formula2>0</formula2>
    </dataValidation>
    <dataValidation allowBlank="false" errorStyle="stop" operator="between" prompt="Blank or FS = after it finishes; SS = after it starts; FF = finish together; SF = finish after it starts." promptTitle="Link type 4" showDropDown="false" showErrorMessage="false" showInputMessage="true" sqref="P6:P205" type="list">
      <formula1>L_DepType</formula1>
      <formula2>0</formula2>
    </dataValidation>
    <dataValidation allowBlank="false" error="Lag in working days, e.g. 2 or -1." errorStyle="stop" operator="between" prompt="Optional: days to wait after the link, e.g. 2. Negative = a lead (overlap), e.g. -1." promptTitle="Lag 1 (working days)" showDropDown="false" showErrorMessage="true" showInputMessage="true" sqref="H6:H205" type="decimal">
      <formula1>-999</formula1>
      <formula2>999</formula2>
    </dataValidation>
    <dataValidation allowBlank="false" error="Lag in working days, e.g. 2 or -1." errorStyle="stop" operator="between" prompt="Optional: days to wait after the link, e.g. 2. Negative = a lead (overlap), e.g. -1." promptTitle="Lag 2 (working days)" showDropDown="false" showErrorMessage="true" showInputMessage="true" sqref="K6:K205" type="decimal">
      <formula1>-999</formula1>
      <formula2>999</formula2>
    </dataValidation>
    <dataValidation allowBlank="false" error="Lag in working days, e.g. 2 or -1." errorStyle="stop" operator="between" prompt="Optional: days to wait after the link, e.g. 2. Negative = a lead (overlap), e.g. -1." promptTitle="Lag 3 (working days)" showDropDown="false" showErrorMessage="true" showInputMessage="true" sqref="N6:N205" type="decimal">
      <formula1>-999</formula1>
      <formula2>999</formula2>
    </dataValidation>
    <dataValidation allowBlank="false" error="Lag in working days, e.g. 2 or -1." errorStyle="stop" operator="between" prompt="Optional: days to wait after the link, e.g. 2. Negative = a lead (overlap), e.g. -1." promptTitle="Lag 4 (working days)" showDropDown="false" showErrorMessage="true" showInputMessage="true" sqref="Q6:Q205" type="decimal">
      <formula1>-999</formula1>
      <formula2>999</formula2>
    </dataValidation>
    <dataValidation allowBlank="false" errorStyle="stop" operator="between" prompt="Pick a person from Resources (add people there first)." promptTitle="Resource 1" showDropDown="false" showErrorMessage="false" showInputMessage="true" sqref="S6:S205" type="list">
      <formula1>res_Name</formula1>
      <formula2>0</formula2>
    </dataValidation>
    <dataValidation allowBlank="false" errorStyle="stop" operator="between" prompt="Pick a person from Resources (add people there first)." promptTitle="Resource 2" showDropDown="false" showErrorMessage="false" showInputMessage="true" sqref="U6:U205" type="list">
      <formula1>res_Name</formula1>
      <formula2>0</formula2>
    </dataValidation>
    <dataValidation allowBlank="false" errorStyle="stop" operator="between" prompt="Pick a person from Resources (add people there first)." promptTitle="Resource 3" showDropDown="false" showErrorMessage="false" showInputMessage="true" sqref="W6:W205" type="list">
      <formula1>res_Name</formula1>
      <formula2>0</formula2>
    </dataValidation>
    <dataValidation allowBlank="false" errorStyle="stop" operator="between" prompt="Pick a person from Resources (add people there first)." promptTitle="Resource 4" showDropDown="false" showErrorMessage="false" showInputMessage="true" sqref="Y6:Y205" type="list">
      <formula1>res_Name</formula1>
      <formula2>0</formula2>
    </dataValidation>
    <dataValidation allowBlank="false" error="A share of their time: 0% - 100%." errorStyle="stop" operator="between" prompt="Optional: their share of time on this task, e.g. 50%. Blank = Settings &gt; DefaultUnits." promptTitle="Units 1" showDropDown="false" showErrorMessage="true" showInputMessage="true" sqref="T6:T205" type="decimal">
      <formula1>0</formula1>
      <formula2>1</formula2>
    </dataValidation>
    <dataValidation allowBlank="false" error="A share of their time: 0% - 100%." errorStyle="stop" operator="between" prompt="Optional: their share of time on this task, e.g. 50%. Blank = Settings &gt; DefaultUnits." promptTitle="Units 2" showDropDown="false" showErrorMessage="true" showInputMessage="true" sqref="V6:V205" type="decimal">
      <formula1>0</formula1>
      <formula2>1</formula2>
    </dataValidation>
    <dataValidation allowBlank="false" error="A share of their time: 0% - 100%." errorStyle="stop" operator="between" prompt="Optional: their share of time on this task, e.g. 50%. Blank = Settings &gt; DefaultUnits." promptTitle="Units 3" showDropDown="false" showErrorMessage="true" showInputMessage="true" sqref="X6:X205" type="decimal">
      <formula1>0</formula1>
      <formula2>1</formula2>
    </dataValidation>
    <dataValidation allowBlank="false" error="A share of their time: 0% - 100%." errorStyle="stop" operator="between" prompt="Optional: their share of time on this task, e.g. 50%. Blank = Settings &gt; DefaultUnits." promptTitle="Units 4" showDropDown="false" showErrorMessage="true" showInputMessage="true" sqref="Z6:Z205" type="decimal">
      <formula1>0</formula1>
      <formula2>1</formula2>
    </dataValidation>
    <dataValidation allowBlank="false" error="Working days, e.g. 4." errorStyle="stop" operator="greaterThanOrEqual" prompt="The fewest days it could take if all goes well. With Pessimistic it gives the Expected duration and the P50 / P80 finish on Status." promptTitle="Optimistic (working days)" showDropDown="false" showErrorMessage="true" showInputMessage="true" sqref="BY6:BY205" type="decimal">
      <formula1>0</formula1>
      <formula2>0</formula2>
    </dataValidation>
    <dataValidation allowBlank="false" error="Working days, e.g. 4." errorStyle="stop" operator="greaterThanOrEqual" prompt="The most days it could take if things go wrong (not a disaster)." promptTitle="Pessimistic (working days)" showDropDown="false" showErrorMessage="true" showInputMessage="true" sqref="BZ6:BZ205" type="decimal">
      <formula1>0</formula1>
      <formula2>0</formula2>
    </dataValidation>
    <dataValidation allowBlank="false" error="Working days: 3, 3d or 2w (a week = 5 days)." errorStyle="stop" errorTitle="Sandbox Duration" operator="between" prompt="Try another duration (3, 3d or 2w) without changing the plan: it is used only while Settings &gt; Sandbox = Yes." promptTitle="Sandbox Duration (what-if)" showDropDown="false" showErrorMessage="true" showInputMessage="true" sqref="CA6:CA205" type="custom">
      <formula1>OR(AND(ISNUMBER(CA6),CA6&gt;=0),IFERROR(AND(OR(LOWER(RIGHT(CA6,1))="d",LOWER(RIGHT(CA6,1))="w"),VALUE(LEFT(CA6,LEN(CA6)-1))&gt;=0),0))</formula1>
      <formula2>0</formula2>
    </dataValidation>
    <dataValidation allowBlank="false" errorStyle="stop" operator="between" prompt="The one person who answers for the task. Responsible = its Resources." promptTitle="Accountable (RACI)" showDropDown="false" showErrorMessage="false" showInputMessage="true" sqref="BU6:BU205" type="list">
      <formula1>res_Name</formula1>
      <formula2>0</formula2>
    </dataValidation>
    <dataValidation allowBlank="true" errorStyle="stop" operator="between" prompt="People whose input is needed, comma-separated." promptTitle="Consulted (RACI)" showDropDown="false" showErrorMessage="false" showInputMessage="true" sqref="BV6:BV205" type="none">
      <formula1>0</formula1>
      <formula2>0</formula2>
    </dataValidation>
    <dataValidation allowBlank="true" errorStyle="stop" operator="between" prompt="People kept up to date, comma-separated." promptTitle="Informed (RACI)" showDropDown="false" showErrorMessage="false" showInputMessage="true" sqref="BW6:BW205" type="none">
      <formula1>0</formula1>
      <formula2>0</formula2>
    </dataValidation>
  </dataValidations>
  <hyperlinks>
    <hyperlink ref="AA3" location="Tasks!HI5" display="Gantt timeline &gt;&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BA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16" min="4" style="0" width="3.61"/>
    <col collapsed="false" customWidth="true" hidden="true" outlineLevel="0" max="17" min="17" style="0" width="3.61"/>
    <col collapsed="false" customWidth="true" hidden="false" outlineLevel="0" max="34" min="18" style="0" width="3.61"/>
    <col collapsed="false" customWidth="true" hidden="false" outlineLevel="0" max="35" min="35" style="0" width="26"/>
    <col collapsed="false" customWidth="true" hidden="true" outlineLevel="0" max="36" min="36" style="0" width="6"/>
    <col collapsed="false" customWidth="true" hidden="false" outlineLevel="0" max="53" min="37" style="0" width="11"/>
  </cols>
  <sheetData>
    <row r="1" customFormat="false" ht="19.7" hidden="false" customHeight="false" outlineLevel="0" collapsed="false">
      <c r="A1" s="14" t="s">
        <v>665</v>
      </c>
    </row>
    <row r="2" customFormat="false" ht="15" hidden="false" customHeight="false" outlineLevel="0" collapsed="false">
      <c r="A2" s="2" t="s">
        <v>666</v>
      </c>
    </row>
    <row r="5" customFormat="false" ht="169.4" hidden="false" customHeight="false" outlineLevel="0" collapsed="false">
      <c r="B5" s="18" t="s">
        <v>667</v>
      </c>
      <c r="C5" s="18" t="s">
        <v>668</v>
      </c>
      <c r="D5" s="18" t="s">
        <v>669</v>
      </c>
      <c r="E5" s="18" t="s">
        <v>670</v>
      </c>
      <c r="F5" s="18" t="s">
        <v>671</v>
      </c>
      <c r="G5" s="18" t="s">
        <v>183</v>
      </c>
      <c r="H5" s="18" t="s">
        <v>672</v>
      </c>
      <c r="I5" s="18" t="s">
        <v>673</v>
      </c>
      <c r="J5" s="18" t="s">
        <v>674</v>
      </c>
      <c r="K5" s="17" t="s">
        <v>149</v>
      </c>
      <c r="L5" s="17" t="s">
        <v>251</v>
      </c>
      <c r="M5" s="18" t="s">
        <v>187</v>
      </c>
      <c r="N5" s="17" t="s">
        <v>675</v>
      </c>
      <c r="O5" s="17" t="s">
        <v>676</v>
      </c>
      <c r="P5" s="17" t="s">
        <v>677</v>
      </c>
      <c r="Q5" s="42" t="s">
        <v>678</v>
      </c>
      <c r="R5" s="18" t="s">
        <v>679</v>
      </c>
      <c r="S5" s="18" t="s">
        <v>680</v>
      </c>
      <c r="T5" s="18" t="s">
        <v>681</v>
      </c>
      <c r="U5" s="18" t="s">
        <v>682</v>
      </c>
      <c r="V5" s="18" t="s">
        <v>683</v>
      </c>
      <c r="W5" s="18" t="s">
        <v>684</v>
      </c>
      <c r="X5" s="18" t="s">
        <v>685</v>
      </c>
      <c r="Y5" s="18" t="s">
        <v>686</v>
      </c>
      <c r="Z5" s="18" t="s">
        <v>687</v>
      </c>
      <c r="AA5" s="18" t="s">
        <v>688</v>
      </c>
      <c r="AB5" s="18" t="s">
        <v>689</v>
      </c>
      <c r="AC5" s="18" t="s">
        <v>690</v>
      </c>
      <c r="AD5" s="18" t="s">
        <v>691</v>
      </c>
      <c r="AE5" s="18" t="s">
        <v>692</v>
      </c>
      <c r="AF5" s="18" t="s">
        <v>693</v>
      </c>
      <c r="AG5" s="18" t="s">
        <v>694</v>
      </c>
      <c r="AH5" s="18" t="s">
        <v>695</v>
      </c>
      <c r="AI5" s="18" t="s">
        <v>696</v>
      </c>
      <c r="AJ5" s="18" t="s">
        <v>697</v>
      </c>
      <c r="AK5" s="18" t="s">
        <v>698</v>
      </c>
      <c r="AL5" s="18" t="s">
        <v>699</v>
      </c>
      <c r="AM5" s="18" t="s">
        <v>700</v>
      </c>
      <c r="AN5" s="18" t="s">
        <v>701</v>
      </c>
      <c r="AO5" s="18" t="s">
        <v>702</v>
      </c>
      <c r="AP5" s="18" t="s">
        <v>703</v>
      </c>
      <c r="AQ5" s="18" t="s">
        <v>704</v>
      </c>
      <c r="AR5" s="18" t="s">
        <v>705</v>
      </c>
      <c r="AS5" s="18" t="s">
        <v>706</v>
      </c>
      <c r="AT5" s="18" t="s">
        <v>707</v>
      </c>
      <c r="AU5" s="18" t="s">
        <v>708</v>
      </c>
      <c r="AV5" s="18" t="s">
        <v>709</v>
      </c>
      <c r="AW5" s="18" t="s">
        <v>710</v>
      </c>
      <c r="AX5" s="18" t="s">
        <v>711</v>
      </c>
      <c r="AY5" s="18" t="s">
        <v>712</v>
      </c>
      <c r="AZ5" s="18" t="s">
        <v>713</v>
      </c>
      <c r="BA5" s="18" t="s">
        <v>714</v>
      </c>
    </row>
    <row r="6" customFormat="false" ht="15" hidden="false" customHeight="false" outlineLevel="0" collapsed="false">
      <c r="B6" s="23" t="s">
        <v>6</v>
      </c>
      <c r="C6" s="23" t="s">
        <v>715</v>
      </c>
      <c r="D6" s="23" t="s">
        <v>716</v>
      </c>
      <c r="E6" s="23" t="s">
        <v>251</v>
      </c>
      <c r="F6" s="65" t="n">
        <v>0.5</v>
      </c>
      <c r="G6" s="7"/>
      <c r="H6" s="7"/>
      <c r="I6" s="65" t="n">
        <v>0</v>
      </c>
      <c r="J6" s="23" t="s">
        <v>717</v>
      </c>
      <c r="K6"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6"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32</v>
      </c>
      <c r="M6" s="23"/>
      <c r="N6"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2</v>
      </c>
      <c r="O6"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6"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6" s="94" t="n">
        <f aca="false">IF(ResourceTable[[#This Row],[Focus %]]="",FocusFactor,N(ResourceTable[[#This Row],[Focus %]]))</f>
        <v>0</v>
      </c>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c r="AY6" s="23"/>
      <c r="AZ6" s="23"/>
      <c r="BA6" s="23"/>
    </row>
    <row r="7" customFormat="false" ht="15" hidden="false" customHeight="false" outlineLevel="0" collapsed="false">
      <c r="B7" s="23" t="s">
        <v>643</v>
      </c>
      <c r="C7" s="23" t="s">
        <v>718</v>
      </c>
      <c r="D7" s="23" t="s">
        <v>719</v>
      </c>
      <c r="E7" s="23" t="s">
        <v>251</v>
      </c>
      <c r="F7" s="65" t="n">
        <v>1</v>
      </c>
      <c r="G7" s="7"/>
      <c r="H7" s="7"/>
      <c r="I7" s="65"/>
      <c r="J7" s="23" t="s">
        <v>720</v>
      </c>
      <c r="K7"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7"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80</v>
      </c>
      <c r="M7" s="23"/>
      <c r="N7"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7"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7"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1</v>
      </c>
      <c r="Q7" s="94" t="n">
        <f aca="false">IF(ResourceTable[[#This Row],[Focus %]]="",FocusFactor,N(ResourceTable[[#This Row],[Focus %]]))</f>
        <v>0.8</v>
      </c>
      <c r="R7" s="23"/>
      <c r="S7" s="23"/>
      <c r="T7" s="23"/>
      <c r="U7" s="23"/>
      <c r="V7" s="23"/>
      <c r="W7" s="23"/>
      <c r="X7" s="23"/>
      <c r="Y7" s="23"/>
      <c r="Z7" s="23"/>
      <c r="AA7" s="23"/>
      <c r="AB7" s="23"/>
      <c r="AC7" s="23" t="s">
        <v>721</v>
      </c>
      <c r="AD7" s="23"/>
      <c r="AE7" s="23"/>
      <c r="AF7" s="23"/>
      <c r="AG7" s="23"/>
      <c r="AH7" s="23"/>
      <c r="AI7" s="23"/>
      <c r="AJ7" s="23"/>
      <c r="AK7" s="23"/>
      <c r="AL7" s="23"/>
      <c r="AM7" s="23"/>
      <c r="AN7" s="23"/>
      <c r="AO7" s="23"/>
      <c r="AP7" s="23"/>
      <c r="AQ7" s="23"/>
      <c r="AR7" s="23"/>
      <c r="AS7" s="23"/>
      <c r="AT7" s="23"/>
      <c r="AU7" s="23"/>
      <c r="AV7" s="23"/>
      <c r="AW7" s="23"/>
      <c r="AX7" s="23"/>
      <c r="AY7" s="23"/>
      <c r="AZ7" s="23"/>
      <c r="BA7" s="23"/>
    </row>
    <row r="8" customFormat="false" ht="15" hidden="false" customHeight="false" outlineLevel="0" collapsed="false">
      <c r="B8" s="23" t="s">
        <v>722</v>
      </c>
      <c r="C8" s="23" t="s">
        <v>723</v>
      </c>
      <c r="D8" s="23" t="s">
        <v>724</v>
      </c>
      <c r="E8" s="23" t="s">
        <v>251</v>
      </c>
      <c r="F8" s="65" t="n">
        <v>0.5</v>
      </c>
      <c r="G8" s="7"/>
      <c r="H8" s="7"/>
      <c r="I8" s="65" t="n">
        <v>0</v>
      </c>
      <c r="J8" s="23" t="s">
        <v>725</v>
      </c>
      <c r="K8"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8"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8" s="23"/>
      <c r="N8"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8"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8"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8" s="94" t="n">
        <f aca="false">IF(ResourceTable[[#This Row],[Focus %]]="",FocusFactor,N(ResourceTable[[#This Row],[Focus %]]))</f>
        <v>0</v>
      </c>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row>
    <row r="9" customFormat="false" ht="15" hidden="false" customHeight="false" outlineLevel="0" collapsed="false">
      <c r="B9" s="23" t="s">
        <v>651</v>
      </c>
      <c r="C9" s="23" t="s">
        <v>726</v>
      </c>
      <c r="D9" s="23" t="s">
        <v>727</v>
      </c>
      <c r="E9" s="23" t="s">
        <v>251</v>
      </c>
      <c r="F9" s="65" t="n">
        <v>1</v>
      </c>
      <c r="G9" s="7"/>
      <c r="H9" s="7"/>
      <c r="I9" s="65"/>
      <c r="J9" s="23" t="s">
        <v>728</v>
      </c>
      <c r="K9"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9"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48</v>
      </c>
      <c r="M9" s="23"/>
      <c r="N9"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9"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9"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9" s="94" t="n">
        <f aca="false">IF(ResourceTable[[#This Row],[Focus %]]="",FocusFactor,N(ResourceTable[[#This Row],[Focus %]]))</f>
        <v>0.8</v>
      </c>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row>
    <row r="10" customFormat="false" ht="15" hidden="false" customHeight="false" outlineLevel="0" collapsed="false">
      <c r="B10" s="23" t="s">
        <v>729</v>
      </c>
      <c r="C10" s="23" t="s">
        <v>730</v>
      </c>
      <c r="D10" s="23" t="s">
        <v>731</v>
      </c>
      <c r="E10" s="23" t="s">
        <v>251</v>
      </c>
      <c r="F10" s="65" t="n">
        <v>1</v>
      </c>
      <c r="G10" s="7"/>
      <c r="H10" s="7"/>
      <c r="I10" s="65"/>
      <c r="J10" s="23" t="s">
        <v>732</v>
      </c>
      <c r="K10"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10"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10" s="23"/>
      <c r="N10"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10"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10"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0" s="94" t="n">
        <f aca="false">IF(ResourceTable[[#This Row],[Focus %]]="",FocusFactor,N(ResourceTable[[#This Row],[Focus %]]))</f>
        <v>0.8</v>
      </c>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row>
    <row r="11" customFormat="false" ht="15" hidden="false" customHeight="false" outlineLevel="0" collapsed="false">
      <c r="B11" s="23" t="s">
        <v>657</v>
      </c>
      <c r="C11" s="23" t="s">
        <v>733</v>
      </c>
      <c r="D11" s="23" t="s">
        <v>734</v>
      </c>
      <c r="E11" s="23" t="s">
        <v>251</v>
      </c>
      <c r="F11" s="65" t="n">
        <v>1</v>
      </c>
      <c r="G11" s="7"/>
      <c r="H11" s="7"/>
      <c r="I11" s="65"/>
      <c r="J11" s="23" t="s">
        <v>735</v>
      </c>
      <c r="K11"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1"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60</v>
      </c>
      <c r="M11" s="23"/>
      <c r="N11"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11"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11"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1" s="94" t="n">
        <f aca="false">IF(ResourceTable[[#This Row],[Focus %]]="",FocusFactor,N(ResourceTable[[#This Row],[Focus %]]))</f>
        <v>0.8</v>
      </c>
      <c r="R11" s="23"/>
      <c r="S11" s="23"/>
      <c r="T11" s="23"/>
      <c r="U11" s="23"/>
      <c r="V11" s="23"/>
      <c r="W11" s="23"/>
      <c r="X11" s="23"/>
      <c r="Y11" s="23"/>
      <c r="Z11" s="23"/>
      <c r="AA11" s="23"/>
      <c r="AB11" s="23" t="s">
        <v>736</v>
      </c>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row>
    <row r="12" customFormat="false" ht="15" hidden="false" customHeight="false" outlineLevel="0" collapsed="false">
      <c r="B12" s="23" t="s">
        <v>655</v>
      </c>
      <c r="C12" s="23" t="s">
        <v>737</v>
      </c>
      <c r="D12" s="23" t="s">
        <v>738</v>
      </c>
      <c r="E12" s="23" t="s">
        <v>251</v>
      </c>
      <c r="F12" s="65" t="n">
        <v>1</v>
      </c>
      <c r="G12" s="7"/>
      <c r="H12" s="7"/>
      <c r="I12" s="65"/>
      <c r="J12" s="23" t="s">
        <v>739</v>
      </c>
      <c r="K12"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2"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120</v>
      </c>
      <c r="M12" s="23"/>
      <c r="N12"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1</v>
      </c>
      <c r="O12"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12"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2" s="94" t="n">
        <f aca="false">IF(ResourceTable[[#This Row],[Focus %]]="",FocusFactor,N(ResourceTable[[#This Row],[Focus %]]))</f>
        <v>0.8</v>
      </c>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row>
    <row r="13" customFormat="false" ht="15" hidden="false" customHeight="false" outlineLevel="0" collapsed="false">
      <c r="B13" s="23"/>
      <c r="C13" s="23"/>
      <c r="D13" s="23"/>
      <c r="E13" s="23"/>
      <c r="F13" s="65"/>
      <c r="G13" s="7"/>
      <c r="H13" s="7"/>
      <c r="I13" s="65"/>
      <c r="J13" s="23"/>
      <c r="K1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c r="N1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3" s="94" t="n">
        <f aca="false">IF(ResourceTable[[#This Row],[Focus %]]="",FocusFactor,N(ResourceTable[[#This Row],[Focus %]]))</f>
        <v>0.8</v>
      </c>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row>
    <row r="14" customFormat="false" ht="15" hidden="false" customHeight="false" outlineLevel="0" collapsed="false">
      <c r="B14" s="23"/>
      <c r="C14" s="23"/>
      <c r="D14" s="23"/>
      <c r="E14" s="23"/>
      <c r="F14" s="65"/>
      <c r="G14" s="7"/>
      <c r="H14" s="7"/>
      <c r="I14" s="65"/>
      <c r="J14" s="23"/>
      <c r="K1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c r="N1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4" s="94" t="n">
        <f aca="false">IF(ResourceTable[[#This Row],[Focus %]]="",FocusFactor,N(ResourceTable[[#This Row],[Focus %]]))</f>
        <v>0.8</v>
      </c>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row>
    <row r="15" customFormat="false" ht="15" hidden="false" customHeight="false" outlineLevel="0" collapsed="false">
      <c r="B15" s="23"/>
      <c r="C15" s="23"/>
      <c r="D15" s="23"/>
      <c r="E15" s="23"/>
      <c r="F15" s="65"/>
      <c r="G15" s="7"/>
      <c r="H15" s="7"/>
      <c r="I15" s="65"/>
      <c r="J15" s="23"/>
      <c r="K1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c r="N1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5" s="94" t="n">
        <f aca="false">IF(ResourceTable[[#This Row],[Focus %]]="",FocusFactor,N(ResourceTable[[#This Row],[Focus %]]))</f>
        <v>0.8</v>
      </c>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row>
    <row r="16" customFormat="false" ht="15" hidden="false" customHeight="false" outlineLevel="0" collapsed="false">
      <c r="B16" s="23"/>
      <c r="C16" s="23"/>
      <c r="D16" s="23"/>
      <c r="E16" s="23"/>
      <c r="F16" s="65"/>
      <c r="G16" s="7"/>
      <c r="H16" s="7"/>
      <c r="I16" s="65"/>
      <c r="J16" s="23"/>
      <c r="K1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c r="N1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6" s="94" t="n">
        <f aca="false">IF(ResourceTable[[#This Row],[Focus %]]="",FocusFactor,N(ResourceTable[[#This Row],[Focus %]]))</f>
        <v>0.8</v>
      </c>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row>
    <row r="17" customFormat="false" ht="15" hidden="false" customHeight="false" outlineLevel="0" collapsed="false">
      <c r="B17" s="23"/>
      <c r="C17" s="23"/>
      <c r="D17" s="23"/>
      <c r="E17" s="23"/>
      <c r="F17" s="65"/>
      <c r="G17" s="7"/>
      <c r="H17" s="7"/>
      <c r="I17" s="65"/>
      <c r="J17" s="23"/>
      <c r="K1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c r="N1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7" s="94" t="n">
        <f aca="false">IF(ResourceTable[[#This Row],[Focus %]]="",FocusFactor,N(ResourceTable[[#This Row],[Focus %]]))</f>
        <v>0.8</v>
      </c>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row>
    <row r="18" customFormat="false" ht="15" hidden="false" customHeight="false" outlineLevel="0" collapsed="false">
      <c r="B18" s="23"/>
      <c r="C18" s="23"/>
      <c r="D18" s="23"/>
      <c r="E18" s="23"/>
      <c r="F18" s="65"/>
      <c r="G18" s="7"/>
      <c r="H18" s="7"/>
      <c r="I18" s="65"/>
      <c r="J18" s="23"/>
      <c r="K1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c r="N1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8" s="94" t="n">
        <f aca="false">IF(ResourceTable[[#This Row],[Focus %]]="",FocusFactor,N(ResourceTable[[#This Row],[Focus %]]))</f>
        <v>0.8</v>
      </c>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row>
    <row r="19" customFormat="false" ht="15" hidden="false" customHeight="false" outlineLevel="0" collapsed="false">
      <c r="B19" s="23"/>
      <c r="C19" s="23"/>
      <c r="D19" s="23"/>
      <c r="E19" s="23"/>
      <c r="F19" s="65"/>
      <c r="G19" s="7"/>
      <c r="H19" s="7"/>
      <c r="I19" s="65"/>
      <c r="J19" s="23"/>
      <c r="K1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c r="N1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9" s="94" t="n">
        <f aca="false">IF(ResourceTable[[#This Row],[Focus %]]="",FocusFactor,N(ResourceTable[[#This Row],[Focus %]]))</f>
        <v>0.8</v>
      </c>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row>
    <row r="20" customFormat="false" ht="15" hidden="false" customHeight="false" outlineLevel="0" collapsed="false">
      <c r="B20" s="23"/>
      <c r="C20" s="23"/>
      <c r="D20" s="23"/>
      <c r="E20" s="23"/>
      <c r="F20" s="65"/>
      <c r="G20" s="7"/>
      <c r="H20" s="7"/>
      <c r="I20" s="65"/>
      <c r="J20" s="23"/>
      <c r="K2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c r="N2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0" s="94" t="n">
        <f aca="false">IF(ResourceTable[[#This Row],[Focus %]]="",FocusFactor,N(ResourceTable[[#This Row],[Focus %]]))</f>
        <v>0.8</v>
      </c>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row>
    <row r="21" customFormat="false" ht="15" hidden="false" customHeight="false" outlineLevel="0" collapsed="false">
      <c r="B21" s="23"/>
      <c r="C21" s="23"/>
      <c r="D21" s="23"/>
      <c r="E21" s="23"/>
      <c r="F21" s="65"/>
      <c r="G21" s="7"/>
      <c r="H21" s="7"/>
      <c r="I21" s="65"/>
      <c r="J21" s="23"/>
      <c r="K2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c r="N2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1" s="94" t="n">
        <f aca="false">IF(ResourceTable[[#This Row],[Focus %]]="",FocusFactor,N(ResourceTable[[#This Row],[Focus %]]))</f>
        <v>0.8</v>
      </c>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row>
    <row r="22" customFormat="false" ht="15" hidden="false" customHeight="false" outlineLevel="0" collapsed="false">
      <c r="B22" s="23"/>
      <c r="C22" s="23"/>
      <c r="D22" s="23"/>
      <c r="E22" s="23"/>
      <c r="F22" s="65"/>
      <c r="G22" s="7"/>
      <c r="H22" s="7"/>
      <c r="I22" s="65"/>
      <c r="J22" s="23"/>
      <c r="K2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c r="N2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2" s="94" t="n">
        <f aca="false">IF(ResourceTable[[#This Row],[Focus %]]="",FocusFactor,N(ResourceTable[[#This Row],[Focus %]]))</f>
        <v>0.8</v>
      </c>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row>
    <row r="23" customFormat="false" ht="15" hidden="false" customHeight="false" outlineLevel="0" collapsed="false">
      <c r="B23" s="23"/>
      <c r="C23" s="23"/>
      <c r="D23" s="23"/>
      <c r="E23" s="23"/>
      <c r="F23" s="65"/>
      <c r="G23" s="7"/>
      <c r="H23" s="7"/>
      <c r="I23" s="65"/>
      <c r="J23" s="23"/>
      <c r="K2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c r="N2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3" s="94" t="n">
        <f aca="false">IF(ResourceTable[[#This Row],[Focus %]]="",FocusFactor,N(ResourceTable[[#This Row],[Focus %]]))</f>
        <v>0.8</v>
      </c>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row>
    <row r="24" customFormat="false" ht="15" hidden="false" customHeight="false" outlineLevel="0" collapsed="false">
      <c r="B24" s="23"/>
      <c r="C24" s="23"/>
      <c r="D24" s="23"/>
      <c r="E24" s="23"/>
      <c r="F24" s="65"/>
      <c r="G24" s="7"/>
      <c r="H24" s="7"/>
      <c r="I24" s="65"/>
      <c r="J24" s="23"/>
      <c r="K2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c r="N2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4" s="94" t="n">
        <f aca="false">IF(ResourceTable[[#This Row],[Focus %]]="",FocusFactor,N(ResourceTable[[#This Row],[Focus %]]))</f>
        <v>0.8</v>
      </c>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row>
    <row r="25" customFormat="false" ht="15" hidden="false" customHeight="false" outlineLevel="0" collapsed="false">
      <c r="B25" s="23"/>
      <c r="C25" s="23"/>
      <c r="D25" s="23"/>
      <c r="E25" s="23"/>
      <c r="F25" s="65"/>
      <c r="G25" s="7"/>
      <c r="H25" s="7"/>
      <c r="I25" s="65"/>
      <c r="J25" s="23"/>
      <c r="K2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c r="N2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5" s="94" t="n">
        <f aca="false">IF(ResourceTable[[#This Row],[Focus %]]="",FocusFactor,N(ResourceTable[[#This Row],[Focus %]]))</f>
        <v>0.8</v>
      </c>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row>
    <row r="26" customFormat="false" ht="15" hidden="false" customHeight="false" outlineLevel="0" collapsed="false">
      <c r="B26" s="23"/>
      <c r="C26" s="23"/>
      <c r="D26" s="23"/>
      <c r="E26" s="23"/>
      <c r="F26" s="65"/>
      <c r="G26" s="7"/>
      <c r="H26" s="7"/>
      <c r="I26" s="65"/>
      <c r="J26" s="23"/>
      <c r="K2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c r="N2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6" s="94" t="n">
        <f aca="false">IF(ResourceTable[[#This Row],[Focus %]]="",FocusFactor,N(ResourceTable[[#This Row],[Focus %]]))</f>
        <v>0.8</v>
      </c>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row>
    <row r="27" customFormat="false" ht="15" hidden="false" customHeight="false" outlineLevel="0" collapsed="false">
      <c r="B27" s="23"/>
      <c r="C27" s="23"/>
      <c r="D27" s="23"/>
      <c r="E27" s="23"/>
      <c r="F27" s="65"/>
      <c r="G27" s="7"/>
      <c r="H27" s="7"/>
      <c r="I27" s="65"/>
      <c r="J27" s="23"/>
      <c r="K2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c r="N2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7" s="94" t="n">
        <f aca="false">IF(ResourceTable[[#This Row],[Focus %]]="",FocusFactor,N(ResourceTable[[#This Row],[Focus %]]))</f>
        <v>0.8</v>
      </c>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row>
    <row r="28" customFormat="false" ht="15" hidden="false" customHeight="false" outlineLevel="0" collapsed="false">
      <c r="B28" s="23"/>
      <c r="C28" s="23"/>
      <c r="D28" s="23"/>
      <c r="E28" s="23"/>
      <c r="F28" s="65"/>
      <c r="G28" s="7"/>
      <c r="H28" s="7"/>
      <c r="I28" s="65"/>
      <c r="J28" s="23"/>
      <c r="K2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c r="N2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8" s="94" t="n">
        <f aca="false">IF(ResourceTable[[#This Row],[Focus %]]="",FocusFactor,N(ResourceTable[[#This Row],[Focus %]]))</f>
        <v>0.8</v>
      </c>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row>
    <row r="29" customFormat="false" ht="15" hidden="false" customHeight="false" outlineLevel="0" collapsed="false">
      <c r="B29" s="23"/>
      <c r="C29" s="23"/>
      <c r="D29" s="23"/>
      <c r="E29" s="23"/>
      <c r="F29" s="65"/>
      <c r="G29" s="7"/>
      <c r="H29" s="7"/>
      <c r="I29" s="65"/>
      <c r="J29" s="23"/>
      <c r="K2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c r="N2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9" s="94" t="n">
        <f aca="false">IF(ResourceTable[[#This Row],[Focus %]]="",FocusFactor,N(ResourceTable[[#This Row],[Focus %]]))</f>
        <v>0.8</v>
      </c>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row>
    <row r="30" customFormat="false" ht="15" hidden="false" customHeight="false" outlineLevel="0" collapsed="false">
      <c r="B30" s="23"/>
      <c r="C30" s="23"/>
      <c r="D30" s="23"/>
      <c r="E30" s="23"/>
      <c r="F30" s="65"/>
      <c r="G30" s="7"/>
      <c r="H30" s="7"/>
      <c r="I30" s="65"/>
      <c r="J30" s="23"/>
      <c r="K3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c r="N3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0" s="94" t="n">
        <f aca="false">IF(ResourceTable[[#This Row],[Focus %]]="",FocusFactor,N(ResourceTable[[#This Row],[Focus %]]))</f>
        <v>0.8</v>
      </c>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c r="BA30" s="23"/>
    </row>
    <row r="31" customFormat="false" ht="15" hidden="false" customHeight="false" outlineLevel="0" collapsed="false">
      <c r="B31" s="23"/>
      <c r="C31" s="23"/>
      <c r="D31" s="23"/>
      <c r="E31" s="23"/>
      <c r="F31" s="65"/>
      <c r="G31" s="7"/>
      <c r="H31" s="7"/>
      <c r="I31" s="65"/>
      <c r="J31" s="23"/>
      <c r="K3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c r="N3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1" s="94" t="n">
        <f aca="false">IF(ResourceTable[[#This Row],[Focus %]]="",FocusFactor,N(ResourceTable[[#This Row],[Focus %]]))</f>
        <v>0.8</v>
      </c>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row>
    <row r="32" customFormat="false" ht="15" hidden="false" customHeight="false" outlineLevel="0" collapsed="false">
      <c r="B32" s="23"/>
      <c r="C32" s="23"/>
      <c r="D32" s="23"/>
      <c r="E32" s="23"/>
      <c r="F32" s="65"/>
      <c r="G32" s="7"/>
      <c r="H32" s="7"/>
      <c r="I32" s="65"/>
      <c r="J32" s="23"/>
      <c r="K3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c r="N3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2" s="94" t="n">
        <f aca="false">IF(ResourceTable[[#This Row],[Focus %]]="",FocusFactor,N(ResourceTable[[#This Row],[Focus %]]))</f>
        <v>0.8</v>
      </c>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c r="BA32" s="23"/>
    </row>
    <row r="33" customFormat="false" ht="15" hidden="false" customHeight="false" outlineLevel="0" collapsed="false">
      <c r="B33" s="23"/>
      <c r="C33" s="23"/>
      <c r="D33" s="23"/>
      <c r="E33" s="23"/>
      <c r="F33" s="65"/>
      <c r="G33" s="7"/>
      <c r="H33" s="7"/>
      <c r="I33" s="65"/>
      <c r="J33" s="23"/>
      <c r="K3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c r="N3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3" s="94" t="n">
        <f aca="false">IF(ResourceTable[[#This Row],[Focus %]]="",FocusFactor,N(ResourceTable[[#This Row],[Focus %]]))</f>
        <v>0.8</v>
      </c>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c r="AY33" s="23"/>
      <c r="AZ33" s="23"/>
      <c r="BA33" s="23"/>
    </row>
    <row r="34" customFormat="false" ht="15" hidden="false" customHeight="false" outlineLevel="0" collapsed="false">
      <c r="B34" s="23"/>
      <c r="C34" s="23"/>
      <c r="D34" s="23"/>
      <c r="E34" s="23"/>
      <c r="F34" s="65"/>
      <c r="G34" s="7"/>
      <c r="H34" s="7"/>
      <c r="I34" s="65"/>
      <c r="J34" s="23"/>
      <c r="K3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c r="N3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4" s="94" t="n">
        <f aca="false">IF(ResourceTable[[#This Row],[Focus %]]="",FocusFactor,N(ResourceTable[[#This Row],[Focus %]]))</f>
        <v>0.8</v>
      </c>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c r="BA34" s="23"/>
    </row>
    <row r="35" customFormat="false" ht="15" hidden="false" customHeight="false" outlineLevel="0" collapsed="false">
      <c r="B35" s="23"/>
      <c r="C35" s="23"/>
      <c r="D35" s="23"/>
      <c r="E35" s="23"/>
      <c r="F35" s="65"/>
      <c r="G35" s="7"/>
      <c r="H35" s="7"/>
      <c r="I35" s="65"/>
      <c r="J35" s="23"/>
      <c r="K3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c r="N3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5" s="94" t="n">
        <f aca="false">IF(ResourceTable[[#This Row],[Focus %]]="",FocusFactor,N(ResourceTable[[#This Row],[Focus %]]))</f>
        <v>0.8</v>
      </c>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row>
    <row r="36" customFormat="false" ht="15" hidden="false" customHeight="false" outlineLevel="0" collapsed="false">
      <c r="B36" s="23"/>
      <c r="C36" s="23"/>
      <c r="D36" s="23"/>
      <c r="E36" s="23"/>
      <c r="F36" s="65"/>
      <c r="G36" s="7"/>
      <c r="H36" s="7"/>
      <c r="I36" s="65"/>
      <c r="J36" s="23"/>
      <c r="K3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c r="N3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6" s="94" t="n">
        <f aca="false">IF(ResourceTable[[#This Row],[Focus %]]="",FocusFactor,N(ResourceTable[[#This Row],[Focus %]]))</f>
        <v>0.8</v>
      </c>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row>
    <row r="37" customFormat="false" ht="15" hidden="false" customHeight="false" outlineLevel="0" collapsed="false">
      <c r="B37" s="23"/>
      <c r="C37" s="23"/>
      <c r="D37" s="23"/>
      <c r="E37" s="23"/>
      <c r="F37" s="65"/>
      <c r="G37" s="7"/>
      <c r="H37" s="7"/>
      <c r="I37" s="65"/>
      <c r="J37" s="23"/>
      <c r="K3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c r="N3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7" s="94" t="n">
        <f aca="false">IF(ResourceTable[[#This Row],[Focus %]]="",FocusFactor,N(ResourceTable[[#This Row],[Focus %]]))</f>
        <v>0.8</v>
      </c>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row>
    <row r="38" customFormat="false" ht="15" hidden="false" customHeight="false" outlineLevel="0" collapsed="false">
      <c r="B38" s="23"/>
      <c r="C38" s="23"/>
      <c r="D38" s="23"/>
      <c r="E38" s="23"/>
      <c r="F38" s="65"/>
      <c r="G38" s="7"/>
      <c r="H38" s="7"/>
      <c r="I38" s="65"/>
      <c r="J38" s="23"/>
      <c r="K3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c r="N3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8" s="94" t="n">
        <f aca="false">IF(ResourceTable[[#This Row],[Focus %]]="",FocusFactor,N(ResourceTable[[#This Row],[Focus %]]))</f>
        <v>0.8</v>
      </c>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row>
    <row r="39" customFormat="false" ht="15" hidden="false" customHeight="false" outlineLevel="0" collapsed="false">
      <c r="B39" s="23"/>
      <c r="C39" s="23"/>
      <c r="D39" s="23"/>
      <c r="E39" s="23"/>
      <c r="F39" s="65"/>
      <c r="G39" s="7"/>
      <c r="H39" s="7"/>
      <c r="I39" s="65"/>
      <c r="J39" s="23"/>
      <c r="K3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c r="N3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9" s="94" t="n">
        <f aca="false">IF(ResourceTable[[#This Row],[Focus %]]="",FocusFactor,N(ResourceTable[[#This Row],[Focus %]]))</f>
        <v>0.8</v>
      </c>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row>
    <row r="40" customFormat="false" ht="15" hidden="false" customHeight="false" outlineLevel="0" collapsed="false">
      <c r="B40" s="23"/>
      <c r="C40" s="23"/>
      <c r="D40" s="23"/>
      <c r="E40" s="23"/>
      <c r="F40" s="65"/>
      <c r="G40" s="7"/>
      <c r="H40" s="7"/>
      <c r="I40" s="65"/>
      <c r="J40" s="23"/>
      <c r="K4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c r="N4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0" s="94" t="n">
        <f aca="false">IF(ResourceTable[[#This Row],[Focus %]]="",FocusFactor,N(ResourceTable[[#This Row],[Focus %]]))</f>
        <v>0.8</v>
      </c>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row>
    <row r="41" customFormat="false" ht="15" hidden="false" customHeight="false" outlineLevel="0" collapsed="false">
      <c r="B41" s="23"/>
      <c r="C41" s="23"/>
      <c r="D41" s="23"/>
      <c r="E41" s="23"/>
      <c r="F41" s="65"/>
      <c r="G41" s="7"/>
      <c r="H41" s="7"/>
      <c r="I41" s="65"/>
      <c r="J41" s="23"/>
      <c r="K4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c r="N4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1" s="94" t="n">
        <f aca="false">IF(ResourceTable[[#This Row],[Focus %]]="",FocusFactor,N(ResourceTable[[#This Row],[Focus %]]))</f>
        <v>0.8</v>
      </c>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row>
    <row r="42" customFormat="false" ht="15" hidden="false" customHeight="false" outlineLevel="0" collapsed="false">
      <c r="B42" s="23"/>
      <c r="C42" s="23"/>
      <c r="D42" s="23"/>
      <c r="E42" s="23"/>
      <c r="F42" s="65"/>
      <c r="G42" s="7"/>
      <c r="H42" s="7"/>
      <c r="I42" s="65"/>
      <c r="J42" s="23"/>
      <c r="K4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c r="N4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2" s="94" t="n">
        <f aca="false">IF(ResourceTable[[#This Row],[Focus %]]="",FocusFactor,N(ResourceTable[[#This Row],[Focus %]]))</f>
        <v>0.8</v>
      </c>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row>
    <row r="43" customFormat="false" ht="15" hidden="false" customHeight="false" outlineLevel="0" collapsed="false">
      <c r="B43" s="23"/>
      <c r="C43" s="23"/>
      <c r="D43" s="23"/>
      <c r="E43" s="23"/>
      <c r="F43" s="65"/>
      <c r="G43" s="7"/>
      <c r="H43" s="7"/>
      <c r="I43" s="65"/>
      <c r="J43" s="23"/>
      <c r="K4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c r="N4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3" s="94" t="n">
        <f aca="false">IF(ResourceTable[[#This Row],[Focus %]]="",FocusFactor,N(ResourceTable[[#This Row],[Focus %]]))</f>
        <v>0.8</v>
      </c>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row>
    <row r="44" customFormat="false" ht="15" hidden="false" customHeight="false" outlineLevel="0" collapsed="false">
      <c r="B44" s="23"/>
      <c r="C44" s="23"/>
      <c r="D44" s="23"/>
      <c r="E44" s="23"/>
      <c r="F44" s="65"/>
      <c r="G44" s="7"/>
      <c r="H44" s="7"/>
      <c r="I44" s="65"/>
      <c r="J44" s="23"/>
      <c r="K4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c r="N4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4" s="94" t="n">
        <f aca="false">IF(ResourceTable[[#This Row],[Focus %]]="",FocusFactor,N(ResourceTable[[#This Row],[Focus %]]))</f>
        <v>0.8</v>
      </c>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row>
    <row r="45" customFormat="false" ht="15" hidden="false" customHeight="false" outlineLevel="0" collapsed="false">
      <c r="B45" s="23"/>
      <c r="C45" s="23"/>
      <c r="D45" s="23"/>
      <c r="E45" s="23"/>
      <c r="F45" s="65"/>
      <c r="G45" s="7"/>
      <c r="H45" s="7"/>
      <c r="I45" s="65"/>
      <c r="J45" s="23"/>
      <c r="K4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c r="N4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5" s="94" t="n">
        <f aca="false">IF(ResourceTable[[#This Row],[Focus %]]="",FocusFactor,N(ResourceTable[[#This Row],[Focus %]]))</f>
        <v>0.8</v>
      </c>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row>
    <row r="46" customFormat="false" ht="15" hidden="false" customHeight="false" outlineLevel="0" collapsed="false">
      <c r="B46" s="23"/>
      <c r="C46" s="23"/>
      <c r="D46" s="23"/>
      <c r="E46" s="23"/>
      <c r="F46" s="65"/>
      <c r="G46" s="7"/>
      <c r="H46" s="7"/>
      <c r="I46" s="65"/>
      <c r="J46" s="23"/>
      <c r="K4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c r="N4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6" s="94" t="n">
        <f aca="false">IF(ResourceTable[[#This Row],[Focus %]]="",FocusFactor,N(ResourceTable[[#This Row],[Focus %]]))</f>
        <v>0.8</v>
      </c>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row>
    <row r="47" customFormat="false" ht="15" hidden="false" customHeight="false" outlineLevel="0" collapsed="false">
      <c r="B47" s="23"/>
      <c r="C47" s="23"/>
      <c r="D47" s="23"/>
      <c r="E47" s="23"/>
      <c r="F47" s="65"/>
      <c r="G47" s="7"/>
      <c r="H47" s="7"/>
      <c r="I47" s="65"/>
      <c r="J47" s="23"/>
      <c r="K4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c r="N4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7" s="94" t="n">
        <f aca="false">IF(ResourceTable[[#This Row],[Focus %]]="",FocusFactor,N(ResourceTable[[#This Row],[Focus %]]))</f>
        <v>0.8</v>
      </c>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row>
    <row r="48" customFormat="false" ht="15" hidden="false" customHeight="false" outlineLevel="0" collapsed="false">
      <c r="B48" s="23"/>
      <c r="C48" s="23"/>
      <c r="D48" s="23"/>
      <c r="E48" s="23"/>
      <c r="F48" s="65"/>
      <c r="G48" s="7"/>
      <c r="H48" s="7"/>
      <c r="I48" s="65"/>
      <c r="J48" s="23"/>
      <c r="K4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c r="N4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8" s="94" t="n">
        <f aca="false">IF(ResourceTable[[#This Row],[Focus %]]="",FocusFactor,N(ResourceTable[[#This Row],[Focus %]]))</f>
        <v>0.8</v>
      </c>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row>
    <row r="49" customFormat="false" ht="15" hidden="false" customHeight="false" outlineLevel="0" collapsed="false">
      <c r="B49" s="23"/>
      <c r="C49" s="23"/>
      <c r="D49" s="23"/>
      <c r="E49" s="23"/>
      <c r="F49" s="65"/>
      <c r="G49" s="7"/>
      <c r="H49" s="7"/>
      <c r="I49" s="65"/>
      <c r="J49" s="23"/>
      <c r="K4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c r="N4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9" s="94" t="n">
        <f aca="false">IF(ResourceTable[[#This Row],[Focus %]]="",FocusFactor,N(ResourceTable[[#This Row],[Focus %]]))</f>
        <v>0.8</v>
      </c>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row>
    <row r="50" customFormat="false" ht="15" hidden="false" customHeight="false" outlineLevel="0" collapsed="false">
      <c r="B50" s="23"/>
      <c r="C50" s="23"/>
      <c r="D50" s="23"/>
      <c r="E50" s="23"/>
      <c r="F50" s="65"/>
      <c r="G50" s="7"/>
      <c r="H50" s="7"/>
      <c r="I50" s="65"/>
      <c r="J50" s="23"/>
      <c r="K5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c r="N5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0" s="94" t="n">
        <f aca="false">IF(ResourceTable[[#This Row],[Focus %]]="",FocusFactor,N(ResourceTable[[#This Row],[Focus %]]))</f>
        <v>0.8</v>
      </c>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row>
    <row r="51" customFormat="false" ht="15" hidden="false" customHeight="false" outlineLevel="0" collapsed="false">
      <c r="B51" s="23"/>
      <c r="C51" s="23"/>
      <c r="D51" s="23"/>
      <c r="E51" s="23"/>
      <c r="F51" s="65"/>
      <c r="G51" s="7"/>
      <c r="H51" s="7"/>
      <c r="I51" s="65"/>
      <c r="J51" s="23"/>
      <c r="K5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c r="N5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1" s="94" t="n">
        <f aca="false">IF(ResourceTable[[#This Row],[Focus %]]="",FocusFactor,N(ResourceTable[[#This Row],[Focus %]]))</f>
        <v>0.8</v>
      </c>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row>
    <row r="52" customFormat="false" ht="15" hidden="false" customHeight="false" outlineLevel="0" collapsed="false">
      <c r="B52" s="23"/>
      <c r="C52" s="23"/>
      <c r="D52" s="23"/>
      <c r="E52" s="23"/>
      <c r="F52" s="65"/>
      <c r="G52" s="7"/>
      <c r="H52" s="7"/>
      <c r="I52" s="65"/>
      <c r="J52" s="23"/>
      <c r="K5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c r="N5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2" s="94" t="n">
        <f aca="false">IF(ResourceTable[[#This Row],[Focus %]]="",FocusFactor,N(ResourceTable[[#This Row],[Focus %]]))</f>
        <v>0.8</v>
      </c>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row>
    <row r="53" customFormat="false" ht="15" hidden="false" customHeight="false" outlineLevel="0" collapsed="false">
      <c r="B53" s="23"/>
      <c r="C53" s="23"/>
      <c r="D53" s="23"/>
      <c r="E53" s="23"/>
      <c r="F53" s="65"/>
      <c r="G53" s="7"/>
      <c r="H53" s="7"/>
      <c r="I53" s="65"/>
      <c r="J53" s="23"/>
      <c r="K5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c r="N5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3" s="94" t="n">
        <f aca="false">IF(ResourceTable[[#This Row],[Focus %]]="",FocusFactor,N(ResourceTable[[#This Row],[Focus %]]))</f>
        <v>0.8</v>
      </c>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row>
    <row r="54" customFormat="false" ht="15" hidden="false" customHeight="false" outlineLevel="0" collapsed="false">
      <c r="B54" s="23"/>
      <c r="C54" s="23"/>
      <c r="D54" s="23"/>
      <c r="E54" s="23"/>
      <c r="F54" s="65"/>
      <c r="G54" s="7"/>
      <c r="H54" s="7"/>
      <c r="I54" s="65"/>
      <c r="J54" s="23"/>
      <c r="K5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c r="N5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4" s="94" t="n">
        <f aca="false">IF(ResourceTable[[#This Row],[Focus %]]="",FocusFactor,N(ResourceTable[[#This Row],[Focus %]]))</f>
        <v>0.8</v>
      </c>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row>
    <row r="55" customFormat="false" ht="15" hidden="false" customHeight="false" outlineLevel="0" collapsed="false">
      <c r="B55" s="23"/>
      <c r="C55" s="23"/>
      <c r="D55" s="23"/>
      <c r="E55" s="23"/>
      <c r="F55" s="65"/>
      <c r="G55" s="7"/>
      <c r="H55" s="7"/>
      <c r="I55" s="65"/>
      <c r="J55" s="23"/>
      <c r="K5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c r="N5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5" s="94" t="n">
        <f aca="false">IF(ResourceTable[[#This Row],[Focus %]]="",FocusFactor,N(ResourceTable[[#This Row],[Focus %]]))</f>
        <v>0.8</v>
      </c>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row>
    <row r="58" customFormat="false" ht="15" hidden="false" customHeight="false" outlineLevel="0" collapsed="false">
      <c r="B58" s="28" t="s">
        <v>740</v>
      </c>
    </row>
    <row r="60" customFormat="false" ht="23.85" hidden="false" customHeight="false" outlineLevel="0" collapsed="false">
      <c r="B60" s="18" t="s">
        <v>741</v>
      </c>
      <c r="C60" s="18" t="s">
        <v>742</v>
      </c>
      <c r="D60" s="18" t="s">
        <v>743</v>
      </c>
      <c r="E60" s="18" t="s">
        <v>744</v>
      </c>
      <c r="F60" s="18" t="s">
        <v>745</v>
      </c>
      <c r="G60" s="18" t="s">
        <v>746</v>
      </c>
      <c r="H60" s="18" t="s">
        <v>747</v>
      </c>
      <c r="I60" s="18" t="s">
        <v>748</v>
      </c>
      <c r="J60" s="18" t="s">
        <v>749</v>
      </c>
      <c r="K60" s="18" t="s">
        <v>750</v>
      </c>
      <c r="L60" s="18" t="s">
        <v>751</v>
      </c>
      <c r="M60" s="18" t="s">
        <v>752</v>
      </c>
      <c r="N60" s="18" t="s">
        <v>753</v>
      </c>
      <c r="O60" s="18" t="s">
        <v>754</v>
      </c>
      <c r="P60" s="18" t="s">
        <v>755</v>
      </c>
      <c r="Q60" s="18" t="s">
        <v>756</v>
      </c>
      <c r="R60" s="18" t="s">
        <v>757</v>
      </c>
      <c r="S60" s="18" t="s">
        <v>758</v>
      </c>
      <c r="T60" s="18" t="s">
        <v>759</v>
      </c>
      <c r="U60" s="18" t="s">
        <v>760</v>
      </c>
      <c r="V60" s="18" t="s">
        <v>761</v>
      </c>
      <c r="W60" s="18" t="s">
        <v>762</v>
      </c>
      <c r="X60" s="18" t="s">
        <v>763</v>
      </c>
      <c r="Y60" s="18" t="s">
        <v>764</v>
      </c>
      <c r="Z60" s="18" t="s">
        <v>765</v>
      </c>
      <c r="AA60" s="18" t="s">
        <v>766</v>
      </c>
      <c r="AB60" s="18" t="s">
        <v>767</v>
      </c>
      <c r="AC60" s="18" t="s">
        <v>768</v>
      </c>
      <c r="AD60" s="18" t="s">
        <v>769</v>
      </c>
      <c r="AE60" s="18" t="s">
        <v>770</v>
      </c>
      <c r="AF60" s="18" t="s">
        <v>771</v>
      </c>
      <c r="AG60" s="18" t="s">
        <v>772</v>
      </c>
      <c r="AH60" s="18" t="s">
        <v>773</v>
      </c>
      <c r="AI60" s="17" t="s">
        <v>774</v>
      </c>
      <c r="AJ60" s="42" t="s">
        <v>775</v>
      </c>
    </row>
    <row r="61" customFormat="false" ht="15" hidden="false" customHeight="false" outlineLevel="0" collapsed="false">
      <c r="B61" s="23" t="s">
        <v>651</v>
      </c>
      <c r="C61" s="23" t="s">
        <v>689</v>
      </c>
      <c r="D61" s="22"/>
      <c r="E61" s="22"/>
      <c r="F61" s="22"/>
      <c r="G61" s="22"/>
      <c r="H61" s="22"/>
      <c r="I61" s="22"/>
      <c r="J61" s="22"/>
      <c r="K61" s="22"/>
      <c r="L61" s="22"/>
      <c r="M61" s="22"/>
      <c r="N61" s="22"/>
      <c r="O61" s="22"/>
      <c r="P61" s="22"/>
      <c r="Q61" s="22"/>
      <c r="R61" s="22"/>
      <c r="S61" s="22" t="n">
        <v>1</v>
      </c>
      <c r="T61" s="22" t="n">
        <v>0.5</v>
      </c>
      <c r="U61" s="22" t="n">
        <v>1</v>
      </c>
      <c r="V61" s="22" t="n">
        <v>1</v>
      </c>
      <c r="W61" s="22" t="n">
        <v>1</v>
      </c>
      <c r="X61" s="22"/>
      <c r="Y61" s="22"/>
      <c r="Z61" s="22" t="n">
        <v>1</v>
      </c>
      <c r="AA61" s="22" t="n">
        <v>1</v>
      </c>
      <c r="AB61" s="22" t="n">
        <v>1</v>
      </c>
      <c r="AC61" s="22" t="n">
        <v>1</v>
      </c>
      <c r="AD61" s="22" t="n">
        <v>1</v>
      </c>
      <c r="AE61" s="22"/>
      <c r="AF61" s="22"/>
      <c r="AG61" s="22"/>
      <c r="AH61" s="22"/>
      <c r="AI6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16, 17(0.5), 18, 19, 20, 23, 24, 25, 26, 27</v>
      </c>
      <c r="AJ61" s="43" t="str">
        <f aca="false">LeaveDays[[#This Row],[Resource]]&amp;"|"&amp;LeaveDays[[#This Row],[Month]]</f>
        <v>Casey Kim|Nov-26</v>
      </c>
    </row>
    <row r="62" customFormat="false" ht="15" hidden="false" customHeight="false" outlineLevel="0" collapsed="false">
      <c r="B62" s="23" t="s">
        <v>729</v>
      </c>
      <c r="C62" s="23" t="s">
        <v>688</v>
      </c>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t="n">
        <v>1</v>
      </c>
      <c r="AH62" s="22"/>
      <c r="AI6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30</v>
      </c>
      <c r="AJ62" s="43" t="str">
        <f aca="false">LeaveDays[[#This Row],[Resource]]&amp;"|"&amp;LeaveDays[[#This Row],[Month]]</f>
        <v>Jordan Lee|Oct-26</v>
      </c>
    </row>
    <row r="63" customFormat="false" ht="15" hidden="false" customHeight="false" outlineLevel="0" collapsed="false">
      <c r="B63" s="23" t="s">
        <v>729</v>
      </c>
      <c r="C63" s="23" t="s">
        <v>690</v>
      </c>
      <c r="D63" s="22"/>
      <c r="E63" s="22"/>
      <c r="F63" s="22"/>
      <c r="G63" s="22"/>
      <c r="H63" s="22"/>
      <c r="I63" s="22"/>
      <c r="J63" s="22"/>
      <c r="K63" s="22"/>
      <c r="L63" s="22"/>
      <c r="M63" s="22"/>
      <c r="N63" s="22"/>
      <c r="O63" s="22"/>
      <c r="P63" s="22"/>
      <c r="Q63" s="22"/>
      <c r="R63" s="22"/>
      <c r="S63" s="22"/>
      <c r="T63" s="22"/>
      <c r="U63" s="22"/>
      <c r="V63" s="22"/>
      <c r="W63" s="22"/>
      <c r="X63" s="22" t="n">
        <v>1</v>
      </c>
      <c r="Y63" s="22" t="n">
        <v>1</v>
      </c>
      <c r="Z63" s="22" t="n">
        <v>0.5</v>
      </c>
      <c r="AA63" s="22"/>
      <c r="AB63" s="22"/>
      <c r="AC63" s="22"/>
      <c r="AD63" s="22"/>
      <c r="AE63" s="22"/>
      <c r="AF63" s="22"/>
      <c r="AG63" s="22"/>
      <c r="AH63" s="22"/>
      <c r="AI6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21, 22, 23(0.5)</v>
      </c>
      <c r="AJ63" s="43" t="str">
        <f aca="false">LeaveDays[[#This Row],[Resource]]&amp;"|"&amp;LeaveDays[[#This Row],[Month]]</f>
        <v>Jordan Lee|Dec-26</v>
      </c>
    </row>
    <row r="64" customFormat="false" ht="15" hidden="false" customHeight="false" outlineLevel="0" collapsed="false">
      <c r="B64" s="23"/>
      <c r="C64" s="23"/>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43" t="str">
        <f aca="false">LeaveDays[[#This Row],[Resource]]&amp;"|"&amp;LeaveDays[[#This Row],[Month]]</f>
        <v>|</v>
      </c>
    </row>
    <row r="65" customFormat="false" ht="15" hidden="false" customHeight="false" outlineLevel="0" collapsed="false">
      <c r="B65" s="23"/>
      <c r="C65" s="23"/>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43" t="str">
        <f aca="false">LeaveDays[[#This Row],[Resource]]&amp;"|"&amp;LeaveDays[[#This Row],[Month]]</f>
        <v>|</v>
      </c>
    </row>
    <row r="66" customFormat="false" ht="15" hidden="false" customHeight="false" outlineLevel="0" collapsed="false">
      <c r="B66" s="23"/>
      <c r="C66" s="23"/>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43" t="str">
        <f aca="false">LeaveDays[[#This Row],[Resource]]&amp;"|"&amp;LeaveDays[[#This Row],[Month]]</f>
        <v>|</v>
      </c>
    </row>
    <row r="67" customFormat="false" ht="15" hidden="false" customHeight="false" outlineLevel="0" collapsed="false">
      <c r="B67" s="23"/>
      <c r="C67" s="23"/>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43" t="str">
        <f aca="false">LeaveDays[[#This Row],[Resource]]&amp;"|"&amp;LeaveDays[[#This Row],[Month]]</f>
        <v>|</v>
      </c>
    </row>
    <row r="68" customFormat="false" ht="15" hidden="false" customHeight="false" outlineLevel="0" collapsed="false">
      <c r="B68" s="23"/>
      <c r="C68" s="23"/>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43" t="str">
        <f aca="false">LeaveDays[[#This Row],[Resource]]&amp;"|"&amp;LeaveDays[[#This Row],[Month]]</f>
        <v>|</v>
      </c>
    </row>
    <row r="69" customFormat="false" ht="15" hidden="false" customHeight="false" outlineLevel="0" collapsed="false">
      <c r="B69" s="23"/>
      <c r="C69" s="23"/>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43" t="str">
        <f aca="false">LeaveDays[[#This Row],[Resource]]&amp;"|"&amp;LeaveDays[[#This Row],[Month]]</f>
        <v>|</v>
      </c>
    </row>
    <row r="70" customFormat="false" ht="15" hidden="false" customHeight="false" outlineLevel="0" collapsed="false">
      <c r="B70" s="23"/>
      <c r="C70" s="23"/>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43" t="str">
        <f aca="false">LeaveDays[[#This Row],[Resource]]&amp;"|"&amp;LeaveDays[[#This Row],[Month]]</f>
        <v>|</v>
      </c>
    </row>
    <row r="71" customFormat="false" ht="15" hidden="false" customHeight="false" outlineLevel="0" collapsed="false">
      <c r="B71" s="23"/>
      <c r="C71" s="23"/>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43" t="str">
        <f aca="false">LeaveDays[[#This Row],[Resource]]&amp;"|"&amp;LeaveDays[[#This Row],[Month]]</f>
        <v>|</v>
      </c>
    </row>
    <row r="72" customFormat="false" ht="15" hidden="false" customHeight="false" outlineLevel="0" collapsed="false">
      <c r="B72" s="23"/>
      <c r="C72" s="23"/>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43" t="str">
        <f aca="false">LeaveDays[[#This Row],[Resource]]&amp;"|"&amp;LeaveDays[[#This Row],[Month]]</f>
        <v>|</v>
      </c>
    </row>
    <row r="73" customFormat="false" ht="15" hidden="false" customHeight="false" outlineLevel="0" collapsed="false">
      <c r="B73" s="23"/>
      <c r="C73" s="23"/>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43" t="str">
        <f aca="false">LeaveDays[[#This Row],[Resource]]&amp;"|"&amp;LeaveDays[[#This Row],[Month]]</f>
        <v>|</v>
      </c>
    </row>
    <row r="74" customFormat="false" ht="15" hidden="false" customHeight="false" outlineLevel="0" collapsed="false">
      <c r="B74" s="23"/>
      <c r="C74" s="23"/>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43" t="str">
        <f aca="false">LeaveDays[[#This Row],[Resource]]&amp;"|"&amp;LeaveDays[[#This Row],[Month]]</f>
        <v>|</v>
      </c>
    </row>
    <row r="75" customFormat="false" ht="15" hidden="false" customHeight="false" outlineLevel="0" collapsed="false">
      <c r="B75" s="23"/>
      <c r="C75" s="23"/>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43" t="str">
        <f aca="false">LeaveDays[[#This Row],[Resource]]&amp;"|"&amp;LeaveDays[[#This Row],[Month]]</f>
        <v>|</v>
      </c>
    </row>
    <row r="76" customFormat="false" ht="15" hidden="false" customHeight="false" outlineLevel="0" collapsed="false">
      <c r="B76" s="23"/>
      <c r="C76" s="23"/>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43" t="str">
        <f aca="false">LeaveDays[[#This Row],[Resource]]&amp;"|"&amp;LeaveDays[[#This Row],[Month]]</f>
        <v>|</v>
      </c>
    </row>
    <row r="77" customFormat="false" ht="15" hidden="false" customHeight="false" outlineLevel="0" collapsed="false">
      <c r="B77" s="23"/>
      <c r="C77" s="23"/>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43" t="str">
        <f aca="false">LeaveDays[[#This Row],[Resource]]&amp;"|"&amp;LeaveDays[[#This Row],[Month]]</f>
        <v>|</v>
      </c>
    </row>
    <row r="78" customFormat="false" ht="15" hidden="false" customHeight="false" outlineLevel="0" collapsed="false">
      <c r="B78" s="23"/>
      <c r="C78" s="23"/>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43" t="str">
        <f aca="false">LeaveDays[[#This Row],[Resource]]&amp;"|"&amp;LeaveDays[[#This Row],[Month]]</f>
        <v>|</v>
      </c>
    </row>
    <row r="79" customFormat="false" ht="15" hidden="false" customHeight="false" outlineLevel="0" collapsed="false">
      <c r="B79" s="23"/>
      <c r="C79" s="23"/>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43" t="str">
        <f aca="false">LeaveDays[[#This Row],[Resource]]&amp;"|"&amp;LeaveDays[[#This Row],[Month]]</f>
        <v>|</v>
      </c>
    </row>
    <row r="80" customFormat="false" ht="15" hidden="false" customHeight="false" outlineLevel="0" collapsed="false">
      <c r="B80" s="23"/>
      <c r="C80" s="23"/>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43" t="str">
        <f aca="false">LeaveDays[[#This Row],[Resource]]&amp;"|"&amp;LeaveDays[[#This Row],[Month]]</f>
        <v>|</v>
      </c>
    </row>
    <row r="81" customFormat="false" ht="15" hidden="false" customHeight="false" outlineLevel="0" collapsed="false">
      <c r="B81" s="23"/>
      <c r="C81" s="23"/>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43" t="str">
        <f aca="false">LeaveDays[[#This Row],[Resource]]&amp;"|"&amp;LeaveDays[[#This Row],[Month]]</f>
        <v>|</v>
      </c>
    </row>
    <row r="82" customFormat="false" ht="15" hidden="false" customHeight="false" outlineLevel="0" collapsed="false">
      <c r="B82" s="23"/>
      <c r="C82" s="23"/>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43" t="str">
        <f aca="false">LeaveDays[[#This Row],[Resource]]&amp;"|"&amp;LeaveDays[[#This Row],[Month]]</f>
        <v>|</v>
      </c>
    </row>
    <row r="83" customFormat="false" ht="15" hidden="false" customHeight="false" outlineLevel="0" collapsed="false">
      <c r="B83" s="23"/>
      <c r="C83" s="23"/>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43" t="str">
        <f aca="false">LeaveDays[[#This Row],[Resource]]&amp;"|"&amp;LeaveDays[[#This Row],[Month]]</f>
        <v>|</v>
      </c>
    </row>
    <row r="84" customFormat="false" ht="15" hidden="false" customHeight="false" outlineLevel="0" collapsed="false">
      <c r="B84" s="23"/>
      <c r="C84" s="23"/>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43" t="str">
        <f aca="false">LeaveDays[[#This Row],[Resource]]&amp;"|"&amp;LeaveDays[[#This Row],[Month]]</f>
        <v>|</v>
      </c>
    </row>
    <row r="85" customFormat="false" ht="15" hidden="false" customHeight="false" outlineLevel="0" collapsed="false">
      <c r="B85" s="23"/>
      <c r="C85" s="23"/>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43" t="str">
        <f aca="false">LeaveDays[[#This Row],[Resource]]&amp;"|"&amp;LeaveDays[[#This Row],[Month]]</f>
        <v>|</v>
      </c>
    </row>
    <row r="86" customFormat="false" ht="15" hidden="false" customHeight="false" outlineLevel="0" collapsed="false">
      <c r="B86" s="23"/>
      <c r="C86" s="23"/>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43" t="str">
        <f aca="false">LeaveDays[[#This Row],[Resource]]&amp;"|"&amp;LeaveDays[[#This Row],[Month]]</f>
        <v>|</v>
      </c>
    </row>
    <row r="87" customFormat="false" ht="15" hidden="false" customHeight="false" outlineLevel="0" collapsed="false">
      <c r="B87" s="23"/>
      <c r="C87" s="23"/>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43" t="str">
        <f aca="false">LeaveDays[[#This Row],[Resource]]&amp;"|"&amp;LeaveDays[[#This Row],[Month]]</f>
        <v>|</v>
      </c>
    </row>
    <row r="88" customFormat="false" ht="15" hidden="false" customHeight="false" outlineLevel="0" collapsed="false">
      <c r="B88" s="23"/>
      <c r="C88" s="23"/>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43" t="str">
        <f aca="false">LeaveDays[[#This Row],[Resource]]&amp;"|"&amp;LeaveDays[[#This Row],[Month]]</f>
        <v>|</v>
      </c>
    </row>
    <row r="89" customFormat="false" ht="15" hidden="false" customHeight="false" outlineLevel="0" collapsed="false">
      <c r="B89" s="23"/>
      <c r="C89" s="23"/>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43" t="str">
        <f aca="false">LeaveDays[[#This Row],[Resource]]&amp;"|"&amp;LeaveDays[[#This Row],[Month]]</f>
        <v>|</v>
      </c>
    </row>
    <row r="90" customFormat="false" ht="15" hidden="false" customHeight="false" outlineLevel="0" collapsed="false">
      <c r="B90" s="23"/>
      <c r="C90" s="23"/>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43" t="str">
        <f aca="false">LeaveDays[[#This Row],[Resource]]&amp;"|"&amp;LeaveDays[[#This Row],[Month]]</f>
        <v>|</v>
      </c>
    </row>
    <row r="91" customFormat="false" ht="15" hidden="false" customHeight="false" outlineLevel="0" collapsed="false">
      <c r="B91" s="23"/>
      <c r="C91" s="23"/>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43" t="str">
        <f aca="false">LeaveDays[[#This Row],[Resource]]&amp;"|"&amp;LeaveDays[[#This Row],[Month]]</f>
        <v>|</v>
      </c>
    </row>
    <row r="92" customFormat="false" ht="15" hidden="false" customHeight="false" outlineLevel="0" collapsed="false">
      <c r="B92" s="23"/>
      <c r="C92" s="23"/>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43" t="str">
        <f aca="false">LeaveDays[[#This Row],[Resource]]&amp;"|"&amp;LeaveDays[[#This Row],[Month]]</f>
        <v>|</v>
      </c>
    </row>
    <row r="93" customFormat="false" ht="15" hidden="false" customHeight="false" outlineLevel="0" collapsed="false">
      <c r="B93" s="23"/>
      <c r="C93" s="23"/>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43" t="str">
        <f aca="false">LeaveDays[[#This Row],[Resource]]&amp;"|"&amp;LeaveDays[[#This Row],[Month]]</f>
        <v>|</v>
      </c>
    </row>
    <row r="94" customFormat="false" ht="15" hidden="false" customHeight="false" outlineLevel="0" collapsed="false">
      <c r="B94" s="23"/>
      <c r="C94" s="23"/>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43" t="str">
        <f aca="false">LeaveDays[[#This Row],[Resource]]&amp;"|"&amp;LeaveDays[[#This Row],[Month]]</f>
        <v>|</v>
      </c>
    </row>
    <row r="95" customFormat="false" ht="15" hidden="false" customHeight="false" outlineLevel="0" collapsed="false">
      <c r="B95" s="23"/>
      <c r="C95" s="23"/>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43" t="str">
        <f aca="false">LeaveDays[[#This Row],[Resource]]&amp;"|"&amp;LeaveDays[[#This Row],[Month]]</f>
        <v>|</v>
      </c>
    </row>
    <row r="96" customFormat="false" ht="15" hidden="false" customHeight="false" outlineLevel="0" collapsed="false">
      <c r="B96" s="23"/>
      <c r="C96" s="23"/>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43" t="str">
        <f aca="false">LeaveDays[[#This Row],[Resource]]&amp;"|"&amp;LeaveDays[[#This Row],[Month]]</f>
        <v>|</v>
      </c>
    </row>
    <row r="97" customFormat="false" ht="15" hidden="false" customHeight="false" outlineLevel="0" collapsed="false">
      <c r="B97" s="23"/>
      <c r="C97" s="23"/>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43" t="str">
        <f aca="false">LeaveDays[[#This Row],[Resource]]&amp;"|"&amp;LeaveDays[[#This Row],[Month]]</f>
        <v>|</v>
      </c>
    </row>
    <row r="98" customFormat="false" ht="15" hidden="false" customHeight="false" outlineLevel="0" collapsed="false">
      <c r="B98" s="23"/>
      <c r="C98" s="23"/>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43" t="str">
        <f aca="false">LeaveDays[[#This Row],[Resource]]&amp;"|"&amp;LeaveDays[[#This Row],[Month]]</f>
        <v>|</v>
      </c>
    </row>
    <row r="99" customFormat="false" ht="15" hidden="false" customHeight="false" outlineLevel="0" collapsed="false">
      <c r="B99" s="23"/>
      <c r="C99" s="23"/>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43" t="str">
        <f aca="false">LeaveDays[[#This Row],[Resource]]&amp;"|"&amp;LeaveDays[[#This Row],[Month]]</f>
        <v>|</v>
      </c>
    </row>
    <row r="100" customFormat="false" ht="15" hidden="false" customHeight="false" outlineLevel="0" collapsed="false">
      <c r="B100" s="23"/>
      <c r="C100" s="23"/>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43" t="str">
        <f aca="false">LeaveDays[[#This Row],[Resource]]&amp;"|"&amp;LeaveDays[[#This Row],[Month]]</f>
        <v>|</v>
      </c>
    </row>
  </sheetData>
  <dataValidations count="4">
    <dataValidation allowBlank="false" errorStyle="stop" operator="between" showDropDown="false" showErrorMessage="false" showInputMessage="false" sqref="E6:E55" type="list">
      <formula1>L_ResType</formula1>
      <formula2>0</formula2>
    </dataValidation>
    <dataValidation allowBlank="false" errorStyle="stop" operator="between" prompt="Pick the person (Resources)." promptTitle="Resource" showDropDown="false" showErrorMessage="true" showInputMessage="true" sqref="B61:B100" type="list">
      <formula1>res_Name</formula1>
      <formula2>0</formula2>
    </dataValidation>
    <dataValidation allowBlank="false" errorStyle="stop" operator="between" prompt="Pick the month: one of the month columns above, e.g. Nov-26." promptTitle="Month" showDropDown="false" showErrorMessage="true" showInputMessage="true" sqref="C61:C100" type="list">
      <formula1>leave_Months</formula1>
      <formula2>0</formula2>
    </dataValidation>
    <dataValidation allowBlank="false" error="1 = a day off, 0.5 = half a day." errorStyle="stop" operator="between" prompt="1 = all day, 0.5 = half a day. Weekends and holidays don't count." promptTitle="Day off" showDropDown="false" showErrorMessage="true" showInputMessage="true" sqref="D61:AH1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2026-10-28T11:08:23Z</dcterms:created>
  <dc:creator>openpyxl</dc:creator>
  <dc:description/>
  <dc:language>en-US</dc:language>
  <cp:lastModifiedBy/>
  <dcterms:modified xsi:type="dcterms:W3CDTF">2026-10-28T11:08:26Z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