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4800" windowWidth="19305" windowHeight="6480" tabRatio="267" activeTab="1"/>
  </bookViews>
  <sheets>
    <sheet name="2016年度" sheetId="18" r:id="rId1"/>
    <sheet name="ﾃﾞｰﾀｰ" sheetId="17" r:id="rId2"/>
    <sheet name="管理図" sheetId="4" r:id="rId3"/>
  </sheets>
  <definedNames>
    <definedName name="_xlnm.Print_Area" localSheetId="1">ﾃﾞｰﾀｰ!$A$1:$AH$99</definedName>
    <definedName name="_xlnm.Print_Area" localSheetId="2">管理図!$B$1:$U$323</definedName>
  </definedNames>
  <calcPr calcId="145621"/>
</workbook>
</file>

<file path=xl/calcChain.xml><?xml version="1.0" encoding="utf-8"?>
<calcChain xmlns="http://schemas.openxmlformats.org/spreadsheetml/2006/main">
  <c r="AN37" i="17" l="1"/>
  <c r="AK37" i="17"/>
  <c r="AD37" i="17"/>
  <c r="Z37" i="17"/>
  <c r="R37" i="17"/>
  <c r="L37" i="17"/>
  <c r="AN36" i="17"/>
  <c r="AK36" i="17"/>
  <c r="AD36" i="17"/>
  <c r="Z36" i="17"/>
  <c r="R36" i="17"/>
  <c r="L36" i="17"/>
  <c r="AN35" i="17"/>
  <c r="AK35" i="17"/>
  <c r="AD35" i="17"/>
  <c r="Z35" i="17"/>
  <c r="L35" i="17"/>
  <c r="M35" i="17"/>
  <c r="R35" i="17" s="1"/>
  <c r="G35" i="17"/>
  <c r="AN34" i="17"/>
  <c r="AK34" i="17"/>
  <c r="AD34" i="17"/>
  <c r="AD73" i="17" s="1"/>
  <c r="Z34" i="17"/>
  <c r="R34" i="17"/>
  <c r="L34" i="17"/>
  <c r="AN33" i="17"/>
  <c r="AK33" i="17"/>
  <c r="AD33" i="17"/>
  <c r="Z33" i="17"/>
  <c r="R33" i="17"/>
  <c r="L33" i="17"/>
  <c r="AN32" i="17"/>
  <c r="AK32" i="17"/>
  <c r="AD32" i="17"/>
  <c r="Z32" i="17"/>
  <c r="M32" i="17"/>
  <c r="R32" i="17" s="1"/>
  <c r="G32" i="17"/>
  <c r="AN31" i="17"/>
  <c r="AK31" i="17"/>
  <c r="AD31" i="17"/>
  <c r="Z31" i="17"/>
  <c r="M31" i="17"/>
  <c r="R31" i="17" s="1"/>
  <c r="G31" i="17"/>
  <c r="L31" i="17" s="1"/>
  <c r="AN30" i="17"/>
  <c r="AK30" i="17"/>
  <c r="AK72" i="17" s="1"/>
  <c r="AD30" i="17"/>
  <c r="AD29" i="17"/>
  <c r="Z30" i="17"/>
  <c r="L30" i="17"/>
  <c r="M30" i="17"/>
  <c r="R30" i="17" s="1"/>
  <c r="G30" i="17"/>
  <c r="AN29" i="17"/>
  <c r="AK29" i="17"/>
  <c r="Z29" i="17"/>
  <c r="R29" i="17"/>
  <c r="R28" i="17"/>
  <c r="M29" i="17"/>
  <c r="G29" i="17"/>
  <c r="L29" i="17" s="1"/>
  <c r="AD28" i="17"/>
  <c r="Z28" i="17"/>
  <c r="AN28" i="17"/>
  <c r="AK28" i="17"/>
  <c r="M28" i="17"/>
  <c r="G28" i="17"/>
  <c r="L28" i="17" s="1"/>
  <c r="AN27" i="17"/>
  <c r="AD27" i="17"/>
  <c r="Z27" i="17"/>
  <c r="AK27" i="17"/>
  <c r="M27" i="17"/>
  <c r="R27" i="17" s="1"/>
  <c r="R74" i="17" s="1"/>
  <c r="G27" i="17"/>
  <c r="L27" i="17" s="1"/>
  <c r="AN26" i="17"/>
  <c r="AD26" i="17"/>
  <c r="Z26" i="17"/>
  <c r="R26" i="17"/>
  <c r="L26" i="17"/>
  <c r="AK26" i="17"/>
  <c r="AN25" i="17"/>
  <c r="AK25" i="17"/>
  <c r="AD25" i="17"/>
  <c r="Z25" i="17"/>
  <c r="M25" i="17"/>
  <c r="R25" i="17" s="1"/>
  <c r="G25" i="17"/>
  <c r="L25" i="17" s="1"/>
  <c r="AN24" i="17"/>
  <c r="AD24" i="17"/>
  <c r="Z24" i="17"/>
  <c r="AK24" i="17"/>
  <c r="M24" i="17"/>
  <c r="R24" i="17" s="1"/>
  <c r="G24" i="17"/>
  <c r="L24" i="17" s="1"/>
  <c r="M23" i="17"/>
  <c r="R23" i="17" s="1"/>
  <c r="G23" i="17"/>
  <c r="M20" i="17"/>
  <c r="G20" i="17"/>
  <c r="Z23" i="17"/>
  <c r="Z22" i="17"/>
  <c r="Z21" i="17"/>
  <c r="Z20" i="17"/>
  <c r="Z19" i="17"/>
  <c r="AD23" i="17"/>
  <c r="AD22" i="17"/>
  <c r="AD21" i="17"/>
  <c r="AD20" i="17"/>
  <c r="AD19" i="17"/>
  <c r="AN23" i="17"/>
  <c r="AN22" i="17"/>
  <c r="AN21" i="17"/>
  <c r="AN20" i="17"/>
  <c r="AN19" i="17"/>
  <c r="AK23" i="17"/>
  <c r="AK22" i="17"/>
  <c r="AK21" i="17"/>
  <c r="AK20" i="17"/>
  <c r="AK19" i="17"/>
  <c r="L23" i="17"/>
  <c r="L22" i="17"/>
  <c r="L21" i="17"/>
  <c r="L20" i="17"/>
  <c r="R22" i="17"/>
  <c r="R21" i="17"/>
  <c r="R20" i="17"/>
  <c r="R19" i="17"/>
  <c r="M19" i="17"/>
  <c r="G19" i="17"/>
  <c r="L19" i="17" s="1"/>
  <c r="M17" i="17"/>
  <c r="G17" i="17"/>
  <c r="M16" i="17"/>
  <c r="G16" i="17"/>
  <c r="M15" i="17"/>
  <c r="G15" i="17"/>
  <c r="M14" i="17"/>
  <c r="G14" i="17"/>
  <c r="M13" i="17"/>
  <c r="G13" i="17"/>
  <c r="M12" i="17"/>
  <c r="G12" i="17"/>
  <c r="M11" i="17"/>
  <c r="R11" i="17" s="1"/>
  <c r="G11" i="17"/>
  <c r="M9" i="17"/>
  <c r="G9" i="17"/>
  <c r="M8" i="17"/>
  <c r="G8" i="17"/>
  <c r="M7" i="17"/>
  <c r="G7" i="17"/>
  <c r="M6" i="17"/>
  <c r="M73" i="17" s="1"/>
  <c r="G6" i="17"/>
  <c r="AN63" i="18"/>
  <c r="AK63" i="18"/>
  <c r="AD63" i="18"/>
  <c r="Z63" i="18"/>
  <c r="M63" i="18"/>
  <c r="R63" i="18" s="1"/>
  <c r="G63" i="18"/>
  <c r="L63" i="18" s="1"/>
  <c r="AN62" i="18"/>
  <c r="AK62" i="18"/>
  <c r="AD62" i="18"/>
  <c r="Z62" i="18"/>
  <c r="M62" i="18"/>
  <c r="R62" i="18" s="1"/>
  <c r="G62" i="18"/>
  <c r="L62" i="18"/>
  <c r="AN61" i="18"/>
  <c r="AK61" i="18"/>
  <c r="AD61" i="18"/>
  <c r="Z61" i="18"/>
  <c r="M61" i="18"/>
  <c r="R61" i="18" s="1"/>
  <c r="G61" i="18"/>
  <c r="L61" i="18"/>
  <c r="AN60" i="18"/>
  <c r="AK60" i="18"/>
  <c r="AD60" i="18"/>
  <c r="Z60" i="18"/>
  <c r="M60" i="18"/>
  <c r="R60" i="18" s="1"/>
  <c r="G60" i="18"/>
  <c r="L60" i="18"/>
  <c r="AN59" i="18"/>
  <c r="AK59" i="18"/>
  <c r="AD59" i="18"/>
  <c r="Z59" i="18"/>
  <c r="M59" i="18"/>
  <c r="R59" i="18" s="1"/>
  <c r="G59" i="18"/>
  <c r="L59" i="18" s="1"/>
  <c r="AN58" i="18"/>
  <c r="AK58" i="18"/>
  <c r="AD58" i="18"/>
  <c r="Z58" i="18"/>
  <c r="M58" i="18"/>
  <c r="R58" i="18" s="1"/>
  <c r="G58" i="18"/>
  <c r="L58" i="18" s="1"/>
  <c r="AN57" i="18"/>
  <c r="AK57" i="18"/>
  <c r="AD57" i="18"/>
  <c r="Z57" i="18"/>
  <c r="M57" i="18"/>
  <c r="R57" i="18" s="1"/>
  <c r="G57" i="18"/>
  <c r="L57" i="18" s="1"/>
  <c r="AN56" i="18"/>
  <c r="AK56" i="18"/>
  <c r="AD56" i="18"/>
  <c r="Z56" i="18"/>
  <c r="M56" i="18"/>
  <c r="R56" i="18" s="1"/>
  <c r="G56" i="18"/>
  <c r="L56" i="18"/>
  <c r="AN55" i="18"/>
  <c r="AK55" i="18"/>
  <c r="AD55" i="18"/>
  <c r="Z55" i="18"/>
  <c r="M55" i="18"/>
  <c r="R55" i="18" s="1"/>
  <c r="G55" i="18"/>
  <c r="L55" i="18"/>
  <c r="AN54" i="18"/>
  <c r="AK54" i="18"/>
  <c r="AD54" i="18"/>
  <c r="Z54" i="18"/>
  <c r="M54" i="18"/>
  <c r="R54" i="18" s="1"/>
  <c r="G54" i="18"/>
  <c r="L54" i="18"/>
  <c r="AN53" i="18"/>
  <c r="AK53" i="18"/>
  <c r="AD53" i="18"/>
  <c r="Z53" i="18"/>
  <c r="M53" i="18"/>
  <c r="R53" i="18" s="1"/>
  <c r="G53" i="18"/>
  <c r="L53" i="18"/>
  <c r="AN52" i="18"/>
  <c r="AK52" i="18"/>
  <c r="AD52" i="18"/>
  <c r="Z52" i="18"/>
  <c r="M52" i="18"/>
  <c r="R52" i="18" s="1"/>
  <c r="G52" i="18"/>
  <c r="L52" i="18"/>
  <c r="AN51" i="18"/>
  <c r="AK51" i="18"/>
  <c r="AD51" i="18"/>
  <c r="Z51" i="18"/>
  <c r="M51" i="18"/>
  <c r="R51" i="18" s="1"/>
  <c r="G51" i="18"/>
  <c r="L51" i="18" s="1"/>
  <c r="AN50" i="18"/>
  <c r="AK50" i="18"/>
  <c r="AD50" i="18"/>
  <c r="Z50" i="18"/>
  <c r="M50" i="18"/>
  <c r="R50" i="18" s="1"/>
  <c r="G50" i="18"/>
  <c r="L50" i="18" s="1"/>
  <c r="AN49" i="18"/>
  <c r="AK49" i="18"/>
  <c r="AD49" i="18"/>
  <c r="Z49" i="18"/>
  <c r="M49" i="18"/>
  <c r="R49" i="18" s="1"/>
  <c r="G49" i="18"/>
  <c r="L49" i="18"/>
  <c r="AN48" i="18"/>
  <c r="AK48" i="18"/>
  <c r="AD48" i="18"/>
  <c r="Z48" i="18"/>
  <c r="M48" i="18"/>
  <c r="R48" i="18" s="1"/>
  <c r="G48" i="18"/>
  <c r="L48" i="18"/>
  <c r="AN47" i="18"/>
  <c r="AK47" i="18"/>
  <c r="AD47" i="18"/>
  <c r="Z47" i="18"/>
  <c r="M47" i="18"/>
  <c r="R47" i="18" s="1"/>
  <c r="G47" i="18"/>
  <c r="L47" i="18" s="1"/>
  <c r="AN46" i="18"/>
  <c r="AK46" i="18"/>
  <c r="AD46" i="18"/>
  <c r="Z46" i="18"/>
  <c r="M46" i="18"/>
  <c r="R46" i="18" s="1"/>
  <c r="G46" i="18"/>
  <c r="L46" i="18"/>
  <c r="AN45" i="18"/>
  <c r="AK45" i="18"/>
  <c r="AD45" i="18"/>
  <c r="Z45" i="18"/>
  <c r="M45" i="18"/>
  <c r="R45" i="18" s="1"/>
  <c r="G45" i="18"/>
  <c r="L45" i="18"/>
  <c r="AN44" i="18"/>
  <c r="AK44" i="18"/>
  <c r="AD44" i="18"/>
  <c r="Z44" i="18"/>
  <c r="M44" i="18"/>
  <c r="R44" i="18" s="1"/>
  <c r="G44" i="18"/>
  <c r="L44" i="18"/>
  <c r="AN43" i="18"/>
  <c r="AK43" i="18"/>
  <c r="AD43" i="18"/>
  <c r="Z43" i="18"/>
  <c r="M43" i="18"/>
  <c r="R43" i="18" s="1"/>
  <c r="G43" i="18"/>
  <c r="L43" i="18" s="1"/>
  <c r="AN42" i="18"/>
  <c r="AK42" i="18"/>
  <c r="AD42" i="18"/>
  <c r="Z42" i="18"/>
  <c r="M42" i="18"/>
  <c r="R42" i="18" s="1"/>
  <c r="G42" i="18"/>
  <c r="L42" i="18" s="1"/>
  <c r="AN41" i="18"/>
  <c r="AK41" i="18"/>
  <c r="AD41" i="18"/>
  <c r="Z41" i="18"/>
  <c r="M41" i="18"/>
  <c r="R41" i="18" s="1"/>
  <c r="G41" i="18"/>
  <c r="L41" i="18" s="1"/>
  <c r="AN40" i="18"/>
  <c r="AK40" i="18"/>
  <c r="AD40" i="18"/>
  <c r="Z40" i="18"/>
  <c r="M40" i="18"/>
  <c r="R40" i="18" s="1"/>
  <c r="R67" i="18" s="1"/>
  <c r="G40" i="18"/>
  <c r="L40" i="18"/>
  <c r="AN39" i="18"/>
  <c r="AK39" i="18"/>
  <c r="AD39" i="18"/>
  <c r="Z39" i="18"/>
  <c r="M39" i="18"/>
  <c r="R39" i="18" s="1"/>
  <c r="G39" i="18"/>
  <c r="L39" i="18" s="1"/>
  <c r="AN38" i="18"/>
  <c r="AK38" i="18"/>
  <c r="AD38" i="18"/>
  <c r="Z38" i="18"/>
  <c r="M38" i="18"/>
  <c r="R38" i="18" s="1"/>
  <c r="G38" i="18"/>
  <c r="L38" i="18"/>
  <c r="AN37" i="18"/>
  <c r="AK37" i="18"/>
  <c r="AD37" i="18"/>
  <c r="Z37" i="18"/>
  <c r="M37" i="18"/>
  <c r="R37" i="18" s="1"/>
  <c r="G37" i="18"/>
  <c r="L37" i="18"/>
  <c r="AN36" i="18"/>
  <c r="AK36" i="18"/>
  <c r="AD36" i="18"/>
  <c r="Z36" i="18"/>
  <c r="M36" i="18"/>
  <c r="R36" i="18" s="1"/>
  <c r="G36" i="18"/>
  <c r="L36" i="18"/>
  <c r="AN35" i="18"/>
  <c r="AK35" i="18"/>
  <c r="AD35" i="18"/>
  <c r="Z35" i="18"/>
  <c r="M35" i="18"/>
  <c r="R35" i="18" s="1"/>
  <c r="G35" i="18"/>
  <c r="L35" i="18" s="1"/>
  <c r="AN34" i="18"/>
  <c r="AK34" i="18"/>
  <c r="AD34" i="18"/>
  <c r="Z34" i="18"/>
  <c r="M34" i="18"/>
  <c r="R34" i="18" s="1"/>
  <c r="G34" i="18"/>
  <c r="L34" i="18" s="1"/>
  <c r="AN33" i="18"/>
  <c r="AK33" i="18"/>
  <c r="AD33" i="18"/>
  <c r="Z33" i="18"/>
  <c r="M33" i="18"/>
  <c r="R33" i="18" s="1"/>
  <c r="G33" i="18"/>
  <c r="L33" i="18" s="1"/>
  <c r="AN32" i="18"/>
  <c r="AK32" i="18"/>
  <c r="AD32" i="18"/>
  <c r="Z32" i="18"/>
  <c r="M32" i="18"/>
  <c r="R32" i="18" s="1"/>
  <c r="G32" i="18"/>
  <c r="L32" i="18"/>
  <c r="AN31" i="18"/>
  <c r="AK31" i="18"/>
  <c r="AD31" i="18"/>
  <c r="Z31" i="18"/>
  <c r="M31" i="18"/>
  <c r="R31" i="18" s="1"/>
  <c r="G31" i="18"/>
  <c r="L31" i="18"/>
  <c r="AN30" i="18"/>
  <c r="AK30" i="18"/>
  <c r="AD30" i="18"/>
  <c r="Z30" i="18"/>
  <c r="M30" i="18"/>
  <c r="R30" i="18" s="1"/>
  <c r="G30" i="18"/>
  <c r="L30" i="18"/>
  <c r="AN29" i="18"/>
  <c r="AK29" i="18"/>
  <c r="AD29" i="18"/>
  <c r="Z29" i="18"/>
  <c r="M29" i="18"/>
  <c r="R29" i="18" s="1"/>
  <c r="G29" i="18"/>
  <c r="L29" i="18"/>
  <c r="AN28" i="18"/>
  <c r="AK28" i="18"/>
  <c r="AD28" i="18"/>
  <c r="Z28" i="18"/>
  <c r="M28" i="18"/>
  <c r="R28" i="18" s="1"/>
  <c r="G28" i="18"/>
  <c r="L28" i="18"/>
  <c r="AN27" i="18"/>
  <c r="AK27" i="18"/>
  <c r="AD27" i="18"/>
  <c r="Z27" i="18"/>
  <c r="M27" i="18"/>
  <c r="R27" i="18" s="1"/>
  <c r="G27" i="18"/>
  <c r="L27" i="18" s="1"/>
  <c r="AN26" i="18"/>
  <c r="AK26" i="18"/>
  <c r="AD26" i="18"/>
  <c r="Z26" i="18"/>
  <c r="M26" i="18"/>
  <c r="R26" i="18" s="1"/>
  <c r="G26" i="18"/>
  <c r="L26" i="18" s="1"/>
  <c r="AN25" i="18"/>
  <c r="AK25" i="18"/>
  <c r="AD25" i="18"/>
  <c r="Z25" i="18"/>
  <c r="M25" i="18"/>
  <c r="R25" i="18" s="1"/>
  <c r="G25" i="18"/>
  <c r="L25" i="18"/>
  <c r="AN24" i="18"/>
  <c r="AK24" i="18"/>
  <c r="AD24" i="18"/>
  <c r="Z24" i="18"/>
  <c r="M24" i="18"/>
  <c r="R24" i="18" s="1"/>
  <c r="G24" i="18"/>
  <c r="L24" i="18"/>
  <c r="AN23" i="18"/>
  <c r="AK23" i="18"/>
  <c r="AD23" i="18"/>
  <c r="Z23" i="18"/>
  <c r="M23" i="18"/>
  <c r="R23" i="18" s="1"/>
  <c r="G23" i="18"/>
  <c r="L23" i="18"/>
  <c r="AN22" i="18"/>
  <c r="AK22" i="18"/>
  <c r="AD22" i="18"/>
  <c r="Z22" i="18"/>
  <c r="M22" i="18"/>
  <c r="R22" i="18" s="1"/>
  <c r="G22" i="18"/>
  <c r="L22" i="18"/>
  <c r="AN21" i="18"/>
  <c r="AK21" i="18"/>
  <c r="AD21" i="18"/>
  <c r="Z21" i="18"/>
  <c r="M21" i="18"/>
  <c r="R21" i="18" s="1"/>
  <c r="G21" i="18"/>
  <c r="L21" i="18"/>
  <c r="AN20" i="18"/>
  <c r="AK20" i="18"/>
  <c r="AD20" i="18"/>
  <c r="Z20" i="18"/>
  <c r="M20" i="18"/>
  <c r="R20" i="18" s="1"/>
  <c r="G20" i="18"/>
  <c r="L20" i="18"/>
  <c r="AN19" i="18"/>
  <c r="AK19" i="18"/>
  <c r="AD19" i="18"/>
  <c r="Z19" i="18"/>
  <c r="M19" i="18"/>
  <c r="R19" i="18" s="1"/>
  <c r="G19" i="18"/>
  <c r="L19" i="18"/>
  <c r="AN18" i="18"/>
  <c r="AK18" i="18"/>
  <c r="AD18" i="18"/>
  <c r="Z18" i="18"/>
  <c r="M18" i="18"/>
  <c r="R18" i="18" s="1"/>
  <c r="G18" i="18"/>
  <c r="L18" i="18" s="1"/>
  <c r="AN17" i="18"/>
  <c r="AK17" i="18"/>
  <c r="AD17" i="18"/>
  <c r="Z17" i="18"/>
  <c r="M17" i="18"/>
  <c r="R17" i="18" s="1"/>
  <c r="G17" i="18"/>
  <c r="L17" i="18"/>
  <c r="AN16" i="18"/>
  <c r="AK16" i="18"/>
  <c r="AD16" i="18"/>
  <c r="Z16" i="18"/>
  <c r="M16" i="18"/>
  <c r="R16" i="18" s="1"/>
  <c r="G16" i="18"/>
  <c r="L16" i="18"/>
  <c r="AN15" i="18"/>
  <c r="AK15" i="18"/>
  <c r="AD15" i="18"/>
  <c r="Z15" i="18"/>
  <c r="M15" i="18"/>
  <c r="R15" i="18" s="1"/>
  <c r="G15" i="18"/>
  <c r="L15" i="18"/>
  <c r="AN14" i="18"/>
  <c r="AK14" i="18"/>
  <c r="AD14" i="18"/>
  <c r="Z14" i="18"/>
  <c r="M14" i="18"/>
  <c r="R14" i="18" s="1"/>
  <c r="G14" i="18"/>
  <c r="L14" i="18"/>
  <c r="AN13" i="18"/>
  <c r="AK13" i="18"/>
  <c r="AD13" i="18"/>
  <c r="Z13" i="18"/>
  <c r="M13" i="18"/>
  <c r="R13" i="18" s="1"/>
  <c r="G13" i="18"/>
  <c r="L13" i="18"/>
  <c r="AN12" i="18"/>
  <c r="AK12" i="18"/>
  <c r="AD12" i="18"/>
  <c r="Z12" i="18"/>
  <c r="M12" i="18"/>
  <c r="R12" i="18" s="1"/>
  <c r="G12" i="18"/>
  <c r="L12" i="18"/>
  <c r="AN11" i="18"/>
  <c r="AK11" i="18"/>
  <c r="AD11" i="18"/>
  <c r="Z11" i="18"/>
  <c r="M11" i="18"/>
  <c r="R11" i="18" s="1"/>
  <c r="G11" i="18"/>
  <c r="L11" i="18"/>
  <c r="AN10" i="18"/>
  <c r="AK10" i="18"/>
  <c r="AD10" i="18"/>
  <c r="Z10" i="18"/>
  <c r="M10" i="18"/>
  <c r="R10" i="18" s="1"/>
  <c r="G10" i="18"/>
  <c r="L10" i="18" s="1"/>
  <c r="AN9" i="18"/>
  <c r="AK9" i="18"/>
  <c r="AD9" i="18"/>
  <c r="Z9" i="18"/>
  <c r="M9" i="18"/>
  <c r="R9" i="18" s="1"/>
  <c r="G9" i="18"/>
  <c r="L9" i="18"/>
  <c r="AN8" i="18"/>
  <c r="AK8" i="18"/>
  <c r="AD8" i="18"/>
  <c r="Z8" i="18"/>
  <c r="M8" i="18"/>
  <c r="R8" i="18" s="1"/>
  <c r="G8" i="18"/>
  <c r="L8" i="18"/>
  <c r="AN7" i="18"/>
  <c r="AK7" i="18"/>
  <c r="AD7" i="18"/>
  <c r="Z7" i="18"/>
  <c r="M7" i="18"/>
  <c r="R7" i="18" s="1"/>
  <c r="G7" i="18"/>
  <c r="L7" i="18"/>
  <c r="AN6" i="18"/>
  <c r="AK6" i="18"/>
  <c r="AD6" i="18"/>
  <c r="AD66" i="18" s="1"/>
  <c r="Z6" i="18"/>
  <c r="M6" i="18"/>
  <c r="R6" i="18" s="1"/>
  <c r="G6" i="18"/>
  <c r="L6" i="18"/>
  <c r="B66" i="18"/>
  <c r="B67" i="18"/>
  <c r="C66" i="18"/>
  <c r="C67" i="18"/>
  <c r="D66" i="18"/>
  <c r="D67" i="18"/>
  <c r="E66" i="18"/>
  <c r="AU34" i="18" s="1"/>
  <c r="E67" i="18"/>
  <c r="F66" i="18"/>
  <c r="F67" i="18"/>
  <c r="S66" i="18"/>
  <c r="S67" i="18"/>
  <c r="AY34" i="18"/>
  <c r="AZ34" i="18"/>
  <c r="T66" i="18"/>
  <c r="BB34" i="18" s="1"/>
  <c r="T67" i="18"/>
  <c r="BA35" i="18" s="1"/>
  <c r="U66" i="18"/>
  <c r="U67" i="18"/>
  <c r="BC34" i="18"/>
  <c r="BD34" i="18"/>
  <c r="V66" i="18"/>
  <c r="BF34" i="18" s="1"/>
  <c r="V67" i="18"/>
  <c r="W66" i="18"/>
  <c r="W67" i="18"/>
  <c r="Z66" i="18"/>
  <c r="Z67" i="18"/>
  <c r="AA66" i="18"/>
  <c r="BK34" i="18" s="1"/>
  <c r="AA67" i="18"/>
  <c r="AC66" i="18"/>
  <c r="AC67" i="18"/>
  <c r="AB66" i="18"/>
  <c r="AB67" i="18"/>
  <c r="BO34" i="18"/>
  <c r="BP34" i="18"/>
  <c r="AD67" i="18"/>
  <c r="BR45" i="18" s="1"/>
  <c r="AE66" i="18"/>
  <c r="BS37" i="18" s="1"/>
  <c r="AE67" i="18"/>
  <c r="BT34" i="18"/>
  <c r="AF66" i="18"/>
  <c r="AF67" i="18"/>
  <c r="AG66" i="18"/>
  <c r="AG67" i="18"/>
  <c r="AH66" i="18"/>
  <c r="AH67" i="18"/>
  <c r="AN66" i="18"/>
  <c r="CY35" i="18" s="1"/>
  <c r="AN67" i="18"/>
  <c r="AN71" i="18"/>
  <c r="CC37" i="18" s="1"/>
  <c r="CC34" i="18"/>
  <c r="AN70" i="18"/>
  <c r="CD34" i="18" s="1"/>
  <c r="CE34" i="18"/>
  <c r="CG34" i="18"/>
  <c r="CI34" i="18"/>
  <c r="CJ34" i="18"/>
  <c r="CK34" i="18"/>
  <c r="CL34" i="18"/>
  <c r="CM34" i="18"/>
  <c r="CN34" i="18"/>
  <c r="CO34" i="18"/>
  <c r="CR34" i="18"/>
  <c r="CS34" i="18"/>
  <c r="CT34" i="18"/>
  <c r="CU34" i="18"/>
  <c r="CV34" i="18"/>
  <c r="CW34" i="18"/>
  <c r="CY34" i="18"/>
  <c r="AV35" i="18"/>
  <c r="AW35" i="18"/>
  <c r="AX35" i="18"/>
  <c r="AY35" i="18"/>
  <c r="BD35" i="18"/>
  <c r="BF35" i="18"/>
  <c r="BG35" i="18"/>
  <c r="BM35" i="18"/>
  <c r="BN35" i="18"/>
  <c r="BT35" i="18"/>
  <c r="BU35" i="18"/>
  <c r="CE35" i="18"/>
  <c r="CG35" i="18"/>
  <c r="CI35" i="18"/>
  <c r="CJ35" i="18"/>
  <c r="CK35" i="18"/>
  <c r="CL35" i="18"/>
  <c r="CM35" i="18"/>
  <c r="CO35" i="18"/>
  <c r="CR35" i="18"/>
  <c r="CS35" i="18"/>
  <c r="CT35" i="18"/>
  <c r="CU35" i="18"/>
  <c r="CW35" i="18"/>
  <c r="AR36" i="18"/>
  <c r="AW36" i="18"/>
  <c r="AX36" i="18"/>
  <c r="AY36" i="18"/>
  <c r="BB36" i="18"/>
  <c r="BF36" i="18"/>
  <c r="BG36" i="18"/>
  <c r="BH36" i="18"/>
  <c r="BM36" i="18"/>
  <c r="BN36" i="18"/>
  <c r="BP36" i="18"/>
  <c r="BR36" i="18"/>
  <c r="BS36" i="18"/>
  <c r="BU36" i="18"/>
  <c r="BZ36" i="18"/>
  <c r="CC36" i="18"/>
  <c r="CE36" i="18"/>
  <c r="CG36" i="18"/>
  <c r="CI36" i="18"/>
  <c r="CK36" i="18"/>
  <c r="CL36" i="18"/>
  <c r="CM36" i="18"/>
  <c r="CN36" i="18"/>
  <c r="CO36" i="18"/>
  <c r="CR36" i="18"/>
  <c r="CS36" i="18"/>
  <c r="CT36" i="18"/>
  <c r="CU36" i="18"/>
  <c r="CV36" i="18"/>
  <c r="CW36" i="18"/>
  <c r="CY36" i="18"/>
  <c r="AS37" i="18"/>
  <c r="AU37" i="18"/>
  <c r="AX37" i="18"/>
  <c r="AY37" i="18"/>
  <c r="AZ37" i="18"/>
  <c r="BA37" i="18"/>
  <c r="BC37" i="18"/>
  <c r="BD37" i="18"/>
  <c r="BF37" i="18"/>
  <c r="BL37" i="18"/>
  <c r="BN37" i="18"/>
  <c r="BO37" i="18"/>
  <c r="BY37" i="18"/>
  <c r="CE37" i="18"/>
  <c r="CG37" i="18"/>
  <c r="CI37" i="18"/>
  <c r="CJ37" i="18"/>
  <c r="CK37" i="18"/>
  <c r="CL37" i="18"/>
  <c r="CM37" i="18"/>
  <c r="CO37" i="18"/>
  <c r="CQ37" i="18"/>
  <c r="CR37" i="18"/>
  <c r="CT37" i="18"/>
  <c r="CU37" i="18"/>
  <c r="CW37" i="18"/>
  <c r="CY37" i="18"/>
  <c r="AR38" i="18"/>
  <c r="AS38" i="18"/>
  <c r="AT38" i="18"/>
  <c r="AW38" i="18"/>
  <c r="AY38" i="18"/>
  <c r="AZ38" i="18"/>
  <c r="BA38" i="18"/>
  <c r="BB38" i="18"/>
  <c r="BD38" i="18"/>
  <c r="BE38" i="18"/>
  <c r="BL38" i="18"/>
  <c r="BM38" i="18"/>
  <c r="BY38" i="18"/>
  <c r="BZ38" i="18"/>
  <c r="CE38" i="18"/>
  <c r="CG38" i="18"/>
  <c r="CH38" i="18"/>
  <c r="CI38" i="18"/>
  <c r="CJ38" i="18"/>
  <c r="CK38" i="18"/>
  <c r="CM38" i="18"/>
  <c r="CO38" i="18"/>
  <c r="CP38" i="18"/>
  <c r="CR38" i="18"/>
  <c r="CS38" i="18"/>
  <c r="CU38" i="18"/>
  <c r="CW38" i="18"/>
  <c r="CY38" i="18"/>
  <c r="AO39" i="18"/>
  <c r="AP39" i="18"/>
  <c r="AR39" i="18"/>
  <c r="AW39" i="18"/>
  <c r="AX39" i="18"/>
  <c r="AZ39" i="18"/>
  <c r="BA39" i="18"/>
  <c r="BB39" i="18"/>
  <c r="BC39" i="18"/>
  <c r="BK39" i="18"/>
  <c r="BM39" i="18"/>
  <c r="BN39" i="18"/>
  <c r="BS39" i="18"/>
  <c r="BU39" i="18"/>
  <c r="BV39" i="18"/>
  <c r="BY39" i="18"/>
  <c r="BZ39" i="18"/>
  <c r="CE39" i="18"/>
  <c r="CG39" i="18"/>
  <c r="CH39" i="18"/>
  <c r="CI39" i="18"/>
  <c r="CJ39" i="18"/>
  <c r="CK39" i="18"/>
  <c r="CL39" i="18"/>
  <c r="CM39" i="18"/>
  <c r="CN39" i="18"/>
  <c r="CO39" i="18"/>
  <c r="CQ39" i="18"/>
  <c r="CR39" i="18"/>
  <c r="CS39" i="18"/>
  <c r="CT39" i="18"/>
  <c r="CU39" i="18"/>
  <c r="CW39" i="18"/>
  <c r="CY39" i="18"/>
  <c r="AS40" i="18"/>
  <c r="AT40" i="18"/>
  <c r="AU40" i="18"/>
  <c r="AV40" i="18"/>
  <c r="AW40" i="18"/>
  <c r="AX40" i="18"/>
  <c r="AY40" i="18"/>
  <c r="BA40" i="18"/>
  <c r="BB40" i="18"/>
  <c r="BC40" i="18"/>
  <c r="BD40" i="18"/>
  <c r="BE40" i="18"/>
  <c r="BM40" i="18"/>
  <c r="BN40" i="18"/>
  <c r="BS40" i="18"/>
  <c r="BT40" i="18"/>
  <c r="BU40" i="18"/>
  <c r="BY40" i="18"/>
  <c r="CC40" i="18"/>
  <c r="CD40" i="18"/>
  <c r="CE40" i="18"/>
  <c r="CG40" i="18"/>
  <c r="CI40" i="18"/>
  <c r="CJ40" i="18"/>
  <c r="CK40" i="18"/>
  <c r="CL40" i="18"/>
  <c r="CM40" i="18"/>
  <c r="CO40" i="18"/>
  <c r="CP40" i="18"/>
  <c r="CQ40" i="18"/>
  <c r="CR40" i="18"/>
  <c r="CS40" i="18"/>
  <c r="CT40" i="18"/>
  <c r="CU40" i="18"/>
  <c r="CW40" i="18"/>
  <c r="CY40" i="18"/>
  <c r="AT41" i="18"/>
  <c r="AU41" i="18"/>
  <c r="AV41" i="18"/>
  <c r="AW41" i="18"/>
  <c r="AX41" i="18"/>
  <c r="AY41" i="18"/>
  <c r="AZ41" i="18"/>
  <c r="BB41" i="18"/>
  <c r="BC41" i="18"/>
  <c r="BD41" i="18"/>
  <c r="BE41" i="18"/>
  <c r="BF41" i="18"/>
  <c r="BM41" i="18"/>
  <c r="BN41" i="18"/>
  <c r="BO41" i="18"/>
  <c r="BS41" i="18"/>
  <c r="BT41" i="18"/>
  <c r="BZ41" i="18"/>
  <c r="CC41" i="18"/>
  <c r="CD41" i="18"/>
  <c r="CE41" i="18"/>
  <c r="CG41" i="18"/>
  <c r="CI41" i="18"/>
  <c r="CJ41" i="18"/>
  <c r="CK41" i="18"/>
  <c r="CL41" i="18"/>
  <c r="CM41" i="18"/>
  <c r="CN41" i="18"/>
  <c r="CO41" i="18"/>
  <c r="CQ41" i="18"/>
  <c r="CR41" i="18"/>
  <c r="CS41" i="18"/>
  <c r="CT41" i="18"/>
  <c r="CU41" i="18"/>
  <c r="CW41" i="18"/>
  <c r="CY41" i="18"/>
  <c r="AU42" i="18"/>
  <c r="AW42" i="18"/>
  <c r="AX42" i="18"/>
  <c r="AY42" i="18"/>
  <c r="AZ42" i="18"/>
  <c r="BA42" i="18"/>
  <c r="BC42" i="18"/>
  <c r="BD42" i="18"/>
  <c r="BK42" i="18"/>
  <c r="BL42" i="18"/>
  <c r="BM42" i="18"/>
  <c r="BN42" i="18"/>
  <c r="BS42" i="18"/>
  <c r="BT42" i="18"/>
  <c r="BU42" i="18"/>
  <c r="BV42" i="18"/>
  <c r="BY42" i="18"/>
  <c r="CC42" i="18"/>
  <c r="CD42" i="18"/>
  <c r="CE42" i="18"/>
  <c r="CG42" i="18"/>
  <c r="CI42" i="18"/>
  <c r="CJ42" i="18"/>
  <c r="CK42" i="18"/>
  <c r="CL42" i="18"/>
  <c r="CM42" i="18"/>
  <c r="CN42" i="18"/>
  <c r="CO42" i="18"/>
  <c r="CQ42" i="18"/>
  <c r="CR42" i="18"/>
  <c r="CS42" i="18"/>
  <c r="CT42" i="18"/>
  <c r="CU42" i="18"/>
  <c r="CW42" i="18"/>
  <c r="CY42" i="18"/>
  <c r="AT43" i="18"/>
  <c r="AV43" i="18"/>
  <c r="AW43" i="18"/>
  <c r="AX43" i="18"/>
  <c r="AY43" i="18"/>
  <c r="AZ43" i="18"/>
  <c r="BA43" i="18"/>
  <c r="BB43" i="18"/>
  <c r="BD43" i="18"/>
  <c r="BE43" i="18"/>
  <c r="BJ43" i="18"/>
  <c r="BL43" i="18"/>
  <c r="BM43" i="18"/>
  <c r="BN43" i="18"/>
  <c r="BT43" i="18"/>
  <c r="BU43" i="18"/>
  <c r="BV43" i="18"/>
  <c r="BW43" i="18"/>
  <c r="BY43" i="18"/>
  <c r="BZ43" i="18"/>
  <c r="CC43" i="18"/>
  <c r="CD43" i="18"/>
  <c r="CE43" i="18"/>
  <c r="CG43" i="18"/>
  <c r="CI43" i="18"/>
  <c r="CJ43" i="18"/>
  <c r="CK43" i="18"/>
  <c r="CL43" i="18"/>
  <c r="CM43" i="18"/>
  <c r="CN43" i="18"/>
  <c r="CO43" i="18"/>
  <c r="CR43" i="18"/>
  <c r="CS43" i="18"/>
  <c r="CT43" i="18"/>
  <c r="CU43" i="18"/>
  <c r="CW43" i="18"/>
  <c r="CY43" i="18"/>
  <c r="AR44" i="18"/>
  <c r="AT44" i="18"/>
  <c r="AW44" i="18"/>
  <c r="AX44" i="18"/>
  <c r="AY44" i="18"/>
  <c r="AZ44" i="18"/>
  <c r="BA44" i="18"/>
  <c r="BB44" i="18"/>
  <c r="BC44" i="18"/>
  <c r="BJ44" i="18"/>
  <c r="BM44" i="18"/>
  <c r="BN44" i="18"/>
  <c r="BS44" i="18"/>
  <c r="BU44" i="18"/>
  <c r="BV44" i="18"/>
  <c r="BY44" i="18"/>
  <c r="BZ44" i="18"/>
  <c r="CC44" i="18"/>
  <c r="CD44" i="18"/>
  <c r="CE44" i="18"/>
  <c r="CG44" i="18"/>
  <c r="CI44" i="18"/>
  <c r="CK44" i="18"/>
  <c r="CL44" i="18"/>
  <c r="CM44" i="18"/>
  <c r="CN44" i="18"/>
  <c r="CO44" i="18"/>
  <c r="CQ44" i="18"/>
  <c r="CR44" i="18"/>
  <c r="CS44" i="18"/>
  <c r="CT44" i="18"/>
  <c r="CU44" i="18"/>
  <c r="CW44" i="18"/>
  <c r="CY44" i="18"/>
  <c r="AQ45" i="18"/>
  <c r="AR45" i="18"/>
  <c r="AS45" i="18"/>
  <c r="AX45" i="18"/>
  <c r="AY45" i="18"/>
  <c r="AZ45" i="18"/>
  <c r="BA45" i="18"/>
  <c r="BB45" i="18"/>
  <c r="BC45" i="18"/>
  <c r="BD45" i="18"/>
  <c r="BN45" i="18"/>
  <c r="BS45" i="18"/>
  <c r="BT45" i="18"/>
  <c r="BU45" i="18"/>
  <c r="BY45" i="18"/>
  <c r="BZ45" i="18"/>
  <c r="CC45" i="18"/>
  <c r="CE45" i="18"/>
  <c r="CG45" i="18"/>
  <c r="CH45" i="18"/>
  <c r="CI45" i="18"/>
  <c r="CJ45" i="18"/>
  <c r="CK45" i="18"/>
  <c r="CL45" i="18"/>
  <c r="CM45" i="18"/>
  <c r="CO45" i="18"/>
  <c r="CP45" i="18"/>
  <c r="CQ45" i="18"/>
  <c r="CR45" i="18"/>
  <c r="CS45" i="18"/>
  <c r="CT45" i="18"/>
  <c r="CU45" i="18"/>
  <c r="CW45" i="18"/>
  <c r="CY45" i="18"/>
  <c r="AO46" i="18"/>
  <c r="AP46" i="18"/>
  <c r="AU46" i="18"/>
  <c r="AV46" i="18"/>
  <c r="AW46" i="18"/>
  <c r="AX46" i="18"/>
  <c r="AY46" i="18"/>
  <c r="AZ46" i="18"/>
  <c r="BA46" i="18"/>
  <c r="BB46" i="18"/>
  <c r="BC46" i="18"/>
  <c r="BD46" i="18"/>
  <c r="BE46" i="18"/>
  <c r="BF46" i="18"/>
  <c r="BK46" i="18"/>
  <c r="BL46" i="18"/>
  <c r="BM46" i="18"/>
  <c r="BN46" i="18"/>
  <c r="BS46" i="18"/>
  <c r="BT46" i="18"/>
  <c r="BU46" i="18"/>
  <c r="BV46" i="18"/>
  <c r="BY46" i="18"/>
  <c r="BZ46" i="18"/>
  <c r="CC46" i="18"/>
  <c r="CD46" i="18"/>
  <c r="CE46" i="18"/>
  <c r="CG46" i="18"/>
  <c r="CI46" i="18"/>
  <c r="CJ46" i="18"/>
  <c r="CK46" i="18"/>
  <c r="CL46" i="18"/>
  <c r="CM46" i="18"/>
  <c r="CO46" i="18"/>
  <c r="CQ46" i="18"/>
  <c r="CR46" i="18"/>
  <c r="CS46" i="18"/>
  <c r="CT46" i="18"/>
  <c r="CU46" i="18"/>
  <c r="CW46" i="18"/>
  <c r="CY46" i="18"/>
  <c r="AP47" i="18"/>
  <c r="AQ47" i="18"/>
  <c r="AV47" i="18"/>
  <c r="AW47" i="18"/>
  <c r="AX47" i="18"/>
  <c r="AY47" i="18"/>
  <c r="AZ47" i="18"/>
  <c r="BA47" i="18"/>
  <c r="BB47" i="18"/>
  <c r="BC47" i="18"/>
  <c r="BD47" i="18"/>
  <c r="BE47" i="18"/>
  <c r="BF47" i="18"/>
  <c r="BG47" i="18"/>
  <c r="BM47" i="18"/>
  <c r="BN47" i="18"/>
  <c r="BO47" i="18"/>
  <c r="BS47" i="18"/>
  <c r="BT47" i="18"/>
  <c r="BU47" i="18"/>
  <c r="BV47" i="18"/>
  <c r="BY47" i="18"/>
  <c r="BZ47" i="18"/>
  <c r="CC47" i="18"/>
  <c r="CD47" i="18"/>
  <c r="CE47" i="18"/>
  <c r="CG47" i="18"/>
  <c r="CI47" i="18"/>
  <c r="CJ47" i="18"/>
  <c r="CK47" i="18"/>
  <c r="CL47" i="18"/>
  <c r="CM47" i="18"/>
  <c r="CO47" i="18"/>
  <c r="CQ47" i="18"/>
  <c r="CR47" i="18"/>
  <c r="CS47" i="18"/>
  <c r="CT47" i="18"/>
  <c r="CU47" i="18"/>
  <c r="CW47" i="18"/>
  <c r="CY47" i="18"/>
  <c r="AO48" i="18"/>
  <c r="AP48" i="18"/>
  <c r="AV48" i="18"/>
  <c r="AW48" i="18"/>
  <c r="AX48" i="18"/>
  <c r="AY48" i="18"/>
  <c r="AZ48" i="18"/>
  <c r="BA48" i="18"/>
  <c r="BB48" i="18"/>
  <c r="BC48" i="18"/>
  <c r="BD48" i="18"/>
  <c r="BE48" i="18"/>
  <c r="BF48" i="18"/>
  <c r="BG48" i="18"/>
  <c r="BH48" i="18"/>
  <c r="BL48" i="18"/>
  <c r="BM48" i="18"/>
  <c r="BN48" i="18"/>
  <c r="BP48" i="18"/>
  <c r="BS48" i="18"/>
  <c r="BT48" i="18"/>
  <c r="BU48" i="18"/>
  <c r="BV48" i="18"/>
  <c r="BY48" i="18"/>
  <c r="BZ48" i="18"/>
  <c r="CC48" i="18"/>
  <c r="CD48" i="18"/>
  <c r="CE48" i="18"/>
  <c r="CG48" i="18"/>
  <c r="CI48" i="18"/>
  <c r="CJ48" i="18"/>
  <c r="CK48" i="18"/>
  <c r="CL48" i="18"/>
  <c r="CM48" i="18"/>
  <c r="CN48" i="18"/>
  <c r="CO48" i="18"/>
  <c r="CQ48" i="18"/>
  <c r="CR48" i="18"/>
  <c r="CS48" i="18"/>
  <c r="CT48" i="18"/>
  <c r="CU48" i="18"/>
  <c r="CW48" i="18"/>
  <c r="CY48" i="18"/>
  <c r="AO49" i="18"/>
  <c r="AP49" i="18"/>
  <c r="AR49" i="18"/>
  <c r="AS49" i="18"/>
  <c r="AW49" i="18"/>
  <c r="AX49" i="18"/>
  <c r="AY49" i="18"/>
  <c r="AZ49" i="18"/>
  <c r="BA49" i="18"/>
  <c r="BB49" i="18"/>
  <c r="BC49" i="18"/>
  <c r="BD49" i="18"/>
  <c r="BE49" i="18"/>
  <c r="BF49" i="18"/>
  <c r="BG49" i="18"/>
  <c r="BH49" i="18"/>
  <c r="BM49" i="18"/>
  <c r="BN49" i="18"/>
  <c r="BO49" i="18"/>
  <c r="BP49" i="18"/>
  <c r="BQ49" i="18"/>
  <c r="BS49" i="18"/>
  <c r="BT49" i="18"/>
  <c r="BU49" i="18"/>
  <c r="BV49" i="18"/>
  <c r="BW49" i="18"/>
  <c r="BX49" i="18"/>
  <c r="BY49" i="18"/>
  <c r="BZ49" i="18"/>
  <c r="CC49" i="18"/>
  <c r="CD49" i="18"/>
  <c r="CE49" i="18"/>
  <c r="CF49" i="18"/>
  <c r="CG49" i="18"/>
  <c r="CH49" i="18"/>
  <c r="CI49" i="18"/>
  <c r="CJ49" i="18"/>
  <c r="CK49" i="18"/>
  <c r="CL49" i="18"/>
  <c r="CM49" i="18"/>
  <c r="CN49" i="18"/>
  <c r="CO49" i="18"/>
  <c r="CP49" i="18"/>
  <c r="CQ49" i="18"/>
  <c r="CR49" i="18"/>
  <c r="CS49" i="18"/>
  <c r="CT49" i="18"/>
  <c r="CU49" i="18"/>
  <c r="CW49" i="18"/>
  <c r="CY49" i="18"/>
  <c r="AP50" i="18"/>
  <c r="AT50" i="18"/>
  <c r="AU50" i="18"/>
  <c r="AW50" i="18"/>
  <c r="AX50" i="18"/>
  <c r="AY50" i="18"/>
  <c r="AZ50" i="18"/>
  <c r="BA50" i="18"/>
  <c r="BB50" i="18"/>
  <c r="BC50" i="18"/>
  <c r="BD50" i="18"/>
  <c r="BF50" i="18"/>
  <c r="BG50" i="18"/>
  <c r="BH50" i="18"/>
  <c r="BM50" i="18"/>
  <c r="BN50" i="18"/>
  <c r="BO50" i="18"/>
  <c r="BP50" i="18"/>
  <c r="BS50" i="18"/>
  <c r="BT50" i="18"/>
  <c r="BV50" i="18"/>
  <c r="BY50" i="18"/>
  <c r="BZ50" i="18"/>
  <c r="CC50" i="18"/>
  <c r="CD50" i="18"/>
  <c r="CE50" i="18"/>
  <c r="CF50" i="18"/>
  <c r="CG50" i="18"/>
  <c r="CH50" i="18"/>
  <c r="CI50" i="18"/>
  <c r="CJ50" i="18"/>
  <c r="CK50" i="18"/>
  <c r="CL50" i="18"/>
  <c r="CM50" i="18"/>
  <c r="CN50" i="18"/>
  <c r="CO50" i="18"/>
  <c r="CP50" i="18"/>
  <c r="CQ50" i="18"/>
  <c r="CR50" i="18"/>
  <c r="CS50" i="18"/>
  <c r="CT50" i="18"/>
  <c r="CU50" i="18"/>
  <c r="CW50" i="18"/>
  <c r="CY50" i="18"/>
  <c r="AT51" i="18"/>
  <c r="AU51" i="18"/>
  <c r="AV51" i="18"/>
  <c r="AW51" i="18"/>
  <c r="AX51" i="18"/>
  <c r="AY51" i="18"/>
  <c r="AZ51" i="18"/>
  <c r="BA51" i="18"/>
  <c r="BB51" i="18"/>
  <c r="BC51" i="18"/>
  <c r="BD51" i="18"/>
  <c r="BG51" i="18"/>
  <c r="BH51" i="18"/>
  <c r="BL51" i="18"/>
  <c r="BM51" i="18"/>
  <c r="BN51" i="18"/>
  <c r="BO51" i="18"/>
  <c r="BP51" i="18"/>
  <c r="BS51" i="18"/>
  <c r="BT51" i="18"/>
  <c r="BY51" i="18"/>
  <c r="BZ51" i="18"/>
  <c r="CC51" i="18"/>
  <c r="CE51" i="18"/>
  <c r="CF51" i="18"/>
  <c r="CG51" i="18"/>
  <c r="CH51" i="18"/>
  <c r="CI51" i="18"/>
  <c r="CJ51" i="18"/>
  <c r="CK51" i="18"/>
  <c r="CL51" i="18"/>
  <c r="CM51" i="18"/>
  <c r="CN51" i="18"/>
  <c r="CO51" i="18"/>
  <c r="CP51" i="18"/>
  <c r="CQ51" i="18"/>
  <c r="CR51" i="18"/>
  <c r="CS51" i="18"/>
  <c r="CT51" i="18"/>
  <c r="CU51" i="18"/>
  <c r="CW51" i="18"/>
  <c r="CY51" i="18"/>
  <c r="AO52" i="18"/>
  <c r="AT52" i="18"/>
  <c r="AU52" i="18"/>
  <c r="AV52" i="18"/>
  <c r="AW52" i="18"/>
  <c r="AX52" i="18"/>
  <c r="AY52" i="18"/>
  <c r="AZ52" i="18"/>
  <c r="BA52" i="18"/>
  <c r="BB52" i="18"/>
  <c r="BC52" i="18"/>
  <c r="BD52" i="18"/>
  <c r="BE52" i="18"/>
  <c r="BH52" i="18"/>
  <c r="BL52" i="18"/>
  <c r="BM52" i="18"/>
  <c r="BN52" i="18"/>
  <c r="BP52" i="18"/>
  <c r="BS52" i="18"/>
  <c r="BT52" i="18"/>
  <c r="BU52" i="18"/>
  <c r="BY52" i="18"/>
  <c r="BZ52" i="18"/>
  <c r="CC52" i="18"/>
  <c r="CE52" i="18"/>
  <c r="CF52" i="18"/>
  <c r="CG52" i="18"/>
  <c r="CH52" i="18"/>
  <c r="CI52" i="18"/>
  <c r="CJ52" i="18"/>
  <c r="CK52" i="18"/>
  <c r="CL52" i="18"/>
  <c r="CM52" i="18"/>
  <c r="CN52" i="18"/>
  <c r="CO52" i="18"/>
  <c r="CP52" i="18"/>
  <c r="CQ52" i="18"/>
  <c r="CR52" i="18"/>
  <c r="CS52" i="18"/>
  <c r="CT52" i="18"/>
  <c r="CU52" i="18"/>
  <c r="CW52" i="18"/>
  <c r="CY52" i="18"/>
  <c r="AO53" i="18"/>
  <c r="AP53" i="18"/>
  <c r="AT53" i="18"/>
  <c r="AU53" i="18"/>
  <c r="AV53" i="18"/>
  <c r="AW53" i="18"/>
  <c r="AX53" i="18"/>
  <c r="AY53" i="18"/>
  <c r="AZ53" i="18"/>
  <c r="BA53" i="18"/>
  <c r="BB53" i="18"/>
  <c r="BC53" i="18"/>
  <c r="BD53" i="18"/>
  <c r="BE53" i="18"/>
  <c r="BF53" i="18"/>
  <c r="BH53" i="18"/>
  <c r="BK53" i="18"/>
  <c r="BL53" i="18"/>
  <c r="BM53" i="18"/>
  <c r="BN53" i="18"/>
  <c r="BO53" i="18"/>
  <c r="BP53" i="18"/>
  <c r="BS53" i="18"/>
  <c r="BT53" i="18"/>
  <c r="BU53" i="18"/>
  <c r="BV53" i="18"/>
  <c r="BY53" i="18"/>
  <c r="BZ53" i="18"/>
  <c r="CC53" i="18"/>
  <c r="CD53" i="18"/>
  <c r="CE53" i="18"/>
  <c r="CG53" i="18"/>
  <c r="CH53" i="18"/>
  <c r="CI53" i="18"/>
  <c r="CJ53" i="18"/>
  <c r="CK53" i="18"/>
  <c r="CL53" i="18"/>
  <c r="CM53" i="18"/>
  <c r="CN53" i="18"/>
  <c r="CO53" i="18"/>
  <c r="CQ53" i="18"/>
  <c r="CR53" i="18"/>
  <c r="CS53" i="18"/>
  <c r="CT53" i="18"/>
  <c r="CU53" i="18"/>
  <c r="CW53" i="18"/>
  <c r="CY53" i="18"/>
  <c r="AO54" i="18"/>
  <c r="AP54" i="18"/>
  <c r="AQ54" i="18"/>
  <c r="AU54" i="18"/>
  <c r="AV54" i="18"/>
  <c r="AW54" i="18"/>
  <c r="AX54" i="18"/>
  <c r="AY54" i="18"/>
  <c r="AZ54" i="18"/>
  <c r="BA54" i="18"/>
  <c r="BB54" i="18"/>
  <c r="BC54" i="18"/>
  <c r="BD54" i="18"/>
  <c r="BE54" i="18"/>
  <c r="BF54" i="18"/>
  <c r="BG54" i="18"/>
  <c r="BH54" i="18"/>
  <c r="BL54" i="18"/>
  <c r="BM54" i="18"/>
  <c r="BN54" i="18"/>
  <c r="BO54" i="18"/>
  <c r="BP54" i="18"/>
  <c r="BS54" i="18"/>
  <c r="BT54" i="18"/>
  <c r="BU54" i="18"/>
  <c r="BV54" i="18"/>
  <c r="BY54" i="18"/>
  <c r="BZ54" i="18"/>
  <c r="CC54" i="18"/>
  <c r="CD54" i="18"/>
  <c r="CE54" i="18"/>
  <c r="CG54" i="18"/>
  <c r="CH54" i="18"/>
  <c r="CI54" i="18"/>
  <c r="CJ54" i="18"/>
  <c r="CK54" i="18"/>
  <c r="CL54" i="18"/>
  <c r="CM54" i="18"/>
  <c r="CN54" i="18"/>
  <c r="CO54" i="18"/>
  <c r="CQ54" i="18"/>
  <c r="CR54" i="18"/>
  <c r="CS54" i="18"/>
  <c r="CT54" i="18"/>
  <c r="CU54" i="18"/>
  <c r="CW54" i="18"/>
  <c r="CY54" i="18"/>
  <c r="AO55" i="18"/>
  <c r="AP55" i="18"/>
  <c r="AQ55" i="18"/>
  <c r="AR55" i="18"/>
  <c r="AU55" i="18"/>
  <c r="AV55" i="18"/>
  <c r="AW55" i="18"/>
  <c r="AX55" i="18"/>
  <c r="AY55" i="18"/>
  <c r="AZ55" i="18"/>
  <c r="BA55" i="18"/>
  <c r="BB55" i="18"/>
  <c r="BC55" i="18"/>
  <c r="BD55" i="18"/>
  <c r="BE55" i="18"/>
  <c r="BF55" i="18"/>
  <c r="BG55" i="18"/>
  <c r="BH55" i="18"/>
  <c r="BM55" i="18"/>
  <c r="BN55" i="18"/>
  <c r="BO55" i="18"/>
  <c r="BP55" i="18"/>
  <c r="BS55" i="18"/>
  <c r="BT55" i="18"/>
  <c r="BU55" i="18"/>
  <c r="BV55" i="18"/>
  <c r="BY55" i="18"/>
  <c r="BZ55" i="18"/>
  <c r="CC55" i="18"/>
  <c r="CD55" i="18"/>
  <c r="CE55" i="18"/>
  <c r="CF55" i="18"/>
  <c r="CG55" i="18"/>
  <c r="CH55" i="18"/>
  <c r="CI55" i="18"/>
  <c r="CJ55" i="18"/>
  <c r="CK55" i="18"/>
  <c r="CL55" i="18"/>
  <c r="CM55" i="18"/>
  <c r="CN55" i="18"/>
  <c r="CO55" i="18"/>
  <c r="CQ55" i="18"/>
  <c r="CR55" i="18"/>
  <c r="CS55" i="18"/>
  <c r="CT55" i="18"/>
  <c r="CU55" i="18"/>
  <c r="CV55" i="18"/>
  <c r="CW55" i="18"/>
  <c r="CY55" i="18"/>
  <c r="AO56" i="18"/>
  <c r="AP56" i="18"/>
  <c r="AQ56" i="18"/>
  <c r="AR56" i="18"/>
  <c r="AS56" i="18"/>
  <c r="AU56" i="18"/>
  <c r="AV56" i="18"/>
  <c r="AW56" i="18"/>
  <c r="AX56" i="18"/>
  <c r="AY56" i="18"/>
  <c r="AZ56" i="18"/>
  <c r="BA56" i="18"/>
  <c r="BB56" i="18"/>
  <c r="BC56" i="18"/>
  <c r="BD56" i="18"/>
  <c r="BE56" i="18"/>
  <c r="BF56" i="18"/>
  <c r="BG56" i="18"/>
  <c r="BH56" i="18"/>
  <c r="BM56" i="18"/>
  <c r="BN56" i="18"/>
  <c r="BO56" i="18"/>
  <c r="BP56" i="18"/>
  <c r="BQ56" i="18"/>
  <c r="BS56" i="18"/>
  <c r="BT56" i="18"/>
  <c r="BU56" i="18"/>
  <c r="BV56" i="18"/>
  <c r="BX56" i="18"/>
  <c r="BY56" i="18"/>
  <c r="BZ56" i="18"/>
  <c r="CC56" i="18"/>
  <c r="CD56" i="18"/>
  <c r="CE56" i="18"/>
  <c r="CF56" i="18"/>
  <c r="CG56" i="18"/>
  <c r="CH56" i="18"/>
  <c r="CI56" i="18"/>
  <c r="CJ56" i="18"/>
  <c r="CK56" i="18"/>
  <c r="CL56" i="18"/>
  <c r="CM56" i="18"/>
  <c r="CN56" i="18"/>
  <c r="CO56" i="18"/>
  <c r="CQ56" i="18"/>
  <c r="CR56" i="18"/>
  <c r="CS56" i="18"/>
  <c r="CT56" i="18"/>
  <c r="CU56" i="18"/>
  <c r="CW56" i="18"/>
  <c r="CY56" i="18"/>
  <c r="AO57" i="18"/>
  <c r="AP57" i="18"/>
  <c r="AQ57" i="18"/>
  <c r="AR57" i="18"/>
  <c r="AS57" i="18"/>
  <c r="AT57" i="18"/>
  <c r="AU57" i="18"/>
  <c r="AV57" i="18"/>
  <c r="AW57" i="18"/>
  <c r="AX57" i="18"/>
  <c r="AY57" i="18"/>
  <c r="AZ57" i="18"/>
  <c r="BA57" i="18"/>
  <c r="BB57" i="18"/>
  <c r="BC57" i="18"/>
  <c r="BD57" i="18"/>
  <c r="BE57" i="18"/>
  <c r="BF57" i="18"/>
  <c r="BG57" i="18"/>
  <c r="BH57" i="18"/>
  <c r="BM57" i="18"/>
  <c r="BN57" i="18"/>
  <c r="BO57" i="18"/>
  <c r="BP57" i="18"/>
  <c r="BQ57" i="18"/>
  <c r="BR57" i="18"/>
  <c r="BS57" i="18"/>
  <c r="BT57" i="18"/>
  <c r="BU57" i="18"/>
  <c r="BV57" i="18"/>
  <c r="BY57" i="18"/>
  <c r="BZ57" i="18"/>
  <c r="CC57" i="18"/>
  <c r="CD57" i="18"/>
  <c r="CE57" i="18"/>
  <c r="CF57" i="18"/>
  <c r="CG57" i="18"/>
  <c r="CH57" i="18"/>
  <c r="CI57" i="18"/>
  <c r="CJ57" i="18"/>
  <c r="CK57" i="18"/>
  <c r="CL57" i="18"/>
  <c r="CM57" i="18"/>
  <c r="CN57" i="18"/>
  <c r="CO57" i="18"/>
  <c r="CP57" i="18"/>
  <c r="CQ57" i="18"/>
  <c r="CR57" i="18"/>
  <c r="CS57" i="18"/>
  <c r="CT57" i="18"/>
  <c r="CU57" i="18"/>
  <c r="CW57" i="18"/>
  <c r="CY57" i="18"/>
  <c r="AO58" i="18"/>
  <c r="AP58" i="18"/>
  <c r="AR58" i="18"/>
  <c r="AS58" i="18"/>
  <c r="AT58" i="18"/>
  <c r="AU58" i="18"/>
  <c r="AV58" i="18"/>
  <c r="AW58" i="18"/>
  <c r="AX58" i="18"/>
  <c r="AY58" i="18"/>
  <c r="AZ58" i="18"/>
  <c r="BA58" i="18"/>
  <c r="BB58" i="18"/>
  <c r="BC58" i="18"/>
  <c r="BD58" i="18"/>
  <c r="BE58" i="18"/>
  <c r="BF58" i="18"/>
  <c r="BG58" i="18"/>
  <c r="BH58" i="18"/>
  <c r="BI58" i="18"/>
  <c r="BJ58" i="18"/>
  <c r="BK58" i="18"/>
  <c r="BM58" i="18"/>
  <c r="BN58" i="18"/>
  <c r="BO58" i="18"/>
  <c r="BP58" i="18"/>
  <c r="BQ58" i="18"/>
  <c r="BR58" i="18"/>
  <c r="BS58" i="18"/>
  <c r="BT58" i="18"/>
  <c r="BU58" i="18"/>
  <c r="BV58" i="18"/>
  <c r="BY58" i="18"/>
  <c r="BZ58" i="18"/>
  <c r="CC58" i="18"/>
  <c r="CD58" i="18"/>
  <c r="CE58" i="18"/>
  <c r="CF58" i="18"/>
  <c r="CG58" i="18"/>
  <c r="CH58" i="18"/>
  <c r="CI58" i="18"/>
  <c r="CJ58" i="18"/>
  <c r="CK58" i="18"/>
  <c r="CL58" i="18"/>
  <c r="CM58" i="18"/>
  <c r="CN58" i="18"/>
  <c r="CO58" i="18"/>
  <c r="CP58" i="18"/>
  <c r="CQ58" i="18"/>
  <c r="CR58" i="18"/>
  <c r="CS58" i="18"/>
  <c r="CT58" i="18"/>
  <c r="CU58" i="18"/>
  <c r="CW58" i="18"/>
  <c r="CY58" i="18"/>
  <c r="AO59" i="18"/>
  <c r="AP59" i="18"/>
  <c r="AS59" i="18"/>
  <c r="AT59" i="18"/>
  <c r="AU59" i="18"/>
  <c r="AV59" i="18"/>
  <c r="AW59" i="18"/>
  <c r="AX59" i="18"/>
  <c r="AY59" i="18"/>
  <c r="AZ59" i="18"/>
  <c r="BA59" i="18"/>
  <c r="BB59" i="18"/>
  <c r="BC59" i="18"/>
  <c r="BD59" i="18"/>
  <c r="BE59" i="18"/>
  <c r="BF59" i="18"/>
  <c r="BG59" i="18"/>
  <c r="BH59" i="18"/>
  <c r="BI59" i="18"/>
  <c r="BJ59" i="18"/>
  <c r="BK59" i="18"/>
  <c r="BL59" i="18"/>
  <c r="BM59" i="18"/>
  <c r="BN59" i="18"/>
  <c r="BO59" i="18"/>
  <c r="BP59" i="18"/>
  <c r="BQ59" i="18"/>
  <c r="BR59" i="18"/>
  <c r="BS59" i="18"/>
  <c r="BT59" i="18"/>
  <c r="BU59" i="18"/>
  <c r="BV59" i="18"/>
  <c r="BY59" i="18"/>
  <c r="BZ59" i="18"/>
  <c r="CC59" i="18"/>
  <c r="CD59" i="18"/>
  <c r="CE59" i="18"/>
  <c r="CG59" i="18"/>
  <c r="CH59" i="18"/>
  <c r="CI59" i="18"/>
  <c r="CJ59" i="18"/>
  <c r="CK59" i="18"/>
  <c r="CL59" i="18"/>
  <c r="CM59" i="18"/>
  <c r="CN59" i="18"/>
  <c r="CO59" i="18"/>
  <c r="CP59" i="18"/>
  <c r="CQ59" i="18"/>
  <c r="CR59" i="18"/>
  <c r="CS59" i="18"/>
  <c r="CT59" i="18"/>
  <c r="CU59" i="18"/>
  <c r="CW59" i="18"/>
  <c r="CY59" i="18"/>
  <c r="AO60" i="18"/>
  <c r="AP60" i="18"/>
  <c r="AT60" i="18"/>
  <c r="AU60" i="18"/>
  <c r="AV60" i="18"/>
  <c r="AW60" i="18"/>
  <c r="AX60" i="18"/>
  <c r="AY60" i="18"/>
  <c r="AZ60" i="18"/>
  <c r="BA60" i="18"/>
  <c r="BB60" i="18"/>
  <c r="BC60" i="18"/>
  <c r="BD60" i="18"/>
  <c r="BE60" i="18"/>
  <c r="BF60" i="18"/>
  <c r="BG60" i="18"/>
  <c r="BH60" i="18"/>
  <c r="BJ60" i="18"/>
  <c r="BK60" i="18"/>
  <c r="BL60" i="18"/>
  <c r="BM60" i="18"/>
  <c r="BN60" i="18"/>
  <c r="BO60" i="18"/>
  <c r="BP60" i="18"/>
  <c r="BR60" i="18"/>
  <c r="BS60" i="18"/>
  <c r="BT60" i="18"/>
  <c r="BU60" i="18"/>
  <c r="BV60" i="18"/>
  <c r="BY60" i="18"/>
  <c r="BZ60" i="18"/>
  <c r="CC60" i="18"/>
  <c r="CD60" i="18"/>
  <c r="CE60" i="18"/>
  <c r="CG60" i="18"/>
  <c r="CH60" i="18"/>
  <c r="CI60" i="18"/>
  <c r="CJ60" i="18"/>
  <c r="CK60" i="18"/>
  <c r="CL60" i="18"/>
  <c r="CM60" i="18"/>
  <c r="CN60" i="18"/>
  <c r="CO60" i="18"/>
  <c r="CP60" i="18"/>
  <c r="CQ60" i="18"/>
  <c r="CR60" i="18"/>
  <c r="CS60" i="18"/>
  <c r="CT60" i="18"/>
  <c r="CU60" i="18"/>
  <c r="CW60" i="18"/>
  <c r="CY60" i="18"/>
  <c r="AO61" i="18"/>
  <c r="AP61" i="18"/>
  <c r="AU61" i="18"/>
  <c r="AV61" i="18"/>
  <c r="AW61" i="18"/>
  <c r="AX61" i="18"/>
  <c r="AY61" i="18"/>
  <c r="AZ61" i="18"/>
  <c r="BA61" i="18"/>
  <c r="BB61" i="18"/>
  <c r="BC61" i="18"/>
  <c r="BD61" i="18"/>
  <c r="BE61" i="18"/>
  <c r="BF61" i="18"/>
  <c r="BG61" i="18"/>
  <c r="BH61" i="18"/>
  <c r="BK61" i="18"/>
  <c r="BL61" i="18"/>
  <c r="BM61" i="18"/>
  <c r="BN61" i="18"/>
  <c r="BO61" i="18"/>
  <c r="BP61" i="18"/>
  <c r="BS61" i="18"/>
  <c r="BT61" i="18"/>
  <c r="BU61" i="18"/>
  <c r="BV61" i="18"/>
  <c r="BY61" i="18"/>
  <c r="BZ61" i="18"/>
  <c r="CC61" i="18"/>
  <c r="CD61" i="18"/>
  <c r="CE61" i="18"/>
  <c r="CG61" i="18"/>
  <c r="CH61" i="18"/>
  <c r="CI61" i="18"/>
  <c r="CJ61" i="18"/>
  <c r="CK61" i="18"/>
  <c r="CL61" i="18"/>
  <c r="CM61" i="18"/>
  <c r="CN61" i="18"/>
  <c r="CO61" i="18"/>
  <c r="CQ61" i="18"/>
  <c r="CR61" i="18"/>
  <c r="CS61" i="18"/>
  <c r="CT61" i="18"/>
  <c r="CU61" i="18"/>
  <c r="CW61" i="18"/>
  <c r="CY61" i="18"/>
  <c r="AO62" i="18"/>
  <c r="AP62" i="18"/>
  <c r="AQ62" i="18"/>
  <c r="AU62" i="18"/>
  <c r="AV62" i="18"/>
  <c r="AW62" i="18"/>
  <c r="AX62" i="18"/>
  <c r="AY62" i="18"/>
  <c r="AZ62" i="18"/>
  <c r="BA62" i="18"/>
  <c r="BB62" i="18"/>
  <c r="BC62" i="18"/>
  <c r="BD62" i="18"/>
  <c r="BE62" i="18"/>
  <c r="BF62" i="18"/>
  <c r="BG62" i="18"/>
  <c r="BH62" i="18"/>
  <c r="BL62" i="18"/>
  <c r="BM62" i="18"/>
  <c r="BN62" i="18"/>
  <c r="BO62" i="18"/>
  <c r="BP62" i="18"/>
  <c r="BS62" i="18"/>
  <c r="BT62" i="18"/>
  <c r="BU62" i="18"/>
  <c r="BV62" i="18"/>
  <c r="BY62" i="18"/>
  <c r="BZ62" i="18"/>
  <c r="CC62" i="18"/>
  <c r="CD62" i="18"/>
  <c r="CE62" i="18"/>
  <c r="CG62" i="18"/>
  <c r="CH62" i="18"/>
  <c r="CI62" i="18"/>
  <c r="CJ62" i="18"/>
  <c r="CK62" i="18"/>
  <c r="CL62" i="18"/>
  <c r="CM62" i="18"/>
  <c r="CN62" i="18"/>
  <c r="CO62" i="18"/>
  <c r="CQ62" i="18"/>
  <c r="CR62" i="18"/>
  <c r="CS62" i="18"/>
  <c r="CT62" i="18"/>
  <c r="CU62" i="18"/>
  <c r="CW62" i="18"/>
  <c r="CY62" i="18"/>
  <c r="AO63" i="18"/>
  <c r="AP63" i="18"/>
  <c r="AQ63" i="18"/>
  <c r="AR63" i="18"/>
  <c r="AU63" i="18"/>
  <c r="AV63" i="18"/>
  <c r="AW63" i="18"/>
  <c r="AX63" i="18"/>
  <c r="AY63" i="18"/>
  <c r="AZ63" i="18"/>
  <c r="BA63" i="18"/>
  <c r="BB63" i="18"/>
  <c r="BC63" i="18"/>
  <c r="BD63" i="18"/>
  <c r="BE63" i="18"/>
  <c r="BF63" i="18"/>
  <c r="BG63" i="18"/>
  <c r="BH63" i="18"/>
  <c r="BM63" i="18"/>
  <c r="BN63" i="18"/>
  <c r="BO63" i="18"/>
  <c r="BP63" i="18"/>
  <c r="BS63" i="18"/>
  <c r="BT63" i="18"/>
  <c r="BU63" i="18"/>
  <c r="BV63" i="18"/>
  <c r="BY63" i="18"/>
  <c r="BZ63" i="18"/>
  <c r="CC63" i="18"/>
  <c r="CD63" i="18"/>
  <c r="CE63" i="18"/>
  <c r="CF63" i="18"/>
  <c r="CG63" i="18"/>
  <c r="CH63" i="18"/>
  <c r="CI63" i="18"/>
  <c r="CJ63" i="18"/>
  <c r="CK63" i="18"/>
  <c r="CL63" i="18"/>
  <c r="CM63" i="18"/>
  <c r="CN63" i="18"/>
  <c r="CO63" i="18"/>
  <c r="CQ63" i="18"/>
  <c r="CR63" i="18"/>
  <c r="CS63" i="18"/>
  <c r="CT63" i="18"/>
  <c r="CU63" i="18"/>
  <c r="CW63" i="18"/>
  <c r="CY63" i="18"/>
  <c r="AO64" i="18"/>
  <c r="AP64" i="18"/>
  <c r="AQ64" i="18"/>
  <c r="AR64" i="18"/>
  <c r="AS64" i="18"/>
  <c r="AU64" i="18"/>
  <c r="AV64" i="18"/>
  <c r="AW64" i="18"/>
  <c r="AX64" i="18"/>
  <c r="AY64" i="18"/>
  <c r="AZ64" i="18"/>
  <c r="BA64" i="18"/>
  <c r="BB64" i="18"/>
  <c r="BC64" i="18"/>
  <c r="BD64" i="18"/>
  <c r="BE64" i="18"/>
  <c r="BF64" i="18"/>
  <c r="BG64" i="18"/>
  <c r="BH64" i="18"/>
  <c r="BM64" i="18"/>
  <c r="BN64" i="18"/>
  <c r="BO64" i="18"/>
  <c r="BP64" i="18"/>
  <c r="BQ64" i="18"/>
  <c r="BS64" i="18"/>
  <c r="BT64" i="18"/>
  <c r="BU64" i="18"/>
  <c r="BV64" i="18"/>
  <c r="BY64" i="18"/>
  <c r="BZ64" i="18"/>
  <c r="CC64" i="18"/>
  <c r="CD64" i="18"/>
  <c r="CE64" i="18"/>
  <c r="CF64" i="18"/>
  <c r="CG64" i="18"/>
  <c r="CH64" i="18"/>
  <c r="CI64" i="18"/>
  <c r="CJ64" i="18"/>
  <c r="CK64" i="18"/>
  <c r="CL64" i="18"/>
  <c r="CM64" i="18"/>
  <c r="CN64" i="18"/>
  <c r="CO64" i="18"/>
  <c r="CQ64" i="18"/>
  <c r="CR64" i="18"/>
  <c r="CS64" i="18"/>
  <c r="CT64" i="18"/>
  <c r="CU64" i="18"/>
  <c r="CW64" i="18"/>
  <c r="CY64" i="18"/>
  <c r="AO65" i="18"/>
  <c r="AP65" i="18"/>
  <c r="AQ65" i="18"/>
  <c r="AR65" i="18"/>
  <c r="AS65" i="18"/>
  <c r="AT65" i="18"/>
  <c r="AU65" i="18"/>
  <c r="AV65" i="18"/>
  <c r="AW65" i="18"/>
  <c r="AX65" i="18"/>
  <c r="AY65" i="18"/>
  <c r="AZ65" i="18"/>
  <c r="BA65" i="18"/>
  <c r="BB65" i="18"/>
  <c r="BC65" i="18"/>
  <c r="BD65" i="18"/>
  <c r="BE65" i="18"/>
  <c r="BF65" i="18"/>
  <c r="BG65" i="18"/>
  <c r="BH65" i="18"/>
  <c r="BM65" i="18"/>
  <c r="BN65" i="18"/>
  <c r="BO65" i="18"/>
  <c r="BP65" i="18"/>
  <c r="BQ65" i="18"/>
  <c r="BR65" i="18"/>
  <c r="BS65" i="18"/>
  <c r="BT65" i="18"/>
  <c r="BU65" i="18"/>
  <c r="BV65" i="18"/>
  <c r="BW65" i="18"/>
  <c r="BY65" i="18"/>
  <c r="BZ65" i="18"/>
  <c r="CC65" i="18"/>
  <c r="CD65" i="18"/>
  <c r="CE65" i="18"/>
  <c r="CF65" i="18"/>
  <c r="CG65" i="18"/>
  <c r="CH65" i="18"/>
  <c r="CI65" i="18"/>
  <c r="CJ65" i="18"/>
  <c r="CK65" i="18"/>
  <c r="CL65" i="18"/>
  <c r="CM65" i="18"/>
  <c r="CN65" i="18"/>
  <c r="CO65" i="18"/>
  <c r="CP65" i="18"/>
  <c r="CQ65" i="18"/>
  <c r="CR65" i="18"/>
  <c r="CS65" i="18"/>
  <c r="CT65" i="18"/>
  <c r="CU65" i="18"/>
  <c r="CV65" i="18"/>
  <c r="CW65" i="18"/>
  <c r="CY65" i="18"/>
  <c r="EE66" i="17"/>
  <c r="ED66" i="17"/>
  <c r="AN91" i="17"/>
  <c r="EC66" i="17"/>
  <c r="AH91" i="17"/>
  <c r="AF91" i="17"/>
  <c r="DY66" i="17"/>
  <c r="AE91" i="17"/>
  <c r="DX66" i="17"/>
  <c r="AD91" i="17"/>
  <c r="AC91" i="17"/>
  <c r="DV66" i="17" s="1"/>
  <c r="AB91" i="17"/>
  <c r="DU66" i="17"/>
  <c r="AA91" i="17"/>
  <c r="DT66" i="17"/>
  <c r="Z91" i="17"/>
  <c r="DS66" i="17" s="1"/>
  <c r="W91" i="17"/>
  <c r="DR66" i="17" s="1"/>
  <c r="V91" i="17"/>
  <c r="DQ66" i="17"/>
  <c r="U91" i="17"/>
  <c r="T91" i="17"/>
  <c r="DO66" i="17" s="1"/>
  <c r="S91" i="17"/>
  <c r="DN66" i="17" s="1"/>
  <c r="Q66" i="18"/>
  <c r="Q91" i="17" s="1"/>
  <c r="P72" i="17"/>
  <c r="P91" i="17" s="1"/>
  <c r="O72" i="17"/>
  <c r="N72" i="17"/>
  <c r="N91" i="17" s="1"/>
  <c r="DI66" i="17" s="1"/>
  <c r="K66" i="18"/>
  <c r="J72" i="17"/>
  <c r="J91" i="17"/>
  <c r="DF66" i="17" s="1"/>
  <c r="I72" i="17"/>
  <c r="I91" i="17" s="1"/>
  <c r="H72" i="17"/>
  <c r="H75" i="17" s="1"/>
  <c r="H95" i="17" s="1"/>
  <c r="H91" i="17"/>
  <c r="F91" i="17"/>
  <c r="DC66" i="17" s="1"/>
  <c r="E91" i="17"/>
  <c r="D91" i="17"/>
  <c r="DA66" i="17" s="1"/>
  <c r="C91" i="17"/>
  <c r="CZ66" i="17" s="1"/>
  <c r="B91" i="17"/>
  <c r="CY66" i="17" s="1"/>
  <c r="AN95" i="17"/>
  <c r="CX66" i="17"/>
  <c r="AN96" i="17"/>
  <c r="AH70" i="18"/>
  <c r="AH95" i="17"/>
  <c r="CT66" i="17"/>
  <c r="AH71" i="18"/>
  <c r="AH96" i="17" s="1"/>
  <c r="AF70" i="18"/>
  <c r="AF95" i="17" s="1"/>
  <c r="CP66" i="17" s="1"/>
  <c r="AF71" i="18"/>
  <c r="AF96" i="17"/>
  <c r="CO48" i="17" s="1"/>
  <c r="AE70" i="18"/>
  <c r="AE95" i="17" s="1"/>
  <c r="CN58" i="17" s="1"/>
  <c r="AE71" i="18"/>
  <c r="AE96" i="17"/>
  <c r="CM66" i="17" s="1"/>
  <c r="AD70" i="18"/>
  <c r="AD95" i="17"/>
  <c r="CL66" i="17" s="1"/>
  <c r="AD71" i="18"/>
  <c r="AD96" i="17" s="1"/>
  <c r="AC70" i="18"/>
  <c r="AC95" i="17" s="1"/>
  <c r="CJ66" i="17" s="1"/>
  <c r="AC71" i="18"/>
  <c r="AC96" i="17"/>
  <c r="CI66" i="17" s="1"/>
  <c r="AB70" i="18"/>
  <c r="AB95" i="17" s="1"/>
  <c r="AB71" i="18"/>
  <c r="AB96" i="17"/>
  <c r="CG66" i="17"/>
  <c r="AA70" i="18"/>
  <c r="AA95" i="17"/>
  <c r="CF66" i="17"/>
  <c r="Z70" i="18"/>
  <c r="Z95" i="17"/>
  <c r="W70" i="18"/>
  <c r="W95" i="17" s="1"/>
  <c r="CB66" i="17"/>
  <c r="W71" i="18"/>
  <c r="W96" i="17"/>
  <c r="CA66" i="17" s="1"/>
  <c r="V70" i="18"/>
  <c r="V95" i="17" s="1"/>
  <c r="V71" i="18"/>
  <c r="V96" i="17"/>
  <c r="BY66" i="17"/>
  <c r="U70" i="18"/>
  <c r="U95" i="17" s="1"/>
  <c r="BX58" i="17" s="1"/>
  <c r="U71" i="18"/>
  <c r="U96" i="17" s="1"/>
  <c r="T70" i="18"/>
  <c r="T95" i="17" s="1"/>
  <c r="T71" i="18"/>
  <c r="T96" i="17"/>
  <c r="S70" i="18"/>
  <c r="S95" i="17" s="1"/>
  <c r="S71" i="18"/>
  <c r="S96" i="17" s="1"/>
  <c r="Q67" i="18"/>
  <c r="P74" i="17"/>
  <c r="P75" i="17"/>
  <c r="P95" i="17" s="1"/>
  <c r="P76" i="17"/>
  <c r="P96" i="17" s="1"/>
  <c r="BM46" i="17" s="1"/>
  <c r="O74" i="17"/>
  <c r="N74" i="17"/>
  <c r="N76" i="17" s="1"/>
  <c r="N96" i="17" s="1"/>
  <c r="N75" i="17"/>
  <c r="N95" i="17" s="1"/>
  <c r="K67" i="18"/>
  <c r="J74" i="17"/>
  <c r="I74" i="17"/>
  <c r="I76" i="17" s="1"/>
  <c r="I96" i="17" s="1"/>
  <c r="BA49" i="17" s="1"/>
  <c r="H74" i="17"/>
  <c r="AZ66" i="17"/>
  <c r="H76" i="17"/>
  <c r="H96" i="17" s="1"/>
  <c r="F70" i="18"/>
  <c r="F95" i="17"/>
  <c r="AX66" i="17"/>
  <c r="F71" i="18"/>
  <c r="F96" i="17" s="1"/>
  <c r="AW39" i="17" s="1"/>
  <c r="E70" i="18"/>
  <c r="E95" i="17"/>
  <c r="AV66" i="17" s="1"/>
  <c r="E71" i="18"/>
  <c r="E96" i="17"/>
  <c r="D70" i="18"/>
  <c r="D95" i="17" s="1"/>
  <c r="AT60" i="17" s="1"/>
  <c r="D71" i="18"/>
  <c r="D96" i="17" s="1"/>
  <c r="C70" i="18"/>
  <c r="C95" i="17"/>
  <c r="AR66" i="17" s="1"/>
  <c r="C71" i="18"/>
  <c r="C96" i="17" s="1"/>
  <c r="B70" i="18"/>
  <c r="B95" i="17"/>
  <c r="AP66" i="17"/>
  <c r="B71" i="18"/>
  <c r="B96" i="17"/>
  <c r="AO66" i="17"/>
  <c r="EE65" i="17"/>
  <c r="ED65" i="17"/>
  <c r="EC65" i="17"/>
  <c r="DY65" i="17"/>
  <c r="DX65" i="17"/>
  <c r="DV65" i="17"/>
  <c r="DU65" i="17"/>
  <c r="DT65" i="17"/>
  <c r="DS65" i="17"/>
  <c r="DR65" i="17"/>
  <c r="DQ65" i="17"/>
  <c r="DO65" i="17"/>
  <c r="DN65" i="17"/>
  <c r="DI65" i="17"/>
  <c r="DF65" i="17"/>
  <c r="DC65" i="17"/>
  <c r="DB65" i="17"/>
  <c r="DA65" i="17"/>
  <c r="CZ65" i="17"/>
  <c r="CY65" i="17"/>
  <c r="CT65" i="17"/>
  <c r="CP65" i="17"/>
  <c r="CM65" i="17"/>
  <c r="CL65" i="17"/>
  <c r="CK65" i="17"/>
  <c r="CJ65" i="17"/>
  <c r="CG65" i="17"/>
  <c r="CF65" i="17"/>
  <c r="CB65" i="17"/>
  <c r="BY65" i="17"/>
  <c r="BW65" i="17"/>
  <c r="BV65" i="17"/>
  <c r="BN65" i="17"/>
  <c r="AY65" i="17"/>
  <c r="AX65" i="17"/>
  <c r="AV65" i="17"/>
  <c r="AP65" i="17"/>
  <c r="EE64" i="17"/>
  <c r="ED64" i="17"/>
  <c r="EC64" i="17"/>
  <c r="DY64" i="17"/>
  <c r="DX64" i="17"/>
  <c r="DV64" i="17"/>
  <c r="DU64" i="17"/>
  <c r="DT64" i="17"/>
  <c r="DS64" i="17"/>
  <c r="DR64" i="17"/>
  <c r="DQ64" i="17"/>
  <c r="DO64" i="17"/>
  <c r="DN64" i="17"/>
  <c r="DI64" i="17"/>
  <c r="DF64" i="17"/>
  <c r="DC64" i="17"/>
  <c r="DB64" i="17"/>
  <c r="DA64" i="17"/>
  <c r="CZ64" i="17"/>
  <c r="CY64" i="17"/>
  <c r="CT64" i="17"/>
  <c r="CP64" i="17"/>
  <c r="CM64" i="17"/>
  <c r="CK64" i="17"/>
  <c r="CJ64" i="17"/>
  <c r="CI64" i="17"/>
  <c r="CG64" i="17"/>
  <c r="CF64" i="17"/>
  <c r="CB64" i="17"/>
  <c r="CA64" i="17"/>
  <c r="BY64" i="17"/>
  <c r="BV64" i="17"/>
  <c r="BS64" i="17"/>
  <c r="BN64" i="17"/>
  <c r="AX64" i="17"/>
  <c r="AV64" i="17"/>
  <c r="AU64" i="17"/>
  <c r="AP64" i="17"/>
  <c r="AO64" i="17"/>
  <c r="EE61" i="17"/>
  <c r="ED61" i="17"/>
  <c r="EC61" i="17"/>
  <c r="DY61" i="17"/>
  <c r="DX61" i="17"/>
  <c r="DV61" i="17"/>
  <c r="DU61" i="17"/>
  <c r="DT61" i="17"/>
  <c r="DS61" i="17"/>
  <c r="DR61" i="17"/>
  <c r="DQ61" i="17"/>
  <c r="DP61" i="17"/>
  <c r="DO61" i="17"/>
  <c r="DN61" i="17"/>
  <c r="DI61" i="17"/>
  <c r="DF61" i="17"/>
  <c r="DC61" i="17"/>
  <c r="DA61" i="17"/>
  <c r="CZ61" i="17"/>
  <c r="CY61" i="17"/>
  <c r="CX61" i="17"/>
  <c r="CT61" i="17"/>
  <c r="CP61" i="17"/>
  <c r="CM61" i="17"/>
  <c r="CK61" i="17"/>
  <c r="CJ61" i="17"/>
  <c r="CI61" i="17"/>
  <c r="CG61" i="17"/>
  <c r="CF61" i="17"/>
  <c r="CB61" i="17"/>
  <c r="CA61" i="17"/>
  <c r="BZ61" i="17"/>
  <c r="BY61" i="17"/>
  <c r="AX61" i="17"/>
  <c r="AW61" i="17"/>
  <c r="AV61" i="17"/>
  <c r="AP61" i="17"/>
  <c r="EE60" i="17"/>
  <c r="ED60" i="17"/>
  <c r="EC60" i="17"/>
  <c r="DY60" i="17"/>
  <c r="DX60" i="17"/>
  <c r="DV60" i="17"/>
  <c r="DU60" i="17"/>
  <c r="DT60" i="17"/>
  <c r="DS60" i="17"/>
  <c r="DR60" i="17"/>
  <c r="DQ60" i="17"/>
  <c r="DO60" i="17"/>
  <c r="DN60" i="17"/>
  <c r="DI60" i="17"/>
  <c r="DF60" i="17"/>
  <c r="DC60" i="17"/>
  <c r="DA60" i="17"/>
  <c r="CZ60" i="17"/>
  <c r="CY60" i="17"/>
  <c r="CX60" i="17"/>
  <c r="CW60" i="17"/>
  <c r="CT60" i="17"/>
  <c r="CP60" i="17"/>
  <c r="CM60" i="17"/>
  <c r="CJ60" i="17"/>
  <c r="CI60" i="17"/>
  <c r="CG60" i="17"/>
  <c r="CF60" i="17"/>
  <c r="CB60" i="17"/>
  <c r="BZ60" i="17"/>
  <c r="BY60" i="17"/>
  <c r="BS60" i="17"/>
  <c r="BI60" i="17"/>
  <c r="AX60" i="17"/>
  <c r="AV60" i="17"/>
  <c r="AU60" i="17"/>
  <c r="AS60" i="17"/>
  <c r="AP60" i="17"/>
  <c r="EE59" i="17"/>
  <c r="ED59" i="17"/>
  <c r="EC59" i="17"/>
  <c r="DY59" i="17"/>
  <c r="DX59" i="17"/>
  <c r="DV59" i="17"/>
  <c r="DU59" i="17"/>
  <c r="DT59" i="17"/>
  <c r="DS59" i="17"/>
  <c r="DR59" i="17"/>
  <c r="DQ59" i="17"/>
  <c r="DO59" i="17"/>
  <c r="DN59" i="17"/>
  <c r="DI59" i="17"/>
  <c r="DF59" i="17"/>
  <c r="DE59" i="17"/>
  <c r="DD59" i="17"/>
  <c r="DC59" i="17"/>
  <c r="DA59" i="17"/>
  <c r="CZ59" i="17"/>
  <c r="CY59" i="17"/>
  <c r="CT59" i="17"/>
  <c r="CP59" i="17"/>
  <c r="CN59" i="17"/>
  <c r="CM59" i="17"/>
  <c r="CJ59" i="17"/>
  <c r="CI59" i="17"/>
  <c r="CH59" i="17"/>
  <c r="CG59" i="17"/>
  <c r="CF59" i="17"/>
  <c r="CB59" i="17"/>
  <c r="CA59" i="17"/>
  <c r="BZ59" i="17"/>
  <c r="BY59" i="17"/>
  <c r="BS59" i="17"/>
  <c r="AX59" i="17"/>
  <c r="AV59" i="17"/>
  <c r="AT59" i="17"/>
  <c r="AS59" i="17"/>
  <c r="AP59" i="17"/>
  <c r="EE58" i="17"/>
  <c r="ED58" i="17"/>
  <c r="EC58" i="17"/>
  <c r="EA58" i="17"/>
  <c r="DY58" i="17"/>
  <c r="DX58" i="17"/>
  <c r="DV58" i="17"/>
  <c r="DU58" i="17"/>
  <c r="DT58" i="17"/>
  <c r="DS58" i="17"/>
  <c r="DR58" i="17"/>
  <c r="DQ58" i="17"/>
  <c r="DO58" i="17"/>
  <c r="DN58" i="17"/>
  <c r="DI58" i="17"/>
  <c r="DF58" i="17"/>
  <c r="DE58" i="17"/>
  <c r="DD58" i="17"/>
  <c r="DC58" i="17"/>
  <c r="DA58" i="17"/>
  <c r="CZ58" i="17"/>
  <c r="CY58" i="17"/>
  <c r="CT58" i="17"/>
  <c r="CS58" i="17"/>
  <c r="CP58" i="17"/>
  <c r="CO58" i="17"/>
  <c r="CM58" i="17"/>
  <c r="CK58" i="17"/>
  <c r="CJ58" i="17"/>
  <c r="CG58" i="17"/>
  <c r="CF58" i="17"/>
  <c r="CB58" i="17"/>
  <c r="BZ58" i="17"/>
  <c r="BY58" i="17"/>
  <c r="BW58" i="17"/>
  <c r="BJ58" i="17"/>
  <c r="BI58" i="17"/>
  <c r="AZ58" i="17"/>
  <c r="AY58" i="17"/>
  <c r="AX58" i="17"/>
  <c r="AV58" i="17"/>
  <c r="AS58" i="17"/>
  <c r="AP58" i="17"/>
  <c r="AO58" i="17"/>
  <c r="EE57" i="17"/>
  <c r="ED57" i="17"/>
  <c r="EC57" i="17"/>
  <c r="EA57" i="17"/>
  <c r="DY57" i="17"/>
  <c r="DX57" i="17"/>
  <c r="DV57" i="17"/>
  <c r="DU57" i="17"/>
  <c r="DT57" i="17"/>
  <c r="DS57" i="17"/>
  <c r="DR57" i="17"/>
  <c r="DQ57" i="17"/>
  <c r="DO57" i="17"/>
  <c r="DN57" i="17"/>
  <c r="DI57" i="17"/>
  <c r="DF57" i="17"/>
  <c r="DC57" i="17"/>
  <c r="DA57" i="17"/>
  <c r="CZ57" i="17"/>
  <c r="CY57" i="17"/>
  <c r="CX57" i="17"/>
  <c r="CT57" i="17"/>
  <c r="CP57" i="17"/>
  <c r="CN57" i="17"/>
  <c r="CM57" i="17"/>
  <c r="CL57" i="17"/>
  <c r="CJ57" i="17"/>
  <c r="CG57" i="17"/>
  <c r="CF57" i="17"/>
  <c r="CB57" i="17"/>
  <c r="BZ57" i="17"/>
  <c r="BY57" i="17"/>
  <c r="BW57" i="17"/>
  <c r="BV57" i="17"/>
  <c r="BN57" i="17"/>
  <c r="BJ57" i="17"/>
  <c r="BI57" i="17"/>
  <c r="AY57" i="17"/>
  <c r="AX57" i="17"/>
  <c r="AV57" i="17"/>
  <c r="AU57" i="17"/>
  <c r="AS57" i="17"/>
  <c r="AQ57" i="17"/>
  <c r="AP57" i="17"/>
  <c r="EE56" i="17"/>
  <c r="ED56" i="17"/>
  <c r="EC56" i="17"/>
  <c r="DY56" i="17"/>
  <c r="DX56" i="17"/>
  <c r="DV56" i="17"/>
  <c r="DU56" i="17"/>
  <c r="DT56" i="17"/>
  <c r="DS56" i="17"/>
  <c r="DR56" i="17"/>
  <c r="DQ56" i="17"/>
  <c r="DO56" i="17"/>
  <c r="DN56" i="17"/>
  <c r="DL56" i="17"/>
  <c r="DI56" i="17"/>
  <c r="DF56" i="17"/>
  <c r="DE56" i="17"/>
  <c r="DD56" i="17"/>
  <c r="DC56" i="17"/>
  <c r="DB56" i="17"/>
  <c r="DA56" i="17"/>
  <c r="CZ56" i="17"/>
  <c r="CY56" i="17"/>
  <c r="CX56" i="17"/>
  <c r="CW56" i="17"/>
  <c r="CT56" i="17"/>
  <c r="CP56" i="17"/>
  <c r="CN56" i="17"/>
  <c r="CM56" i="17"/>
  <c r="CL56" i="17"/>
  <c r="CJ56" i="17"/>
  <c r="CI56" i="17"/>
  <c r="CH56" i="17"/>
  <c r="CG56" i="17"/>
  <c r="CF56" i="17"/>
  <c r="CB56" i="17"/>
  <c r="CA56" i="17"/>
  <c r="BZ56" i="17"/>
  <c r="BY56" i="17"/>
  <c r="BX56" i="17"/>
  <c r="BW56" i="17"/>
  <c r="BV56" i="17"/>
  <c r="BS56" i="17"/>
  <c r="BN56" i="17"/>
  <c r="BI56" i="17"/>
  <c r="BA56" i="17"/>
  <c r="AZ56" i="17"/>
  <c r="AX56" i="17"/>
  <c r="AV56" i="17"/>
  <c r="AS56" i="17"/>
  <c r="AP56" i="17"/>
  <c r="EE55" i="17"/>
  <c r="ED55" i="17"/>
  <c r="EC55" i="17"/>
  <c r="EA55" i="17"/>
  <c r="DY55" i="17"/>
  <c r="DX55" i="17"/>
  <c r="DV55" i="17"/>
  <c r="DU55" i="17"/>
  <c r="DT55" i="17"/>
  <c r="DS55" i="17"/>
  <c r="DR55" i="17"/>
  <c r="DQ55" i="17"/>
  <c r="DO55" i="17"/>
  <c r="DN55" i="17"/>
  <c r="DL55" i="17"/>
  <c r="DI55" i="17"/>
  <c r="DF55" i="17"/>
  <c r="DE55" i="17"/>
  <c r="DD55" i="17"/>
  <c r="DC55" i="17"/>
  <c r="DB55" i="17"/>
  <c r="DA55" i="17"/>
  <c r="CZ55" i="17"/>
  <c r="CY55" i="17"/>
  <c r="CX55" i="17"/>
  <c r="CT55" i="17"/>
  <c r="CS55" i="17"/>
  <c r="CP55" i="17"/>
  <c r="CN55" i="17"/>
  <c r="CM55" i="17"/>
  <c r="CK55" i="17"/>
  <c r="CJ55" i="17"/>
  <c r="CI55" i="17"/>
  <c r="CH55" i="17"/>
  <c r="CG55" i="17"/>
  <c r="CF55" i="17"/>
  <c r="CB55" i="17"/>
  <c r="BZ55" i="17"/>
  <c r="BY55" i="17"/>
  <c r="BX55" i="17"/>
  <c r="BW55" i="17"/>
  <c r="BV55" i="17"/>
  <c r="BS55" i="17"/>
  <c r="BN55" i="17"/>
  <c r="BI55" i="17"/>
  <c r="AZ55" i="17"/>
  <c r="AY55" i="17"/>
  <c r="AX55" i="17"/>
  <c r="AV55" i="17"/>
  <c r="AT55" i="17"/>
  <c r="AS55" i="17"/>
  <c r="AP55" i="17"/>
  <c r="AO55" i="17"/>
  <c r="EE54" i="17"/>
  <c r="ED54" i="17"/>
  <c r="EC54" i="17"/>
  <c r="EA54" i="17"/>
  <c r="DY54" i="17"/>
  <c r="DX54" i="17"/>
  <c r="DV54" i="17"/>
  <c r="DU54" i="17"/>
  <c r="DT54" i="17"/>
  <c r="DS54" i="17"/>
  <c r="DR54" i="17"/>
  <c r="DQ54" i="17"/>
  <c r="DO54" i="17"/>
  <c r="DN54" i="17"/>
  <c r="DL54" i="17"/>
  <c r="DK54" i="17"/>
  <c r="DI54" i="17"/>
  <c r="DF54" i="17"/>
  <c r="DE54" i="17"/>
  <c r="DD54" i="17"/>
  <c r="DC54" i="17"/>
  <c r="DB54" i="17"/>
  <c r="DA54" i="17"/>
  <c r="CZ54" i="17"/>
  <c r="CY54" i="17"/>
  <c r="CT54" i="17"/>
  <c r="CP54" i="17"/>
  <c r="CN54" i="17"/>
  <c r="CM54" i="17"/>
  <c r="CL54" i="17"/>
  <c r="CJ54" i="17"/>
  <c r="CI54" i="17"/>
  <c r="CG54" i="17"/>
  <c r="CF54" i="17"/>
  <c r="CB54" i="17"/>
  <c r="BZ54" i="17"/>
  <c r="BY54" i="17"/>
  <c r="BX54" i="17"/>
  <c r="BW54" i="17"/>
  <c r="BV54" i="17"/>
  <c r="BS54" i="17"/>
  <c r="BN54" i="17"/>
  <c r="BI54" i="17"/>
  <c r="BA54" i="17"/>
  <c r="AZ54" i="17"/>
  <c r="AY54" i="17"/>
  <c r="AX54" i="17"/>
  <c r="AV54" i="17"/>
  <c r="AS54" i="17"/>
  <c r="AQ54" i="17"/>
  <c r="AP54" i="17"/>
  <c r="EE53" i="17"/>
  <c r="ED53" i="17"/>
  <c r="EC53" i="17"/>
  <c r="EA53" i="17"/>
  <c r="DY53" i="17"/>
  <c r="DX53" i="17"/>
  <c r="DV53" i="17"/>
  <c r="DU53" i="17"/>
  <c r="DT53" i="17"/>
  <c r="DS53" i="17"/>
  <c r="DR53" i="17"/>
  <c r="DQ53" i="17"/>
  <c r="DO53" i="17"/>
  <c r="DN53" i="17"/>
  <c r="DL53" i="17"/>
  <c r="DI53" i="17"/>
  <c r="DF53" i="17"/>
  <c r="DD53" i="17"/>
  <c r="DC53" i="17"/>
  <c r="DB53" i="17"/>
  <c r="DA53" i="17"/>
  <c r="CZ53" i="17"/>
  <c r="CY53" i="17"/>
  <c r="CT53" i="17"/>
  <c r="CS53" i="17"/>
  <c r="CP53" i="17"/>
  <c r="CN53" i="17"/>
  <c r="CM53" i="17"/>
  <c r="CK53" i="17"/>
  <c r="CJ53" i="17"/>
  <c r="CI53" i="17"/>
  <c r="CG53" i="17"/>
  <c r="CF53" i="17"/>
  <c r="CB53" i="17"/>
  <c r="CA53" i="17"/>
  <c r="BZ53" i="17"/>
  <c r="BY53" i="17"/>
  <c r="BW53" i="17"/>
  <c r="BV53" i="17"/>
  <c r="BS53" i="17"/>
  <c r="BN53" i="17"/>
  <c r="BI53" i="17"/>
  <c r="AZ53" i="17"/>
  <c r="AY53" i="17"/>
  <c r="AX53" i="17"/>
  <c r="AV53" i="17"/>
  <c r="AU53" i="17"/>
  <c r="AS53" i="17"/>
  <c r="AP53" i="17"/>
  <c r="AO53" i="17"/>
  <c r="EE52" i="17"/>
  <c r="ED52" i="17"/>
  <c r="EC52" i="17"/>
  <c r="EA52" i="17"/>
  <c r="DY52" i="17"/>
  <c r="DX52" i="17"/>
  <c r="DV52" i="17"/>
  <c r="DU52" i="17"/>
  <c r="DT52" i="17"/>
  <c r="DS52" i="17"/>
  <c r="DR52" i="17"/>
  <c r="DQ52" i="17"/>
  <c r="DO52" i="17"/>
  <c r="DN52" i="17"/>
  <c r="DI52" i="17"/>
  <c r="DF52" i="17"/>
  <c r="DC52" i="17"/>
  <c r="DB52" i="17"/>
  <c r="DA52" i="17"/>
  <c r="CZ52" i="17"/>
  <c r="CY52" i="17"/>
  <c r="CX52" i="17"/>
  <c r="CT52" i="17"/>
  <c r="CS52" i="17"/>
  <c r="CP52" i="17"/>
  <c r="CM52" i="17"/>
  <c r="CL52" i="17"/>
  <c r="CK52" i="17"/>
  <c r="CJ52" i="17"/>
  <c r="CI52" i="17"/>
  <c r="CG52" i="17"/>
  <c r="CF52" i="17"/>
  <c r="CD52" i="17"/>
  <c r="CB52" i="17"/>
  <c r="CA52" i="17"/>
  <c r="BZ52" i="17"/>
  <c r="BY52" i="17"/>
  <c r="BW52" i="17"/>
  <c r="BV52" i="17"/>
  <c r="BT52" i="17"/>
  <c r="BS52" i="17"/>
  <c r="BN52" i="17"/>
  <c r="BJ52" i="17"/>
  <c r="BI52" i="17"/>
  <c r="AY52" i="17"/>
  <c r="AX52" i="17"/>
  <c r="AW52" i="17"/>
  <c r="AV52" i="17"/>
  <c r="AT52" i="17"/>
  <c r="AS52" i="17"/>
  <c r="AP52" i="17"/>
  <c r="AO52" i="17"/>
  <c r="EE51" i="17"/>
  <c r="ED51" i="17"/>
  <c r="EC51" i="17"/>
  <c r="DY51" i="17"/>
  <c r="DX51" i="17"/>
  <c r="DV51" i="17"/>
  <c r="DU51" i="17"/>
  <c r="DT51" i="17"/>
  <c r="DS51" i="17"/>
  <c r="DR51" i="17"/>
  <c r="DQ51" i="17"/>
  <c r="DO51" i="17"/>
  <c r="DN51" i="17"/>
  <c r="DI51" i="17"/>
  <c r="DF51" i="17"/>
  <c r="DE51" i="17"/>
  <c r="DC51" i="17"/>
  <c r="DB51" i="17"/>
  <c r="DA51" i="17"/>
  <c r="CZ51" i="17"/>
  <c r="CY51" i="17"/>
  <c r="CT51" i="17"/>
  <c r="CS51" i="17"/>
  <c r="CP51" i="17"/>
  <c r="CO51" i="17"/>
  <c r="CM51" i="17"/>
  <c r="CL51" i="17"/>
  <c r="CK51" i="17"/>
  <c r="CJ51" i="17"/>
  <c r="CI51" i="17"/>
  <c r="CG51" i="17"/>
  <c r="CF51" i="17"/>
  <c r="CD51" i="17"/>
  <c r="CB51" i="17"/>
  <c r="CA51" i="17"/>
  <c r="BZ51" i="17"/>
  <c r="BY51" i="17"/>
  <c r="BW51" i="17"/>
  <c r="BV51" i="17"/>
  <c r="BT51" i="17"/>
  <c r="BS51" i="17"/>
  <c r="BN51" i="17"/>
  <c r="BI51" i="17"/>
  <c r="AX51" i="17"/>
  <c r="AW51" i="17"/>
  <c r="AV51" i="17"/>
  <c r="AU51" i="17"/>
  <c r="AS51" i="17"/>
  <c r="AP51" i="17"/>
  <c r="AO51" i="17"/>
  <c r="EE50" i="17"/>
  <c r="ED50" i="17"/>
  <c r="EC50" i="17"/>
  <c r="DY50" i="17"/>
  <c r="DX50" i="17"/>
  <c r="DV50" i="17"/>
  <c r="DU50" i="17"/>
  <c r="DT50" i="17"/>
  <c r="DS50" i="17"/>
  <c r="DR50" i="17"/>
  <c r="DQ50" i="17"/>
  <c r="DO50" i="17"/>
  <c r="DN50" i="17"/>
  <c r="DL50" i="17"/>
  <c r="DI50" i="17"/>
  <c r="DF50" i="17"/>
  <c r="DC50" i="17"/>
  <c r="DB50" i="17"/>
  <c r="DA50" i="17"/>
  <c r="CZ50" i="17"/>
  <c r="CY50" i="17"/>
  <c r="CX50" i="17"/>
  <c r="CT50" i="17"/>
  <c r="CS50" i="17"/>
  <c r="CP50" i="17"/>
  <c r="CN50" i="17"/>
  <c r="CM50" i="17"/>
  <c r="CK50" i="17"/>
  <c r="CJ50" i="17"/>
  <c r="CI50" i="17"/>
  <c r="CG50" i="17"/>
  <c r="CF50" i="17"/>
  <c r="CB50" i="17"/>
  <c r="CA50" i="17"/>
  <c r="BZ50" i="17"/>
  <c r="BY50" i="17"/>
  <c r="BW50" i="17"/>
  <c r="BV50" i="17"/>
  <c r="BT50" i="17"/>
  <c r="BS50" i="17"/>
  <c r="BN50" i="17"/>
  <c r="BJ50" i="17"/>
  <c r="BI50" i="17"/>
  <c r="AZ50" i="17"/>
  <c r="AX50" i="17"/>
  <c r="AW50" i="17"/>
  <c r="AV50" i="17"/>
  <c r="AU50" i="17"/>
  <c r="AS50" i="17"/>
  <c r="AR50" i="17"/>
  <c r="AP50" i="17"/>
  <c r="AO50" i="17"/>
  <c r="EE49" i="17"/>
  <c r="ED49" i="17"/>
  <c r="EC49" i="17"/>
  <c r="EA49" i="17"/>
  <c r="DY49" i="17"/>
  <c r="DX49" i="17"/>
  <c r="DV49" i="17"/>
  <c r="DU49" i="17"/>
  <c r="DT49" i="17"/>
  <c r="DS49" i="17"/>
  <c r="DR49" i="17"/>
  <c r="DQ49" i="17"/>
  <c r="DP49" i="17"/>
  <c r="DO49" i="17"/>
  <c r="DN49" i="17"/>
  <c r="DL49" i="17"/>
  <c r="DI49" i="17"/>
  <c r="DF49" i="17"/>
  <c r="DE49" i="17"/>
  <c r="DD49" i="17"/>
  <c r="DC49" i="17"/>
  <c r="DB49" i="17"/>
  <c r="DA49" i="17"/>
  <c r="CZ49" i="17"/>
  <c r="CY49" i="17"/>
  <c r="CX49" i="17"/>
  <c r="CW49" i="17"/>
  <c r="CT49" i="17"/>
  <c r="CP49" i="17"/>
  <c r="CO49" i="17"/>
  <c r="CN49" i="17"/>
  <c r="CM49" i="17"/>
  <c r="CJ49" i="17"/>
  <c r="CI49" i="17"/>
  <c r="CG49" i="17"/>
  <c r="CF49" i="17"/>
  <c r="CB49" i="17"/>
  <c r="CA49" i="17"/>
  <c r="BZ49" i="17"/>
  <c r="BY49" i="17"/>
  <c r="BW49" i="17"/>
  <c r="BV49" i="17"/>
  <c r="BT49" i="17"/>
  <c r="BS49" i="17"/>
  <c r="BN49" i="17"/>
  <c r="BJ49" i="17"/>
  <c r="BI49" i="17"/>
  <c r="AZ49" i="17"/>
  <c r="AY49" i="17"/>
  <c r="AX49" i="17"/>
  <c r="AV49" i="17"/>
  <c r="AU49" i="17"/>
  <c r="AS49" i="17"/>
  <c r="AQ49" i="17"/>
  <c r="AP49" i="17"/>
  <c r="EE48" i="17"/>
  <c r="ED48" i="17"/>
  <c r="EC48" i="17"/>
  <c r="EA48" i="17"/>
  <c r="DY48" i="17"/>
  <c r="DX48" i="17"/>
  <c r="DV48" i="17"/>
  <c r="DU48" i="17"/>
  <c r="DT48" i="17"/>
  <c r="DS48" i="17"/>
  <c r="DR48" i="17"/>
  <c r="DQ48" i="17"/>
  <c r="DO48" i="17"/>
  <c r="DN48" i="17"/>
  <c r="DL48" i="17"/>
  <c r="DI48" i="17"/>
  <c r="DF48" i="17"/>
  <c r="DE48" i="17"/>
  <c r="DC48" i="17"/>
  <c r="DB48" i="17"/>
  <c r="DA48" i="17"/>
  <c r="CZ48" i="17"/>
  <c r="CY48" i="17"/>
  <c r="CX48" i="17"/>
  <c r="CT48" i="17"/>
  <c r="CP48" i="17"/>
  <c r="CN48" i="17"/>
  <c r="CM48" i="17"/>
  <c r="CL48" i="17"/>
  <c r="CJ48" i="17"/>
  <c r="CI48" i="17"/>
  <c r="CH48" i="17"/>
  <c r="CG48" i="17"/>
  <c r="CF48" i="17"/>
  <c r="CB48" i="17"/>
  <c r="CA48" i="17"/>
  <c r="BZ48" i="17"/>
  <c r="BY48" i="17"/>
  <c r="BX48" i="17"/>
  <c r="BW48" i="17"/>
  <c r="BV48" i="17"/>
  <c r="BS48" i="17"/>
  <c r="BN48" i="17"/>
  <c r="BJ48" i="17"/>
  <c r="BI48" i="17"/>
  <c r="BA48" i="17"/>
  <c r="AZ48" i="17"/>
  <c r="AY48" i="17"/>
  <c r="AX48" i="17"/>
  <c r="AV48" i="17"/>
  <c r="AU48" i="17"/>
  <c r="AT48" i="17"/>
  <c r="AS48" i="17"/>
  <c r="AR48" i="17"/>
  <c r="AQ48" i="17"/>
  <c r="AP48" i="17"/>
  <c r="EE47" i="17"/>
  <c r="ED47" i="17"/>
  <c r="EC47" i="17"/>
  <c r="EA47" i="17"/>
  <c r="DY47" i="17"/>
  <c r="DX47" i="17"/>
  <c r="DV47" i="17"/>
  <c r="DU47" i="17"/>
  <c r="DT47" i="17"/>
  <c r="DS47" i="17"/>
  <c r="DR47" i="17"/>
  <c r="DQ47" i="17"/>
  <c r="DO47" i="17"/>
  <c r="DN47" i="17"/>
  <c r="DL47" i="17"/>
  <c r="DI47" i="17"/>
  <c r="DF47" i="17"/>
  <c r="DE47" i="17"/>
  <c r="DC47" i="17"/>
  <c r="DB47" i="17"/>
  <c r="DA47" i="17"/>
  <c r="CZ47" i="17"/>
  <c r="CY47" i="17"/>
  <c r="CX47" i="17"/>
  <c r="CW47" i="17"/>
  <c r="CT47" i="17"/>
  <c r="CS47" i="17"/>
  <c r="CP47" i="17"/>
  <c r="CO47" i="17"/>
  <c r="CN47" i="17"/>
  <c r="CM47" i="17"/>
  <c r="CL47" i="17"/>
  <c r="CK47" i="17"/>
  <c r="CJ47" i="17"/>
  <c r="CI47" i="17"/>
  <c r="CH47" i="17"/>
  <c r="CG47" i="17"/>
  <c r="CF47" i="17"/>
  <c r="CB47" i="17"/>
  <c r="CA47" i="17"/>
  <c r="BZ47" i="17"/>
  <c r="BY47" i="17"/>
  <c r="BX47" i="17"/>
  <c r="BW47" i="17"/>
  <c r="BV47" i="17"/>
  <c r="BS47" i="17"/>
  <c r="BN47" i="17"/>
  <c r="BI47" i="17"/>
  <c r="AZ47" i="17"/>
  <c r="AY47" i="17"/>
  <c r="AX47" i="17"/>
  <c r="AW47" i="17"/>
  <c r="AV47" i="17"/>
  <c r="AT47" i="17"/>
  <c r="AS47" i="17"/>
  <c r="AP47" i="17"/>
  <c r="AO47" i="17"/>
  <c r="EE46" i="17"/>
  <c r="ED46" i="17"/>
  <c r="EC46" i="17"/>
  <c r="EA46" i="17"/>
  <c r="DY46" i="17"/>
  <c r="DX46" i="17"/>
  <c r="DV46" i="17"/>
  <c r="DU46" i="17"/>
  <c r="DT46" i="17"/>
  <c r="DS46" i="17"/>
  <c r="DR46" i="17"/>
  <c r="DQ46" i="17"/>
  <c r="DO46" i="17"/>
  <c r="DN46" i="17"/>
  <c r="DL46" i="17"/>
  <c r="DK46" i="17"/>
  <c r="DI46" i="17"/>
  <c r="DF46" i="17"/>
  <c r="DE46" i="17"/>
  <c r="DD46" i="17"/>
  <c r="DC46" i="17"/>
  <c r="DB46" i="17"/>
  <c r="DA46" i="17"/>
  <c r="CZ46" i="17"/>
  <c r="CY46" i="17"/>
  <c r="CT46" i="17"/>
  <c r="CS46" i="17"/>
  <c r="CP46" i="17"/>
  <c r="CN46" i="17"/>
  <c r="CM46" i="17"/>
  <c r="CL46" i="17"/>
  <c r="CK46" i="17"/>
  <c r="CJ46" i="17"/>
  <c r="CI46" i="17"/>
  <c r="CG46" i="17"/>
  <c r="CF46" i="17"/>
  <c r="CD46" i="17"/>
  <c r="CB46" i="17"/>
  <c r="CA46" i="17"/>
  <c r="BZ46" i="17"/>
  <c r="BY46" i="17"/>
  <c r="BX46" i="17"/>
  <c r="BW46" i="17"/>
  <c r="BV46" i="17"/>
  <c r="BU46" i="17"/>
  <c r="BT46" i="17"/>
  <c r="BS46" i="17"/>
  <c r="BN46" i="17"/>
  <c r="BI46" i="17"/>
  <c r="BA46" i="17"/>
  <c r="AZ46" i="17"/>
  <c r="AY46" i="17"/>
  <c r="AX46" i="17"/>
  <c r="AV46" i="17"/>
  <c r="AS46" i="17"/>
  <c r="AQ46" i="17"/>
  <c r="AP46" i="17"/>
  <c r="AO46" i="17"/>
  <c r="EE45" i="17"/>
  <c r="ED45" i="17"/>
  <c r="EC45" i="17"/>
  <c r="EA45" i="17"/>
  <c r="DY45" i="17"/>
  <c r="DX45" i="17"/>
  <c r="DV45" i="17"/>
  <c r="DU45" i="17"/>
  <c r="DT45" i="17"/>
  <c r="DS45" i="17"/>
  <c r="DR45" i="17"/>
  <c r="DQ45" i="17"/>
  <c r="DO45" i="17"/>
  <c r="DN45" i="17"/>
  <c r="DL45" i="17"/>
  <c r="DI45" i="17"/>
  <c r="DF45" i="17"/>
  <c r="DC45" i="17"/>
  <c r="DB45" i="17"/>
  <c r="DA45" i="17"/>
  <c r="CZ45" i="17"/>
  <c r="CY45" i="17"/>
  <c r="CT45" i="17"/>
  <c r="CS45" i="17"/>
  <c r="CP45" i="17"/>
  <c r="CN45" i="17"/>
  <c r="CM45" i="17"/>
  <c r="CL45" i="17"/>
  <c r="CK45" i="17"/>
  <c r="CJ45" i="17"/>
  <c r="CI45" i="17"/>
  <c r="CG45" i="17"/>
  <c r="CF45" i="17"/>
  <c r="CD45" i="17"/>
  <c r="CB45" i="17"/>
  <c r="CA45" i="17"/>
  <c r="BZ45" i="17"/>
  <c r="BY45" i="17"/>
  <c r="BX45" i="17"/>
  <c r="BW45" i="17"/>
  <c r="BV45" i="17"/>
  <c r="BS45" i="17"/>
  <c r="BN45" i="17"/>
  <c r="BI45" i="17"/>
  <c r="AZ45" i="17"/>
  <c r="AY45" i="17"/>
  <c r="AX45" i="17"/>
  <c r="AV45" i="17"/>
  <c r="AU45" i="17"/>
  <c r="AS45" i="17"/>
  <c r="AR45" i="17"/>
  <c r="AQ45" i="17"/>
  <c r="AP45" i="17"/>
  <c r="AO45" i="17"/>
  <c r="EE44" i="17"/>
  <c r="ED44" i="17"/>
  <c r="EC44" i="17"/>
  <c r="EA44" i="17"/>
  <c r="DY44" i="17"/>
  <c r="DX44" i="17"/>
  <c r="DV44" i="17"/>
  <c r="DU44" i="17"/>
  <c r="DT44" i="17"/>
  <c r="DS44" i="17"/>
  <c r="DR44" i="17"/>
  <c r="DQ44" i="17"/>
  <c r="DO44" i="17"/>
  <c r="DN44" i="17"/>
  <c r="DI44" i="17"/>
  <c r="DF44" i="17"/>
  <c r="DC44" i="17"/>
  <c r="DB44" i="17"/>
  <c r="DA44" i="17"/>
  <c r="CZ44" i="17"/>
  <c r="CY44" i="17"/>
  <c r="CX44" i="17"/>
  <c r="CT44" i="17"/>
  <c r="CS44" i="17"/>
  <c r="CP44" i="17"/>
  <c r="CN44" i="17"/>
  <c r="CM44" i="17"/>
  <c r="CL44" i="17"/>
  <c r="CK44" i="17"/>
  <c r="CJ44" i="17"/>
  <c r="CI44" i="17"/>
  <c r="CG44" i="17"/>
  <c r="CF44" i="17"/>
  <c r="CD44" i="17"/>
  <c r="CB44" i="17"/>
  <c r="CA44" i="17"/>
  <c r="BZ44" i="17"/>
  <c r="BY44" i="17"/>
  <c r="BW44" i="17"/>
  <c r="BV44" i="17"/>
  <c r="BS44" i="17"/>
  <c r="BN44" i="17"/>
  <c r="BM44" i="17"/>
  <c r="BI44" i="17"/>
  <c r="AY44" i="17"/>
  <c r="AX44" i="17"/>
  <c r="AV44" i="17"/>
  <c r="AU44" i="17"/>
  <c r="AT44" i="17"/>
  <c r="AS44" i="17"/>
  <c r="AQ44" i="17"/>
  <c r="AP44" i="17"/>
  <c r="AO44" i="17"/>
  <c r="EE43" i="17"/>
  <c r="ED43" i="17"/>
  <c r="EC43" i="17"/>
  <c r="DY43" i="17"/>
  <c r="DX43" i="17"/>
  <c r="DV43" i="17"/>
  <c r="DU43" i="17"/>
  <c r="DT43" i="17"/>
  <c r="DS43" i="17"/>
  <c r="DR43" i="17"/>
  <c r="DQ43" i="17"/>
  <c r="DO43" i="17"/>
  <c r="DN43" i="17"/>
  <c r="DI43" i="17"/>
  <c r="DF43" i="17"/>
  <c r="DE43" i="17"/>
  <c r="DC43" i="17"/>
  <c r="DB43" i="17"/>
  <c r="DA43" i="17"/>
  <c r="CZ43" i="17"/>
  <c r="CY43" i="17"/>
  <c r="CX43" i="17"/>
  <c r="CT43" i="17"/>
  <c r="CS43" i="17"/>
  <c r="CP43" i="17"/>
  <c r="CO43" i="17"/>
  <c r="CN43" i="17"/>
  <c r="CM43" i="17"/>
  <c r="CL43" i="17"/>
  <c r="CK43" i="17"/>
  <c r="CJ43" i="17"/>
  <c r="CI43" i="17"/>
  <c r="CH43" i="17"/>
  <c r="CG43" i="17"/>
  <c r="CF43" i="17"/>
  <c r="CB43" i="17"/>
  <c r="CA43" i="17"/>
  <c r="BZ43" i="17"/>
  <c r="BY43" i="17"/>
  <c r="BX43" i="17"/>
  <c r="BW43" i="17"/>
  <c r="BV43" i="17"/>
  <c r="BS43" i="17"/>
  <c r="BN43" i="17"/>
  <c r="BJ43" i="17"/>
  <c r="BI43" i="17"/>
  <c r="BA43" i="17"/>
  <c r="AZ43" i="17"/>
  <c r="AX43" i="17"/>
  <c r="AW43" i="17"/>
  <c r="AV43" i="17"/>
  <c r="AU43" i="17"/>
  <c r="AT43" i="17"/>
  <c r="AS43" i="17"/>
  <c r="AR43" i="17"/>
  <c r="AP43" i="17"/>
  <c r="AO43" i="17"/>
  <c r="EE42" i="17"/>
  <c r="ED42" i="17"/>
  <c r="EC42" i="17"/>
  <c r="EA42" i="17"/>
  <c r="DY42" i="17"/>
  <c r="DX42" i="17"/>
  <c r="DV42" i="17"/>
  <c r="DU42" i="17"/>
  <c r="DT42" i="17"/>
  <c r="DS42" i="17"/>
  <c r="DR42" i="17"/>
  <c r="DQ42" i="17"/>
  <c r="DO42" i="17"/>
  <c r="DN42" i="17"/>
  <c r="DL42" i="17"/>
  <c r="DI42" i="17"/>
  <c r="DF42" i="17"/>
  <c r="DE42" i="17"/>
  <c r="DC42" i="17"/>
  <c r="DB42" i="17"/>
  <c r="DA42" i="17"/>
  <c r="CZ42" i="17"/>
  <c r="CY42" i="17"/>
  <c r="CX42" i="17"/>
  <c r="CW42" i="17"/>
  <c r="CT42" i="17"/>
  <c r="CS42" i="17"/>
  <c r="CP42" i="17"/>
  <c r="CO42" i="17"/>
  <c r="CN42" i="17"/>
  <c r="CM42" i="17"/>
  <c r="CK42" i="17"/>
  <c r="CJ42" i="17"/>
  <c r="CI42" i="17"/>
  <c r="CH42" i="17"/>
  <c r="CG42" i="17"/>
  <c r="CF42" i="17"/>
  <c r="CB42" i="17"/>
  <c r="CA42" i="17"/>
  <c r="BZ42" i="17"/>
  <c r="BY42" i="17"/>
  <c r="BX42" i="17"/>
  <c r="BW42" i="17"/>
  <c r="BV42" i="17"/>
  <c r="BS42" i="17"/>
  <c r="BN42" i="17"/>
  <c r="BJ42" i="17"/>
  <c r="BI42" i="17"/>
  <c r="BA42" i="17"/>
  <c r="AZ42" i="17"/>
  <c r="AY42" i="17"/>
  <c r="AX42" i="17"/>
  <c r="AV42" i="17"/>
  <c r="AU42" i="17"/>
  <c r="AT42" i="17"/>
  <c r="AS42" i="17"/>
  <c r="AR42" i="17"/>
  <c r="AQ42" i="17"/>
  <c r="AP42" i="17"/>
  <c r="AO42" i="17"/>
  <c r="EE41" i="17"/>
  <c r="ED41" i="17"/>
  <c r="EC41" i="17"/>
  <c r="EA41" i="17"/>
  <c r="DY41" i="17"/>
  <c r="DX41" i="17"/>
  <c r="DV41" i="17"/>
  <c r="DU41" i="17"/>
  <c r="DT41" i="17"/>
  <c r="DS41" i="17"/>
  <c r="DR41" i="17"/>
  <c r="DQ41" i="17"/>
  <c r="DO41" i="17"/>
  <c r="DN41" i="17"/>
  <c r="DL41" i="17"/>
  <c r="DK41" i="17"/>
  <c r="DI41" i="17"/>
  <c r="DF41" i="17"/>
  <c r="DE41" i="17"/>
  <c r="DD41" i="17"/>
  <c r="DC41" i="17"/>
  <c r="DB41" i="17"/>
  <c r="DA41" i="17"/>
  <c r="CZ41" i="17"/>
  <c r="CY41" i="17"/>
  <c r="CX41" i="17"/>
  <c r="CT41" i="17"/>
  <c r="CS41" i="17"/>
  <c r="CP41" i="17"/>
  <c r="CN41" i="17"/>
  <c r="CM41" i="17"/>
  <c r="CL41" i="17"/>
  <c r="CK41" i="17"/>
  <c r="CJ41" i="17"/>
  <c r="CI41" i="17"/>
  <c r="CG41" i="17"/>
  <c r="CF41" i="17"/>
  <c r="CD41" i="17"/>
  <c r="CB41" i="17"/>
  <c r="CA41" i="17"/>
  <c r="BZ41" i="17"/>
  <c r="BY41" i="17"/>
  <c r="BX41" i="17"/>
  <c r="BW41" i="17"/>
  <c r="BV41" i="17"/>
  <c r="BU41" i="17"/>
  <c r="BS41" i="17"/>
  <c r="BN41" i="17"/>
  <c r="BI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EE40" i="17"/>
  <c r="ED40" i="17"/>
  <c r="EC40" i="17"/>
  <c r="EA40" i="17"/>
  <c r="DY40" i="17"/>
  <c r="DX40" i="17"/>
  <c r="DV40" i="17"/>
  <c r="DU40" i="17"/>
  <c r="DT40" i="17"/>
  <c r="DS40" i="17"/>
  <c r="DR40" i="17"/>
  <c r="DQ40" i="17"/>
  <c r="DO40" i="17"/>
  <c r="DN40" i="17"/>
  <c r="DL40" i="17"/>
  <c r="DK40" i="17"/>
  <c r="DI40" i="17"/>
  <c r="DF40" i="17"/>
  <c r="DE40" i="17"/>
  <c r="DC40" i="17"/>
  <c r="DB40" i="17"/>
  <c r="DA40" i="17"/>
  <c r="CZ40" i="17"/>
  <c r="CY40" i="17"/>
  <c r="CX40" i="17"/>
  <c r="CT40" i="17"/>
  <c r="CS40" i="17"/>
  <c r="CP40" i="17"/>
  <c r="CN40" i="17"/>
  <c r="CM40" i="17"/>
  <c r="CL40" i="17"/>
  <c r="CK40" i="17"/>
  <c r="CJ40" i="17"/>
  <c r="CI40" i="17"/>
  <c r="CG40" i="17"/>
  <c r="CF40" i="17"/>
  <c r="CD40" i="17"/>
  <c r="CB40" i="17"/>
  <c r="CA40" i="17"/>
  <c r="BZ40" i="17"/>
  <c r="BY40" i="17"/>
  <c r="BX40" i="17"/>
  <c r="BW40" i="17"/>
  <c r="BV40" i="17"/>
  <c r="BU40" i="17"/>
  <c r="BT40" i="17"/>
  <c r="BS40" i="17"/>
  <c r="BN40" i="17"/>
  <c r="BI40" i="17"/>
  <c r="AZ40" i="17"/>
  <c r="AY40" i="17"/>
  <c r="AX40" i="17"/>
  <c r="AW40" i="17"/>
  <c r="AV40" i="17"/>
  <c r="AU40" i="17"/>
  <c r="AT40" i="17"/>
  <c r="AS40" i="17"/>
  <c r="AQ40" i="17"/>
  <c r="AP40" i="17"/>
  <c r="AO40" i="17"/>
  <c r="EE39" i="17"/>
  <c r="ED39" i="17"/>
  <c r="EC39" i="17"/>
  <c r="EA39" i="17"/>
  <c r="DY39" i="17"/>
  <c r="DX39" i="17"/>
  <c r="DV39" i="17"/>
  <c r="DU39" i="17"/>
  <c r="DT39" i="17"/>
  <c r="DS39" i="17"/>
  <c r="DR39" i="17"/>
  <c r="DQ39" i="17"/>
  <c r="DO39" i="17"/>
  <c r="DN39" i="17"/>
  <c r="DL39" i="17"/>
  <c r="DI39" i="17"/>
  <c r="DF39" i="17"/>
  <c r="DE39" i="17"/>
  <c r="DC39" i="17"/>
  <c r="DB39" i="17"/>
  <c r="DA39" i="17"/>
  <c r="CZ39" i="17"/>
  <c r="CY39" i="17"/>
  <c r="CX39" i="17"/>
  <c r="CT39" i="17"/>
  <c r="CS39" i="17"/>
  <c r="CP39" i="17"/>
  <c r="CN39" i="17"/>
  <c r="CM39" i="17"/>
  <c r="CL39" i="17"/>
  <c r="CK39" i="17"/>
  <c r="CJ39" i="17"/>
  <c r="CI39" i="17"/>
  <c r="CG39" i="17"/>
  <c r="CF39" i="17"/>
  <c r="CD39" i="17"/>
  <c r="CB39" i="17"/>
  <c r="CA39" i="17"/>
  <c r="BZ39" i="17"/>
  <c r="BY39" i="17"/>
  <c r="BX39" i="17"/>
  <c r="BW39" i="17"/>
  <c r="BV39" i="17"/>
  <c r="BT39" i="17"/>
  <c r="BS39" i="17"/>
  <c r="BN39" i="17"/>
  <c r="BI39" i="17"/>
  <c r="AZ39" i="17"/>
  <c r="AY39" i="17"/>
  <c r="AX39" i="17"/>
  <c r="AV39" i="17"/>
  <c r="AU39" i="17"/>
  <c r="AT39" i="17"/>
  <c r="AS39" i="17"/>
  <c r="AP39" i="17"/>
  <c r="AO39" i="17"/>
  <c r="EE38" i="17"/>
  <c r="ED38" i="17"/>
  <c r="EC38" i="17"/>
  <c r="EA38" i="17"/>
  <c r="DY38" i="17"/>
  <c r="DX38" i="17"/>
  <c r="DV38" i="17"/>
  <c r="DU38" i="17"/>
  <c r="DT38" i="17"/>
  <c r="DS38" i="17"/>
  <c r="DR38" i="17"/>
  <c r="DQ38" i="17"/>
  <c r="DP38" i="17"/>
  <c r="DO38" i="17"/>
  <c r="DN38" i="17"/>
  <c r="DL38" i="17"/>
  <c r="DI38" i="17"/>
  <c r="DF38" i="17"/>
  <c r="DE38" i="17"/>
  <c r="DC38" i="17"/>
  <c r="DB38" i="17"/>
  <c r="DA38" i="17"/>
  <c r="CZ38" i="17"/>
  <c r="CY38" i="17"/>
  <c r="CX38" i="17"/>
  <c r="CT38" i="17"/>
  <c r="CS38" i="17"/>
  <c r="CP38" i="17"/>
  <c r="CN38" i="17"/>
  <c r="CM38" i="17"/>
  <c r="CL38" i="17"/>
  <c r="CK38" i="17"/>
  <c r="CJ38" i="17"/>
  <c r="CI38" i="17"/>
  <c r="CH38" i="17"/>
  <c r="CG38" i="17"/>
  <c r="CF38" i="17"/>
  <c r="CB38" i="17"/>
  <c r="CA38" i="17"/>
  <c r="BZ38" i="17"/>
  <c r="BY38" i="17"/>
  <c r="BX38" i="17"/>
  <c r="BW38" i="17"/>
  <c r="BV38" i="17"/>
  <c r="BT38" i="17"/>
  <c r="BS38" i="17"/>
  <c r="BN38" i="17"/>
  <c r="BM38" i="17"/>
  <c r="BJ38" i="17"/>
  <c r="BI38" i="17"/>
  <c r="AZ38" i="17"/>
  <c r="AY38" i="17"/>
  <c r="AX38" i="17"/>
  <c r="AW38" i="17"/>
  <c r="AV38" i="17"/>
  <c r="AU38" i="17"/>
  <c r="AT38" i="17"/>
  <c r="AS38" i="17"/>
  <c r="AP38" i="17"/>
  <c r="AO38" i="17"/>
  <c r="EE37" i="17"/>
  <c r="ED37" i="17"/>
  <c r="EC37" i="17"/>
  <c r="EA37" i="17"/>
  <c r="DY37" i="17"/>
  <c r="DX37" i="17"/>
  <c r="DV37" i="17"/>
  <c r="DU37" i="17"/>
  <c r="DT37" i="17"/>
  <c r="DS37" i="17"/>
  <c r="DR37" i="17"/>
  <c r="DQ37" i="17"/>
  <c r="DP37" i="17"/>
  <c r="DO37" i="17"/>
  <c r="DN37" i="17"/>
  <c r="DL37" i="17"/>
  <c r="DI37" i="17"/>
  <c r="DF37" i="17"/>
  <c r="DE37" i="17"/>
  <c r="DC37" i="17"/>
  <c r="DB37" i="17"/>
  <c r="DA37" i="17"/>
  <c r="CZ37" i="17"/>
  <c r="CY37" i="17"/>
  <c r="CX37" i="17"/>
  <c r="CW37" i="17"/>
  <c r="CT37" i="17"/>
  <c r="CS37" i="17"/>
  <c r="CP37" i="17"/>
  <c r="CO37" i="17"/>
  <c r="CN37" i="17"/>
  <c r="CM37" i="17"/>
  <c r="CL37" i="17"/>
  <c r="CK37" i="17"/>
  <c r="CJ37" i="17"/>
  <c r="CI37" i="17"/>
  <c r="CH37" i="17"/>
  <c r="CG37" i="17"/>
  <c r="CF37" i="17"/>
  <c r="CB37" i="17"/>
  <c r="CA37" i="17"/>
  <c r="BZ37" i="17"/>
  <c r="BY37" i="17"/>
  <c r="BX37" i="17"/>
  <c r="BW37" i="17"/>
  <c r="BV37" i="17"/>
  <c r="BT37" i="17"/>
  <c r="BS37" i="17"/>
  <c r="BN37" i="17"/>
  <c r="BJ37" i="17"/>
  <c r="BI37" i="17"/>
  <c r="BA37" i="17"/>
  <c r="AZ37" i="17"/>
  <c r="AY37" i="17"/>
  <c r="AX37" i="17"/>
  <c r="AV37" i="17"/>
  <c r="AU37" i="17"/>
  <c r="AT37" i="17"/>
  <c r="AS37" i="17"/>
  <c r="AP37" i="17"/>
  <c r="AO37" i="17"/>
  <c r="EE36" i="17"/>
  <c r="ED36" i="17"/>
  <c r="EC36" i="17"/>
  <c r="EA36" i="17"/>
  <c r="DY36" i="17"/>
  <c r="DX36" i="17"/>
  <c r="DW36" i="17"/>
  <c r="DV36" i="17"/>
  <c r="DU36" i="17"/>
  <c r="DT36" i="17"/>
  <c r="DS36" i="17"/>
  <c r="DR36" i="17"/>
  <c r="DQ36" i="17"/>
  <c r="DO36" i="17"/>
  <c r="DN36" i="17"/>
  <c r="DL36" i="17"/>
  <c r="DI36" i="17"/>
  <c r="DF36" i="17"/>
  <c r="DE36" i="17"/>
  <c r="DD36" i="17"/>
  <c r="DC36" i="17"/>
  <c r="DB36" i="17"/>
  <c r="DA36" i="17"/>
  <c r="CZ36" i="17"/>
  <c r="CY36" i="17"/>
  <c r="CX36" i="17"/>
  <c r="CW36" i="17"/>
  <c r="CT36" i="17"/>
  <c r="CS36" i="17"/>
  <c r="CP36" i="17"/>
  <c r="CO36" i="17"/>
  <c r="CN36" i="17"/>
  <c r="CM36" i="17"/>
  <c r="CL36" i="17"/>
  <c r="CK36" i="17"/>
  <c r="CJ36" i="17"/>
  <c r="CI36" i="17"/>
  <c r="CH36" i="17"/>
  <c r="CG36" i="17"/>
  <c r="CF36" i="17"/>
  <c r="CB36" i="17"/>
  <c r="CA36" i="17"/>
  <c r="BZ36" i="17"/>
  <c r="BY36" i="17"/>
  <c r="BX36" i="17"/>
  <c r="BW36" i="17"/>
  <c r="BV36" i="17"/>
  <c r="BS36" i="17"/>
  <c r="BN36" i="17"/>
  <c r="BJ36" i="17"/>
  <c r="BI36" i="17"/>
  <c r="BA36" i="17"/>
  <c r="AZ36" i="17"/>
  <c r="AY36" i="17"/>
  <c r="AX36" i="17"/>
  <c r="AV36" i="17"/>
  <c r="AU36" i="17"/>
  <c r="AT36" i="17"/>
  <c r="AS36" i="17"/>
  <c r="AR36" i="17"/>
  <c r="AP36" i="17"/>
  <c r="AO36" i="17"/>
  <c r="EE35" i="17"/>
  <c r="ED35" i="17"/>
  <c r="EC35" i="17"/>
  <c r="EA35" i="17"/>
  <c r="DY35" i="17"/>
  <c r="DX35" i="17"/>
  <c r="DV35" i="17"/>
  <c r="DU35" i="17"/>
  <c r="DT35" i="17"/>
  <c r="DS35" i="17"/>
  <c r="DR35" i="17"/>
  <c r="DQ35" i="17"/>
  <c r="DO35" i="17"/>
  <c r="DN35" i="17"/>
  <c r="DL35" i="17"/>
  <c r="DK35" i="17"/>
  <c r="DI35" i="17"/>
  <c r="DF35" i="17"/>
  <c r="DE35" i="17"/>
  <c r="DD35" i="17"/>
  <c r="DC35" i="17"/>
  <c r="DB35" i="17"/>
  <c r="DA35" i="17"/>
  <c r="CZ35" i="17"/>
  <c r="CY35" i="17"/>
  <c r="CX35" i="17"/>
  <c r="CW35" i="17"/>
  <c r="CT35" i="17"/>
  <c r="CS35" i="17"/>
  <c r="CP35" i="17"/>
  <c r="CO35" i="17"/>
  <c r="CN35" i="17"/>
  <c r="CM35" i="17"/>
  <c r="CL35" i="17"/>
  <c r="CK35" i="17"/>
  <c r="CJ35" i="17"/>
  <c r="CI35" i="17"/>
  <c r="CH35" i="17"/>
  <c r="CG35" i="17"/>
  <c r="CF35" i="17"/>
  <c r="CB35" i="17"/>
  <c r="CA35" i="17"/>
  <c r="BZ35" i="17"/>
  <c r="BY35" i="17"/>
  <c r="BX35" i="17"/>
  <c r="BW35" i="17"/>
  <c r="BV35" i="17"/>
  <c r="BS35" i="17"/>
  <c r="BN35" i="17"/>
  <c r="BJ35" i="17"/>
  <c r="BI35" i="17"/>
  <c r="BA35" i="17"/>
  <c r="AZ35" i="17"/>
  <c r="AY35" i="17"/>
  <c r="AX35" i="17"/>
  <c r="AV35" i="17"/>
  <c r="AU35" i="17"/>
  <c r="AT35" i="17"/>
  <c r="AS35" i="17"/>
  <c r="AR35" i="17"/>
  <c r="AQ35" i="17"/>
  <c r="AP35" i="17"/>
  <c r="AO35" i="17"/>
  <c r="EE34" i="17"/>
  <c r="ED34" i="17"/>
  <c r="EC34" i="17"/>
  <c r="EA34" i="17"/>
  <c r="DY34" i="17"/>
  <c r="DX34" i="17"/>
  <c r="DV34" i="17"/>
  <c r="DU34" i="17"/>
  <c r="DT34" i="17"/>
  <c r="DS34" i="17"/>
  <c r="DR34" i="17"/>
  <c r="DQ34" i="17"/>
  <c r="DO34" i="17"/>
  <c r="DN34" i="17"/>
  <c r="DL34" i="17"/>
  <c r="DK34" i="17"/>
  <c r="DI34" i="17"/>
  <c r="DF34" i="17"/>
  <c r="DE34" i="17"/>
  <c r="DD34" i="17"/>
  <c r="DC34" i="17"/>
  <c r="DB34" i="17"/>
  <c r="DA34" i="17"/>
  <c r="CZ34" i="17"/>
  <c r="CY34" i="17"/>
  <c r="CX34" i="17"/>
  <c r="CW34" i="17"/>
  <c r="CT34" i="17"/>
  <c r="CS34" i="17"/>
  <c r="CP34" i="17"/>
  <c r="CO34" i="17"/>
  <c r="CN34" i="17"/>
  <c r="CM34" i="17"/>
  <c r="CL34" i="17"/>
  <c r="CK34" i="17"/>
  <c r="CJ34" i="17"/>
  <c r="CI34" i="17"/>
  <c r="CG34" i="17"/>
  <c r="CF34" i="17"/>
  <c r="CD34" i="17"/>
  <c r="CB34" i="17"/>
  <c r="CA34" i="17"/>
  <c r="BZ34" i="17"/>
  <c r="BY34" i="17"/>
  <c r="BX34" i="17"/>
  <c r="BW34" i="17"/>
  <c r="BV34" i="17"/>
  <c r="BS34" i="17"/>
  <c r="BN34" i="17"/>
  <c r="BI34" i="17"/>
  <c r="BA34" i="17"/>
  <c r="AZ34" i="17"/>
  <c r="AY34" i="17"/>
  <c r="AX34" i="17"/>
  <c r="AV34" i="17"/>
  <c r="AU34" i="17"/>
  <c r="AT34" i="17"/>
  <c r="AS34" i="17"/>
  <c r="AR34" i="17"/>
  <c r="AQ34" i="17"/>
  <c r="AP34" i="17"/>
  <c r="AO34" i="17"/>
  <c r="EE33" i="17"/>
  <c r="ED33" i="17"/>
  <c r="EC33" i="17"/>
  <c r="EA33" i="17"/>
  <c r="DY33" i="17"/>
  <c r="DX33" i="17"/>
  <c r="DV33" i="17"/>
  <c r="DU33" i="17"/>
  <c r="DT33" i="17"/>
  <c r="DS33" i="17"/>
  <c r="DR33" i="17"/>
  <c r="DQ33" i="17"/>
  <c r="DO33" i="17"/>
  <c r="DN33" i="17"/>
  <c r="DL33" i="17"/>
  <c r="DK33" i="17"/>
  <c r="DI33" i="17"/>
  <c r="DF33" i="17"/>
  <c r="DE33" i="17"/>
  <c r="DD33" i="17"/>
  <c r="DC33" i="17"/>
  <c r="DB33" i="17"/>
  <c r="DA33" i="17"/>
  <c r="CZ33" i="17"/>
  <c r="CY33" i="17"/>
  <c r="CX33" i="17"/>
  <c r="CT33" i="17"/>
  <c r="CS33" i="17"/>
  <c r="CP33" i="17"/>
  <c r="CN33" i="17"/>
  <c r="CM33" i="17"/>
  <c r="CL33" i="17"/>
  <c r="CK33" i="17"/>
  <c r="CJ33" i="17"/>
  <c r="CI33" i="17"/>
  <c r="CG33" i="17"/>
  <c r="CF33" i="17"/>
  <c r="CD33" i="17"/>
  <c r="CB33" i="17"/>
  <c r="CA33" i="17"/>
  <c r="BZ33" i="17"/>
  <c r="BY33" i="17"/>
  <c r="BX33" i="17"/>
  <c r="BW33" i="17"/>
  <c r="BV33" i="17"/>
  <c r="BS33" i="17"/>
  <c r="BN33" i="17"/>
  <c r="BM33" i="17"/>
  <c r="BI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C72" i="17"/>
  <c r="AD15" i="17"/>
  <c r="AN18" i="17"/>
  <c r="AK18" i="17"/>
  <c r="AD18" i="17"/>
  <c r="Z18" i="17"/>
  <c r="R18" i="17"/>
  <c r="L18" i="17"/>
  <c r="AN17" i="17"/>
  <c r="AK17" i="17"/>
  <c r="AN16" i="17"/>
  <c r="AK16" i="17"/>
  <c r="Z17" i="17"/>
  <c r="Z16" i="17"/>
  <c r="R17" i="17"/>
  <c r="R16" i="17"/>
  <c r="L17" i="17"/>
  <c r="L16" i="17"/>
  <c r="AN15" i="17"/>
  <c r="AK15" i="17"/>
  <c r="Z15" i="17"/>
  <c r="Z14" i="17"/>
  <c r="R15" i="17"/>
  <c r="L15" i="17"/>
  <c r="AB73" i="18"/>
  <c r="AC73" i="18"/>
  <c r="AD73" i="18"/>
  <c r="AB74" i="18"/>
  <c r="AC74" i="18"/>
  <c r="AC99" i="17" s="1"/>
  <c r="AD74" i="18"/>
  <c r="AD99" i="17" s="1"/>
  <c r="X66" i="18"/>
  <c r="Y66" i="18"/>
  <c r="Y91" i="17"/>
  <c r="X67" i="18"/>
  <c r="X92" i="17" s="1"/>
  <c r="Y67" i="18"/>
  <c r="Y71" i="18" s="1"/>
  <c r="Y96" i="17" s="1"/>
  <c r="Y92" i="17"/>
  <c r="Z92" i="17"/>
  <c r="O256" i="4" s="1"/>
  <c r="AA92" i="17"/>
  <c r="E279" i="4" s="1"/>
  <c r="AB92" i="17"/>
  <c r="AC92" i="17"/>
  <c r="AD92" i="17"/>
  <c r="AE92" i="17"/>
  <c r="X68" i="18"/>
  <c r="X93" i="17"/>
  <c r="Y68" i="18"/>
  <c r="Y93" i="17"/>
  <c r="Z68" i="18"/>
  <c r="Z93" i="17"/>
  <c r="AA68" i="18"/>
  <c r="AA93" i="17" s="1"/>
  <c r="AB68" i="18"/>
  <c r="AB93" i="17"/>
  <c r="AC68" i="18"/>
  <c r="AC93" i="17" s="1"/>
  <c r="AD68" i="18"/>
  <c r="AD93" i="17"/>
  <c r="AE68" i="18"/>
  <c r="AE93" i="17" s="1"/>
  <c r="Y70" i="18"/>
  <c r="Y95" i="17"/>
  <c r="X73" i="18"/>
  <c r="X98" i="17" s="1"/>
  <c r="Y73" i="18"/>
  <c r="Y98" i="17"/>
  <c r="Z73" i="18"/>
  <c r="Z98" i="17"/>
  <c r="AA73" i="18"/>
  <c r="AA98" i="17" s="1"/>
  <c r="AB98" i="17"/>
  <c r="AC98" i="17"/>
  <c r="AD98" i="17"/>
  <c r="AE73" i="18"/>
  <c r="AE98" i="17" s="1"/>
  <c r="X74" i="18"/>
  <c r="X99" i="17" s="1"/>
  <c r="Y74" i="18"/>
  <c r="Y99" i="17"/>
  <c r="Z74" i="18"/>
  <c r="Z99" i="17"/>
  <c r="AA74" i="18"/>
  <c r="AA99" i="17" s="1"/>
  <c r="AB99" i="17"/>
  <c r="AE74" i="18"/>
  <c r="AE99" i="17"/>
  <c r="AB72" i="17"/>
  <c r="AC72" i="17"/>
  <c r="AC75" i="17" s="1"/>
  <c r="AD6" i="17"/>
  <c r="AD7" i="17"/>
  <c r="AD8" i="17"/>
  <c r="AD9" i="17"/>
  <c r="AD10" i="17"/>
  <c r="AD11" i="17"/>
  <c r="AD12" i="17"/>
  <c r="AD13" i="17"/>
  <c r="AD14" i="17"/>
  <c r="AD16" i="17"/>
  <c r="AD17" i="17"/>
  <c r="AB73" i="17"/>
  <c r="AC73" i="17"/>
  <c r="AB74" i="17"/>
  <c r="AC74" i="17"/>
  <c r="AB76" i="17"/>
  <c r="AC76" i="17"/>
  <c r="Z13" i="17"/>
  <c r="AN14" i="17"/>
  <c r="AK14" i="17"/>
  <c r="R14" i="17"/>
  <c r="L14" i="17"/>
  <c r="C74" i="18"/>
  <c r="C99" i="17"/>
  <c r="C73" i="18"/>
  <c r="C98" i="17" s="1"/>
  <c r="C68" i="18"/>
  <c r="C93" i="17" s="1"/>
  <c r="C92" i="17"/>
  <c r="CQ33" i="18"/>
  <c r="CQ32" i="18"/>
  <c r="CQ31" i="18"/>
  <c r="CQ30" i="18"/>
  <c r="CQ29" i="18"/>
  <c r="CQ28" i="18"/>
  <c r="CQ27" i="18"/>
  <c r="CQ26" i="18"/>
  <c r="CQ25" i="18"/>
  <c r="CQ24" i="18"/>
  <c r="CQ23" i="18"/>
  <c r="CQ22" i="18"/>
  <c r="CQ21" i="18"/>
  <c r="CQ20" i="18"/>
  <c r="CQ19" i="18"/>
  <c r="CQ18" i="18"/>
  <c r="CQ17" i="18"/>
  <c r="CQ16" i="18"/>
  <c r="CQ15" i="18"/>
  <c r="CQ14" i="18"/>
  <c r="CQ13" i="18"/>
  <c r="CQ12" i="18"/>
  <c r="CQ11" i="18"/>
  <c r="CQ10" i="18"/>
  <c r="CQ9" i="18"/>
  <c r="CQ8" i="18"/>
  <c r="CQ7" i="18"/>
  <c r="CQ6" i="18"/>
  <c r="CQ5" i="18"/>
  <c r="CR33" i="18"/>
  <c r="CR32" i="18"/>
  <c r="CR31" i="18"/>
  <c r="CR30" i="18"/>
  <c r="CR29" i="18"/>
  <c r="CR28" i="18"/>
  <c r="CR27" i="18"/>
  <c r="CR26" i="18"/>
  <c r="CR25" i="18"/>
  <c r="CR24" i="18"/>
  <c r="CR23" i="18"/>
  <c r="CR22" i="18"/>
  <c r="CR21" i="18"/>
  <c r="CR20" i="18"/>
  <c r="CR19" i="18"/>
  <c r="CR18" i="18"/>
  <c r="CR17" i="18"/>
  <c r="CR16" i="18"/>
  <c r="CR15" i="18"/>
  <c r="CR14" i="18"/>
  <c r="CR13" i="18"/>
  <c r="CR12" i="18"/>
  <c r="CR11" i="18"/>
  <c r="CR10" i="18"/>
  <c r="CR9" i="18"/>
  <c r="CR8" i="18"/>
  <c r="CR7" i="18"/>
  <c r="CR6" i="18"/>
  <c r="CR5" i="18"/>
  <c r="CS33" i="18"/>
  <c r="CS32" i="18"/>
  <c r="CS31" i="18"/>
  <c r="CS30" i="18"/>
  <c r="CS29" i="18"/>
  <c r="CS28" i="18"/>
  <c r="CS27" i="18"/>
  <c r="CS26" i="18"/>
  <c r="CS25" i="18"/>
  <c r="CS24" i="18"/>
  <c r="CS23" i="18"/>
  <c r="CS22" i="18"/>
  <c r="CS21" i="18"/>
  <c r="CS20" i="18"/>
  <c r="CS19" i="18"/>
  <c r="CS18" i="18"/>
  <c r="CS17" i="18"/>
  <c r="CS16" i="18"/>
  <c r="CS15" i="18"/>
  <c r="CS14" i="18"/>
  <c r="CS13" i="18"/>
  <c r="CS12" i="18"/>
  <c r="CS11" i="18"/>
  <c r="CS10" i="18"/>
  <c r="CS9" i="18"/>
  <c r="CS8" i="18"/>
  <c r="CS7" i="18"/>
  <c r="CS6" i="18"/>
  <c r="CS5" i="18"/>
  <c r="BR33" i="18"/>
  <c r="BQ33" i="18"/>
  <c r="BR32" i="18"/>
  <c r="BQ32" i="18"/>
  <c r="BR31" i="18"/>
  <c r="BQ31" i="18"/>
  <c r="BR30" i="18"/>
  <c r="BQ30" i="18"/>
  <c r="BR29" i="18"/>
  <c r="BQ29" i="18"/>
  <c r="BR28" i="18"/>
  <c r="BQ28" i="18"/>
  <c r="BR27" i="18"/>
  <c r="BQ27" i="18"/>
  <c r="BR26" i="18"/>
  <c r="BQ26" i="18"/>
  <c r="BR25" i="18"/>
  <c r="BQ25" i="18"/>
  <c r="BR24" i="18"/>
  <c r="BQ24" i="18"/>
  <c r="BR23" i="18"/>
  <c r="BQ23" i="18"/>
  <c r="BR22" i="18"/>
  <c r="BQ22" i="18"/>
  <c r="BR21" i="18"/>
  <c r="BQ21" i="18"/>
  <c r="BR20" i="18"/>
  <c r="BQ20" i="18"/>
  <c r="BR19" i="18"/>
  <c r="BQ19" i="18"/>
  <c r="BR18" i="18"/>
  <c r="BQ18" i="18"/>
  <c r="BR17" i="18"/>
  <c r="BQ17" i="18"/>
  <c r="BR16" i="18"/>
  <c r="BQ16" i="18"/>
  <c r="BR15" i="18"/>
  <c r="BQ15" i="18"/>
  <c r="BR14" i="18"/>
  <c r="BQ14" i="18"/>
  <c r="BR13" i="18"/>
  <c r="BQ13" i="18"/>
  <c r="BR12" i="18"/>
  <c r="BQ12" i="18"/>
  <c r="BR11" i="18"/>
  <c r="BQ11" i="18"/>
  <c r="BR10" i="18"/>
  <c r="BQ10" i="18"/>
  <c r="BR9" i="18"/>
  <c r="BQ9" i="18"/>
  <c r="BR8" i="18"/>
  <c r="BQ8" i="18"/>
  <c r="BR7" i="18"/>
  <c r="BQ7" i="18"/>
  <c r="BR6" i="18"/>
  <c r="BQ6" i="18"/>
  <c r="BP33" i="18"/>
  <c r="BO33" i="18"/>
  <c r="BP32" i="18"/>
  <c r="BO32" i="18"/>
  <c r="BP31" i="18"/>
  <c r="BO31" i="18"/>
  <c r="BP30" i="18"/>
  <c r="BO30" i="18"/>
  <c r="BP29" i="18"/>
  <c r="BO29" i="18"/>
  <c r="BP28" i="18"/>
  <c r="BO28" i="18"/>
  <c r="BP27" i="18"/>
  <c r="BO27" i="18"/>
  <c r="BP26" i="18"/>
  <c r="BO26" i="18"/>
  <c r="BP25" i="18"/>
  <c r="BO25" i="18"/>
  <c r="BP24" i="18"/>
  <c r="BO24" i="18"/>
  <c r="BP23" i="18"/>
  <c r="BO23" i="18"/>
  <c r="BP22" i="18"/>
  <c r="BO22" i="18"/>
  <c r="BP21" i="18"/>
  <c r="BO21" i="18"/>
  <c r="BP20" i="18"/>
  <c r="BO20" i="18"/>
  <c r="BP19" i="18"/>
  <c r="BO19" i="18"/>
  <c r="BP18" i="18"/>
  <c r="BO18" i="18"/>
  <c r="BP17" i="18"/>
  <c r="BO17" i="18"/>
  <c r="BP16" i="18"/>
  <c r="BO16" i="18"/>
  <c r="BP15" i="18"/>
  <c r="BO15" i="18"/>
  <c r="BP14" i="18"/>
  <c r="BO14" i="18"/>
  <c r="BP13" i="18"/>
  <c r="BO13" i="18"/>
  <c r="BP12" i="18"/>
  <c r="BO12" i="18"/>
  <c r="BP11" i="18"/>
  <c r="BO11" i="18"/>
  <c r="BP10" i="18"/>
  <c r="BO10" i="18"/>
  <c r="BP9" i="18"/>
  <c r="BO9" i="18"/>
  <c r="BP8" i="18"/>
  <c r="BO8" i="18"/>
  <c r="BP7" i="18"/>
  <c r="BO7" i="18"/>
  <c r="BP6" i="18"/>
  <c r="BO6" i="18"/>
  <c r="BN33" i="18"/>
  <c r="BM33" i="18"/>
  <c r="BN32" i="18"/>
  <c r="BM32" i="18"/>
  <c r="BN31" i="18"/>
  <c r="BM31" i="18"/>
  <c r="BN30" i="18"/>
  <c r="BM30" i="18"/>
  <c r="BN29" i="18"/>
  <c r="BM29" i="18"/>
  <c r="BN28" i="18"/>
  <c r="BM28" i="18"/>
  <c r="BN27" i="18"/>
  <c r="BM27" i="18"/>
  <c r="BN26" i="18"/>
  <c r="BM26" i="18"/>
  <c r="BN25" i="18"/>
  <c r="BM25" i="18"/>
  <c r="BN24" i="18"/>
  <c r="BM24" i="18"/>
  <c r="BN23" i="18"/>
  <c r="BM23" i="18"/>
  <c r="BN22" i="18"/>
  <c r="BM22" i="18"/>
  <c r="BN21" i="18"/>
  <c r="BM21" i="18"/>
  <c r="BN20" i="18"/>
  <c r="BM20" i="18"/>
  <c r="BN19" i="18"/>
  <c r="BM19" i="18"/>
  <c r="BN18" i="18"/>
  <c r="BM18" i="18"/>
  <c r="BN17" i="18"/>
  <c r="BM17" i="18"/>
  <c r="BN16" i="18"/>
  <c r="BM16" i="18"/>
  <c r="BN15" i="18"/>
  <c r="BM15" i="18"/>
  <c r="BN14" i="18"/>
  <c r="BM14" i="18"/>
  <c r="BN13" i="18"/>
  <c r="BM13" i="18"/>
  <c r="BN12" i="18"/>
  <c r="BM12" i="18"/>
  <c r="BN11" i="18"/>
  <c r="BM11" i="18"/>
  <c r="BN10" i="18"/>
  <c r="BM10" i="18"/>
  <c r="BN9" i="18"/>
  <c r="BM9" i="18"/>
  <c r="BN8" i="18"/>
  <c r="BM8" i="18"/>
  <c r="BN7" i="18"/>
  <c r="BM7" i="18"/>
  <c r="BN6" i="18"/>
  <c r="BM6" i="18"/>
  <c r="DU67" i="17"/>
  <c r="DU63" i="17"/>
  <c r="DU62" i="17"/>
  <c r="DU32" i="17"/>
  <c r="DU31" i="17"/>
  <c r="DU30" i="17"/>
  <c r="DU29" i="17"/>
  <c r="DU28" i="17"/>
  <c r="DU27" i="17"/>
  <c r="DU26" i="17"/>
  <c r="DU25" i="17"/>
  <c r="DU24" i="17"/>
  <c r="DU23" i="17"/>
  <c r="DU22" i="17"/>
  <c r="DU21" i="17"/>
  <c r="DU20" i="17"/>
  <c r="DU19" i="17"/>
  <c r="DU18" i="17"/>
  <c r="DU17" i="17"/>
  <c r="DU16" i="17"/>
  <c r="DU15" i="17"/>
  <c r="DU14" i="17"/>
  <c r="DU13" i="17"/>
  <c r="DU12" i="17"/>
  <c r="DU11" i="17"/>
  <c r="DU10" i="17"/>
  <c r="DU9" i="17"/>
  <c r="DU8" i="17"/>
  <c r="DU7" i="17"/>
  <c r="DU6" i="17"/>
  <c r="DU5" i="17"/>
  <c r="DV67" i="17"/>
  <c r="DV63" i="17"/>
  <c r="DV62" i="17"/>
  <c r="DV32" i="17"/>
  <c r="DV31" i="17"/>
  <c r="DV30" i="17"/>
  <c r="DV29" i="17"/>
  <c r="DV28" i="17"/>
  <c r="DV27" i="17"/>
  <c r="DV26" i="17"/>
  <c r="DV25" i="17"/>
  <c r="DV24" i="17"/>
  <c r="DV23" i="17"/>
  <c r="DV22" i="17"/>
  <c r="DV21" i="17"/>
  <c r="DV20" i="17"/>
  <c r="DV19" i="17"/>
  <c r="DV18" i="17"/>
  <c r="DV17" i="17"/>
  <c r="DV16" i="17"/>
  <c r="DV15" i="17"/>
  <c r="DV14" i="17"/>
  <c r="DV13" i="17"/>
  <c r="DV12" i="17"/>
  <c r="DV11" i="17"/>
  <c r="DV10" i="17"/>
  <c r="DV9" i="17"/>
  <c r="DV8" i="17"/>
  <c r="DV7" i="17"/>
  <c r="DV6" i="17"/>
  <c r="DV5" i="17"/>
  <c r="DW32" i="17"/>
  <c r="DW5" i="17"/>
  <c r="CL67" i="17"/>
  <c r="CK67" i="17"/>
  <c r="CL63" i="17"/>
  <c r="CK63" i="17"/>
  <c r="CL62" i="17"/>
  <c r="CK62" i="17"/>
  <c r="CL32" i="17"/>
  <c r="CK32" i="17"/>
  <c r="CL31" i="17"/>
  <c r="CK31" i="17"/>
  <c r="CL30" i="17"/>
  <c r="CK30" i="17"/>
  <c r="CL29" i="17"/>
  <c r="CK29" i="17"/>
  <c r="CL28" i="17"/>
  <c r="CK28" i="17"/>
  <c r="CL27" i="17"/>
  <c r="CK27" i="17"/>
  <c r="CL26" i="17"/>
  <c r="CK26" i="17"/>
  <c r="CL25" i="17"/>
  <c r="CK25" i="17"/>
  <c r="CL24" i="17"/>
  <c r="CK24" i="17"/>
  <c r="CL23" i="17"/>
  <c r="CK23" i="17"/>
  <c r="CL22" i="17"/>
  <c r="CK22" i="17"/>
  <c r="CL21" i="17"/>
  <c r="CK21" i="17"/>
  <c r="CL20" i="17"/>
  <c r="CK20" i="17"/>
  <c r="CL19" i="17"/>
  <c r="CK19" i="17"/>
  <c r="CL18" i="17"/>
  <c r="CK18" i="17"/>
  <c r="CL17" i="17"/>
  <c r="CK17" i="17"/>
  <c r="CL16" i="17"/>
  <c r="CK16" i="17"/>
  <c r="CL15" i="17"/>
  <c r="CK15" i="17"/>
  <c r="CL14" i="17"/>
  <c r="CK14" i="17"/>
  <c r="CL13" i="17"/>
  <c r="CK13" i="17"/>
  <c r="CL12" i="17"/>
  <c r="CK12" i="17"/>
  <c r="CL11" i="17"/>
  <c r="CK11" i="17"/>
  <c r="CL10" i="17"/>
  <c r="CK10" i="17"/>
  <c r="CL9" i="17"/>
  <c r="CK9" i="17"/>
  <c r="CL8" i="17"/>
  <c r="CK8" i="17"/>
  <c r="CL7" i="17"/>
  <c r="CK7" i="17"/>
  <c r="CL6" i="17"/>
  <c r="CK6" i="17"/>
  <c r="CJ67" i="17"/>
  <c r="CI67" i="17"/>
  <c r="CJ63" i="17"/>
  <c r="CI63" i="17"/>
  <c r="CJ62" i="17"/>
  <c r="CI62" i="17"/>
  <c r="CJ32" i="17"/>
  <c r="CI32" i="17"/>
  <c r="CJ31" i="17"/>
  <c r="CI31" i="17"/>
  <c r="CJ30" i="17"/>
  <c r="CI30" i="17"/>
  <c r="CJ29" i="17"/>
  <c r="CI29" i="17"/>
  <c r="CJ28" i="17"/>
  <c r="CI28" i="17"/>
  <c r="CJ27" i="17"/>
  <c r="CI27" i="17"/>
  <c r="CJ26" i="17"/>
  <c r="CI26" i="17"/>
  <c r="CJ25" i="17"/>
  <c r="CI25" i="17"/>
  <c r="CJ24" i="17"/>
  <c r="CI24" i="17"/>
  <c r="CJ23" i="17"/>
  <c r="CI23" i="17"/>
  <c r="CJ22" i="17"/>
  <c r="CI22" i="17"/>
  <c r="CJ21" i="17"/>
  <c r="CI21" i="17"/>
  <c r="CJ20" i="17"/>
  <c r="CI20" i="17"/>
  <c r="CJ19" i="17"/>
  <c r="CI19" i="17"/>
  <c r="CJ18" i="17"/>
  <c r="CI18" i="17"/>
  <c r="CJ17" i="17"/>
  <c r="CI17" i="17"/>
  <c r="CJ16" i="17"/>
  <c r="CI16" i="17"/>
  <c r="CJ15" i="17"/>
  <c r="CI15" i="17"/>
  <c r="CJ14" i="17"/>
  <c r="CI14" i="17"/>
  <c r="CJ13" i="17"/>
  <c r="CI13" i="17"/>
  <c r="CJ12" i="17"/>
  <c r="CI12" i="17"/>
  <c r="CJ11" i="17"/>
  <c r="CI11" i="17"/>
  <c r="CJ10" i="17"/>
  <c r="CI10" i="17"/>
  <c r="CJ9" i="17"/>
  <c r="CI9" i="17"/>
  <c r="CJ8" i="17"/>
  <c r="CI8" i="17"/>
  <c r="CJ7" i="17"/>
  <c r="CI7" i="17"/>
  <c r="CJ6" i="17"/>
  <c r="CI6" i="17"/>
  <c r="CG67" i="17"/>
  <c r="CG63" i="17"/>
  <c r="CH62" i="17"/>
  <c r="CG62" i="17"/>
  <c r="CH32" i="17"/>
  <c r="CG32" i="17"/>
  <c r="CG31" i="17"/>
  <c r="CG30" i="17"/>
  <c r="CH29" i="17"/>
  <c r="CG29" i="17"/>
  <c r="CH28" i="17"/>
  <c r="CG28" i="17"/>
  <c r="CG27" i="17"/>
  <c r="CG26" i="17"/>
  <c r="CH25" i="17"/>
  <c r="CG25" i="17"/>
  <c r="CH24" i="17"/>
  <c r="CG24" i="17"/>
  <c r="CG23" i="17"/>
  <c r="CG22" i="17"/>
  <c r="CH21" i="17"/>
  <c r="CG21" i="17"/>
  <c r="CH20" i="17"/>
  <c r="CG20" i="17"/>
  <c r="CG19" i="17"/>
  <c r="CG18" i="17"/>
  <c r="CH17" i="17"/>
  <c r="CG17" i="17"/>
  <c r="CH16" i="17"/>
  <c r="CG16" i="17"/>
  <c r="CG15" i="17"/>
  <c r="CG14" i="17"/>
  <c r="CH13" i="17"/>
  <c r="CG13" i="17"/>
  <c r="CH12" i="17"/>
  <c r="CG12" i="17"/>
  <c r="CG11" i="17"/>
  <c r="CG10" i="17"/>
  <c r="CH9" i="17"/>
  <c r="CG9" i="17"/>
  <c r="CH8" i="17"/>
  <c r="CG8" i="17"/>
  <c r="CG7" i="17"/>
  <c r="CG6" i="17"/>
  <c r="CK5" i="17"/>
  <c r="CI5" i="17"/>
  <c r="CG5" i="17"/>
  <c r="CF33" i="18"/>
  <c r="CF32" i="18"/>
  <c r="CF31" i="18"/>
  <c r="CF30" i="18"/>
  <c r="CF29" i="18"/>
  <c r="CF28" i="18"/>
  <c r="CF27" i="18"/>
  <c r="CF26" i="18"/>
  <c r="CF25" i="18"/>
  <c r="CF24" i="18"/>
  <c r="CF23" i="18"/>
  <c r="CF22" i="18"/>
  <c r="CF21" i="18"/>
  <c r="CF20" i="18"/>
  <c r="CF19" i="18"/>
  <c r="CF18" i="18"/>
  <c r="CF17" i="18"/>
  <c r="CF16" i="18"/>
  <c r="CF15" i="18"/>
  <c r="CF14" i="18"/>
  <c r="CF13" i="18"/>
  <c r="CF12" i="18"/>
  <c r="CF11" i="18"/>
  <c r="CF10" i="18"/>
  <c r="CF9" i="18"/>
  <c r="CF8" i="18"/>
  <c r="CF7" i="18"/>
  <c r="CF6" i="18"/>
  <c r="CF5" i="18"/>
  <c r="AR33" i="18"/>
  <c r="AQ33" i="18"/>
  <c r="AR32" i="18"/>
  <c r="AQ32" i="18"/>
  <c r="AR31" i="18"/>
  <c r="AQ31" i="18"/>
  <c r="AR30" i="18"/>
  <c r="AQ30" i="18"/>
  <c r="AR29" i="18"/>
  <c r="AQ29" i="18"/>
  <c r="AR28" i="18"/>
  <c r="AQ28" i="18"/>
  <c r="AR27" i="18"/>
  <c r="AQ27" i="18"/>
  <c r="AR26" i="18"/>
  <c r="AQ26" i="18"/>
  <c r="AR25" i="18"/>
  <c r="AQ25" i="18"/>
  <c r="AR24" i="18"/>
  <c r="AQ24" i="18"/>
  <c r="AR23" i="18"/>
  <c r="AQ23" i="18"/>
  <c r="AR22" i="18"/>
  <c r="AQ22" i="18"/>
  <c r="AR21" i="18"/>
  <c r="AQ21" i="18"/>
  <c r="AR20" i="18"/>
  <c r="AQ20" i="18"/>
  <c r="AR19" i="18"/>
  <c r="AQ19" i="18"/>
  <c r="AR18" i="18"/>
  <c r="AQ18" i="18"/>
  <c r="AR17" i="18"/>
  <c r="AQ17" i="18"/>
  <c r="AR16" i="18"/>
  <c r="AQ16" i="18"/>
  <c r="AR15" i="18"/>
  <c r="AQ15" i="18"/>
  <c r="AR14" i="18"/>
  <c r="AQ14" i="18"/>
  <c r="AR13" i="18"/>
  <c r="AQ13" i="18"/>
  <c r="AR12" i="18"/>
  <c r="AQ12" i="18"/>
  <c r="AR11" i="18"/>
  <c r="AQ11" i="18"/>
  <c r="AR10" i="18"/>
  <c r="AQ10" i="18"/>
  <c r="AR9" i="18"/>
  <c r="AQ9" i="18"/>
  <c r="AR8" i="18"/>
  <c r="AQ8" i="18"/>
  <c r="AR7" i="18"/>
  <c r="AQ7" i="18"/>
  <c r="AR6" i="18"/>
  <c r="AQ6" i="18"/>
  <c r="AA72" i="17"/>
  <c r="AA74" i="17"/>
  <c r="AA77" i="17"/>
  <c r="Z6" i="17"/>
  <c r="Z73" i="17" s="1"/>
  <c r="Z7" i="17"/>
  <c r="Z8" i="17"/>
  <c r="Z9" i="17"/>
  <c r="Z10" i="17"/>
  <c r="Z11" i="17"/>
  <c r="Z12" i="17"/>
  <c r="Z74" i="17"/>
  <c r="E72" i="17"/>
  <c r="E78" i="17" s="1"/>
  <c r="E79" i="17" s="1"/>
  <c r="E74" i="17"/>
  <c r="D72" i="17"/>
  <c r="D78" i="17" s="1"/>
  <c r="D79" i="17" s="1"/>
  <c r="D74" i="17"/>
  <c r="D77" i="17" s="1"/>
  <c r="E77" i="17"/>
  <c r="AN6" i="17"/>
  <c r="AN7" i="17"/>
  <c r="AN8" i="17"/>
  <c r="AN9" i="17"/>
  <c r="AN10" i="17"/>
  <c r="AN11" i="17"/>
  <c r="AN12" i="17"/>
  <c r="AN13" i="17"/>
  <c r="AM73" i="17"/>
  <c r="AL73" i="17"/>
  <c r="AK6" i="17"/>
  <c r="AK7" i="17"/>
  <c r="AK8" i="17"/>
  <c r="AK9" i="17"/>
  <c r="AK10" i="17"/>
  <c r="AK11" i="17"/>
  <c r="AK12" i="17"/>
  <c r="AK13" i="17"/>
  <c r="AJ73" i="17"/>
  <c r="AI73" i="17"/>
  <c r="AH73" i="17"/>
  <c r="AG73" i="17"/>
  <c r="AF73" i="17"/>
  <c r="AE73" i="17"/>
  <c r="AA73" i="17"/>
  <c r="Y73" i="17"/>
  <c r="X73" i="17"/>
  <c r="W73" i="17"/>
  <c r="V73" i="17"/>
  <c r="U73" i="17"/>
  <c r="T73" i="17"/>
  <c r="S73" i="17"/>
  <c r="R6" i="17"/>
  <c r="R7" i="17"/>
  <c r="R8" i="17"/>
  <c r="R9" i="17"/>
  <c r="R10" i="17"/>
  <c r="R12" i="17"/>
  <c r="R13" i="17"/>
  <c r="Q73" i="17"/>
  <c r="P73" i="17"/>
  <c r="O73" i="17"/>
  <c r="N73" i="17"/>
  <c r="L6" i="17"/>
  <c r="L7" i="17"/>
  <c r="L8" i="17"/>
  <c r="L9" i="17"/>
  <c r="L10" i="17"/>
  <c r="L11" i="17"/>
  <c r="L12" i="17"/>
  <c r="L13" i="17"/>
  <c r="K73" i="17"/>
  <c r="J73" i="17"/>
  <c r="I73" i="17"/>
  <c r="H73" i="17"/>
  <c r="F73" i="17"/>
  <c r="E73" i="17"/>
  <c r="D73" i="17"/>
  <c r="B73" i="17"/>
  <c r="C78" i="17"/>
  <c r="C74" i="17"/>
  <c r="C73" i="17"/>
  <c r="CZ67" i="17"/>
  <c r="CZ63" i="17"/>
  <c r="CZ62" i="17"/>
  <c r="CZ32" i="17"/>
  <c r="CZ31" i="17"/>
  <c r="CZ30" i="17"/>
  <c r="CZ29" i="17"/>
  <c r="CZ28" i="17"/>
  <c r="CZ27" i="17"/>
  <c r="CZ26" i="17"/>
  <c r="CZ25" i="17"/>
  <c r="CZ24" i="17"/>
  <c r="CZ23" i="17"/>
  <c r="CZ22" i="17"/>
  <c r="CZ21" i="17"/>
  <c r="CZ20" i="17"/>
  <c r="CZ19" i="17"/>
  <c r="CZ18" i="17"/>
  <c r="CZ17" i="17"/>
  <c r="CZ16" i="17"/>
  <c r="CZ15" i="17"/>
  <c r="CZ14" i="17"/>
  <c r="CZ13" i="17"/>
  <c r="CZ12" i="17"/>
  <c r="CZ11" i="17"/>
  <c r="CZ10" i="17"/>
  <c r="CZ9" i="17"/>
  <c r="CZ8" i="17"/>
  <c r="CZ7" i="17"/>
  <c r="CZ6" i="17"/>
  <c r="CZ5" i="17"/>
  <c r="AR67" i="17"/>
  <c r="AQ67" i="17"/>
  <c r="AR63" i="17"/>
  <c r="AQ63" i="17"/>
  <c r="AR31" i="17"/>
  <c r="AQ31" i="17"/>
  <c r="AR30" i="17"/>
  <c r="AQ30" i="17"/>
  <c r="AR27" i="17"/>
  <c r="AQ27" i="17"/>
  <c r="AR26" i="17"/>
  <c r="AQ26" i="17"/>
  <c r="AR23" i="17"/>
  <c r="AQ23" i="17"/>
  <c r="AR22" i="17"/>
  <c r="AQ22" i="17"/>
  <c r="AR19" i="17"/>
  <c r="AQ19" i="17"/>
  <c r="AR18" i="17"/>
  <c r="AQ18" i="17"/>
  <c r="AR15" i="17"/>
  <c r="AQ15" i="17"/>
  <c r="AR14" i="17"/>
  <c r="AQ14" i="17"/>
  <c r="AR11" i="17"/>
  <c r="AQ11" i="17"/>
  <c r="AR10" i="17"/>
  <c r="AQ10" i="17"/>
  <c r="AR7" i="17"/>
  <c r="AQ7" i="17"/>
  <c r="AR6" i="17"/>
  <c r="AQ6" i="17"/>
  <c r="AQ5" i="17"/>
  <c r="H1" i="4"/>
  <c r="G302" i="4"/>
  <c r="S92" i="17"/>
  <c r="E302" i="4" s="1"/>
  <c r="D302" i="4"/>
  <c r="DN67" i="17"/>
  <c r="DN63" i="17"/>
  <c r="DN62" i="17"/>
  <c r="DN32" i="17"/>
  <c r="DN31" i="17"/>
  <c r="DN30" i="17"/>
  <c r="DN29" i="17"/>
  <c r="DN28" i="17"/>
  <c r="DN27" i="17"/>
  <c r="DN26" i="17"/>
  <c r="DN25" i="17"/>
  <c r="DN24" i="17"/>
  <c r="DN23" i="17"/>
  <c r="DN22" i="17"/>
  <c r="DN21" i="17"/>
  <c r="DN20" i="17"/>
  <c r="DN19" i="17"/>
  <c r="DN18" i="17"/>
  <c r="DN17" i="17"/>
  <c r="DN16" i="17"/>
  <c r="DN15" i="17"/>
  <c r="DN14" i="17"/>
  <c r="DN13" i="17"/>
  <c r="DN12" i="17"/>
  <c r="DN11" i="17"/>
  <c r="DN10" i="17"/>
  <c r="DN9" i="17"/>
  <c r="DN8" i="17"/>
  <c r="DN7" i="17"/>
  <c r="DN6" i="17"/>
  <c r="BT67" i="17"/>
  <c r="BS67" i="17"/>
  <c r="BT63" i="17"/>
  <c r="BS63" i="17"/>
  <c r="BS62" i="17"/>
  <c r="BS32" i="17"/>
  <c r="BT31" i="17"/>
  <c r="BS31" i="17"/>
  <c r="BT30" i="17"/>
  <c r="BS30" i="17"/>
  <c r="BS29" i="17"/>
  <c r="BS28" i="17"/>
  <c r="BT27" i="17"/>
  <c r="BS27" i="17"/>
  <c r="BT26" i="17"/>
  <c r="BS26" i="17"/>
  <c r="BS25" i="17"/>
  <c r="BS24" i="17"/>
  <c r="BT23" i="17"/>
  <c r="BS23" i="17"/>
  <c r="BT22" i="17"/>
  <c r="BS22" i="17"/>
  <c r="BS21" i="17"/>
  <c r="BS20" i="17"/>
  <c r="BT19" i="17"/>
  <c r="BS19" i="17"/>
  <c r="BT18" i="17"/>
  <c r="BS18" i="17"/>
  <c r="BS17" i="17"/>
  <c r="BS16" i="17"/>
  <c r="BT15" i="17"/>
  <c r="BS15" i="17"/>
  <c r="BT14" i="17"/>
  <c r="BS14" i="17"/>
  <c r="BS13" i="17"/>
  <c r="BS12" i="17"/>
  <c r="BT11" i="17"/>
  <c r="BS11" i="17"/>
  <c r="BT10" i="17"/>
  <c r="BS10" i="17"/>
  <c r="BS9" i="17"/>
  <c r="BS8" i="17"/>
  <c r="BT7" i="17"/>
  <c r="BS7" i="17"/>
  <c r="BT6" i="17"/>
  <c r="BS6" i="17"/>
  <c r="CJ33" i="18"/>
  <c r="CJ32" i="18"/>
  <c r="CJ31" i="18"/>
  <c r="CJ30" i="18"/>
  <c r="CJ29" i="18"/>
  <c r="CJ28" i="18"/>
  <c r="CJ27" i="18"/>
  <c r="CJ26" i="18"/>
  <c r="CJ25" i="18"/>
  <c r="CJ24" i="18"/>
  <c r="CJ23" i="18"/>
  <c r="CJ22" i="18"/>
  <c r="CJ21" i="18"/>
  <c r="CJ20" i="18"/>
  <c r="CJ19" i="18"/>
  <c r="CJ18" i="18"/>
  <c r="CJ17" i="18"/>
  <c r="CJ16" i="18"/>
  <c r="CJ15" i="18"/>
  <c r="CJ14" i="18"/>
  <c r="CJ13" i="18"/>
  <c r="CJ12" i="18"/>
  <c r="CJ11" i="18"/>
  <c r="CJ10" i="18"/>
  <c r="CJ9" i="18"/>
  <c r="CJ8" i="18"/>
  <c r="CJ7" i="18"/>
  <c r="CJ6" i="18"/>
  <c r="AZ33" i="18"/>
  <c r="AY33" i="18"/>
  <c r="AZ32" i="18"/>
  <c r="AY32" i="18"/>
  <c r="AZ31" i="18"/>
  <c r="AY31" i="18"/>
  <c r="AZ30" i="18"/>
  <c r="AY30" i="18"/>
  <c r="AZ29" i="18"/>
  <c r="AY29" i="18"/>
  <c r="AZ28" i="18"/>
  <c r="AY28" i="18"/>
  <c r="AZ27" i="18"/>
  <c r="AY27" i="18"/>
  <c r="AZ26" i="18"/>
  <c r="AY26" i="18"/>
  <c r="AZ25" i="18"/>
  <c r="AY25" i="18"/>
  <c r="AZ24" i="18"/>
  <c r="AY24" i="18"/>
  <c r="AZ23" i="18"/>
  <c r="AY23" i="18"/>
  <c r="AZ22" i="18"/>
  <c r="AY22" i="18"/>
  <c r="AZ21" i="18"/>
  <c r="AY21" i="18"/>
  <c r="AZ20" i="18"/>
  <c r="AY20" i="18"/>
  <c r="AZ19" i="18"/>
  <c r="AY19" i="18"/>
  <c r="AZ18" i="18"/>
  <c r="AY18" i="18"/>
  <c r="AZ17" i="18"/>
  <c r="AY17" i="18"/>
  <c r="AZ16" i="18"/>
  <c r="AY16" i="18"/>
  <c r="AZ15" i="18"/>
  <c r="AY15" i="18"/>
  <c r="AZ14" i="18"/>
  <c r="AY14" i="18"/>
  <c r="AZ13" i="18"/>
  <c r="AY13" i="18"/>
  <c r="AZ12" i="18"/>
  <c r="AY12" i="18"/>
  <c r="AZ11" i="18"/>
  <c r="AY11" i="18"/>
  <c r="AZ10" i="18"/>
  <c r="AY10" i="18"/>
  <c r="AZ9" i="18"/>
  <c r="AY9" i="18"/>
  <c r="AZ8" i="18"/>
  <c r="AY8" i="18"/>
  <c r="AZ7" i="18"/>
  <c r="AY7" i="18"/>
  <c r="AY6" i="18"/>
  <c r="AZ6" i="18"/>
  <c r="S74" i="18"/>
  <c r="S99" i="17" s="1"/>
  <c r="S73" i="18"/>
  <c r="S98" i="17" s="1"/>
  <c r="S68" i="18"/>
  <c r="S93" i="17" s="1"/>
  <c r="S72" i="17"/>
  <c r="S74" i="17"/>
  <c r="S76" i="17" s="1"/>
  <c r="Q279" i="4"/>
  <c r="P279" i="4"/>
  <c r="AN92" i="17"/>
  <c r="O279" i="4" s="1"/>
  <c r="N279" i="4"/>
  <c r="F279" i="4"/>
  <c r="D279" i="4"/>
  <c r="N256" i="4"/>
  <c r="CY33" i="18"/>
  <c r="CY32" i="18"/>
  <c r="CY31" i="18"/>
  <c r="CY30" i="18"/>
  <c r="CY29" i="18"/>
  <c r="CY28" i="18"/>
  <c r="CY27" i="18"/>
  <c r="CY26" i="18"/>
  <c r="CY25" i="18"/>
  <c r="CY24" i="18"/>
  <c r="CY23" i="18"/>
  <c r="CY22" i="18"/>
  <c r="CY21" i="18"/>
  <c r="CY20" i="18"/>
  <c r="CY19" i="18"/>
  <c r="CY18" i="18"/>
  <c r="CY17" i="18"/>
  <c r="CY16" i="18"/>
  <c r="CY15" i="18"/>
  <c r="CY14" i="18"/>
  <c r="CY13" i="18"/>
  <c r="CY12" i="18"/>
  <c r="CY11" i="18"/>
  <c r="CY10" i="18"/>
  <c r="CY9" i="18"/>
  <c r="CY8" i="18"/>
  <c r="CY7" i="18"/>
  <c r="CY6" i="18"/>
  <c r="CP33" i="18"/>
  <c r="CO33" i="18"/>
  <c r="CP32" i="18"/>
  <c r="CO32" i="18"/>
  <c r="CP31" i="18"/>
  <c r="CO31" i="18"/>
  <c r="CP30" i="18"/>
  <c r="CO30" i="18"/>
  <c r="CP29" i="18"/>
  <c r="CO29" i="18"/>
  <c r="CP28" i="18"/>
  <c r="CO28" i="18"/>
  <c r="CP27" i="18"/>
  <c r="CO27" i="18"/>
  <c r="CP26" i="18"/>
  <c r="CO26" i="18"/>
  <c r="CP25" i="18"/>
  <c r="CO25" i="18"/>
  <c r="CP24" i="18"/>
  <c r="CO24" i="18"/>
  <c r="CP23" i="18"/>
  <c r="CO23" i="18"/>
  <c r="CP22" i="18"/>
  <c r="CO22" i="18"/>
  <c r="CP21" i="18"/>
  <c r="CO21" i="18"/>
  <c r="CP20" i="18"/>
  <c r="CO20" i="18"/>
  <c r="CP19" i="18"/>
  <c r="CO19" i="18"/>
  <c r="CP18" i="18"/>
  <c r="CO18" i="18"/>
  <c r="CP17" i="18"/>
  <c r="CO17" i="18"/>
  <c r="CP16" i="18"/>
  <c r="CO16" i="18"/>
  <c r="CP15" i="18"/>
  <c r="CO15" i="18"/>
  <c r="CP14" i="18"/>
  <c r="CO14" i="18"/>
  <c r="CP13" i="18"/>
  <c r="CO13" i="18"/>
  <c r="CP12" i="18"/>
  <c r="CO12" i="18"/>
  <c r="CP11" i="18"/>
  <c r="CO11" i="18"/>
  <c r="CP10" i="18"/>
  <c r="CO10" i="18"/>
  <c r="CP9" i="18"/>
  <c r="CO9" i="18"/>
  <c r="CP8" i="18"/>
  <c r="CO8" i="18"/>
  <c r="CP7" i="18"/>
  <c r="CO7" i="18"/>
  <c r="CP6" i="18"/>
  <c r="CO6" i="18"/>
  <c r="CD33" i="18"/>
  <c r="CC33" i="18"/>
  <c r="CD32" i="18"/>
  <c r="CC32" i="18"/>
  <c r="CD31" i="18"/>
  <c r="CC31" i="18"/>
  <c r="CD30" i="18"/>
  <c r="CC30" i="18"/>
  <c r="CD29" i="18"/>
  <c r="CC29" i="18"/>
  <c r="CD28" i="18"/>
  <c r="CC28" i="18"/>
  <c r="CD27" i="18"/>
  <c r="CC27" i="18"/>
  <c r="CD26" i="18"/>
  <c r="CC26" i="18"/>
  <c r="CD25" i="18"/>
  <c r="CC25" i="18"/>
  <c r="CD24" i="18"/>
  <c r="CC24" i="18"/>
  <c r="CD23" i="18"/>
  <c r="CC23" i="18"/>
  <c r="CD22" i="18"/>
  <c r="CC22" i="18"/>
  <c r="CD21" i="18"/>
  <c r="CC21" i="18"/>
  <c r="CD20" i="18"/>
  <c r="CC20" i="18"/>
  <c r="CD19" i="18"/>
  <c r="CC19" i="18"/>
  <c r="CD18" i="18"/>
  <c r="CC18" i="18"/>
  <c r="CD17" i="18"/>
  <c r="CC17" i="18"/>
  <c r="CD16" i="18"/>
  <c r="CC16" i="18"/>
  <c r="CD15" i="18"/>
  <c r="CC15" i="18"/>
  <c r="CD14" i="18"/>
  <c r="CC14" i="18"/>
  <c r="CD13" i="18"/>
  <c r="CC13" i="18"/>
  <c r="CD12" i="18"/>
  <c r="CC12" i="18"/>
  <c r="CD11" i="18"/>
  <c r="CC11" i="18"/>
  <c r="CD10" i="18"/>
  <c r="CC10" i="18"/>
  <c r="CD9" i="18"/>
  <c r="CC9" i="18"/>
  <c r="CD8" i="18"/>
  <c r="CC8" i="18"/>
  <c r="CD7" i="18"/>
  <c r="CC7" i="18"/>
  <c r="CD6" i="18"/>
  <c r="CC6" i="18"/>
  <c r="BL33" i="18"/>
  <c r="BK33" i="18"/>
  <c r="BJ33" i="18"/>
  <c r="BI33" i="18"/>
  <c r="BL32" i="18"/>
  <c r="BK32" i="18"/>
  <c r="BJ32" i="18"/>
  <c r="BI32" i="18"/>
  <c r="BL31" i="18"/>
  <c r="BK31" i="18"/>
  <c r="BJ31" i="18"/>
  <c r="BI31" i="18"/>
  <c r="BL30" i="18"/>
  <c r="BK30" i="18"/>
  <c r="BJ30" i="18"/>
  <c r="BI30" i="18"/>
  <c r="BL29" i="18"/>
  <c r="BK29" i="18"/>
  <c r="BJ29" i="18"/>
  <c r="BI29" i="18"/>
  <c r="BL28" i="18"/>
  <c r="BK28" i="18"/>
  <c r="BJ28" i="18"/>
  <c r="BI28" i="18"/>
  <c r="BL27" i="18"/>
  <c r="BK27" i="18"/>
  <c r="BJ27" i="18"/>
  <c r="BI27" i="18"/>
  <c r="BL26" i="18"/>
  <c r="BK26" i="18"/>
  <c r="BJ26" i="18"/>
  <c r="BI26" i="18"/>
  <c r="BL25" i="18"/>
  <c r="BK25" i="18"/>
  <c r="BJ25" i="18"/>
  <c r="BI25" i="18"/>
  <c r="BL24" i="18"/>
  <c r="BK24" i="18"/>
  <c r="BJ24" i="18"/>
  <c r="BI24" i="18"/>
  <c r="BL23" i="18"/>
  <c r="BK23" i="18"/>
  <c r="BJ23" i="18"/>
  <c r="BI23" i="18"/>
  <c r="BL22" i="18"/>
  <c r="BK22" i="18"/>
  <c r="BJ22" i="18"/>
  <c r="BI22" i="18"/>
  <c r="BL21" i="18"/>
  <c r="BK21" i="18"/>
  <c r="BJ21" i="18"/>
  <c r="BI21" i="18"/>
  <c r="BL20" i="18"/>
  <c r="BK20" i="18"/>
  <c r="BJ20" i="18"/>
  <c r="BI20" i="18"/>
  <c r="BL19" i="18"/>
  <c r="BK19" i="18"/>
  <c r="BJ19" i="18"/>
  <c r="BI19" i="18"/>
  <c r="BL18" i="18"/>
  <c r="BK18" i="18"/>
  <c r="BJ18" i="18"/>
  <c r="BI18" i="18"/>
  <c r="BL17" i="18"/>
  <c r="BK17" i="18"/>
  <c r="BJ17" i="18"/>
  <c r="BI17" i="18"/>
  <c r="BL16" i="18"/>
  <c r="BK16" i="18"/>
  <c r="BJ16" i="18"/>
  <c r="BI16" i="18"/>
  <c r="BL15" i="18"/>
  <c r="BK15" i="18"/>
  <c r="BJ15" i="18"/>
  <c r="BI15" i="18"/>
  <c r="BL14" i="18"/>
  <c r="BK14" i="18"/>
  <c r="BJ14" i="18"/>
  <c r="BI14" i="18"/>
  <c r="BL13" i="18"/>
  <c r="BK13" i="18"/>
  <c r="BJ13" i="18"/>
  <c r="BI13" i="18"/>
  <c r="BL12" i="18"/>
  <c r="BK12" i="18"/>
  <c r="BJ12" i="18"/>
  <c r="BI12" i="18"/>
  <c r="BL11" i="18"/>
  <c r="BK11" i="18"/>
  <c r="BJ11" i="18"/>
  <c r="BI11" i="18"/>
  <c r="BL10" i="18"/>
  <c r="BK10" i="18"/>
  <c r="BJ10" i="18"/>
  <c r="BI10" i="18"/>
  <c r="BL9" i="18"/>
  <c r="BK9" i="18"/>
  <c r="BJ9" i="18"/>
  <c r="BI9" i="18"/>
  <c r="BL8" i="18"/>
  <c r="BK8" i="18"/>
  <c r="BJ8" i="18"/>
  <c r="BI8" i="18"/>
  <c r="BL7" i="18"/>
  <c r="BK7" i="18"/>
  <c r="BJ7" i="18"/>
  <c r="BI7" i="18"/>
  <c r="BK6" i="18"/>
  <c r="BJ6" i="18"/>
  <c r="BI6" i="18"/>
  <c r="BL6" i="18"/>
  <c r="EC67" i="17"/>
  <c r="EC63" i="17"/>
  <c r="EC62" i="17"/>
  <c r="EC32" i="17"/>
  <c r="EC31" i="17"/>
  <c r="EC30" i="17"/>
  <c r="EC29" i="17"/>
  <c r="EC28" i="17"/>
  <c r="EC27" i="17"/>
  <c r="EC26" i="17"/>
  <c r="EC25" i="17"/>
  <c r="EC24" i="17"/>
  <c r="EC23" i="17"/>
  <c r="EC22" i="17"/>
  <c r="EC21" i="17"/>
  <c r="EC20" i="17"/>
  <c r="EC19" i="17"/>
  <c r="EC18" i="17"/>
  <c r="EC17" i="17"/>
  <c r="EC16" i="17"/>
  <c r="EC15" i="17"/>
  <c r="EC14" i="17"/>
  <c r="EC13" i="17"/>
  <c r="EC12" i="17"/>
  <c r="EC11" i="17"/>
  <c r="EC10" i="17"/>
  <c r="EC9" i="17"/>
  <c r="EC8" i="17"/>
  <c r="EC7" i="17"/>
  <c r="EC6" i="17"/>
  <c r="DT67" i="17"/>
  <c r="DS67" i="17"/>
  <c r="DT63" i="17"/>
  <c r="DS63" i="17"/>
  <c r="DT62" i="17"/>
  <c r="DS62" i="17"/>
  <c r="DT32" i="17"/>
  <c r="DS32" i="17"/>
  <c r="DT31" i="17"/>
  <c r="DS31" i="17"/>
  <c r="DT30" i="17"/>
  <c r="DS30" i="17"/>
  <c r="DT29" i="17"/>
  <c r="DS29" i="17"/>
  <c r="DT28" i="17"/>
  <c r="DS28" i="17"/>
  <c r="DT27" i="17"/>
  <c r="DS27" i="17"/>
  <c r="DT26" i="17"/>
  <c r="DS26" i="17"/>
  <c r="DT25" i="17"/>
  <c r="DS25" i="17"/>
  <c r="DT24" i="17"/>
  <c r="DS24" i="17"/>
  <c r="DT23" i="17"/>
  <c r="DS23" i="17"/>
  <c r="DT22" i="17"/>
  <c r="DS22" i="17"/>
  <c r="DT21" i="17"/>
  <c r="DS21" i="17"/>
  <c r="DT20" i="17"/>
  <c r="DS20" i="17"/>
  <c r="DT19" i="17"/>
  <c r="DS19" i="17"/>
  <c r="DT18" i="17"/>
  <c r="DS18" i="17"/>
  <c r="DT17" i="17"/>
  <c r="DS17" i="17"/>
  <c r="DT16" i="17"/>
  <c r="DS16" i="17"/>
  <c r="DT15" i="17"/>
  <c r="DS15" i="17"/>
  <c r="DT14" i="17"/>
  <c r="DS14" i="17"/>
  <c r="DT13" i="17"/>
  <c r="DS13" i="17"/>
  <c r="DT12" i="17"/>
  <c r="DS12" i="17"/>
  <c r="DT11" i="17"/>
  <c r="DS11" i="17"/>
  <c r="DT10" i="17"/>
  <c r="DS10" i="17"/>
  <c r="DT9" i="17"/>
  <c r="DS9" i="17"/>
  <c r="DT8" i="17"/>
  <c r="DS8" i="17"/>
  <c r="DT7" i="17"/>
  <c r="DS7" i="17"/>
  <c r="DT6" i="17"/>
  <c r="DS6" i="17"/>
  <c r="CX67" i="17"/>
  <c r="CX63" i="17"/>
  <c r="CW63" i="17"/>
  <c r="CX62" i="17"/>
  <c r="CW62" i="17"/>
  <c r="CX32" i="17"/>
  <c r="CX31" i="17"/>
  <c r="CX30" i="17"/>
  <c r="CW30" i="17"/>
  <c r="CX29" i="17"/>
  <c r="CW29" i="17"/>
  <c r="CX28" i="17"/>
  <c r="CX27" i="17"/>
  <c r="CX26" i="17"/>
  <c r="CW26" i="17"/>
  <c r="CX25" i="17"/>
  <c r="CW25" i="17"/>
  <c r="CX24" i="17"/>
  <c r="CX23" i="17"/>
  <c r="CX22" i="17"/>
  <c r="CW22" i="17"/>
  <c r="CX21" i="17"/>
  <c r="CW21" i="17"/>
  <c r="CX20" i="17"/>
  <c r="CX19" i="17"/>
  <c r="CX18" i="17"/>
  <c r="CW18" i="17"/>
  <c r="CX17" i="17"/>
  <c r="CW17" i="17"/>
  <c r="CX16" i="17"/>
  <c r="CX15" i="17"/>
  <c r="CX14" i="17"/>
  <c r="CW14" i="17"/>
  <c r="CX13" i="17"/>
  <c r="CW13" i="17"/>
  <c r="CX12" i="17"/>
  <c r="CX11" i="17"/>
  <c r="CX10" i="17"/>
  <c r="CW10" i="17"/>
  <c r="CX9" i="17"/>
  <c r="CW9" i="17"/>
  <c r="CX8" i="17"/>
  <c r="CX7" i="17"/>
  <c r="CX6" i="17"/>
  <c r="CW6" i="17"/>
  <c r="CF67" i="17"/>
  <c r="CF63" i="17"/>
  <c r="CD63" i="17"/>
  <c r="CF62" i="17"/>
  <c r="CF32" i="17"/>
  <c r="CD32" i="17"/>
  <c r="CF31" i="17"/>
  <c r="CF30" i="17"/>
  <c r="CD30" i="17"/>
  <c r="CF29" i="17"/>
  <c r="CF28" i="17"/>
  <c r="CD28" i="17"/>
  <c r="CF27" i="17"/>
  <c r="CF26" i="17"/>
  <c r="CD26" i="17"/>
  <c r="CF25" i="17"/>
  <c r="CF24" i="17"/>
  <c r="CD24" i="17"/>
  <c r="CF23" i="17"/>
  <c r="CF22" i="17"/>
  <c r="CD22" i="17"/>
  <c r="CF21" i="17"/>
  <c r="CF20" i="17"/>
  <c r="CD20" i="17"/>
  <c r="CF19" i="17"/>
  <c r="CF18" i="17"/>
  <c r="CD18" i="17"/>
  <c r="CF17" i="17"/>
  <c r="CD17" i="17"/>
  <c r="CF16" i="17"/>
  <c r="CD16" i="17"/>
  <c r="CF15" i="17"/>
  <c r="CD15" i="17"/>
  <c r="CF14" i="17"/>
  <c r="CD14" i="17"/>
  <c r="CF13" i="17"/>
  <c r="CD13" i="17"/>
  <c r="CF12" i="17"/>
  <c r="CD12" i="17"/>
  <c r="CF11" i="17"/>
  <c r="CD11" i="17"/>
  <c r="CF10" i="17"/>
  <c r="CD10" i="17"/>
  <c r="CF9" i="17"/>
  <c r="CD9" i="17"/>
  <c r="CF8" i="17"/>
  <c r="CD8" i="17"/>
  <c r="CF7" i="17"/>
  <c r="CD7" i="17"/>
  <c r="CF6" i="17"/>
  <c r="CD6" i="17"/>
  <c r="AN74" i="18"/>
  <c r="AM74" i="18"/>
  <c r="AL74" i="18"/>
  <c r="AN73" i="18"/>
  <c r="AM73" i="18"/>
  <c r="AL73" i="18"/>
  <c r="AM66" i="18"/>
  <c r="AM67" i="18"/>
  <c r="AM71" i="18" s="1"/>
  <c r="AL66" i="18"/>
  <c r="AL67" i="18"/>
  <c r="AN68" i="18"/>
  <c r="AM68" i="18"/>
  <c r="AL68" i="18"/>
  <c r="AM72" i="17"/>
  <c r="AM74" i="17"/>
  <c r="AM76" i="17"/>
  <c r="AL72" i="17"/>
  <c r="AL74" i="17"/>
  <c r="AM75" i="17"/>
  <c r="AN99" i="17"/>
  <c r="AM99" i="17"/>
  <c r="AL99" i="17"/>
  <c r="AN98" i="17"/>
  <c r="AM98" i="17"/>
  <c r="AL98" i="17"/>
  <c r="AM96" i="17"/>
  <c r="AL96" i="17"/>
  <c r="AM95" i="17"/>
  <c r="AL95" i="17"/>
  <c r="AN93" i="17"/>
  <c r="AM93" i="17"/>
  <c r="AL93" i="17"/>
  <c r="AM92" i="17"/>
  <c r="AL92" i="17"/>
  <c r="AM91" i="17"/>
  <c r="AL91" i="17"/>
  <c r="AH74" i="18"/>
  <c r="AG74" i="18"/>
  <c r="AF74" i="18"/>
  <c r="AH73" i="18"/>
  <c r="AG73" i="18"/>
  <c r="AG98" i="17" s="1"/>
  <c r="AF73" i="18"/>
  <c r="AH68" i="18"/>
  <c r="AG68" i="18"/>
  <c r="AF68" i="18"/>
  <c r="AA76" i="17"/>
  <c r="Y72" i="17"/>
  <c r="Y74" i="17"/>
  <c r="X72" i="17"/>
  <c r="X74" i="17"/>
  <c r="X76" i="17"/>
  <c r="AA75" i="17"/>
  <c r="X75" i="17"/>
  <c r="Q92" i="17"/>
  <c r="G227" i="4"/>
  <c r="F227" i="4"/>
  <c r="B226" i="4"/>
  <c r="R197" i="4"/>
  <c r="P92" i="17"/>
  <c r="Q197" i="4" s="1"/>
  <c r="P197" i="4"/>
  <c r="L196" i="4"/>
  <c r="O92" i="17"/>
  <c r="G197" i="4"/>
  <c r="B196" i="4"/>
  <c r="N92" i="17"/>
  <c r="Q168" i="4"/>
  <c r="S168" i="4"/>
  <c r="R168" i="4"/>
  <c r="P168" i="4"/>
  <c r="L167" i="4"/>
  <c r="K92" i="17"/>
  <c r="R139" i="4"/>
  <c r="L138" i="4"/>
  <c r="J92" i="17"/>
  <c r="H139" i="4" s="1"/>
  <c r="G139" i="4"/>
  <c r="B138" i="4"/>
  <c r="T110" i="4"/>
  <c r="I92" i="17"/>
  <c r="R110" i="4"/>
  <c r="Q110" i="4"/>
  <c r="L109" i="4"/>
  <c r="J110" i="4"/>
  <c r="I110" i="4"/>
  <c r="H92" i="17"/>
  <c r="H110" i="4" s="1"/>
  <c r="G110" i="4"/>
  <c r="B109" i="4"/>
  <c r="DI67" i="17"/>
  <c r="DI63" i="17"/>
  <c r="DI62" i="17"/>
  <c r="DI32" i="17"/>
  <c r="DI31" i="17"/>
  <c r="DI30" i="17"/>
  <c r="DI29" i="17"/>
  <c r="DI28" i="17"/>
  <c r="DI27" i="17"/>
  <c r="DI26" i="17"/>
  <c r="DI25" i="17"/>
  <c r="DI24" i="17"/>
  <c r="DI23" i="17"/>
  <c r="DI22" i="17"/>
  <c r="DI21" i="17"/>
  <c r="DI20" i="17"/>
  <c r="DI19" i="17"/>
  <c r="DI18" i="17"/>
  <c r="DI17" i="17"/>
  <c r="DI16" i="17"/>
  <c r="DI15" i="17"/>
  <c r="DI14" i="17"/>
  <c r="DI13" i="17"/>
  <c r="DI12" i="17"/>
  <c r="DI11" i="17"/>
  <c r="DI10" i="17"/>
  <c r="DI9" i="17"/>
  <c r="DI8" i="17"/>
  <c r="DI7" i="17"/>
  <c r="DI6" i="17"/>
  <c r="DI5" i="17"/>
  <c r="DJ5" i="17"/>
  <c r="DK67" i="17"/>
  <c r="DK63" i="17"/>
  <c r="DK62" i="17"/>
  <c r="DK32" i="17"/>
  <c r="DK31" i="17"/>
  <c r="DK30" i="17"/>
  <c r="DK29" i="17"/>
  <c r="DK28" i="17"/>
  <c r="DK27" i="17"/>
  <c r="DK26" i="17"/>
  <c r="DK25" i="17"/>
  <c r="DK24" i="17"/>
  <c r="DK23" i="17"/>
  <c r="DK22" i="17"/>
  <c r="DK21" i="17"/>
  <c r="DK20" i="17"/>
  <c r="DK19" i="17"/>
  <c r="DK18" i="17"/>
  <c r="DK17" i="17"/>
  <c r="DK16" i="17"/>
  <c r="DK15" i="17"/>
  <c r="DK14" i="17"/>
  <c r="DK13" i="17"/>
  <c r="DK12" i="17"/>
  <c r="DK11" i="17"/>
  <c r="DK10" i="17"/>
  <c r="DK9" i="17"/>
  <c r="DK8" i="17"/>
  <c r="DK7" i="17"/>
  <c r="DK6" i="17"/>
  <c r="DK5" i="17"/>
  <c r="DL67" i="17"/>
  <c r="DL63" i="17"/>
  <c r="DL62" i="17"/>
  <c r="DL32" i="17"/>
  <c r="DL31" i="17"/>
  <c r="DL30" i="17"/>
  <c r="DL29" i="17"/>
  <c r="DL28" i="17"/>
  <c r="DL27" i="17"/>
  <c r="DL26" i="17"/>
  <c r="DL25" i="17"/>
  <c r="DL24" i="17"/>
  <c r="DL23" i="17"/>
  <c r="DL22" i="17"/>
  <c r="DL21" i="17"/>
  <c r="DL20" i="17"/>
  <c r="DL19" i="17"/>
  <c r="DL18" i="17"/>
  <c r="DL17" i="17"/>
  <c r="DL16" i="17"/>
  <c r="DL15" i="17"/>
  <c r="DL14" i="17"/>
  <c r="DL13" i="17"/>
  <c r="DL12" i="17"/>
  <c r="DL11" i="17"/>
  <c r="DL10" i="17"/>
  <c r="DL9" i="17"/>
  <c r="DL8" i="17"/>
  <c r="DL7" i="17"/>
  <c r="DL6" i="17"/>
  <c r="DL5" i="17"/>
  <c r="DD67" i="17"/>
  <c r="DD63" i="17"/>
  <c r="DD62" i="17"/>
  <c r="DD32" i="17"/>
  <c r="DD31" i="17"/>
  <c r="DD30" i="17"/>
  <c r="DD29" i="17"/>
  <c r="DD28" i="17"/>
  <c r="DD27" i="17"/>
  <c r="DD26" i="17"/>
  <c r="DD25" i="17"/>
  <c r="DD24" i="17"/>
  <c r="DD23" i="17"/>
  <c r="DD22" i="17"/>
  <c r="DD21" i="17"/>
  <c r="DD20" i="17"/>
  <c r="DD19" i="17"/>
  <c r="DD18" i="17"/>
  <c r="DD17" i="17"/>
  <c r="DD16" i="17"/>
  <c r="DD15" i="17"/>
  <c r="DD14" i="17"/>
  <c r="DD13" i="17"/>
  <c r="DD12" i="17"/>
  <c r="DD11" i="17"/>
  <c r="DD10" i="17"/>
  <c r="DD9" i="17"/>
  <c r="DD8" i="17"/>
  <c r="DD7" i="17"/>
  <c r="DD6" i="17"/>
  <c r="DD5" i="17"/>
  <c r="DE67" i="17"/>
  <c r="DE63" i="17"/>
  <c r="DE62" i="17"/>
  <c r="DE32" i="17"/>
  <c r="DE31" i="17"/>
  <c r="DE30" i="17"/>
  <c r="DE29" i="17"/>
  <c r="DE28" i="17"/>
  <c r="DE27" i="17"/>
  <c r="DE26" i="17"/>
  <c r="DE25" i="17"/>
  <c r="DE24" i="17"/>
  <c r="DE23" i="17"/>
  <c r="DE22" i="17"/>
  <c r="DE21" i="17"/>
  <c r="DE20" i="17"/>
  <c r="DE19" i="17"/>
  <c r="DE18" i="17"/>
  <c r="DE17" i="17"/>
  <c r="DE16" i="17"/>
  <c r="DE15" i="17"/>
  <c r="DE14" i="17"/>
  <c r="DE13" i="17"/>
  <c r="DE12" i="17"/>
  <c r="DE11" i="17"/>
  <c r="DE10" i="17"/>
  <c r="DE9" i="17"/>
  <c r="DE8" i="17"/>
  <c r="DE7" i="17"/>
  <c r="DE6" i="17"/>
  <c r="DE5" i="17"/>
  <c r="DF67" i="17"/>
  <c r="DF63" i="17"/>
  <c r="DF62" i="17"/>
  <c r="DF32" i="17"/>
  <c r="DF31" i="17"/>
  <c r="DF30" i="17"/>
  <c r="DF29" i="17"/>
  <c r="DF28" i="17"/>
  <c r="DF27" i="17"/>
  <c r="DF26" i="17"/>
  <c r="DF25" i="17"/>
  <c r="DF24" i="17"/>
  <c r="DF23" i="17"/>
  <c r="DF22" i="17"/>
  <c r="DF21" i="17"/>
  <c r="DF20" i="17"/>
  <c r="DF19" i="17"/>
  <c r="DF18" i="17"/>
  <c r="DF17" i="17"/>
  <c r="DF16" i="17"/>
  <c r="DF15" i="17"/>
  <c r="DF14" i="17"/>
  <c r="DF13" i="17"/>
  <c r="DF12" i="17"/>
  <c r="DF11" i="17"/>
  <c r="DF10" i="17"/>
  <c r="DF9" i="17"/>
  <c r="DF8" i="17"/>
  <c r="DF7" i="17"/>
  <c r="DF6" i="17"/>
  <c r="DF5" i="17"/>
  <c r="DG5" i="17"/>
  <c r="BN67" i="17"/>
  <c r="BM67" i="17"/>
  <c r="BN63" i="17"/>
  <c r="BM63" i="17"/>
  <c r="BN62" i="17"/>
  <c r="BN32" i="17"/>
  <c r="BM32" i="17"/>
  <c r="BN31" i="17"/>
  <c r="BM31" i="17"/>
  <c r="BN30" i="17"/>
  <c r="BM30" i="17"/>
  <c r="BN29" i="17"/>
  <c r="BN28" i="17"/>
  <c r="BM28" i="17"/>
  <c r="BN27" i="17"/>
  <c r="BM27" i="17"/>
  <c r="BN26" i="17"/>
  <c r="BM26" i="17"/>
  <c r="BN25" i="17"/>
  <c r="BN24" i="17"/>
  <c r="BM24" i="17"/>
  <c r="BN23" i="17"/>
  <c r="BM23" i="17"/>
  <c r="BN22" i="17"/>
  <c r="BM22" i="17"/>
  <c r="BN21" i="17"/>
  <c r="BN20" i="17"/>
  <c r="BM20" i="17"/>
  <c r="BN19" i="17"/>
  <c r="BM19" i="17"/>
  <c r="BN18" i="17"/>
  <c r="BM18" i="17"/>
  <c r="BN17" i="17"/>
  <c r="BN16" i="17"/>
  <c r="BM16" i="17"/>
  <c r="BN15" i="17"/>
  <c r="BM15" i="17"/>
  <c r="BN14" i="17"/>
  <c r="BM14" i="17"/>
  <c r="BN13" i="17"/>
  <c r="BN12" i="17"/>
  <c r="BM12" i="17"/>
  <c r="BN11" i="17"/>
  <c r="BM11" i="17"/>
  <c r="BN10" i="17"/>
  <c r="BM10" i="17"/>
  <c r="BN9" i="17"/>
  <c r="BN8" i="17"/>
  <c r="BM8" i="17"/>
  <c r="BN7" i="17"/>
  <c r="BM7" i="17"/>
  <c r="BN6" i="17"/>
  <c r="BM6" i="17"/>
  <c r="BJ67" i="17"/>
  <c r="BI67" i="17"/>
  <c r="BJ63" i="17"/>
  <c r="BI63" i="17"/>
  <c r="BJ62" i="17"/>
  <c r="BI62" i="17"/>
  <c r="BJ32" i="17"/>
  <c r="BI32" i="17"/>
  <c r="BJ31" i="17"/>
  <c r="BI31" i="17"/>
  <c r="BJ30" i="17"/>
  <c r="BI30" i="17"/>
  <c r="BJ29" i="17"/>
  <c r="BI29" i="17"/>
  <c r="BJ28" i="17"/>
  <c r="BI28" i="17"/>
  <c r="BJ27" i="17"/>
  <c r="BI27" i="17"/>
  <c r="BJ26" i="17"/>
  <c r="BI26" i="17"/>
  <c r="BJ25" i="17"/>
  <c r="BI25" i="17"/>
  <c r="BJ24" i="17"/>
  <c r="BI24" i="17"/>
  <c r="BJ23" i="17"/>
  <c r="BI23" i="17"/>
  <c r="BJ22" i="17"/>
  <c r="BI22" i="17"/>
  <c r="BJ21" i="17"/>
  <c r="BI21" i="17"/>
  <c r="BJ20" i="17"/>
  <c r="BI20" i="17"/>
  <c r="BJ19" i="17"/>
  <c r="BI19" i="17"/>
  <c r="BJ18" i="17"/>
  <c r="BI18" i="17"/>
  <c r="BJ17" i="17"/>
  <c r="BI17" i="17"/>
  <c r="BJ16" i="17"/>
  <c r="BI16" i="17"/>
  <c r="BJ15" i="17"/>
  <c r="BI15" i="17"/>
  <c r="BJ14" i="17"/>
  <c r="BI14" i="17"/>
  <c r="BJ13" i="17"/>
  <c r="BI13" i="17"/>
  <c r="BJ12" i="17"/>
  <c r="BI12" i="17"/>
  <c r="BJ11" i="17"/>
  <c r="BI11" i="17"/>
  <c r="BJ10" i="17"/>
  <c r="BI10" i="17"/>
  <c r="BJ9" i="17"/>
  <c r="BI9" i="17"/>
  <c r="BJ8" i="17"/>
  <c r="BI8" i="17"/>
  <c r="BJ7" i="17"/>
  <c r="BI7" i="17"/>
  <c r="BJ6" i="17"/>
  <c r="BI6" i="17"/>
  <c r="BO5" i="17"/>
  <c r="BM5" i="17"/>
  <c r="BK5" i="17"/>
  <c r="BI5" i="17"/>
  <c r="BG5" i="17"/>
  <c r="BQ5" i="17"/>
  <c r="BA67" i="17"/>
  <c r="BA63" i="17"/>
  <c r="BA62" i="17"/>
  <c r="BA32" i="17"/>
  <c r="BA31" i="17"/>
  <c r="BA30" i="17"/>
  <c r="BA29" i="17"/>
  <c r="BA28" i="17"/>
  <c r="BA27" i="17"/>
  <c r="BA26" i="17"/>
  <c r="BA25" i="17"/>
  <c r="BA24" i="17"/>
  <c r="BA23" i="17"/>
  <c r="BA22" i="17"/>
  <c r="BA21" i="17"/>
  <c r="BA20" i="17"/>
  <c r="BA19" i="17"/>
  <c r="BA18" i="17"/>
  <c r="BA17" i="17"/>
  <c r="BA16" i="17"/>
  <c r="BA15" i="17"/>
  <c r="BA14" i="17"/>
  <c r="BA13" i="17"/>
  <c r="BA12" i="17"/>
  <c r="BA11" i="17"/>
  <c r="BA10" i="17"/>
  <c r="BA9" i="17"/>
  <c r="BA8" i="17"/>
  <c r="BA7" i="17"/>
  <c r="BA6" i="17"/>
  <c r="AZ67" i="17"/>
  <c r="AY67" i="17"/>
  <c r="AZ63" i="17"/>
  <c r="AY63" i="17"/>
  <c r="AZ62" i="17"/>
  <c r="AY62" i="17"/>
  <c r="AZ32" i="17"/>
  <c r="AY32" i="17"/>
  <c r="AZ31" i="17"/>
  <c r="AY31" i="17"/>
  <c r="AZ30" i="17"/>
  <c r="AY30" i="17"/>
  <c r="AZ29" i="17"/>
  <c r="AY29" i="17"/>
  <c r="AZ28" i="17"/>
  <c r="AY28" i="17"/>
  <c r="AZ27" i="17"/>
  <c r="AY27" i="17"/>
  <c r="AZ26" i="17"/>
  <c r="AY26" i="17"/>
  <c r="AZ25" i="17"/>
  <c r="AY25" i="17"/>
  <c r="AZ24" i="17"/>
  <c r="AY24" i="17"/>
  <c r="AZ23" i="17"/>
  <c r="AY23" i="17"/>
  <c r="AZ22" i="17"/>
  <c r="AY22" i="17"/>
  <c r="AZ21" i="17"/>
  <c r="AY21" i="17"/>
  <c r="AZ20" i="17"/>
  <c r="AY20" i="17"/>
  <c r="AZ19" i="17"/>
  <c r="AY19" i="17"/>
  <c r="AZ18" i="17"/>
  <c r="AY18" i="17"/>
  <c r="AZ17" i="17"/>
  <c r="AY17" i="17"/>
  <c r="AZ16" i="17"/>
  <c r="AY16" i="17"/>
  <c r="AZ15" i="17"/>
  <c r="AY15" i="17"/>
  <c r="AZ14" i="17"/>
  <c r="AY14" i="17"/>
  <c r="AZ13" i="17"/>
  <c r="AY13" i="17"/>
  <c r="AZ12" i="17"/>
  <c r="AY12" i="17"/>
  <c r="AZ11" i="17"/>
  <c r="AY11" i="17"/>
  <c r="AZ10" i="17"/>
  <c r="AY10" i="17"/>
  <c r="AZ9" i="17"/>
  <c r="AY9" i="17"/>
  <c r="AZ8" i="17"/>
  <c r="AY8" i="17"/>
  <c r="AZ7" i="17"/>
  <c r="AY7" i="17"/>
  <c r="AZ6" i="17"/>
  <c r="AY6" i="17"/>
  <c r="BE5" i="17"/>
  <c r="BA5" i="17"/>
  <c r="AY5" i="17"/>
  <c r="BC5" i="17"/>
  <c r="I67" i="18"/>
  <c r="I68" i="18"/>
  <c r="I93" i="17" s="1"/>
  <c r="H67" i="18"/>
  <c r="H68" i="18" s="1"/>
  <c r="H93" i="17" s="1"/>
  <c r="N67" i="18"/>
  <c r="N68" i="18" s="1"/>
  <c r="N93" i="17" s="1"/>
  <c r="O67" i="18"/>
  <c r="O68" i="18"/>
  <c r="O93" i="17"/>
  <c r="P67" i="18"/>
  <c r="P68" i="18"/>
  <c r="P93" i="17" s="1"/>
  <c r="N73" i="18"/>
  <c r="N98" i="17"/>
  <c r="O73" i="18"/>
  <c r="O98" i="17" s="1"/>
  <c r="P73" i="18"/>
  <c r="P98" i="17" s="1"/>
  <c r="N74" i="18"/>
  <c r="N99" i="17" s="1"/>
  <c r="O74" i="18"/>
  <c r="O99" i="17"/>
  <c r="P74" i="18"/>
  <c r="P99" i="17" s="1"/>
  <c r="J67" i="18"/>
  <c r="J68" i="18" s="1"/>
  <c r="J93" i="17" s="1"/>
  <c r="H73" i="18"/>
  <c r="H98" i="17" s="1"/>
  <c r="I73" i="18"/>
  <c r="I98" i="17"/>
  <c r="J73" i="18"/>
  <c r="J98" i="17"/>
  <c r="H74" i="18"/>
  <c r="H99" i="17"/>
  <c r="I74" i="18"/>
  <c r="I99" i="17" s="1"/>
  <c r="J74" i="18"/>
  <c r="J99" i="17"/>
  <c r="H66" i="18"/>
  <c r="H70" i="18" s="1"/>
  <c r="N66" i="18"/>
  <c r="N70" i="18" s="1"/>
  <c r="O66" i="18"/>
  <c r="O70" i="18" s="1"/>
  <c r="P66" i="18"/>
  <c r="P71" i="18" s="1"/>
  <c r="P70" i="18"/>
  <c r="N71" i="18"/>
  <c r="O71" i="18"/>
  <c r="I66" i="18"/>
  <c r="I70" i="18" s="1"/>
  <c r="J66" i="18"/>
  <c r="J71" i="18"/>
  <c r="EE63" i="17"/>
  <c r="ED63" i="17"/>
  <c r="EA63" i="17"/>
  <c r="DY63" i="17"/>
  <c r="DX63" i="17"/>
  <c r="DR63" i="17"/>
  <c r="DQ63" i="17"/>
  <c r="DP63" i="17"/>
  <c r="DO63" i="17"/>
  <c r="DC63" i="17"/>
  <c r="DB63" i="17"/>
  <c r="DA63" i="17"/>
  <c r="CY63" i="17"/>
  <c r="CT63" i="17"/>
  <c r="CS63" i="17"/>
  <c r="CP63" i="17"/>
  <c r="CO63" i="17"/>
  <c r="CN63" i="17"/>
  <c r="CM63" i="17"/>
  <c r="CB63" i="17"/>
  <c r="CA63" i="17"/>
  <c r="BZ63" i="17"/>
  <c r="BY63" i="17"/>
  <c r="BX63" i="17"/>
  <c r="BW63" i="17"/>
  <c r="BV63" i="17"/>
  <c r="BU63" i="17"/>
  <c r="AX63" i="17"/>
  <c r="AW63" i="17"/>
  <c r="AV63" i="17"/>
  <c r="AU63" i="17"/>
  <c r="AT63" i="17"/>
  <c r="AS63" i="17"/>
  <c r="AP63" i="17"/>
  <c r="AO63" i="17"/>
  <c r="EE62" i="17"/>
  <c r="ED62" i="17"/>
  <c r="EA62" i="17"/>
  <c r="DY62" i="17"/>
  <c r="DX62" i="17"/>
  <c r="DR62" i="17"/>
  <c r="DQ62" i="17"/>
  <c r="DP62" i="17"/>
  <c r="DO62" i="17"/>
  <c r="DC62" i="17"/>
  <c r="DB62" i="17"/>
  <c r="DA62" i="17"/>
  <c r="CY62" i="17"/>
  <c r="CT62" i="17"/>
  <c r="CS62" i="17"/>
  <c r="CP62" i="17"/>
  <c r="CO62" i="17"/>
  <c r="CN62" i="17"/>
  <c r="CM62" i="17"/>
  <c r="CB62" i="17"/>
  <c r="CA62" i="17"/>
  <c r="BZ62" i="17"/>
  <c r="BY62" i="17"/>
  <c r="BX62" i="17"/>
  <c r="BW62" i="17"/>
  <c r="BV62" i="17"/>
  <c r="BU62" i="17"/>
  <c r="AX62" i="17"/>
  <c r="AW62" i="17"/>
  <c r="AV62" i="17"/>
  <c r="AU62" i="17"/>
  <c r="AT62" i="17"/>
  <c r="AS62" i="17"/>
  <c r="AP62" i="17"/>
  <c r="AO62" i="17"/>
  <c r="EE32" i="17"/>
  <c r="ED32" i="17"/>
  <c r="EA32" i="17"/>
  <c r="DY32" i="17"/>
  <c r="DX32" i="17"/>
  <c r="DR32" i="17"/>
  <c r="DQ32" i="17"/>
  <c r="DO32" i="17"/>
  <c r="DC32" i="17"/>
  <c r="DB32" i="17"/>
  <c r="DA32" i="17"/>
  <c r="CY32" i="17"/>
  <c r="CT32" i="17"/>
  <c r="CS32" i="17"/>
  <c r="CP32" i="17"/>
  <c r="CO32" i="17"/>
  <c r="CN32" i="17"/>
  <c r="CM32" i="17"/>
  <c r="CB32" i="17"/>
  <c r="CA32" i="17"/>
  <c r="BZ32" i="17"/>
  <c r="BY32" i="17"/>
  <c r="BX32" i="17"/>
  <c r="BW32" i="17"/>
  <c r="BV32" i="17"/>
  <c r="BU32" i="17"/>
  <c r="AX32" i="17"/>
  <c r="AW32" i="17"/>
  <c r="AV32" i="17"/>
  <c r="AU32" i="17"/>
  <c r="AT32" i="17"/>
  <c r="AS32" i="17"/>
  <c r="AP32" i="17"/>
  <c r="AO32" i="17"/>
  <c r="EE30" i="17"/>
  <c r="ED30" i="17"/>
  <c r="EA30" i="17"/>
  <c r="DY30" i="17"/>
  <c r="DX30" i="17"/>
  <c r="DR30" i="17"/>
  <c r="DQ30" i="17"/>
  <c r="DO30" i="17"/>
  <c r="DC30" i="17"/>
  <c r="DB30" i="17"/>
  <c r="DA30" i="17"/>
  <c r="CY30" i="17"/>
  <c r="CT30" i="17"/>
  <c r="CS30" i="17"/>
  <c r="CP30" i="17"/>
  <c r="CO30" i="17"/>
  <c r="CN30" i="17"/>
  <c r="CM30" i="17"/>
  <c r="CB30" i="17"/>
  <c r="CA30" i="17"/>
  <c r="BZ30" i="17"/>
  <c r="BY30" i="17"/>
  <c r="BX30" i="17"/>
  <c r="BW30" i="17"/>
  <c r="BV30" i="17"/>
  <c r="BU30" i="17"/>
  <c r="AX30" i="17"/>
  <c r="AW30" i="17"/>
  <c r="AV30" i="17"/>
  <c r="AU30" i="17"/>
  <c r="AT30" i="17"/>
  <c r="AS30" i="17"/>
  <c r="AP30" i="17"/>
  <c r="AO30" i="17"/>
  <c r="EE29" i="17"/>
  <c r="ED29" i="17"/>
  <c r="EA29" i="17"/>
  <c r="DY29" i="17"/>
  <c r="DX29" i="17"/>
  <c r="DR29" i="17"/>
  <c r="DQ29" i="17"/>
  <c r="DP29" i="17"/>
  <c r="DO29" i="17"/>
  <c r="DC29" i="17"/>
  <c r="DB29" i="17"/>
  <c r="DA29" i="17"/>
  <c r="CY29" i="17"/>
  <c r="CT29" i="17"/>
  <c r="CS29" i="17"/>
  <c r="CP29" i="17"/>
  <c r="CO29" i="17"/>
  <c r="CN29" i="17"/>
  <c r="CM29" i="17"/>
  <c r="CB29" i="17"/>
  <c r="CA29" i="17"/>
  <c r="BZ29" i="17"/>
  <c r="BY29" i="17"/>
  <c r="BX29" i="17"/>
  <c r="BW29" i="17"/>
  <c r="BV29" i="17"/>
  <c r="BU29" i="17"/>
  <c r="AX29" i="17"/>
  <c r="AW29" i="17"/>
  <c r="AV29" i="17"/>
  <c r="AU29" i="17"/>
  <c r="AT29" i="17"/>
  <c r="AS29" i="17"/>
  <c r="AP29" i="17"/>
  <c r="AO29" i="17"/>
  <c r="ED7" i="17"/>
  <c r="EE7" i="17"/>
  <c r="ED8" i="17"/>
  <c r="EE8" i="17"/>
  <c r="ED9" i="17"/>
  <c r="EE9" i="17"/>
  <c r="ED10" i="17"/>
  <c r="EE10" i="17"/>
  <c r="ED11" i="17"/>
  <c r="EE11" i="17"/>
  <c r="ED12" i="17"/>
  <c r="EE12" i="17"/>
  <c r="ED13" i="17"/>
  <c r="EE13" i="17"/>
  <c r="ED14" i="17"/>
  <c r="EE14" i="17"/>
  <c r="ED15" i="17"/>
  <c r="EE15" i="17"/>
  <c r="ED16" i="17"/>
  <c r="EE16" i="17"/>
  <c r="ED17" i="17"/>
  <c r="EE17" i="17"/>
  <c r="ED18" i="17"/>
  <c r="EE18" i="17"/>
  <c r="ED19" i="17"/>
  <c r="EE19" i="17"/>
  <c r="ED20" i="17"/>
  <c r="EE20" i="17"/>
  <c r="ED21" i="17"/>
  <c r="EE21" i="17"/>
  <c r="ED22" i="17"/>
  <c r="EE22" i="17"/>
  <c r="ED23" i="17"/>
  <c r="EE23" i="17"/>
  <c r="ED24" i="17"/>
  <c r="EE24" i="17"/>
  <c r="ED25" i="17"/>
  <c r="EE25" i="17"/>
  <c r="ED26" i="17"/>
  <c r="EE26" i="17"/>
  <c r="ED27" i="17"/>
  <c r="EE27" i="17"/>
  <c r="ED28" i="17"/>
  <c r="EE28" i="17"/>
  <c r="ED31" i="17"/>
  <c r="EE31" i="17"/>
  <c r="ED67" i="17"/>
  <c r="EE67" i="17"/>
  <c r="EE6" i="17"/>
  <c r="ED6" i="17"/>
  <c r="R92" i="17"/>
  <c r="Q227" i="4" s="1"/>
  <c r="L226" i="4"/>
  <c r="B167" i="4"/>
  <c r="DM5" i="17"/>
  <c r="DH5" i="17"/>
  <c r="M66" i="18"/>
  <c r="G67" i="18"/>
  <c r="G68" i="18" s="1"/>
  <c r="G93" i="17" s="1"/>
  <c r="K68" i="18"/>
  <c r="K93" i="17" s="1"/>
  <c r="Q68" i="18"/>
  <c r="R68" i="18"/>
  <c r="R93" i="17" s="1"/>
  <c r="K73" i="18"/>
  <c r="L73" i="18"/>
  <c r="L98" i="17" s="1"/>
  <c r="M73" i="18"/>
  <c r="M98" i="17" s="1"/>
  <c r="Q73" i="18"/>
  <c r="K74" i="18"/>
  <c r="K99" i="17" s="1"/>
  <c r="Q74" i="18"/>
  <c r="R74" i="18"/>
  <c r="R99" i="17" s="1"/>
  <c r="Q93" i="17"/>
  <c r="K98" i="17"/>
  <c r="Q98" i="17"/>
  <c r="Q99" i="17"/>
  <c r="M74" i="17"/>
  <c r="K72" i="17"/>
  <c r="K76" i="17" s="1"/>
  <c r="M72" i="17"/>
  <c r="Q72" i="17"/>
  <c r="K74" i="17"/>
  <c r="Q74" i="17"/>
  <c r="Q76" i="17" s="1"/>
  <c r="M75" i="17"/>
  <c r="M76" i="17"/>
  <c r="B79" i="4"/>
  <c r="L79" i="4"/>
  <c r="L49" i="4"/>
  <c r="B49" i="4"/>
  <c r="L26" i="4"/>
  <c r="B26" i="4"/>
  <c r="L3" i="4"/>
  <c r="D68" i="18"/>
  <c r="E68" i="18"/>
  <c r="E93" i="17" s="1"/>
  <c r="F68" i="18"/>
  <c r="T68" i="18"/>
  <c r="U68" i="18"/>
  <c r="V68" i="18"/>
  <c r="V93" i="17" s="1"/>
  <c r="W68" i="18"/>
  <c r="W93" i="17" s="1"/>
  <c r="AI67" i="18"/>
  <c r="AJ67" i="18"/>
  <c r="AO5" i="18"/>
  <c r="CX5" i="18"/>
  <c r="CW5" i="18"/>
  <c r="CV5" i="18"/>
  <c r="CU5" i="18"/>
  <c r="CT5" i="18"/>
  <c r="CN5" i="18"/>
  <c r="CM5" i="18"/>
  <c r="CL5" i="18"/>
  <c r="CK5" i="18"/>
  <c r="CI5" i="18"/>
  <c r="CH5" i="18"/>
  <c r="CG5" i="18"/>
  <c r="CE5" i="18"/>
  <c r="CA5" i="18"/>
  <c r="BY5" i="18"/>
  <c r="BW5" i="18"/>
  <c r="BU5" i="18"/>
  <c r="BS5" i="18"/>
  <c r="BG5" i="18"/>
  <c r="BE5" i="18"/>
  <c r="BC5" i="18"/>
  <c r="BA5" i="18"/>
  <c r="AW5" i="18"/>
  <c r="AU5" i="18"/>
  <c r="AS5" i="18"/>
  <c r="CP6" i="17"/>
  <c r="EB5" i="17"/>
  <c r="DB5" i="17"/>
  <c r="DC5" i="17"/>
  <c r="DO5" i="17"/>
  <c r="DP5" i="17"/>
  <c r="DQ5" i="17"/>
  <c r="DR5" i="17"/>
  <c r="DX5" i="17"/>
  <c r="DY5" i="17"/>
  <c r="DZ5" i="17"/>
  <c r="EA5" i="17"/>
  <c r="DA5" i="17"/>
  <c r="CY5" i="17"/>
  <c r="AS6" i="17"/>
  <c r="AO6" i="17"/>
  <c r="CU5" i="17"/>
  <c r="CS5" i="17"/>
  <c r="CQ5" i="17"/>
  <c r="CO5" i="17"/>
  <c r="CM5" i="17"/>
  <c r="CA5" i="17"/>
  <c r="BY5" i="17"/>
  <c r="BW5" i="17"/>
  <c r="BU5" i="17"/>
  <c r="AW5" i="17"/>
  <c r="AU5" i="17"/>
  <c r="AS5" i="17"/>
  <c r="AO5" i="17"/>
  <c r="AO22" i="18"/>
  <c r="AP22" i="18"/>
  <c r="AS22" i="18"/>
  <c r="AT22" i="18"/>
  <c r="AU22" i="18"/>
  <c r="AV22" i="18"/>
  <c r="AW22" i="18"/>
  <c r="AX22" i="18"/>
  <c r="BA22" i="18"/>
  <c r="BB22" i="18"/>
  <c r="BC22" i="18"/>
  <c r="BD22" i="18"/>
  <c r="BE22" i="18"/>
  <c r="BF22" i="18"/>
  <c r="BG22" i="18"/>
  <c r="BH22" i="18"/>
  <c r="BS22" i="18"/>
  <c r="BT22" i="18"/>
  <c r="BU22" i="18"/>
  <c r="BV22" i="18"/>
  <c r="BW22" i="18"/>
  <c r="BX22" i="18"/>
  <c r="BY22" i="18"/>
  <c r="BZ22" i="18"/>
  <c r="CE22" i="18"/>
  <c r="CG22" i="18"/>
  <c r="CH22" i="18"/>
  <c r="CI22" i="18"/>
  <c r="CK22" i="18"/>
  <c r="CL22" i="18"/>
  <c r="CM22" i="18"/>
  <c r="CN22" i="18"/>
  <c r="CT22" i="18"/>
  <c r="CU22" i="18"/>
  <c r="CV22" i="18"/>
  <c r="CW22" i="18"/>
  <c r="AO23" i="18"/>
  <c r="AP23" i="18"/>
  <c r="AS23" i="18"/>
  <c r="AT23" i="18"/>
  <c r="AU23" i="18"/>
  <c r="AV23" i="18"/>
  <c r="AW23" i="18"/>
  <c r="AX23" i="18"/>
  <c r="BA23" i="18"/>
  <c r="BB23" i="18"/>
  <c r="BC23" i="18"/>
  <c r="BD23" i="18"/>
  <c r="BE23" i="18"/>
  <c r="BF23" i="18"/>
  <c r="BG23" i="18"/>
  <c r="BH23" i="18"/>
  <c r="BS23" i="18"/>
  <c r="BT23" i="18"/>
  <c r="BU23" i="18"/>
  <c r="BV23" i="18"/>
  <c r="BW23" i="18"/>
  <c r="BX23" i="18"/>
  <c r="BY23" i="18"/>
  <c r="BZ23" i="18"/>
  <c r="CE23" i="18"/>
  <c r="CG23" i="18"/>
  <c r="CH23" i="18"/>
  <c r="CI23" i="18"/>
  <c r="CK23" i="18"/>
  <c r="CL23" i="18"/>
  <c r="CM23" i="18"/>
  <c r="CN23" i="18"/>
  <c r="CT23" i="18"/>
  <c r="CU23" i="18"/>
  <c r="CV23" i="18"/>
  <c r="CW23" i="18"/>
  <c r="AO24" i="18"/>
  <c r="AP24" i="18"/>
  <c r="AS24" i="18"/>
  <c r="AT24" i="18"/>
  <c r="AU24" i="18"/>
  <c r="AV24" i="18"/>
  <c r="AW24" i="18"/>
  <c r="AX24" i="18"/>
  <c r="BA24" i="18"/>
  <c r="BB24" i="18"/>
  <c r="BC24" i="18"/>
  <c r="BD24" i="18"/>
  <c r="BE24" i="18"/>
  <c r="BF24" i="18"/>
  <c r="BG24" i="18"/>
  <c r="BH24" i="18"/>
  <c r="BS24" i="18"/>
  <c r="BT24" i="18"/>
  <c r="BU24" i="18"/>
  <c r="BV24" i="18"/>
  <c r="BW24" i="18"/>
  <c r="BX24" i="18"/>
  <c r="BY24" i="18"/>
  <c r="BZ24" i="18"/>
  <c r="CE24" i="18"/>
  <c r="CG24" i="18"/>
  <c r="CH24" i="18"/>
  <c r="CI24" i="18"/>
  <c r="CK24" i="18"/>
  <c r="CL24" i="18"/>
  <c r="CM24" i="18"/>
  <c r="CN24" i="18"/>
  <c r="CT24" i="18"/>
  <c r="CU24" i="18"/>
  <c r="CV24" i="18"/>
  <c r="CW24" i="18"/>
  <c r="AO25" i="18"/>
  <c r="AP25" i="18"/>
  <c r="AS25" i="18"/>
  <c r="AT25" i="18"/>
  <c r="AU25" i="18"/>
  <c r="AV25" i="18"/>
  <c r="AW25" i="18"/>
  <c r="AX25" i="18"/>
  <c r="BA25" i="18"/>
  <c r="BB25" i="18"/>
  <c r="BC25" i="18"/>
  <c r="BD25" i="18"/>
  <c r="BE25" i="18"/>
  <c r="BF25" i="18"/>
  <c r="BG25" i="18"/>
  <c r="BH25" i="18"/>
  <c r="BS25" i="18"/>
  <c r="BT25" i="18"/>
  <c r="BU25" i="18"/>
  <c r="BV25" i="18"/>
  <c r="BW25" i="18"/>
  <c r="BX25" i="18"/>
  <c r="BY25" i="18"/>
  <c r="BZ25" i="18"/>
  <c r="CE25" i="18"/>
  <c r="CG25" i="18"/>
  <c r="CH25" i="18"/>
  <c r="CI25" i="18"/>
  <c r="CK25" i="18"/>
  <c r="CL25" i="18"/>
  <c r="CM25" i="18"/>
  <c r="CN25" i="18"/>
  <c r="CT25" i="18"/>
  <c r="CU25" i="18"/>
  <c r="CV25" i="18"/>
  <c r="CW25" i="18"/>
  <c r="AO26" i="18"/>
  <c r="AP26" i="18"/>
  <c r="AS26" i="18"/>
  <c r="AT26" i="18"/>
  <c r="AU26" i="18"/>
  <c r="AV26" i="18"/>
  <c r="AW26" i="18"/>
  <c r="AX26" i="18"/>
  <c r="BA26" i="18"/>
  <c r="BB26" i="18"/>
  <c r="BC26" i="18"/>
  <c r="BD26" i="18"/>
  <c r="BE26" i="18"/>
  <c r="BF26" i="18"/>
  <c r="BG26" i="18"/>
  <c r="BH26" i="18"/>
  <c r="BS26" i="18"/>
  <c r="BT26" i="18"/>
  <c r="BU26" i="18"/>
  <c r="BV26" i="18"/>
  <c r="BW26" i="18"/>
  <c r="BX26" i="18"/>
  <c r="BY26" i="18"/>
  <c r="BZ26" i="18"/>
  <c r="CE26" i="18"/>
  <c r="CG26" i="18"/>
  <c r="CH26" i="18"/>
  <c r="CI26" i="18"/>
  <c r="CK26" i="18"/>
  <c r="CL26" i="18"/>
  <c r="CM26" i="18"/>
  <c r="CN26" i="18"/>
  <c r="CT26" i="18"/>
  <c r="CU26" i="18"/>
  <c r="CV26" i="18"/>
  <c r="CW26" i="18"/>
  <c r="AO27" i="18"/>
  <c r="AP27" i="18"/>
  <c r="AS27" i="18"/>
  <c r="AT27" i="18"/>
  <c r="AU27" i="18"/>
  <c r="AV27" i="18"/>
  <c r="AW27" i="18"/>
  <c r="AX27" i="18"/>
  <c r="BA27" i="18"/>
  <c r="BB27" i="18"/>
  <c r="BC27" i="18"/>
  <c r="BD27" i="18"/>
  <c r="BE27" i="18"/>
  <c r="BF27" i="18"/>
  <c r="BG27" i="18"/>
  <c r="BH27" i="18"/>
  <c r="BS27" i="18"/>
  <c r="BT27" i="18"/>
  <c r="BU27" i="18"/>
  <c r="BV27" i="18"/>
  <c r="BW27" i="18"/>
  <c r="BX27" i="18"/>
  <c r="BY27" i="18"/>
  <c r="BZ27" i="18"/>
  <c r="CE27" i="18"/>
  <c r="CG27" i="18"/>
  <c r="CH27" i="18"/>
  <c r="CI27" i="18"/>
  <c r="CK27" i="18"/>
  <c r="CL27" i="18"/>
  <c r="CM27" i="18"/>
  <c r="CN27" i="18"/>
  <c r="CT27" i="18"/>
  <c r="CU27" i="18"/>
  <c r="CV27" i="18"/>
  <c r="CW27" i="18"/>
  <c r="AO28" i="18"/>
  <c r="AP28" i="18"/>
  <c r="AS28" i="18"/>
  <c r="AT28" i="18"/>
  <c r="AU28" i="18"/>
  <c r="AV28" i="18"/>
  <c r="AW28" i="18"/>
  <c r="AX28" i="18"/>
  <c r="BA28" i="18"/>
  <c r="BB28" i="18"/>
  <c r="BC28" i="18"/>
  <c r="BD28" i="18"/>
  <c r="BE28" i="18"/>
  <c r="BF28" i="18"/>
  <c r="BG28" i="18"/>
  <c r="BH28" i="18"/>
  <c r="BS28" i="18"/>
  <c r="BT28" i="18"/>
  <c r="BU28" i="18"/>
  <c r="BV28" i="18"/>
  <c r="BW28" i="18"/>
  <c r="BX28" i="18"/>
  <c r="BY28" i="18"/>
  <c r="BZ28" i="18"/>
  <c r="CE28" i="18"/>
  <c r="CG28" i="18"/>
  <c r="CH28" i="18"/>
  <c r="CI28" i="18"/>
  <c r="CK28" i="18"/>
  <c r="CL28" i="18"/>
  <c r="CM28" i="18"/>
  <c r="CN28" i="18"/>
  <c r="CT28" i="18"/>
  <c r="CU28" i="18"/>
  <c r="CV28" i="18"/>
  <c r="CW28" i="18"/>
  <c r="AO29" i="18"/>
  <c r="AP29" i="18"/>
  <c r="AS29" i="18"/>
  <c r="AT29" i="18"/>
  <c r="AU29" i="18"/>
  <c r="AV29" i="18"/>
  <c r="AW29" i="18"/>
  <c r="AX29" i="18"/>
  <c r="BA29" i="18"/>
  <c r="BB29" i="18"/>
  <c r="BC29" i="18"/>
  <c r="BD29" i="18"/>
  <c r="BE29" i="18"/>
  <c r="BF29" i="18"/>
  <c r="BG29" i="18"/>
  <c r="BH29" i="18"/>
  <c r="BS29" i="18"/>
  <c r="BT29" i="18"/>
  <c r="BU29" i="18"/>
  <c r="BV29" i="18"/>
  <c r="BW29" i="18"/>
  <c r="BX29" i="18"/>
  <c r="BY29" i="18"/>
  <c r="BZ29" i="18"/>
  <c r="CE29" i="18"/>
  <c r="CG29" i="18"/>
  <c r="CH29" i="18"/>
  <c r="CI29" i="18"/>
  <c r="CK29" i="18"/>
  <c r="CL29" i="18"/>
  <c r="CM29" i="18"/>
  <c r="CN29" i="18"/>
  <c r="CT29" i="18"/>
  <c r="CU29" i="18"/>
  <c r="CV29" i="18"/>
  <c r="CW29" i="18"/>
  <c r="AO30" i="18"/>
  <c r="AP30" i="18"/>
  <c r="AS30" i="18"/>
  <c r="AT30" i="18"/>
  <c r="AU30" i="18"/>
  <c r="AV30" i="18"/>
  <c r="AW30" i="18"/>
  <c r="AX30" i="18"/>
  <c r="BA30" i="18"/>
  <c r="BB30" i="18"/>
  <c r="BC30" i="18"/>
  <c r="BD30" i="18"/>
  <c r="BE30" i="18"/>
  <c r="BF30" i="18"/>
  <c r="BG30" i="18"/>
  <c r="BH30" i="18"/>
  <c r="BS30" i="18"/>
  <c r="BT30" i="18"/>
  <c r="BU30" i="18"/>
  <c r="BV30" i="18"/>
  <c r="BW30" i="18"/>
  <c r="BX30" i="18"/>
  <c r="BY30" i="18"/>
  <c r="BZ30" i="18"/>
  <c r="CE30" i="18"/>
  <c r="CG30" i="18"/>
  <c r="CH30" i="18"/>
  <c r="CI30" i="18"/>
  <c r="CK30" i="18"/>
  <c r="CL30" i="18"/>
  <c r="CM30" i="18"/>
  <c r="CN30" i="18"/>
  <c r="CT30" i="18"/>
  <c r="CU30" i="18"/>
  <c r="CV30" i="18"/>
  <c r="CW30" i="18"/>
  <c r="AO31" i="18"/>
  <c r="AP31" i="18"/>
  <c r="AS31" i="18"/>
  <c r="AT31" i="18"/>
  <c r="AU31" i="18"/>
  <c r="AV31" i="18"/>
  <c r="AW31" i="18"/>
  <c r="AX31" i="18"/>
  <c r="BA31" i="18"/>
  <c r="BB31" i="18"/>
  <c r="BC31" i="18"/>
  <c r="BD31" i="18"/>
  <c r="BE31" i="18"/>
  <c r="BF31" i="18"/>
  <c r="BG31" i="18"/>
  <c r="BH31" i="18"/>
  <c r="BS31" i="18"/>
  <c r="BT31" i="18"/>
  <c r="BU31" i="18"/>
  <c r="BV31" i="18"/>
  <c r="BW31" i="18"/>
  <c r="BX31" i="18"/>
  <c r="BY31" i="18"/>
  <c r="BZ31" i="18"/>
  <c r="CE31" i="18"/>
  <c r="CG31" i="18"/>
  <c r="CH31" i="18"/>
  <c r="CI31" i="18"/>
  <c r="CK31" i="18"/>
  <c r="CL31" i="18"/>
  <c r="CM31" i="18"/>
  <c r="CN31" i="18"/>
  <c r="CT31" i="18"/>
  <c r="CU31" i="18"/>
  <c r="CV31" i="18"/>
  <c r="CW31" i="18"/>
  <c r="AO33" i="18"/>
  <c r="AP33" i="18"/>
  <c r="AS33" i="18"/>
  <c r="AT33" i="18"/>
  <c r="AU33" i="18"/>
  <c r="AV33" i="18"/>
  <c r="AW33" i="18"/>
  <c r="AX33" i="18"/>
  <c r="BA33" i="18"/>
  <c r="BB33" i="18"/>
  <c r="BC33" i="18"/>
  <c r="BD33" i="18"/>
  <c r="BE33" i="18"/>
  <c r="BF33" i="18"/>
  <c r="BG33" i="18"/>
  <c r="BH33" i="18"/>
  <c r="BS33" i="18"/>
  <c r="BT33" i="18"/>
  <c r="BU33" i="18"/>
  <c r="BV33" i="18"/>
  <c r="BW33" i="18"/>
  <c r="BX33" i="18"/>
  <c r="BY33" i="18"/>
  <c r="BZ33" i="18"/>
  <c r="CE33" i="18"/>
  <c r="CG33" i="18"/>
  <c r="CH33" i="18"/>
  <c r="CI33" i="18"/>
  <c r="CK33" i="18"/>
  <c r="CL33" i="18"/>
  <c r="CM33" i="18"/>
  <c r="CN33" i="18"/>
  <c r="CT33" i="18"/>
  <c r="CU33" i="18"/>
  <c r="CV33" i="18"/>
  <c r="CW33" i="18"/>
  <c r="D27" i="4"/>
  <c r="AG92" i="17"/>
  <c r="BZ6" i="18"/>
  <c r="AI66" i="18"/>
  <c r="AI91" i="17"/>
  <c r="AJ66" i="18"/>
  <c r="AJ91" i="17"/>
  <c r="AJ70" i="18"/>
  <c r="AJ95" i="17" s="1"/>
  <c r="AJ71" i="18"/>
  <c r="AJ96" i="17"/>
  <c r="AI73" i="18"/>
  <c r="AI98" i="17" s="1"/>
  <c r="AJ73" i="18"/>
  <c r="AJ98" i="17" s="1"/>
  <c r="AI74" i="18"/>
  <c r="AI99" i="17"/>
  <c r="AJ74" i="18"/>
  <c r="AJ99" i="17" s="1"/>
  <c r="AK74" i="18"/>
  <c r="AK99" i="17" s="1"/>
  <c r="AI72" i="17"/>
  <c r="AJ72" i="17"/>
  <c r="AI74" i="17"/>
  <c r="AI76" i="17" s="1"/>
  <c r="AJ74" i="17"/>
  <c r="AJ75" i="17" s="1"/>
  <c r="AI75" i="17"/>
  <c r="AJ76" i="17"/>
  <c r="F27" i="4"/>
  <c r="AO22" i="17"/>
  <c r="AP22" i="17"/>
  <c r="AS22" i="17"/>
  <c r="AT22" i="17"/>
  <c r="AU22" i="17"/>
  <c r="AV22" i="17"/>
  <c r="AW22" i="17"/>
  <c r="AX22" i="17"/>
  <c r="BU22" i="17"/>
  <c r="BV22" i="17"/>
  <c r="BW22" i="17"/>
  <c r="BX22" i="17"/>
  <c r="BY22" i="17"/>
  <c r="BZ22" i="17"/>
  <c r="CA22" i="17"/>
  <c r="CB22" i="17"/>
  <c r="CM22" i="17"/>
  <c r="CN22" i="17"/>
  <c r="CO22" i="17"/>
  <c r="CP22" i="17"/>
  <c r="CS22" i="17"/>
  <c r="CT22" i="17"/>
  <c r="CY22" i="17"/>
  <c r="DA22" i="17"/>
  <c r="DB22" i="17"/>
  <c r="DC22" i="17"/>
  <c r="DO22" i="17"/>
  <c r="DP22" i="17"/>
  <c r="DQ22" i="17"/>
  <c r="DR22" i="17"/>
  <c r="DX22" i="17"/>
  <c r="DY22" i="17"/>
  <c r="EA22" i="17"/>
  <c r="AO23" i="17"/>
  <c r="AP23" i="17"/>
  <c r="AS23" i="17"/>
  <c r="AT23" i="17"/>
  <c r="AU23" i="17"/>
  <c r="AV23" i="17"/>
  <c r="AW23" i="17"/>
  <c r="AX23" i="17"/>
  <c r="BU23" i="17"/>
  <c r="BV23" i="17"/>
  <c r="BW23" i="17"/>
  <c r="BX23" i="17"/>
  <c r="BY23" i="17"/>
  <c r="BZ23" i="17"/>
  <c r="CA23" i="17"/>
  <c r="CB23" i="17"/>
  <c r="CM23" i="17"/>
  <c r="CN23" i="17"/>
  <c r="CO23" i="17"/>
  <c r="CP23" i="17"/>
  <c r="CS23" i="17"/>
  <c r="CT23" i="17"/>
  <c r="CY23" i="17"/>
  <c r="DA23" i="17"/>
  <c r="DB23" i="17"/>
  <c r="DC23" i="17"/>
  <c r="DO23" i="17"/>
  <c r="DP23" i="17"/>
  <c r="DQ23" i="17"/>
  <c r="DR23" i="17"/>
  <c r="DX23" i="17"/>
  <c r="DY23" i="17"/>
  <c r="EA23" i="17"/>
  <c r="AO24" i="17"/>
  <c r="AP24" i="17"/>
  <c r="AS24" i="17"/>
  <c r="AT24" i="17"/>
  <c r="AU24" i="17"/>
  <c r="AV24" i="17"/>
  <c r="AW24" i="17"/>
  <c r="AX24" i="17"/>
  <c r="BU24" i="17"/>
  <c r="BV24" i="17"/>
  <c r="BW24" i="17"/>
  <c r="BX24" i="17"/>
  <c r="BY24" i="17"/>
  <c r="BZ24" i="17"/>
  <c r="CA24" i="17"/>
  <c r="CB24" i="17"/>
  <c r="CM24" i="17"/>
  <c r="CN24" i="17"/>
  <c r="CO24" i="17"/>
  <c r="CP24" i="17"/>
  <c r="CS24" i="17"/>
  <c r="CT24" i="17"/>
  <c r="CY24" i="17"/>
  <c r="DA24" i="17"/>
  <c r="DB24" i="17"/>
  <c r="DC24" i="17"/>
  <c r="DO24" i="17"/>
  <c r="DP24" i="17"/>
  <c r="DQ24" i="17"/>
  <c r="DR24" i="17"/>
  <c r="DX24" i="17"/>
  <c r="DY24" i="17"/>
  <c r="EA24" i="17"/>
  <c r="AO25" i="17"/>
  <c r="AP25" i="17"/>
  <c r="AS25" i="17"/>
  <c r="AT25" i="17"/>
  <c r="AU25" i="17"/>
  <c r="AV25" i="17"/>
  <c r="AW25" i="17"/>
  <c r="AX25" i="17"/>
  <c r="BU25" i="17"/>
  <c r="BV25" i="17"/>
  <c r="BW25" i="17"/>
  <c r="BX25" i="17"/>
  <c r="BY25" i="17"/>
  <c r="BZ25" i="17"/>
  <c r="CA25" i="17"/>
  <c r="CB25" i="17"/>
  <c r="CM25" i="17"/>
  <c r="CN25" i="17"/>
  <c r="CO25" i="17"/>
  <c r="CP25" i="17"/>
  <c r="CS25" i="17"/>
  <c r="CT25" i="17"/>
  <c r="CY25" i="17"/>
  <c r="DA25" i="17"/>
  <c r="DB25" i="17"/>
  <c r="DC25" i="17"/>
  <c r="DO25" i="17"/>
  <c r="DP25" i="17"/>
  <c r="DQ25" i="17"/>
  <c r="DR25" i="17"/>
  <c r="DX25" i="17"/>
  <c r="DY25" i="17"/>
  <c r="EA25" i="17"/>
  <c r="AO26" i="17"/>
  <c r="AP26" i="17"/>
  <c r="AS26" i="17"/>
  <c r="AT26" i="17"/>
  <c r="AU26" i="17"/>
  <c r="AV26" i="17"/>
  <c r="AW26" i="17"/>
  <c r="AX26" i="17"/>
  <c r="BU26" i="17"/>
  <c r="BV26" i="17"/>
  <c r="BW26" i="17"/>
  <c r="BX26" i="17"/>
  <c r="BY26" i="17"/>
  <c r="BZ26" i="17"/>
  <c r="CA26" i="17"/>
  <c r="CB26" i="17"/>
  <c r="CM26" i="17"/>
  <c r="CN26" i="17"/>
  <c r="CO26" i="17"/>
  <c r="CP26" i="17"/>
  <c r="CS26" i="17"/>
  <c r="CT26" i="17"/>
  <c r="CY26" i="17"/>
  <c r="DA26" i="17"/>
  <c r="DB26" i="17"/>
  <c r="DC26" i="17"/>
  <c r="DO26" i="17"/>
  <c r="DP26" i="17"/>
  <c r="DQ26" i="17"/>
  <c r="DR26" i="17"/>
  <c r="DX26" i="17"/>
  <c r="DY26" i="17"/>
  <c r="EA26" i="17"/>
  <c r="AO27" i="17"/>
  <c r="AP27" i="17"/>
  <c r="AS27" i="17"/>
  <c r="AT27" i="17"/>
  <c r="AU27" i="17"/>
  <c r="AV27" i="17"/>
  <c r="AW27" i="17"/>
  <c r="AX27" i="17"/>
  <c r="BU27" i="17"/>
  <c r="BV27" i="17"/>
  <c r="BW27" i="17"/>
  <c r="BX27" i="17"/>
  <c r="BY27" i="17"/>
  <c r="BZ27" i="17"/>
  <c r="CA27" i="17"/>
  <c r="CB27" i="17"/>
  <c r="CM27" i="17"/>
  <c r="CN27" i="17"/>
  <c r="CO27" i="17"/>
  <c r="CP27" i="17"/>
  <c r="CS27" i="17"/>
  <c r="CT27" i="17"/>
  <c r="CY27" i="17"/>
  <c r="DA27" i="17"/>
  <c r="DB27" i="17"/>
  <c r="DC27" i="17"/>
  <c r="DO27" i="17"/>
  <c r="DP27" i="17"/>
  <c r="DQ27" i="17"/>
  <c r="DR27" i="17"/>
  <c r="DX27" i="17"/>
  <c r="DY27" i="17"/>
  <c r="EA27" i="17"/>
  <c r="AO7" i="17"/>
  <c r="AP7" i="17"/>
  <c r="AS7" i="17"/>
  <c r="AT7" i="17"/>
  <c r="AU7" i="17"/>
  <c r="AV7" i="17"/>
  <c r="AW7" i="17"/>
  <c r="AX7" i="17"/>
  <c r="BU7" i="17"/>
  <c r="BV7" i="17"/>
  <c r="BW7" i="17"/>
  <c r="BX7" i="17"/>
  <c r="BY7" i="17"/>
  <c r="BZ7" i="17"/>
  <c r="CA7" i="17"/>
  <c r="CB7" i="17"/>
  <c r="CM7" i="17"/>
  <c r="CN7" i="17"/>
  <c r="CO7" i="17"/>
  <c r="CP7" i="17"/>
  <c r="CS7" i="17"/>
  <c r="CT7" i="17"/>
  <c r="CY7" i="17"/>
  <c r="DA7" i="17"/>
  <c r="DB7" i="17"/>
  <c r="DC7" i="17"/>
  <c r="DO7" i="17"/>
  <c r="DP7" i="17"/>
  <c r="DQ7" i="17"/>
  <c r="DR7" i="17"/>
  <c r="DX7" i="17"/>
  <c r="DY7" i="17"/>
  <c r="EA7" i="17"/>
  <c r="AO8" i="17"/>
  <c r="AP8" i="17"/>
  <c r="AS8" i="17"/>
  <c r="AT8" i="17"/>
  <c r="AU8" i="17"/>
  <c r="AV8" i="17"/>
  <c r="AW8" i="17"/>
  <c r="AX8" i="17"/>
  <c r="BU8" i="17"/>
  <c r="BV8" i="17"/>
  <c r="BW8" i="17"/>
  <c r="BX8" i="17"/>
  <c r="BY8" i="17"/>
  <c r="BZ8" i="17"/>
  <c r="CA8" i="17"/>
  <c r="CB8" i="17"/>
  <c r="CM8" i="17"/>
  <c r="CN8" i="17"/>
  <c r="CO8" i="17"/>
  <c r="CP8" i="17"/>
  <c r="CS8" i="17"/>
  <c r="CT8" i="17"/>
  <c r="CY8" i="17"/>
  <c r="DA8" i="17"/>
  <c r="DB8" i="17"/>
  <c r="DC8" i="17"/>
  <c r="DO8" i="17"/>
  <c r="DP8" i="17"/>
  <c r="DQ8" i="17"/>
  <c r="DR8" i="17"/>
  <c r="DX8" i="17"/>
  <c r="DY8" i="17"/>
  <c r="EA8" i="17"/>
  <c r="AO9" i="17"/>
  <c r="AP9" i="17"/>
  <c r="AS9" i="17"/>
  <c r="AT9" i="17"/>
  <c r="AU9" i="17"/>
  <c r="AV9" i="17"/>
  <c r="AW9" i="17"/>
  <c r="AX9" i="17"/>
  <c r="BU9" i="17"/>
  <c r="BV9" i="17"/>
  <c r="BW9" i="17"/>
  <c r="BX9" i="17"/>
  <c r="BY9" i="17"/>
  <c r="BZ9" i="17"/>
  <c r="CA9" i="17"/>
  <c r="CB9" i="17"/>
  <c r="CM9" i="17"/>
  <c r="CN9" i="17"/>
  <c r="CO9" i="17"/>
  <c r="CP9" i="17"/>
  <c r="CS9" i="17"/>
  <c r="CT9" i="17"/>
  <c r="CY9" i="17"/>
  <c r="DA9" i="17"/>
  <c r="DB9" i="17"/>
  <c r="DC9" i="17"/>
  <c r="DO9" i="17"/>
  <c r="DP9" i="17"/>
  <c r="DQ9" i="17"/>
  <c r="DR9" i="17"/>
  <c r="DX9" i="17"/>
  <c r="DY9" i="17"/>
  <c r="EA9" i="17"/>
  <c r="AO10" i="17"/>
  <c r="AP10" i="17"/>
  <c r="AS10" i="17"/>
  <c r="AT10" i="17"/>
  <c r="AU10" i="17"/>
  <c r="AV10" i="17"/>
  <c r="AW10" i="17"/>
  <c r="AX10" i="17"/>
  <c r="BU10" i="17"/>
  <c r="BV10" i="17"/>
  <c r="BW10" i="17"/>
  <c r="BX10" i="17"/>
  <c r="BY10" i="17"/>
  <c r="BZ10" i="17"/>
  <c r="CA10" i="17"/>
  <c r="CB10" i="17"/>
  <c r="CM10" i="17"/>
  <c r="CN10" i="17"/>
  <c r="CO10" i="17"/>
  <c r="CP10" i="17"/>
  <c r="CS10" i="17"/>
  <c r="CT10" i="17"/>
  <c r="CY10" i="17"/>
  <c r="DA10" i="17"/>
  <c r="DB10" i="17"/>
  <c r="DC10" i="17"/>
  <c r="DO10" i="17"/>
  <c r="DP10" i="17"/>
  <c r="DQ10" i="17"/>
  <c r="DR10" i="17"/>
  <c r="DX10" i="17"/>
  <c r="DY10" i="17"/>
  <c r="EA10" i="17"/>
  <c r="AO11" i="17"/>
  <c r="AP11" i="17"/>
  <c r="AS11" i="17"/>
  <c r="AT11" i="17"/>
  <c r="AU11" i="17"/>
  <c r="AV11" i="17"/>
  <c r="AW11" i="17"/>
  <c r="AX11" i="17"/>
  <c r="BU11" i="17"/>
  <c r="BV11" i="17"/>
  <c r="BW11" i="17"/>
  <c r="BX11" i="17"/>
  <c r="BY11" i="17"/>
  <c r="BZ11" i="17"/>
  <c r="CA11" i="17"/>
  <c r="CB11" i="17"/>
  <c r="CM11" i="17"/>
  <c r="CN11" i="17"/>
  <c r="CO11" i="17"/>
  <c r="CP11" i="17"/>
  <c r="CS11" i="17"/>
  <c r="CT11" i="17"/>
  <c r="CY11" i="17"/>
  <c r="DA11" i="17"/>
  <c r="DB11" i="17"/>
  <c r="DC11" i="17"/>
  <c r="DO11" i="17"/>
  <c r="DP11" i="17"/>
  <c r="DQ11" i="17"/>
  <c r="DR11" i="17"/>
  <c r="DX11" i="17"/>
  <c r="DY11" i="17"/>
  <c r="EA11" i="17"/>
  <c r="AO12" i="17"/>
  <c r="AP12" i="17"/>
  <c r="AS12" i="17"/>
  <c r="AT12" i="17"/>
  <c r="AU12" i="17"/>
  <c r="AV12" i="17"/>
  <c r="AW12" i="17"/>
  <c r="AX12" i="17"/>
  <c r="BU12" i="17"/>
  <c r="BV12" i="17"/>
  <c r="BW12" i="17"/>
  <c r="BX12" i="17"/>
  <c r="BY12" i="17"/>
  <c r="BZ12" i="17"/>
  <c r="CA12" i="17"/>
  <c r="CB12" i="17"/>
  <c r="CM12" i="17"/>
  <c r="CN12" i="17"/>
  <c r="CO12" i="17"/>
  <c r="CP12" i="17"/>
  <c r="CS12" i="17"/>
  <c r="CT12" i="17"/>
  <c r="CY12" i="17"/>
  <c r="DA12" i="17"/>
  <c r="DB12" i="17"/>
  <c r="DC12" i="17"/>
  <c r="DO12" i="17"/>
  <c r="DP12" i="17"/>
  <c r="DQ12" i="17"/>
  <c r="DR12" i="17"/>
  <c r="DX12" i="17"/>
  <c r="DY12" i="17"/>
  <c r="EA12" i="17"/>
  <c r="AO13" i="17"/>
  <c r="AP13" i="17"/>
  <c r="AS13" i="17"/>
  <c r="AT13" i="17"/>
  <c r="AU13" i="17"/>
  <c r="AV13" i="17"/>
  <c r="AW13" i="17"/>
  <c r="AX13" i="17"/>
  <c r="BU13" i="17"/>
  <c r="BV13" i="17"/>
  <c r="BW13" i="17"/>
  <c r="BX13" i="17"/>
  <c r="BY13" i="17"/>
  <c r="BZ13" i="17"/>
  <c r="CA13" i="17"/>
  <c r="CB13" i="17"/>
  <c r="CM13" i="17"/>
  <c r="CN13" i="17"/>
  <c r="CO13" i="17"/>
  <c r="CP13" i="17"/>
  <c r="CS13" i="17"/>
  <c r="CT13" i="17"/>
  <c r="CY13" i="17"/>
  <c r="DA13" i="17"/>
  <c r="DB13" i="17"/>
  <c r="DC13" i="17"/>
  <c r="DO13" i="17"/>
  <c r="DP13" i="17"/>
  <c r="DQ13" i="17"/>
  <c r="DR13" i="17"/>
  <c r="DX13" i="17"/>
  <c r="DY13" i="17"/>
  <c r="EA13" i="17"/>
  <c r="AO14" i="17"/>
  <c r="AP14" i="17"/>
  <c r="AS14" i="17"/>
  <c r="AT14" i="17"/>
  <c r="AU14" i="17"/>
  <c r="AV14" i="17"/>
  <c r="AW14" i="17"/>
  <c r="AX14" i="17"/>
  <c r="BU14" i="17"/>
  <c r="BV14" i="17"/>
  <c r="BW14" i="17"/>
  <c r="BX14" i="17"/>
  <c r="BY14" i="17"/>
  <c r="BZ14" i="17"/>
  <c r="CA14" i="17"/>
  <c r="CB14" i="17"/>
  <c r="CM14" i="17"/>
  <c r="CN14" i="17"/>
  <c r="CO14" i="17"/>
  <c r="CP14" i="17"/>
  <c r="CS14" i="17"/>
  <c r="CT14" i="17"/>
  <c r="CY14" i="17"/>
  <c r="DA14" i="17"/>
  <c r="DB14" i="17"/>
  <c r="DC14" i="17"/>
  <c r="DO14" i="17"/>
  <c r="DP14" i="17"/>
  <c r="DQ14" i="17"/>
  <c r="DR14" i="17"/>
  <c r="DX14" i="17"/>
  <c r="DY14" i="17"/>
  <c r="EA14" i="17"/>
  <c r="AO15" i="17"/>
  <c r="AP15" i="17"/>
  <c r="AS15" i="17"/>
  <c r="AT15" i="17"/>
  <c r="AU15" i="17"/>
  <c r="AV15" i="17"/>
  <c r="AW15" i="17"/>
  <c r="AX15" i="17"/>
  <c r="BU15" i="17"/>
  <c r="BV15" i="17"/>
  <c r="BW15" i="17"/>
  <c r="BX15" i="17"/>
  <c r="BY15" i="17"/>
  <c r="BZ15" i="17"/>
  <c r="CA15" i="17"/>
  <c r="CB15" i="17"/>
  <c r="CM15" i="17"/>
  <c r="CN15" i="17"/>
  <c r="CO15" i="17"/>
  <c r="CP15" i="17"/>
  <c r="CS15" i="17"/>
  <c r="CT15" i="17"/>
  <c r="CY15" i="17"/>
  <c r="DA15" i="17"/>
  <c r="DB15" i="17"/>
  <c r="DC15" i="17"/>
  <c r="DO15" i="17"/>
  <c r="DP15" i="17"/>
  <c r="DQ15" i="17"/>
  <c r="DR15" i="17"/>
  <c r="DX15" i="17"/>
  <c r="DY15" i="17"/>
  <c r="EA15" i="17"/>
  <c r="AO16" i="17"/>
  <c r="AP16" i="17"/>
  <c r="AS16" i="17"/>
  <c r="AT16" i="17"/>
  <c r="AU16" i="17"/>
  <c r="AV16" i="17"/>
  <c r="AW16" i="17"/>
  <c r="AX16" i="17"/>
  <c r="BU16" i="17"/>
  <c r="BV16" i="17"/>
  <c r="BW16" i="17"/>
  <c r="BX16" i="17"/>
  <c r="BY16" i="17"/>
  <c r="BZ16" i="17"/>
  <c r="CA16" i="17"/>
  <c r="CB16" i="17"/>
  <c r="CM16" i="17"/>
  <c r="CN16" i="17"/>
  <c r="CO16" i="17"/>
  <c r="CP16" i="17"/>
  <c r="CS16" i="17"/>
  <c r="CT16" i="17"/>
  <c r="CY16" i="17"/>
  <c r="DA16" i="17"/>
  <c r="DB16" i="17"/>
  <c r="DC16" i="17"/>
  <c r="DO16" i="17"/>
  <c r="DP16" i="17"/>
  <c r="DQ16" i="17"/>
  <c r="DR16" i="17"/>
  <c r="DX16" i="17"/>
  <c r="DY16" i="17"/>
  <c r="EA16" i="17"/>
  <c r="AO17" i="17"/>
  <c r="AP17" i="17"/>
  <c r="AS17" i="17"/>
  <c r="AT17" i="17"/>
  <c r="AU17" i="17"/>
  <c r="AV17" i="17"/>
  <c r="AW17" i="17"/>
  <c r="AX17" i="17"/>
  <c r="BU17" i="17"/>
  <c r="BV17" i="17"/>
  <c r="BW17" i="17"/>
  <c r="BX17" i="17"/>
  <c r="BY17" i="17"/>
  <c r="BZ17" i="17"/>
  <c r="CA17" i="17"/>
  <c r="CB17" i="17"/>
  <c r="CM17" i="17"/>
  <c r="CN17" i="17"/>
  <c r="CO17" i="17"/>
  <c r="CP17" i="17"/>
  <c r="CS17" i="17"/>
  <c r="CT17" i="17"/>
  <c r="CY17" i="17"/>
  <c r="DA17" i="17"/>
  <c r="DB17" i="17"/>
  <c r="DC17" i="17"/>
  <c r="DO17" i="17"/>
  <c r="DP17" i="17"/>
  <c r="DQ17" i="17"/>
  <c r="DR17" i="17"/>
  <c r="DX17" i="17"/>
  <c r="DY17" i="17"/>
  <c r="EA17" i="17"/>
  <c r="AO18" i="17"/>
  <c r="AP18" i="17"/>
  <c r="AS18" i="17"/>
  <c r="AT18" i="17"/>
  <c r="AU18" i="17"/>
  <c r="AV18" i="17"/>
  <c r="AW18" i="17"/>
  <c r="AX18" i="17"/>
  <c r="BU18" i="17"/>
  <c r="BV18" i="17"/>
  <c r="BW18" i="17"/>
  <c r="BX18" i="17"/>
  <c r="BY18" i="17"/>
  <c r="BZ18" i="17"/>
  <c r="CA18" i="17"/>
  <c r="CB18" i="17"/>
  <c r="CM18" i="17"/>
  <c r="CN18" i="17"/>
  <c r="CO18" i="17"/>
  <c r="CP18" i="17"/>
  <c r="CS18" i="17"/>
  <c r="CT18" i="17"/>
  <c r="CY18" i="17"/>
  <c r="DA18" i="17"/>
  <c r="DB18" i="17"/>
  <c r="DC18" i="17"/>
  <c r="DO18" i="17"/>
  <c r="DP18" i="17"/>
  <c r="DQ18" i="17"/>
  <c r="DR18" i="17"/>
  <c r="DX18" i="17"/>
  <c r="DY18" i="17"/>
  <c r="EA18" i="17"/>
  <c r="AO19" i="17"/>
  <c r="AP19" i="17"/>
  <c r="AS19" i="17"/>
  <c r="AT19" i="17"/>
  <c r="AU19" i="17"/>
  <c r="AV19" i="17"/>
  <c r="AW19" i="17"/>
  <c r="AX19" i="17"/>
  <c r="BU19" i="17"/>
  <c r="BV19" i="17"/>
  <c r="BW19" i="17"/>
  <c r="BX19" i="17"/>
  <c r="BY19" i="17"/>
  <c r="BZ19" i="17"/>
  <c r="CA19" i="17"/>
  <c r="CB19" i="17"/>
  <c r="CM19" i="17"/>
  <c r="CN19" i="17"/>
  <c r="CO19" i="17"/>
  <c r="CP19" i="17"/>
  <c r="CS19" i="17"/>
  <c r="CT19" i="17"/>
  <c r="CY19" i="17"/>
  <c r="DA19" i="17"/>
  <c r="DB19" i="17"/>
  <c r="DC19" i="17"/>
  <c r="DO19" i="17"/>
  <c r="DP19" i="17"/>
  <c r="DQ19" i="17"/>
  <c r="DR19" i="17"/>
  <c r="DX19" i="17"/>
  <c r="DY19" i="17"/>
  <c r="EA19" i="17"/>
  <c r="AO20" i="17"/>
  <c r="AP20" i="17"/>
  <c r="AS20" i="17"/>
  <c r="AT20" i="17"/>
  <c r="AU20" i="17"/>
  <c r="AV20" i="17"/>
  <c r="AW20" i="17"/>
  <c r="AX20" i="17"/>
  <c r="BU20" i="17"/>
  <c r="BV20" i="17"/>
  <c r="BW20" i="17"/>
  <c r="BX20" i="17"/>
  <c r="BY20" i="17"/>
  <c r="BZ20" i="17"/>
  <c r="CA20" i="17"/>
  <c r="CB20" i="17"/>
  <c r="CM20" i="17"/>
  <c r="CN20" i="17"/>
  <c r="CO20" i="17"/>
  <c r="CP20" i="17"/>
  <c r="CS20" i="17"/>
  <c r="CT20" i="17"/>
  <c r="CY20" i="17"/>
  <c r="DA20" i="17"/>
  <c r="DB20" i="17"/>
  <c r="DC20" i="17"/>
  <c r="DO20" i="17"/>
  <c r="DP20" i="17"/>
  <c r="DQ20" i="17"/>
  <c r="DR20" i="17"/>
  <c r="DX20" i="17"/>
  <c r="DY20" i="17"/>
  <c r="EA20" i="17"/>
  <c r="AO21" i="17"/>
  <c r="AP21" i="17"/>
  <c r="AS21" i="17"/>
  <c r="AT21" i="17"/>
  <c r="AU21" i="17"/>
  <c r="AV21" i="17"/>
  <c r="AW21" i="17"/>
  <c r="AX21" i="17"/>
  <c r="BU21" i="17"/>
  <c r="BV21" i="17"/>
  <c r="BW21" i="17"/>
  <c r="BX21" i="17"/>
  <c r="BY21" i="17"/>
  <c r="BZ21" i="17"/>
  <c r="CA21" i="17"/>
  <c r="CB21" i="17"/>
  <c r="CM21" i="17"/>
  <c r="CN21" i="17"/>
  <c r="CO21" i="17"/>
  <c r="CP21" i="17"/>
  <c r="CS21" i="17"/>
  <c r="CT21" i="17"/>
  <c r="CY21" i="17"/>
  <c r="DA21" i="17"/>
  <c r="DB21" i="17"/>
  <c r="DC21" i="17"/>
  <c r="DO21" i="17"/>
  <c r="DP21" i="17"/>
  <c r="DQ21" i="17"/>
  <c r="DR21" i="17"/>
  <c r="DX21" i="17"/>
  <c r="DY21" i="17"/>
  <c r="EA21" i="17"/>
  <c r="AO28" i="17"/>
  <c r="AP28" i="17"/>
  <c r="AS28" i="17"/>
  <c r="AT28" i="17"/>
  <c r="AU28" i="17"/>
  <c r="AV28" i="17"/>
  <c r="AW28" i="17"/>
  <c r="AX28" i="17"/>
  <c r="BU28" i="17"/>
  <c r="BV28" i="17"/>
  <c r="BW28" i="17"/>
  <c r="BX28" i="17"/>
  <c r="BY28" i="17"/>
  <c r="BZ28" i="17"/>
  <c r="CA28" i="17"/>
  <c r="CB28" i="17"/>
  <c r="CM28" i="17"/>
  <c r="CN28" i="17"/>
  <c r="CO28" i="17"/>
  <c r="CP28" i="17"/>
  <c r="CS28" i="17"/>
  <c r="CT28" i="17"/>
  <c r="CY28" i="17"/>
  <c r="DA28" i="17"/>
  <c r="DB28" i="17"/>
  <c r="DC28" i="17"/>
  <c r="DO28" i="17"/>
  <c r="DP28" i="17"/>
  <c r="DQ28" i="17"/>
  <c r="DR28" i="17"/>
  <c r="DX28" i="17"/>
  <c r="DY28" i="17"/>
  <c r="EA28" i="17"/>
  <c r="AO31" i="17"/>
  <c r="AP31" i="17"/>
  <c r="AS31" i="17"/>
  <c r="AT31" i="17"/>
  <c r="AU31" i="17"/>
  <c r="AV31" i="17"/>
  <c r="AW31" i="17"/>
  <c r="AX31" i="17"/>
  <c r="BU31" i="17"/>
  <c r="BV31" i="17"/>
  <c r="BW31" i="17"/>
  <c r="BX31" i="17"/>
  <c r="BY31" i="17"/>
  <c r="BZ31" i="17"/>
  <c r="CA31" i="17"/>
  <c r="CB31" i="17"/>
  <c r="CM31" i="17"/>
  <c r="CN31" i="17"/>
  <c r="CO31" i="17"/>
  <c r="CP31" i="17"/>
  <c r="CS31" i="17"/>
  <c r="CT31" i="17"/>
  <c r="CY31" i="17"/>
  <c r="DA31" i="17"/>
  <c r="DB31" i="17"/>
  <c r="DC31" i="17"/>
  <c r="DO31" i="17"/>
  <c r="DP31" i="17"/>
  <c r="DQ31" i="17"/>
  <c r="DR31" i="17"/>
  <c r="DX31" i="17"/>
  <c r="DY31" i="17"/>
  <c r="EA31" i="17"/>
  <c r="AO67" i="17"/>
  <c r="AP67" i="17"/>
  <c r="AS67" i="17"/>
  <c r="AT67" i="17"/>
  <c r="AU67" i="17"/>
  <c r="AV67" i="17"/>
  <c r="AW67" i="17"/>
  <c r="AX67" i="17"/>
  <c r="BU67" i="17"/>
  <c r="BV67" i="17"/>
  <c r="BW67" i="17"/>
  <c r="BX67" i="17"/>
  <c r="BY67" i="17"/>
  <c r="BZ67" i="17"/>
  <c r="CA67" i="17"/>
  <c r="CB67" i="17"/>
  <c r="CM67" i="17"/>
  <c r="CN67" i="17"/>
  <c r="CO67" i="17"/>
  <c r="CP67" i="17"/>
  <c r="CS67" i="17"/>
  <c r="CT67" i="17"/>
  <c r="CY67" i="17"/>
  <c r="DA67" i="17"/>
  <c r="DB67" i="17"/>
  <c r="DC67" i="17"/>
  <c r="DO67" i="17"/>
  <c r="DP67" i="17"/>
  <c r="DQ67" i="17"/>
  <c r="DR67" i="17"/>
  <c r="DX67" i="17"/>
  <c r="DY67" i="17"/>
  <c r="EA67" i="17"/>
  <c r="DA6" i="17"/>
  <c r="DB6" i="17"/>
  <c r="DC6" i="17"/>
  <c r="DO6" i="17"/>
  <c r="DQ6" i="17"/>
  <c r="DR6" i="17"/>
  <c r="DX6" i="17"/>
  <c r="DY6" i="17"/>
  <c r="EA6" i="17"/>
  <c r="CY6" i="17"/>
  <c r="CT6" i="17"/>
  <c r="CS6" i="17"/>
  <c r="CO6" i="17"/>
  <c r="CN6" i="17"/>
  <c r="CM6" i="17"/>
  <c r="CB6" i="17"/>
  <c r="CA6" i="17"/>
  <c r="BZ6" i="17"/>
  <c r="BY6" i="17"/>
  <c r="BX6" i="17"/>
  <c r="BW6" i="17"/>
  <c r="BV6" i="17"/>
  <c r="BU6" i="17"/>
  <c r="AX6" i="17"/>
  <c r="AW6" i="17"/>
  <c r="AV6" i="17"/>
  <c r="AU6" i="17"/>
  <c r="AT6" i="17"/>
  <c r="AP6" i="17"/>
  <c r="F72" i="17"/>
  <c r="F76" i="17" s="1"/>
  <c r="T72" i="17"/>
  <c r="U72" i="17"/>
  <c r="V72" i="17"/>
  <c r="W72" i="17"/>
  <c r="W76" i="17" s="1"/>
  <c r="AE72" i="17"/>
  <c r="AE75" i="17" s="1"/>
  <c r="AF72" i="17"/>
  <c r="AF75" i="17" s="1"/>
  <c r="AG72" i="17"/>
  <c r="AH72" i="17"/>
  <c r="AH76" i="17" s="1"/>
  <c r="F74" i="17"/>
  <c r="T74" i="17"/>
  <c r="U74" i="17"/>
  <c r="V74" i="17"/>
  <c r="W74" i="17"/>
  <c r="AE74" i="17"/>
  <c r="AF74" i="17"/>
  <c r="AG74" i="17"/>
  <c r="AG75" i="17" s="1"/>
  <c r="AH74" i="17"/>
  <c r="D75" i="17"/>
  <c r="E75" i="17"/>
  <c r="F75" i="17"/>
  <c r="T75" i="17"/>
  <c r="U75" i="17"/>
  <c r="AH75" i="17"/>
  <c r="D76" i="17"/>
  <c r="E76" i="17"/>
  <c r="T76" i="17"/>
  <c r="U76" i="17"/>
  <c r="AE76" i="17"/>
  <c r="AF76" i="17"/>
  <c r="D92" i="17"/>
  <c r="E92" i="17"/>
  <c r="F92" i="17"/>
  <c r="T92" i="17"/>
  <c r="U92" i="17"/>
  <c r="V92" i="17"/>
  <c r="E80" i="4" s="1"/>
  <c r="W92" i="17"/>
  <c r="AF92" i="17"/>
  <c r="AH92" i="17"/>
  <c r="D93" i="17"/>
  <c r="F93" i="17"/>
  <c r="T93" i="17"/>
  <c r="U93" i="17"/>
  <c r="AF93" i="17"/>
  <c r="AG93" i="17"/>
  <c r="AH93" i="17"/>
  <c r="D73" i="18"/>
  <c r="D98" i="17"/>
  <c r="E73" i="18"/>
  <c r="E98" i="17"/>
  <c r="F73" i="18"/>
  <c r="F98" i="17"/>
  <c r="T73" i="18"/>
  <c r="T98" i="17" s="1"/>
  <c r="U73" i="18"/>
  <c r="U98" i="17"/>
  <c r="V73" i="18"/>
  <c r="V98" i="17" s="1"/>
  <c r="W73" i="18"/>
  <c r="W98" i="17"/>
  <c r="AF98" i="17"/>
  <c r="AH98" i="17"/>
  <c r="D74" i="18"/>
  <c r="D99" i="17"/>
  <c r="E74" i="18"/>
  <c r="E99" i="17" s="1"/>
  <c r="F74" i="18"/>
  <c r="F99" i="17" s="1"/>
  <c r="T74" i="18"/>
  <c r="T99" i="17" s="1"/>
  <c r="U74" i="18"/>
  <c r="U99" i="17" s="1"/>
  <c r="V74" i="18"/>
  <c r="V99" i="17" s="1"/>
  <c r="W74" i="18"/>
  <c r="W99" i="17" s="1"/>
  <c r="AF99" i="17"/>
  <c r="AG99" i="17"/>
  <c r="AH99" i="17"/>
  <c r="B73" i="18"/>
  <c r="B98" i="17" s="1"/>
  <c r="B72" i="17"/>
  <c r="B74" i="17"/>
  <c r="AP6" i="18"/>
  <c r="AO6" i="18"/>
  <c r="B68" i="18"/>
  <c r="B93" i="17" s="1"/>
  <c r="AT6" i="18"/>
  <c r="AS6" i="18"/>
  <c r="B74" i="18"/>
  <c r="B99" i="17" s="1"/>
  <c r="A88" i="17"/>
  <c r="A4" i="17"/>
  <c r="CW20" i="18"/>
  <c r="BZ20" i="18"/>
  <c r="BY20" i="18"/>
  <c r="CW18" i="18"/>
  <c r="BZ18" i="18"/>
  <c r="BY18" i="18"/>
  <c r="CW16" i="18"/>
  <c r="BZ16" i="18"/>
  <c r="BY16" i="18"/>
  <c r="CW14" i="18"/>
  <c r="BZ14" i="18"/>
  <c r="BY14" i="18"/>
  <c r="CW12" i="18"/>
  <c r="BZ12" i="18"/>
  <c r="BY12" i="18"/>
  <c r="CW9" i="18"/>
  <c r="BZ9" i="18"/>
  <c r="BY9" i="18"/>
  <c r="BZ7" i="18"/>
  <c r="BY7" i="18"/>
  <c r="CW7" i="18"/>
  <c r="CT7" i="18"/>
  <c r="CT20" i="18"/>
  <c r="BT20" i="18"/>
  <c r="BS20" i="18"/>
  <c r="CT18" i="18"/>
  <c r="BT18" i="18"/>
  <c r="BS18" i="18"/>
  <c r="CT16" i="18"/>
  <c r="BT16" i="18"/>
  <c r="BS16" i="18"/>
  <c r="CT14" i="18"/>
  <c r="BT14" i="18"/>
  <c r="BS14" i="18"/>
  <c r="CT12" i="18"/>
  <c r="BT12" i="18"/>
  <c r="BS12" i="18"/>
  <c r="CT9" i="18"/>
  <c r="BT9" i="18"/>
  <c r="BS9" i="18"/>
  <c r="BT7" i="18"/>
  <c r="BS7" i="18"/>
  <c r="CU7" i="18"/>
  <c r="CU20" i="18"/>
  <c r="BV20" i="18"/>
  <c r="BU20" i="18"/>
  <c r="CU18" i="18"/>
  <c r="BV18" i="18"/>
  <c r="BU18" i="18"/>
  <c r="CU16" i="18"/>
  <c r="BV16" i="18"/>
  <c r="BU16" i="18"/>
  <c r="CU14" i="18"/>
  <c r="BV14" i="18"/>
  <c r="BU14" i="18"/>
  <c r="CU12" i="18"/>
  <c r="BV12" i="18"/>
  <c r="BU12" i="18"/>
  <c r="CU9" i="18"/>
  <c r="BV9" i="18"/>
  <c r="BU9" i="18"/>
  <c r="BV7" i="18"/>
  <c r="BU7" i="18"/>
  <c r="CV7" i="18"/>
  <c r="CV20" i="18"/>
  <c r="BX20" i="18"/>
  <c r="BW20" i="18"/>
  <c r="CV18" i="18"/>
  <c r="BX18" i="18"/>
  <c r="BW18" i="18"/>
  <c r="CV16" i="18"/>
  <c r="BX16" i="18"/>
  <c r="BW16" i="18"/>
  <c r="CV14" i="18"/>
  <c r="BX14" i="18"/>
  <c r="BW14" i="18"/>
  <c r="CV12" i="18"/>
  <c r="BX12" i="18"/>
  <c r="BW12" i="18"/>
  <c r="CV9" i="18"/>
  <c r="BX9" i="18"/>
  <c r="BW9" i="18"/>
  <c r="BX7" i="18"/>
  <c r="BW7" i="18"/>
  <c r="B92" i="17"/>
  <c r="CN20" i="18"/>
  <c r="CM20" i="18"/>
  <c r="CL20" i="18"/>
  <c r="CK20" i="18"/>
  <c r="CI20" i="18"/>
  <c r="CE20" i="18"/>
  <c r="BH20" i="18"/>
  <c r="BG20" i="18"/>
  <c r="CN18" i="18"/>
  <c r="CM18" i="18"/>
  <c r="CL18" i="18"/>
  <c r="CK18" i="18"/>
  <c r="CI18" i="18"/>
  <c r="CE18" i="18"/>
  <c r="BH18" i="18"/>
  <c r="BG18" i="18"/>
  <c r="CN16" i="18"/>
  <c r="CM16" i="18"/>
  <c r="CL16" i="18"/>
  <c r="CK16" i="18"/>
  <c r="CI16" i="18"/>
  <c r="CE16" i="18"/>
  <c r="BH16" i="18"/>
  <c r="BG16" i="18"/>
  <c r="CN14" i="18"/>
  <c r="CM14" i="18"/>
  <c r="CL14" i="18"/>
  <c r="CK14" i="18"/>
  <c r="CI14" i="18"/>
  <c r="CE14" i="18"/>
  <c r="BH14" i="18"/>
  <c r="BG14" i="18"/>
  <c r="CN12" i="18"/>
  <c r="CM12" i="18"/>
  <c r="CL12" i="18"/>
  <c r="CK12" i="18"/>
  <c r="CI12" i="18"/>
  <c r="CE12" i="18"/>
  <c r="BH12" i="18"/>
  <c r="BG12" i="18"/>
  <c r="CN9" i="18"/>
  <c r="CM9" i="18"/>
  <c r="CL9" i="18"/>
  <c r="CK9" i="18"/>
  <c r="CI9" i="18"/>
  <c r="CE9" i="18"/>
  <c r="BH9" i="18"/>
  <c r="BG9" i="18"/>
  <c r="CM7" i="18"/>
  <c r="CL7" i="18"/>
  <c r="CE7" i="18"/>
  <c r="BH7" i="18"/>
  <c r="BG7" i="18"/>
  <c r="CN7" i="18"/>
  <c r="CK7" i="18"/>
  <c r="CI7" i="18"/>
  <c r="CG7" i="18"/>
  <c r="CG9" i="18"/>
  <c r="CG12" i="18"/>
  <c r="CG32" i="18"/>
  <c r="CG21" i="18"/>
  <c r="CG19" i="18"/>
  <c r="CG20" i="18"/>
  <c r="CG17" i="18"/>
  <c r="CG18" i="18"/>
  <c r="CG15" i="18"/>
  <c r="CG16" i="18"/>
  <c r="CG13" i="18"/>
  <c r="CG14" i="18"/>
  <c r="CG11" i="18"/>
  <c r="AT32" i="18"/>
  <c r="AS32" i="18"/>
  <c r="AT21" i="18"/>
  <c r="AS21" i="18"/>
  <c r="AT20" i="18"/>
  <c r="AS20" i="18"/>
  <c r="AT19" i="18"/>
  <c r="AS19" i="18"/>
  <c r="AT18" i="18"/>
  <c r="AS18" i="18"/>
  <c r="AT17" i="18"/>
  <c r="AS17" i="18"/>
  <c r="AT16" i="18"/>
  <c r="AS16" i="18"/>
  <c r="AT15" i="18"/>
  <c r="AS15" i="18"/>
  <c r="AT14" i="18"/>
  <c r="AS14" i="18"/>
  <c r="BF20" i="18"/>
  <c r="BE20" i="18"/>
  <c r="BD20" i="18"/>
  <c r="BC20" i="18"/>
  <c r="BB20" i="18"/>
  <c r="BA20" i="18"/>
  <c r="AX20" i="18"/>
  <c r="AW20" i="18"/>
  <c r="AT13" i="18"/>
  <c r="AS13" i="18"/>
  <c r="AP20" i="18"/>
  <c r="AO20" i="18"/>
  <c r="BF18" i="18"/>
  <c r="BE18" i="18"/>
  <c r="BD18" i="18"/>
  <c r="BC18" i="18"/>
  <c r="BB18" i="18"/>
  <c r="BA18" i="18"/>
  <c r="AX18" i="18"/>
  <c r="AW18" i="18"/>
  <c r="AT12" i="18"/>
  <c r="AS12" i="18"/>
  <c r="AP18" i="18"/>
  <c r="AO18" i="18"/>
  <c r="BF16" i="18"/>
  <c r="BE16" i="18"/>
  <c r="BD16" i="18"/>
  <c r="BC16" i="18"/>
  <c r="BB16" i="18"/>
  <c r="BA16" i="18"/>
  <c r="AX16" i="18"/>
  <c r="AW16" i="18"/>
  <c r="AT11" i="18"/>
  <c r="AS11" i="18"/>
  <c r="AP16" i="18"/>
  <c r="AO16" i="18"/>
  <c r="BF14" i="18"/>
  <c r="BE14" i="18"/>
  <c r="BD14" i="18"/>
  <c r="BC14" i="18"/>
  <c r="BB14" i="18"/>
  <c r="BA14" i="18"/>
  <c r="AX14" i="18"/>
  <c r="AW14" i="18"/>
  <c r="AT10" i="18"/>
  <c r="AS10" i="18"/>
  <c r="AP14" i="18"/>
  <c r="AO14" i="18"/>
  <c r="BF12" i="18"/>
  <c r="BE12" i="18"/>
  <c r="BD12" i="18"/>
  <c r="BC12" i="18"/>
  <c r="BB12" i="18"/>
  <c r="BA12" i="18"/>
  <c r="AX12" i="18"/>
  <c r="AW12" i="18"/>
  <c r="AT9" i="18"/>
  <c r="AS9" i="18"/>
  <c r="AP12" i="18"/>
  <c r="AO12" i="18"/>
  <c r="BF9" i="18"/>
  <c r="BE9" i="18"/>
  <c r="BD9" i="18"/>
  <c r="BC9" i="18"/>
  <c r="BB9" i="18"/>
  <c r="BA9" i="18"/>
  <c r="AX9" i="18"/>
  <c r="AW9" i="18"/>
  <c r="AT8" i="18"/>
  <c r="AS8" i="18"/>
  <c r="AP9" i="18"/>
  <c r="AO9" i="18"/>
  <c r="BF7" i="18"/>
  <c r="BE7" i="18"/>
  <c r="BD7" i="18"/>
  <c r="BC7" i="18"/>
  <c r="BB7" i="18"/>
  <c r="BA7" i="18"/>
  <c r="AX7" i="18"/>
  <c r="AW7" i="18"/>
  <c r="AT7" i="18"/>
  <c r="AS7" i="18"/>
  <c r="AP7" i="18"/>
  <c r="AO7" i="18"/>
  <c r="CH7" i="18"/>
  <c r="CH9" i="18"/>
  <c r="CH12" i="18"/>
  <c r="CH32" i="18"/>
  <c r="CH21" i="18"/>
  <c r="CH19" i="18"/>
  <c r="CH20" i="18"/>
  <c r="CH17" i="18"/>
  <c r="CH18" i="18"/>
  <c r="CH15" i="18"/>
  <c r="CH16" i="18"/>
  <c r="CH13" i="18"/>
  <c r="CH14" i="18"/>
  <c r="CH11" i="18"/>
  <c r="AV32" i="18"/>
  <c r="AU32" i="18"/>
  <c r="AV21" i="18"/>
  <c r="AU21" i="18"/>
  <c r="AV20" i="18"/>
  <c r="AU20" i="18"/>
  <c r="AV19" i="18"/>
  <c r="AU19" i="18"/>
  <c r="AV18" i="18"/>
  <c r="AU18" i="18"/>
  <c r="AV17" i="18"/>
  <c r="AU17" i="18"/>
  <c r="AV16" i="18"/>
  <c r="AU16" i="18"/>
  <c r="AV15" i="18"/>
  <c r="AU15" i="18"/>
  <c r="AV14" i="18"/>
  <c r="AU14" i="18"/>
  <c r="AV13" i="18"/>
  <c r="AU13" i="18"/>
  <c r="AV12" i="18"/>
  <c r="AU12" i="18"/>
  <c r="AV11" i="18"/>
  <c r="AU11" i="18"/>
  <c r="AV10" i="18"/>
  <c r="AU10" i="18"/>
  <c r="AV9" i="18"/>
  <c r="AU9" i="18"/>
  <c r="AV8" i="18"/>
  <c r="AU8" i="18"/>
  <c r="AV7" i="18"/>
  <c r="AU7" i="18"/>
  <c r="E50" i="4"/>
  <c r="O50" i="4"/>
  <c r="O80" i="4"/>
  <c r="O27" i="4"/>
  <c r="E4" i="4"/>
  <c r="Q80" i="4"/>
  <c r="P80" i="4"/>
  <c r="N80" i="4"/>
  <c r="G80" i="4"/>
  <c r="F80" i="4"/>
  <c r="D80" i="4"/>
  <c r="G50" i="4"/>
  <c r="F50" i="4"/>
  <c r="D50" i="4"/>
  <c r="Q50" i="4"/>
  <c r="P50" i="4"/>
  <c r="N50" i="4"/>
  <c r="Q27" i="4"/>
  <c r="P27" i="4"/>
  <c r="N27" i="4"/>
  <c r="G4" i="4"/>
  <c r="F4" i="4"/>
  <c r="D4" i="4"/>
  <c r="N4" i="4"/>
  <c r="O4" i="4"/>
  <c r="P4" i="4"/>
  <c r="Q4" i="4"/>
  <c r="E27" i="4"/>
  <c r="G27" i="4"/>
  <c r="A4" i="18"/>
  <c r="P1" i="4" s="1"/>
  <c r="CG10" i="18"/>
  <c r="CH10" i="18"/>
  <c r="CG8" i="18"/>
  <c r="CH8" i="18"/>
  <c r="CG6" i="18"/>
  <c r="CH6" i="18"/>
  <c r="AV6" i="18"/>
  <c r="AU6" i="18"/>
  <c r="CW32" i="18"/>
  <c r="CV32" i="18"/>
  <c r="CU32" i="18"/>
  <c r="CT32" i="18"/>
  <c r="CN32" i="18"/>
  <c r="CM32" i="18"/>
  <c r="CL32" i="18"/>
  <c r="CK32" i="18"/>
  <c r="CI32" i="18"/>
  <c r="CE32" i="18"/>
  <c r="BZ32" i="18"/>
  <c r="BY32" i="18"/>
  <c r="BX32" i="18"/>
  <c r="BW32" i="18"/>
  <c r="BV32" i="18"/>
  <c r="BU32" i="18"/>
  <c r="BT32" i="18"/>
  <c r="BS32" i="18"/>
  <c r="BH32" i="18"/>
  <c r="BG32" i="18"/>
  <c r="BF32" i="18"/>
  <c r="BE32" i="18"/>
  <c r="BD32" i="18"/>
  <c r="BC32" i="18"/>
  <c r="BB32" i="18"/>
  <c r="BA32" i="18"/>
  <c r="AX32" i="18"/>
  <c r="AW32" i="18"/>
  <c r="AP32" i="18"/>
  <c r="AO32" i="18"/>
  <c r="CW21" i="18"/>
  <c r="CV21" i="18"/>
  <c r="CU21" i="18"/>
  <c r="CT21" i="18"/>
  <c r="CN21" i="18"/>
  <c r="CM21" i="18"/>
  <c r="CL21" i="18"/>
  <c r="CK21" i="18"/>
  <c r="CI21" i="18"/>
  <c r="CE21" i="18"/>
  <c r="BZ21" i="18"/>
  <c r="BY21" i="18"/>
  <c r="BX21" i="18"/>
  <c r="BW21" i="18"/>
  <c r="BV21" i="18"/>
  <c r="BU21" i="18"/>
  <c r="BT21" i="18"/>
  <c r="BS21" i="18"/>
  <c r="BH21" i="18"/>
  <c r="BG21" i="18"/>
  <c r="BF21" i="18"/>
  <c r="BE21" i="18"/>
  <c r="BD21" i="18"/>
  <c r="BC21" i="18"/>
  <c r="BB21" i="18"/>
  <c r="BA21" i="18"/>
  <c r="AX21" i="18"/>
  <c r="AW21" i="18"/>
  <c r="AP21" i="18"/>
  <c r="AO21" i="18"/>
  <c r="CW19" i="18"/>
  <c r="CV19" i="18"/>
  <c r="CU19" i="18"/>
  <c r="CT19" i="18"/>
  <c r="CN19" i="18"/>
  <c r="CM19" i="18"/>
  <c r="CL19" i="18"/>
  <c r="CK19" i="18"/>
  <c r="CI19" i="18"/>
  <c r="CE19" i="18"/>
  <c r="BZ19" i="18"/>
  <c r="BY19" i="18"/>
  <c r="BX19" i="18"/>
  <c r="BW19" i="18"/>
  <c r="BV19" i="18"/>
  <c r="BU19" i="18"/>
  <c r="BT19" i="18"/>
  <c r="BS19" i="18"/>
  <c r="BH19" i="18"/>
  <c r="BG19" i="18"/>
  <c r="BF19" i="18"/>
  <c r="BE19" i="18"/>
  <c r="BD19" i="18"/>
  <c r="BC19" i="18"/>
  <c r="BB19" i="18"/>
  <c r="BA19" i="18"/>
  <c r="AX19" i="18"/>
  <c r="AW19" i="18"/>
  <c r="AP19" i="18"/>
  <c r="AO19" i="18"/>
  <c r="CW17" i="18"/>
  <c r="CV17" i="18"/>
  <c r="CU17" i="18"/>
  <c r="CT17" i="18"/>
  <c r="CN17" i="18"/>
  <c r="CM17" i="18"/>
  <c r="CL17" i="18"/>
  <c r="CK17" i="18"/>
  <c r="CI17" i="18"/>
  <c r="CE17" i="18"/>
  <c r="BZ17" i="18"/>
  <c r="BY17" i="18"/>
  <c r="BX17" i="18"/>
  <c r="BW17" i="18"/>
  <c r="BV17" i="18"/>
  <c r="BU17" i="18"/>
  <c r="BT17" i="18"/>
  <c r="BS17" i="18"/>
  <c r="BH17" i="18"/>
  <c r="BG17" i="18"/>
  <c r="BF17" i="18"/>
  <c r="BE17" i="18"/>
  <c r="BD17" i="18"/>
  <c r="BC17" i="18"/>
  <c r="BB17" i="18"/>
  <c r="BA17" i="18"/>
  <c r="AX17" i="18"/>
  <c r="AW17" i="18"/>
  <c r="AP17" i="18"/>
  <c r="AO17" i="18"/>
  <c r="CW15" i="18"/>
  <c r="CV15" i="18"/>
  <c r="CU15" i="18"/>
  <c r="CT15" i="18"/>
  <c r="CN15" i="18"/>
  <c r="CM15" i="18"/>
  <c r="CL15" i="18"/>
  <c r="CK15" i="18"/>
  <c r="CI15" i="18"/>
  <c r="CE15" i="18"/>
  <c r="BZ15" i="18"/>
  <c r="BY15" i="18"/>
  <c r="BX15" i="18"/>
  <c r="BW15" i="18"/>
  <c r="BV15" i="18"/>
  <c r="BU15" i="18"/>
  <c r="BT15" i="18"/>
  <c r="BS15" i="18"/>
  <c r="BH15" i="18"/>
  <c r="BG15" i="18"/>
  <c r="BF15" i="18"/>
  <c r="BE15" i="18"/>
  <c r="BD15" i="18"/>
  <c r="BC15" i="18"/>
  <c r="BB15" i="18"/>
  <c r="BA15" i="18"/>
  <c r="AX15" i="18"/>
  <c r="AW15" i="18"/>
  <c r="AP15" i="18"/>
  <c r="AO15" i="18"/>
  <c r="CW13" i="18"/>
  <c r="CV13" i="18"/>
  <c r="CU13" i="18"/>
  <c r="CT13" i="18"/>
  <c r="CN13" i="18"/>
  <c r="CM13" i="18"/>
  <c r="CL13" i="18"/>
  <c r="CK13" i="18"/>
  <c r="CI13" i="18"/>
  <c r="CE13" i="18"/>
  <c r="BZ13" i="18"/>
  <c r="BY13" i="18"/>
  <c r="BX13" i="18"/>
  <c r="BW13" i="18"/>
  <c r="BV13" i="18"/>
  <c r="BU13" i="18"/>
  <c r="BT13" i="18"/>
  <c r="BS13" i="18"/>
  <c r="BH13" i="18"/>
  <c r="BG13" i="18"/>
  <c r="BF13" i="18"/>
  <c r="BE13" i="18"/>
  <c r="BD13" i="18"/>
  <c r="BC13" i="18"/>
  <c r="BB13" i="18"/>
  <c r="BA13" i="18"/>
  <c r="AX13" i="18"/>
  <c r="AW13" i="18"/>
  <c r="AP13" i="18"/>
  <c r="AO13" i="18"/>
  <c r="CW11" i="18"/>
  <c r="CV11" i="18"/>
  <c r="CU11" i="18"/>
  <c r="CT11" i="18"/>
  <c r="CN11" i="18"/>
  <c r="CM11" i="18"/>
  <c r="CL11" i="18"/>
  <c r="CK11" i="18"/>
  <c r="CI11" i="18"/>
  <c r="CE11" i="18"/>
  <c r="BZ11" i="18"/>
  <c r="BY11" i="18"/>
  <c r="BX11" i="18"/>
  <c r="BW11" i="18"/>
  <c r="BV11" i="18"/>
  <c r="BU11" i="18"/>
  <c r="BT11" i="18"/>
  <c r="BS11" i="18"/>
  <c r="BH11" i="18"/>
  <c r="BG11" i="18"/>
  <c r="BF11" i="18"/>
  <c r="BE11" i="18"/>
  <c r="BD11" i="18"/>
  <c r="BC11" i="18"/>
  <c r="BB11" i="18"/>
  <c r="BA11" i="18"/>
  <c r="AX11" i="18"/>
  <c r="AW11" i="18"/>
  <c r="AP11" i="18"/>
  <c r="AO11" i="18"/>
  <c r="CW10" i="18"/>
  <c r="CV10" i="18"/>
  <c r="CU10" i="18"/>
  <c r="CT10" i="18"/>
  <c r="CN10" i="18"/>
  <c r="CM10" i="18"/>
  <c r="CL10" i="18"/>
  <c r="CK10" i="18"/>
  <c r="CI10" i="18"/>
  <c r="CE10" i="18"/>
  <c r="BZ10" i="18"/>
  <c r="BY10" i="18"/>
  <c r="BX10" i="18"/>
  <c r="BW10" i="18"/>
  <c r="BV10" i="18"/>
  <c r="BU10" i="18"/>
  <c r="BT10" i="18"/>
  <c r="BS10" i="18"/>
  <c r="BH10" i="18"/>
  <c r="BG10" i="18"/>
  <c r="BF10" i="18"/>
  <c r="BE10" i="18"/>
  <c r="BD10" i="18"/>
  <c r="BC10" i="18"/>
  <c r="BB10" i="18"/>
  <c r="BA10" i="18"/>
  <c r="AX10" i="18"/>
  <c r="AW10" i="18"/>
  <c r="AP10" i="18"/>
  <c r="AO10" i="18"/>
  <c r="CW8" i="18"/>
  <c r="CV8" i="18"/>
  <c r="CU8" i="18"/>
  <c r="CT8" i="18"/>
  <c r="CN8" i="18"/>
  <c r="CM8" i="18"/>
  <c r="CL8" i="18"/>
  <c r="CK8" i="18"/>
  <c r="CI8" i="18"/>
  <c r="CE8" i="18"/>
  <c r="BZ8" i="18"/>
  <c r="BY8" i="18"/>
  <c r="BX8" i="18"/>
  <c r="BW8" i="18"/>
  <c r="BV8" i="18"/>
  <c r="BU8" i="18"/>
  <c r="BT8" i="18"/>
  <c r="BS8" i="18"/>
  <c r="BH8" i="18"/>
  <c r="BG8" i="18"/>
  <c r="BF8" i="18"/>
  <c r="BE8" i="18"/>
  <c r="BD8" i="18"/>
  <c r="BC8" i="18"/>
  <c r="BB8" i="18"/>
  <c r="BA8" i="18"/>
  <c r="AX8" i="18"/>
  <c r="AW8" i="18"/>
  <c r="AP8" i="18"/>
  <c r="AO8" i="18"/>
  <c r="CW6" i="18"/>
  <c r="CV6" i="18"/>
  <c r="CU6" i="18"/>
  <c r="CT6" i="18"/>
  <c r="CN6" i="18"/>
  <c r="CM6" i="18"/>
  <c r="CL6" i="18"/>
  <c r="CK6" i="18"/>
  <c r="CI6" i="18"/>
  <c r="CE6" i="18"/>
  <c r="BY6" i="18"/>
  <c r="BX6" i="18"/>
  <c r="BW6" i="18"/>
  <c r="BV6" i="18"/>
  <c r="BU6" i="18"/>
  <c r="BT6" i="18"/>
  <c r="BS6" i="18"/>
  <c r="BH6" i="18"/>
  <c r="BG6" i="18"/>
  <c r="BF6" i="18"/>
  <c r="BE6" i="18"/>
  <c r="BD6" i="18"/>
  <c r="BC6" i="18"/>
  <c r="BB6" i="18"/>
  <c r="BA6" i="18"/>
  <c r="AX6" i="18"/>
  <c r="AW6" i="18"/>
  <c r="L72" i="17" l="1"/>
  <c r="AK75" i="17"/>
  <c r="G92" i="17"/>
  <c r="M71" i="18"/>
  <c r="M96" i="17" s="1"/>
  <c r="M70" i="18"/>
  <c r="M95" i="17" s="1"/>
  <c r="M91" i="17"/>
  <c r="V76" i="17"/>
  <c r="V75" i="17"/>
  <c r="H71" i="18"/>
  <c r="R72" i="17"/>
  <c r="AN74" i="17"/>
  <c r="DW66" i="17"/>
  <c r="DW65" i="17"/>
  <c r="DW57" i="17"/>
  <c r="DW58" i="17"/>
  <c r="DW64" i="17"/>
  <c r="DW60" i="17"/>
  <c r="DW54" i="17"/>
  <c r="DW46" i="17"/>
  <c r="DW55" i="17"/>
  <c r="DW47" i="17"/>
  <c r="DW52" i="17"/>
  <c r="DW50" i="17"/>
  <c r="DW44" i="17"/>
  <c r="DW41" i="17"/>
  <c r="DW33" i="17"/>
  <c r="DW67" i="17"/>
  <c r="DW27" i="17"/>
  <c r="DW19" i="17"/>
  <c r="DW11" i="17"/>
  <c r="DW59" i="17"/>
  <c r="DW51" i="17"/>
  <c r="DW34" i="17"/>
  <c r="DW63" i="17"/>
  <c r="DW26" i="17"/>
  <c r="DW18" i="17"/>
  <c r="DW10" i="17"/>
  <c r="DW35" i="17"/>
  <c r="DW62" i="17"/>
  <c r="DW25" i="17"/>
  <c r="DW17" i="17"/>
  <c r="DW9" i="17"/>
  <c r="DW61" i="17"/>
  <c r="DW48" i="17"/>
  <c r="DW43" i="17"/>
  <c r="DW40" i="17"/>
  <c r="DW28" i="17"/>
  <c r="DW20" i="17"/>
  <c r="DW12" i="17"/>
  <c r="DW49" i="17"/>
  <c r="DW37" i="17"/>
  <c r="DW29" i="17"/>
  <c r="DW13" i="17"/>
  <c r="DW24" i="17"/>
  <c r="DW8" i="17"/>
  <c r="DW23" i="17"/>
  <c r="DW7" i="17"/>
  <c r="DW53" i="17"/>
  <c r="DW42" i="17"/>
  <c r="DW38" i="17"/>
  <c r="DW31" i="17"/>
  <c r="DW15" i="17"/>
  <c r="DW56" i="17"/>
  <c r="DW16" i="17"/>
  <c r="DW14" i="17"/>
  <c r="DW45" i="17"/>
  <c r="DW6" i="17"/>
  <c r="DW22" i="17"/>
  <c r="DW39" i="17"/>
  <c r="DW21" i="17"/>
  <c r="AI71" i="18"/>
  <c r="AI96" i="17" s="1"/>
  <c r="AJ68" i="18"/>
  <c r="AJ93" i="17" s="1"/>
  <c r="AJ92" i="17"/>
  <c r="Q75" i="17"/>
  <c r="J70" i="18"/>
  <c r="AI92" i="17"/>
  <c r="AI68" i="18"/>
  <c r="AI93" i="17" s="1"/>
  <c r="AI70" i="18"/>
  <c r="AI95" i="17" s="1"/>
  <c r="L74" i="18"/>
  <c r="L99" i="17" s="1"/>
  <c r="AK73" i="18"/>
  <c r="AK98" i="17" s="1"/>
  <c r="B76" i="17"/>
  <c r="B75" i="17"/>
  <c r="AG76" i="17"/>
  <c r="W75" i="17"/>
  <c r="K75" i="17"/>
  <c r="L32" i="17"/>
  <c r="G73" i="17"/>
  <c r="G72" i="17"/>
  <c r="G74" i="17"/>
  <c r="G66" i="18"/>
  <c r="Y76" i="17"/>
  <c r="Y75" i="17"/>
  <c r="AK73" i="17"/>
  <c r="AK74" i="17"/>
  <c r="AK76" i="17" s="1"/>
  <c r="G74" i="18"/>
  <c r="G99" i="17" s="1"/>
  <c r="I71" i="18"/>
  <c r="DW30" i="17"/>
  <c r="C77" i="17"/>
  <c r="C76" i="17"/>
  <c r="C75" i="17"/>
  <c r="L73" i="17"/>
  <c r="DP58" i="17"/>
  <c r="DP59" i="17"/>
  <c r="DP55" i="17"/>
  <c r="DP47" i="17"/>
  <c r="DP65" i="17"/>
  <c r="DP56" i="17"/>
  <c r="DP48" i="17"/>
  <c r="DP64" i="17"/>
  <c r="DP60" i="17"/>
  <c r="DP53" i="17"/>
  <c r="DP57" i="17"/>
  <c r="DP51" i="17"/>
  <c r="DP34" i="17"/>
  <c r="DP54" i="17"/>
  <c r="DP46" i="17"/>
  <c r="DP35" i="17"/>
  <c r="DP36" i="17"/>
  <c r="DP66" i="17"/>
  <c r="DP52" i="17"/>
  <c r="DP50" i="17"/>
  <c r="DP44" i="17"/>
  <c r="DP41" i="17"/>
  <c r="DP33" i="17"/>
  <c r="DP43" i="17"/>
  <c r="DP40" i="17"/>
  <c r="DP45" i="17"/>
  <c r="R73" i="18"/>
  <c r="R98" i="17" s="1"/>
  <c r="M67" i="18"/>
  <c r="DP30" i="17"/>
  <c r="AM70" i="18"/>
  <c r="C79" i="17"/>
  <c r="DP39" i="17"/>
  <c r="K70" i="18"/>
  <c r="K95" i="17" s="1"/>
  <c r="K71" i="18"/>
  <c r="K96" i="17" s="1"/>
  <c r="K91" i="17"/>
  <c r="AN73" i="17"/>
  <c r="AN72" i="17"/>
  <c r="DP6" i="17"/>
  <c r="L74" i="17"/>
  <c r="M74" i="18"/>
  <c r="M99" i="17" s="1"/>
  <c r="AL75" i="17"/>
  <c r="AL76" i="17"/>
  <c r="AL71" i="18"/>
  <c r="AL70" i="18"/>
  <c r="Z72" i="17"/>
  <c r="BM40" i="17"/>
  <c r="G73" i="18"/>
  <c r="G98" i="17" s="1"/>
  <c r="DP32" i="17"/>
  <c r="R73" i="17"/>
  <c r="BU59" i="17"/>
  <c r="BU60" i="17"/>
  <c r="BU61" i="17"/>
  <c r="BU65" i="17"/>
  <c r="BU56" i="17"/>
  <c r="BU48" i="17"/>
  <c r="BU49" i="17"/>
  <c r="BU58" i="17"/>
  <c r="BU54" i="17"/>
  <c r="BU57" i="17"/>
  <c r="BU47" i="17"/>
  <c r="BU42" i="17"/>
  <c r="BU35" i="17"/>
  <c r="BU55" i="17"/>
  <c r="BU43" i="17"/>
  <c r="BU36" i="17"/>
  <c r="BU53" i="17"/>
  <c r="BU37" i="17"/>
  <c r="BU34" i="17"/>
  <c r="BU66" i="17"/>
  <c r="BU52" i="17"/>
  <c r="BU50" i="17"/>
  <c r="BU44" i="17"/>
  <c r="BU33" i="17"/>
  <c r="BU64" i="17"/>
  <c r="BU39" i="17"/>
  <c r="BU38" i="17"/>
  <c r="BU51" i="17"/>
  <c r="BU45" i="17"/>
  <c r="X71" i="18"/>
  <c r="X96" i="17" s="1"/>
  <c r="X70" i="18"/>
  <c r="X95" i="17" s="1"/>
  <c r="X91" i="17"/>
  <c r="DP42" i="17"/>
  <c r="BM59" i="17"/>
  <c r="BM60" i="17"/>
  <c r="BM56" i="17"/>
  <c r="BM48" i="17"/>
  <c r="BM64" i="17"/>
  <c r="BM49" i="17"/>
  <c r="BM54" i="17"/>
  <c r="BM55" i="17"/>
  <c r="BM43" i="17"/>
  <c r="BM42" i="17"/>
  <c r="BM35" i="17"/>
  <c r="BM52" i="17"/>
  <c r="BM36" i="17"/>
  <c r="BM65" i="17"/>
  <c r="BM51" i="17"/>
  <c r="BM50" i="17"/>
  <c r="BM37" i="17"/>
  <c r="BM66" i="17"/>
  <c r="BM53" i="17"/>
  <c r="BM47" i="17"/>
  <c r="BM34" i="17"/>
  <c r="BM58" i="17"/>
  <c r="BM57" i="17"/>
  <c r="BM45" i="17"/>
  <c r="BM41" i="17"/>
  <c r="BM62" i="17"/>
  <c r="BM29" i="17"/>
  <c r="BM25" i="17"/>
  <c r="BM21" i="17"/>
  <c r="BM17" i="17"/>
  <c r="BM13" i="17"/>
  <c r="BM9" i="17"/>
  <c r="BM61" i="17"/>
  <c r="BM39" i="17"/>
  <c r="S197" i="4"/>
  <c r="AD74" i="17"/>
  <c r="AW55" i="17"/>
  <c r="BA57" i="17"/>
  <c r="AW65" i="17"/>
  <c r="BX35" i="18"/>
  <c r="CV35" i="18"/>
  <c r="BW39" i="18"/>
  <c r="BX40" i="18"/>
  <c r="CV40" i="18"/>
  <c r="BW34" i="18"/>
  <c r="CV37" i="18"/>
  <c r="CV38" i="18"/>
  <c r="BW42" i="18"/>
  <c r="BX43" i="18"/>
  <c r="BW44" i="18"/>
  <c r="BW46" i="18"/>
  <c r="BX47" i="18"/>
  <c r="CV47" i="18"/>
  <c r="BX34" i="18"/>
  <c r="BW36" i="18"/>
  <c r="BX42" i="18"/>
  <c r="BX44" i="18"/>
  <c r="BW45" i="18"/>
  <c r="BX46" i="18"/>
  <c r="CV46" i="18"/>
  <c r="BX36" i="18"/>
  <c r="BX45" i="18"/>
  <c r="CV45" i="18"/>
  <c r="BW52" i="18"/>
  <c r="CV43" i="18"/>
  <c r="BW48" i="18"/>
  <c r="BW53" i="18"/>
  <c r="BX54" i="18"/>
  <c r="CV54" i="18"/>
  <c r="BW61" i="18"/>
  <c r="BX62" i="18"/>
  <c r="CV62" i="18"/>
  <c r="BW35" i="18"/>
  <c r="BW37" i="18"/>
  <c r="CV39" i="18"/>
  <c r="BW40" i="18"/>
  <c r="CV44" i="18"/>
  <c r="BW47" i="18"/>
  <c r="BX48" i="18"/>
  <c r="BX53" i="18"/>
  <c r="CV53" i="18"/>
  <c r="BW60" i="18"/>
  <c r="BX61" i="18"/>
  <c r="CV61" i="18"/>
  <c r="AG91" i="17"/>
  <c r="AG70" i="18"/>
  <c r="AG95" i="17" s="1"/>
  <c r="BX37" i="18"/>
  <c r="BW38" i="18"/>
  <c r="BW41" i="18"/>
  <c r="BW59" i="18"/>
  <c r="BX60" i="18"/>
  <c r="CV60" i="18"/>
  <c r="BX38" i="18"/>
  <c r="BX41" i="18"/>
  <c r="BW58" i="18"/>
  <c r="BX59" i="18"/>
  <c r="CV59" i="18"/>
  <c r="BX39" i="18"/>
  <c r="CV48" i="18"/>
  <c r="BX55" i="18"/>
  <c r="CV58" i="18"/>
  <c r="BX63" i="18"/>
  <c r="AG71" i="18"/>
  <c r="AG96" i="17" s="1"/>
  <c r="CV42" i="18"/>
  <c r="CV51" i="18"/>
  <c r="BX58" i="18"/>
  <c r="BX52" i="18"/>
  <c r="CV41" i="18"/>
  <c r="CV49" i="18"/>
  <c r="CV50" i="18"/>
  <c r="BW51" i="18"/>
  <c r="CV56" i="18"/>
  <c r="CV64" i="18"/>
  <c r="CV57" i="18"/>
  <c r="CV63" i="18"/>
  <c r="BX64" i="18"/>
  <c r="BW57" i="18"/>
  <c r="BX51" i="18"/>
  <c r="CV52" i="18"/>
  <c r="BX57" i="18"/>
  <c r="BW54" i="18"/>
  <c r="BW55" i="18"/>
  <c r="BW64" i="18"/>
  <c r="BW50" i="18"/>
  <c r="BW62" i="18"/>
  <c r="BW63" i="18"/>
  <c r="BX65" i="18"/>
  <c r="S75" i="17"/>
  <c r="AD72" i="17"/>
  <c r="AQ59" i="17"/>
  <c r="AQ66" i="17"/>
  <c r="AQ60" i="17"/>
  <c r="AQ61" i="17"/>
  <c r="AQ64" i="17"/>
  <c r="AQ50" i="17"/>
  <c r="AQ51" i="17"/>
  <c r="AQ43" i="17"/>
  <c r="AQ65" i="17"/>
  <c r="AQ56" i="17"/>
  <c r="AQ58" i="17"/>
  <c r="AQ55" i="17"/>
  <c r="AQ52" i="17"/>
  <c r="AQ47" i="17"/>
  <c r="AQ37" i="17"/>
  <c r="AQ62" i="17"/>
  <c r="AQ29" i="17"/>
  <c r="AQ25" i="17"/>
  <c r="AQ21" i="17"/>
  <c r="AQ17" i="17"/>
  <c r="AQ13" i="17"/>
  <c r="AQ9" i="17"/>
  <c r="AQ38" i="17"/>
  <c r="AQ39" i="17"/>
  <c r="AQ32" i="17"/>
  <c r="AQ28" i="17"/>
  <c r="AQ24" i="17"/>
  <c r="AQ20" i="17"/>
  <c r="AQ16" i="17"/>
  <c r="AQ12" i="17"/>
  <c r="AQ8" i="17"/>
  <c r="AQ53" i="17"/>
  <c r="AQ36" i="17"/>
  <c r="BJ64" i="17"/>
  <c r="BJ65" i="17"/>
  <c r="BJ59" i="17"/>
  <c r="BJ53" i="17"/>
  <c r="BJ45" i="17"/>
  <c r="BJ66" i="17"/>
  <c r="BJ54" i="17"/>
  <c r="BJ46" i="17"/>
  <c r="BJ61" i="17"/>
  <c r="BJ51" i="17"/>
  <c r="BJ47" i="17"/>
  <c r="BJ40" i="17"/>
  <c r="BJ55" i="17"/>
  <c r="BJ41" i="17"/>
  <c r="BJ33" i="17"/>
  <c r="BJ60" i="17"/>
  <c r="BJ34" i="17"/>
  <c r="BJ56" i="17"/>
  <c r="BJ44" i="17"/>
  <c r="BJ39" i="17"/>
  <c r="CD58" i="17"/>
  <c r="CD59" i="17"/>
  <c r="CD60" i="17"/>
  <c r="CD61" i="17"/>
  <c r="CD64" i="17"/>
  <c r="CD49" i="17"/>
  <c r="CD50" i="17"/>
  <c r="CD42" i="17"/>
  <c r="CD55" i="17"/>
  <c r="CD43" i="17"/>
  <c r="CD36" i="17"/>
  <c r="P256" i="4"/>
  <c r="CD56" i="17"/>
  <c r="CD54" i="17"/>
  <c r="CD53" i="17"/>
  <c r="CD37" i="17"/>
  <c r="CD65" i="17"/>
  <c r="CD57" i="17"/>
  <c r="CD38" i="17"/>
  <c r="CD66" i="17"/>
  <c r="CD48" i="17"/>
  <c r="CD47" i="17"/>
  <c r="CD35" i="17"/>
  <c r="CD67" i="17"/>
  <c r="CD62" i="17"/>
  <c r="CD31" i="17"/>
  <c r="CD29" i="17"/>
  <c r="CD27" i="17"/>
  <c r="CD25" i="17"/>
  <c r="CD23" i="17"/>
  <c r="CD21" i="17"/>
  <c r="CD19" i="17"/>
  <c r="CH66" i="17"/>
  <c r="CH64" i="17"/>
  <c r="CH65" i="17"/>
  <c r="CH61" i="17"/>
  <c r="CH53" i="17"/>
  <c r="CH45" i="17"/>
  <c r="CH57" i="17"/>
  <c r="CH54" i="17"/>
  <c r="CH46" i="17"/>
  <c r="CH51" i="17"/>
  <c r="CH40" i="17"/>
  <c r="CH50" i="17"/>
  <c r="CH49" i="17"/>
  <c r="CH41" i="17"/>
  <c r="CH33" i="17"/>
  <c r="CH63" i="17"/>
  <c r="CH30" i="17"/>
  <c r="CH26" i="17"/>
  <c r="CH22" i="17"/>
  <c r="CH18" i="17"/>
  <c r="CH14" i="17"/>
  <c r="CH10" i="17"/>
  <c r="CH6" i="17"/>
  <c r="CH60" i="17"/>
  <c r="CH58" i="17"/>
  <c r="CH44" i="17"/>
  <c r="CH34" i="17"/>
  <c r="CH52" i="17"/>
  <c r="CH39" i="17"/>
  <c r="CH67" i="17"/>
  <c r="CH31" i="17"/>
  <c r="CH27" i="17"/>
  <c r="CH23" i="17"/>
  <c r="CH19" i="17"/>
  <c r="CH15" i="17"/>
  <c r="CH11" i="17"/>
  <c r="CH7" i="17"/>
  <c r="O91" i="17"/>
  <c r="O76" i="17"/>
  <c r="O96" i="17" s="1"/>
  <c r="O75" i="17"/>
  <c r="O95" i="17" s="1"/>
  <c r="BW56" i="18"/>
  <c r="BX50" i="18"/>
  <c r="AR49" i="17"/>
  <c r="AR53" i="17"/>
  <c r="AR56" i="17"/>
  <c r="I75" i="17"/>
  <c r="I95" i="17" s="1"/>
  <c r="BT66" i="17"/>
  <c r="BT58" i="17"/>
  <c r="BT59" i="17"/>
  <c r="BT61" i="17"/>
  <c r="BT55" i="17"/>
  <c r="BT47" i="17"/>
  <c r="BT65" i="17"/>
  <c r="BT56" i="17"/>
  <c r="BT48" i="17"/>
  <c r="BT64" i="17"/>
  <c r="BT53" i="17"/>
  <c r="BT60" i="17"/>
  <c r="BT54" i="17"/>
  <c r="BT34" i="17"/>
  <c r="BT62" i="17"/>
  <c r="BT29" i="17"/>
  <c r="BT25" i="17"/>
  <c r="BT21" i="17"/>
  <c r="BT17" i="17"/>
  <c r="BT13" i="17"/>
  <c r="BT9" i="17"/>
  <c r="BT57" i="17"/>
  <c r="BT42" i="17"/>
  <c r="BT35" i="17"/>
  <c r="BT43" i="17"/>
  <c r="BT36" i="17"/>
  <c r="F302" i="4"/>
  <c r="BT32" i="17"/>
  <c r="BT28" i="17"/>
  <c r="BT24" i="17"/>
  <c r="BT20" i="17"/>
  <c r="BT16" i="17"/>
  <c r="BT12" i="17"/>
  <c r="BT8" i="17"/>
  <c r="BT45" i="17"/>
  <c r="BT44" i="17"/>
  <c r="BT41" i="17"/>
  <c r="BT33" i="17"/>
  <c r="CW66" i="17"/>
  <c r="CW61" i="17"/>
  <c r="CW64" i="17"/>
  <c r="CW65" i="17"/>
  <c r="CW52" i="17"/>
  <c r="CW44" i="17"/>
  <c r="CW59" i="17"/>
  <c r="CW58" i="17"/>
  <c r="CW53" i="17"/>
  <c r="CW45" i="17"/>
  <c r="CW57" i="17"/>
  <c r="CW50" i="17"/>
  <c r="CW39" i="17"/>
  <c r="CW32" i="17"/>
  <c r="CW28" i="17"/>
  <c r="CW24" i="17"/>
  <c r="CW20" i="17"/>
  <c r="CW16" i="17"/>
  <c r="CW12" i="17"/>
  <c r="CW8" i="17"/>
  <c r="CW40" i="17"/>
  <c r="CW55" i="17"/>
  <c r="CW54" i="17"/>
  <c r="CW46" i="17"/>
  <c r="CW41" i="17"/>
  <c r="CW33" i="17"/>
  <c r="CW67" i="17"/>
  <c r="CW31" i="17"/>
  <c r="CW27" i="17"/>
  <c r="CW23" i="17"/>
  <c r="CW19" i="17"/>
  <c r="CW15" i="17"/>
  <c r="CW11" i="17"/>
  <c r="CW7" i="17"/>
  <c r="CW51" i="17"/>
  <c r="CW48" i="17"/>
  <c r="CW43" i="17"/>
  <c r="CW38" i="17"/>
  <c r="DD66" i="17"/>
  <c r="DD60" i="17"/>
  <c r="DD61" i="17"/>
  <c r="DD64" i="17"/>
  <c r="DD65" i="17"/>
  <c r="DD51" i="17"/>
  <c r="DD52" i="17"/>
  <c r="DD44" i="17"/>
  <c r="DD57" i="17"/>
  <c r="DD48" i="17"/>
  <c r="DD43" i="17"/>
  <c r="DD38" i="17"/>
  <c r="DD39" i="17"/>
  <c r="DD40" i="17"/>
  <c r="DD50" i="17"/>
  <c r="DD47" i="17"/>
  <c r="DD45" i="17"/>
  <c r="DD42" i="17"/>
  <c r="DD37" i="17"/>
  <c r="DK66" i="17"/>
  <c r="DK59" i="17"/>
  <c r="DK60" i="17"/>
  <c r="DK61" i="17"/>
  <c r="DK64" i="17"/>
  <c r="DK50" i="17"/>
  <c r="DK57" i="17"/>
  <c r="DK51" i="17"/>
  <c r="DK43" i="17"/>
  <c r="DK56" i="17"/>
  <c r="DK58" i="17"/>
  <c r="DK49" i="17"/>
  <c r="DK37" i="17"/>
  <c r="DK65" i="17"/>
  <c r="DK45" i="17"/>
  <c r="DK42" i="17"/>
  <c r="DK38" i="17"/>
  <c r="DK52" i="17"/>
  <c r="DK48" i="17"/>
  <c r="DK47" i="17"/>
  <c r="DK44" i="17"/>
  <c r="DK39" i="17"/>
  <c r="DK55" i="17"/>
  <c r="DK53" i="17"/>
  <c r="DK36" i="17"/>
  <c r="AB75" i="17"/>
  <c r="AR60" i="17"/>
  <c r="AR61" i="17"/>
  <c r="AR64" i="17"/>
  <c r="AR65" i="17"/>
  <c r="AR51" i="17"/>
  <c r="AR52" i="17"/>
  <c r="AR44" i="17"/>
  <c r="AR57" i="17"/>
  <c r="AR38" i="17"/>
  <c r="AR39" i="17"/>
  <c r="AR32" i="17"/>
  <c r="AR28" i="17"/>
  <c r="AR24" i="17"/>
  <c r="AR20" i="17"/>
  <c r="AR16" i="17"/>
  <c r="AR12" i="17"/>
  <c r="AR8" i="17"/>
  <c r="AR54" i="17"/>
  <c r="AR46" i="17"/>
  <c r="AR40" i="17"/>
  <c r="AR59" i="17"/>
  <c r="AR58" i="17"/>
  <c r="AR55" i="17"/>
  <c r="AR47" i="17"/>
  <c r="AR37" i="17"/>
  <c r="AR62" i="17"/>
  <c r="AR29" i="17"/>
  <c r="AR25" i="17"/>
  <c r="AR21" i="17"/>
  <c r="AR17" i="17"/>
  <c r="AR13" i="17"/>
  <c r="AR9" i="17"/>
  <c r="AW59" i="17"/>
  <c r="AW60" i="17"/>
  <c r="AW56" i="17"/>
  <c r="AW48" i="17"/>
  <c r="AW66" i="17"/>
  <c r="AW64" i="17"/>
  <c r="AW57" i="17"/>
  <c r="AW49" i="17"/>
  <c r="AW58" i="17"/>
  <c r="AW54" i="17"/>
  <c r="AW35" i="17"/>
  <c r="AW45" i="17"/>
  <c r="AW44" i="17"/>
  <c r="AW36" i="17"/>
  <c r="AW53" i="17"/>
  <c r="AW37" i="17"/>
  <c r="AW46" i="17"/>
  <c r="AW42" i="17"/>
  <c r="AW34" i="17"/>
  <c r="BA61" i="17"/>
  <c r="BA64" i="17"/>
  <c r="BA66" i="17"/>
  <c r="BA65" i="17"/>
  <c r="BA60" i="17"/>
  <c r="BA52" i="17"/>
  <c r="BA44" i="17"/>
  <c r="BA53" i="17"/>
  <c r="BA45" i="17"/>
  <c r="BA50" i="17"/>
  <c r="BA39" i="17"/>
  <c r="BA58" i="17"/>
  <c r="BA40" i="17"/>
  <c r="BA59" i="17"/>
  <c r="BA51" i="17"/>
  <c r="BA41" i="17"/>
  <c r="BA33" i="17"/>
  <c r="BA55" i="17"/>
  <c r="BA47" i="17"/>
  <c r="BA38" i="17"/>
  <c r="CO61" i="17"/>
  <c r="CO64" i="17"/>
  <c r="CO65" i="17"/>
  <c r="CO52" i="17"/>
  <c r="CO44" i="17"/>
  <c r="CO60" i="17"/>
  <c r="CO53" i="17"/>
  <c r="CO45" i="17"/>
  <c r="CO66" i="17"/>
  <c r="CO59" i="17"/>
  <c r="CO50" i="17"/>
  <c r="CO56" i="17"/>
  <c r="CO55" i="17"/>
  <c r="CO54" i="17"/>
  <c r="CO39" i="17"/>
  <c r="CO46" i="17"/>
  <c r="CO40" i="17"/>
  <c r="CO57" i="17"/>
  <c r="CO41" i="17"/>
  <c r="CO33" i="17"/>
  <c r="CO38" i="17"/>
  <c r="BX53" i="17"/>
  <c r="AU65" i="17"/>
  <c r="AU58" i="17"/>
  <c r="AU54" i="17"/>
  <c r="AU46" i="17"/>
  <c r="AU59" i="17"/>
  <c r="AU55" i="17"/>
  <c r="AU47" i="17"/>
  <c r="AU66" i="17"/>
  <c r="AU61" i="17"/>
  <c r="AU52" i="17"/>
  <c r="AY59" i="17"/>
  <c r="AY66" i="17"/>
  <c r="AY60" i="17"/>
  <c r="AY61" i="17"/>
  <c r="AY64" i="17"/>
  <c r="AY50" i="17"/>
  <c r="AY51" i="17"/>
  <c r="AY43" i="17"/>
  <c r="AY56" i="17"/>
  <c r="CS66" i="17"/>
  <c r="CS57" i="17"/>
  <c r="CS59" i="17"/>
  <c r="CS60" i="17"/>
  <c r="CS61" i="17"/>
  <c r="CS65" i="17"/>
  <c r="CS56" i="17"/>
  <c r="CS48" i="17"/>
  <c r="CS49" i="17"/>
  <c r="CS54" i="17"/>
  <c r="EA66" i="17"/>
  <c r="EA59" i="17"/>
  <c r="EA60" i="17"/>
  <c r="EA61" i="17"/>
  <c r="EA64" i="17"/>
  <c r="EA65" i="17"/>
  <c r="EA50" i="17"/>
  <c r="EA51" i="17"/>
  <c r="EA43" i="17"/>
  <c r="EA56" i="17"/>
  <c r="AT49" i="17"/>
  <c r="CL53" i="17"/>
  <c r="AT56" i="17"/>
  <c r="BX59" i="17"/>
  <c r="AO59" i="17"/>
  <c r="AO60" i="17"/>
  <c r="AO65" i="17"/>
  <c r="AO56" i="17"/>
  <c r="AO48" i="17"/>
  <c r="AO61" i="17"/>
  <c r="AO57" i="17"/>
  <c r="AO49" i="17"/>
  <c r="AO54" i="17"/>
  <c r="CK66" i="17"/>
  <c r="CK57" i="17"/>
  <c r="CK59" i="17"/>
  <c r="CK60" i="17"/>
  <c r="CK56" i="17"/>
  <c r="CK48" i="17"/>
  <c r="CK49" i="17"/>
  <c r="CK54" i="17"/>
  <c r="AZ60" i="17"/>
  <c r="AZ61" i="17"/>
  <c r="AZ64" i="17"/>
  <c r="AZ65" i="17"/>
  <c r="AZ51" i="17"/>
  <c r="AZ52" i="17"/>
  <c r="AZ44" i="17"/>
  <c r="AZ59" i="17"/>
  <c r="AZ57" i="17"/>
  <c r="DL66" i="17"/>
  <c r="DL60" i="17"/>
  <c r="DL61" i="17"/>
  <c r="DL64" i="17"/>
  <c r="DL65" i="17"/>
  <c r="DL57" i="17"/>
  <c r="DL51" i="17"/>
  <c r="DL43" i="17"/>
  <c r="DL52" i="17"/>
  <c r="DL44" i="17"/>
  <c r="DL59" i="17"/>
  <c r="DL58" i="17"/>
  <c r="BX49" i="17"/>
  <c r="AT50" i="17"/>
  <c r="BX50" i="17"/>
  <c r="AU56" i="17"/>
  <c r="AT57" i="17"/>
  <c r="CS64" i="17"/>
  <c r="J75" i="17"/>
  <c r="J95" i="17" s="1"/>
  <c r="J76" i="17"/>
  <c r="J96" i="17" s="1"/>
  <c r="CX64" i="17"/>
  <c r="CX65" i="17"/>
  <c r="CX59" i="17"/>
  <c r="CX58" i="17"/>
  <c r="CX53" i="17"/>
  <c r="CX45" i="17"/>
  <c r="CX54" i="17"/>
  <c r="CX46" i="17"/>
  <c r="CX51" i="17"/>
  <c r="DE61" i="17"/>
  <c r="DE64" i="17"/>
  <c r="DE65" i="17"/>
  <c r="DE66" i="17"/>
  <c r="DE52" i="17"/>
  <c r="DE44" i="17"/>
  <c r="DE53" i="17"/>
  <c r="DE45" i="17"/>
  <c r="DE60" i="17"/>
  <c r="DE57" i="17"/>
  <c r="DE50" i="17"/>
  <c r="AT66" i="17"/>
  <c r="AT64" i="17"/>
  <c r="AT65" i="17"/>
  <c r="AT61" i="17"/>
  <c r="AT58" i="17"/>
  <c r="AT53" i="17"/>
  <c r="AT45" i="17"/>
  <c r="AT54" i="17"/>
  <c r="AT46" i="17"/>
  <c r="AT51" i="17"/>
  <c r="BX60" i="17"/>
  <c r="BX61" i="17"/>
  <c r="BX64" i="17"/>
  <c r="BX65" i="17"/>
  <c r="BX66" i="17"/>
  <c r="BX51" i="17"/>
  <c r="BX57" i="17"/>
  <c r="BX52" i="17"/>
  <c r="BX44" i="17"/>
  <c r="CL58" i="17"/>
  <c r="CL59" i="17"/>
  <c r="CL60" i="17"/>
  <c r="CL61" i="17"/>
  <c r="CL49" i="17"/>
  <c r="CL64" i="17"/>
  <c r="CL50" i="17"/>
  <c r="CL42" i="17"/>
  <c r="CL55" i="17"/>
  <c r="BI61" i="17"/>
  <c r="BI64" i="17"/>
  <c r="BI66" i="17"/>
  <c r="BI65" i="17"/>
  <c r="BS65" i="17"/>
  <c r="BS57" i="17"/>
  <c r="BS66" i="17"/>
  <c r="BS58" i="17"/>
  <c r="DB66" i="17"/>
  <c r="DB58" i="17"/>
  <c r="DB59" i="17"/>
  <c r="DB60" i="17"/>
  <c r="DB61" i="17"/>
  <c r="BI36" i="18"/>
  <c r="BJ37" i="18"/>
  <c r="BI34" i="18"/>
  <c r="BJ35" i="18"/>
  <c r="BI41" i="18"/>
  <c r="BJ42" i="18"/>
  <c r="BI48" i="18"/>
  <c r="BJ49" i="18"/>
  <c r="BI47" i="18"/>
  <c r="BJ48" i="18"/>
  <c r="BI37" i="18"/>
  <c r="BI38" i="18"/>
  <c r="BI40" i="18"/>
  <c r="BJ41" i="18"/>
  <c r="BI46" i="18"/>
  <c r="BJ47" i="18"/>
  <c r="BJ38" i="18"/>
  <c r="BI39" i="18"/>
  <c r="BJ40" i="18"/>
  <c r="BI43" i="18"/>
  <c r="BJ46" i="18"/>
  <c r="BJ36" i="18"/>
  <c r="BJ45" i="18"/>
  <c r="BI55" i="18"/>
  <c r="BJ56" i="18"/>
  <c r="BI63" i="18"/>
  <c r="BJ64" i="18"/>
  <c r="BI50" i="18"/>
  <c r="BI51" i="18"/>
  <c r="BI52" i="18"/>
  <c r="BI54" i="18"/>
  <c r="BJ55" i="18"/>
  <c r="BI62" i="18"/>
  <c r="BJ63" i="18"/>
  <c r="BI35" i="18"/>
  <c r="BI49" i="18"/>
  <c r="BJ50" i="18"/>
  <c r="BJ51" i="18"/>
  <c r="BJ52" i="18"/>
  <c r="BI53" i="18"/>
  <c r="BJ54" i="18"/>
  <c r="BI61" i="18"/>
  <c r="BJ62" i="18"/>
  <c r="BJ53" i="18"/>
  <c r="BI60" i="18"/>
  <c r="BJ61" i="18"/>
  <c r="BI45" i="18"/>
  <c r="Z71" i="18"/>
  <c r="Z96" i="17" s="1"/>
  <c r="BJ39" i="18"/>
  <c r="BI57" i="18"/>
  <c r="BI65" i="18"/>
  <c r="BI44" i="18"/>
  <c r="BI56" i="18"/>
  <c r="BJ57" i="18"/>
  <c r="BI64" i="18"/>
  <c r="BJ65" i="18"/>
  <c r="CN52" i="17"/>
  <c r="CA55" i="17"/>
  <c r="DB57" i="17"/>
  <c r="BI59" i="17"/>
  <c r="CA60" i="17"/>
  <c r="BS61" i="17"/>
  <c r="AS61" i="17"/>
  <c r="AS64" i="17"/>
  <c r="AS65" i="17"/>
  <c r="AS66" i="17"/>
  <c r="BN58" i="17"/>
  <c r="BN59" i="17"/>
  <c r="BN60" i="17"/>
  <c r="BN66" i="17"/>
  <c r="BN61" i="17"/>
  <c r="BV58" i="17"/>
  <c r="BV59" i="17"/>
  <c r="BV60" i="17"/>
  <c r="BV66" i="17"/>
  <c r="BV61" i="17"/>
  <c r="BZ66" i="17"/>
  <c r="BZ64" i="17"/>
  <c r="BZ65" i="17"/>
  <c r="CN51" i="17"/>
  <c r="CA54" i="17"/>
  <c r="BW66" i="17"/>
  <c r="BW59" i="17"/>
  <c r="BW60" i="17"/>
  <c r="BW61" i="17"/>
  <c r="BW64" i="17"/>
  <c r="CI65" i="17"/>
  <c r="CI57" i="17"/>
  <c r="CI58" i="17"/>
  <c r="Q71" i="18"/>
  <c r="Q96" i="17" s="1"/>
  <c r="Q70" i="18"/>
  <c r="Q95" i="17" s="1"/>
  <c r="BI42" i="18"/>
  <c r="CA65" i="17"/>
  <c r="CA57" i="17"/>
  <c r="CA58" i="17"/>
  <c r="CN60" i="17"/>
  <c r="CN66" i="17"/>
  <c r="CN61" i="17"/>
  <c r="CN64" i="17"/>
  <c r="CN65" i="17"/>
  <c r="AS36" i="18"/>
  <c r="AT37" i="18"/>
  <c r="AS34" i="18"/>
  <c r="AT35" i="18"/>
  <c r="AS41" i="18"/>
  <c r="AT42" i="18"/>
  <c r="AT39" i="18"/>
  <c r="AS48" i="18"/>
  <c r="AT49" i="18"/>
  <c r="AS47" i="18"/>
  <c r="AT48" i="18"/>
  <c r="AS46" i="18"/>
  <c r="AT47" i="18"/>
  <c r="AT46" i="18"/>
  <c r="AT36" i="18"/>
  <c r="AS55" i="18"/>
  <c r="AT56" i="18"/>
  <c r="AS63" i="18"/>
  <c r="AT64" i="18"/>
  <c r="AS54" i="18"/>
  <c r="AT55" i="18"/>
  <c r="AS62" i="18"/>
  <c r="AT63" i="18"/>
  <c r="AS35" i="18"/>
  <c r="AT54" i="18"/>
  <c r="AS61" i="18"/>
  <c r="AT62" i="18"/>
  <c r="AS42" i="18"/>
  <c r="AS43" i="18"/>
  <c r="AS50" i="18"/>
  <c r="AS51" i="18"/>
  <c r="AS52" i="18"/>
  <c r="AS53" i="18"/>
  <c r="AS60" i="18"/>
  <c r="AT61" i="18"/>
  <c r="AS44" i="18"/>
  <c r="AS39" i="18"/>
  <c r="BQ37" i="18"/>
  <c r="BQ38" i="18"/>
  <c r="BQ48" i="18"/>
  <c r="BR38" i="18"/>
  <c r="BQ39" i="18"/>
  <c r="BQ40" i="18"/>
  <c r="BR41" i="18"/>
  <c r="BQ47" i="18"/>
  <c r="BR48" i="18"/>
  <c r="BR39" i="18"/>
  <c r="BR40" i="18"/>
  <c r="BQ43" i="18"/>
  <c r="BQ46" i="18"/>
  <c r="BR47" i="18"/>
  <c r="BQ35" i="18"/>
  <c r="BQ42" i="18"/>
  <c r="BR43" i="18"/>
  <c r="BQ44" i="18"/>
  <c r="BQ45" i="18"/>
  <c r="BR46" i="18"/>
  <c r="BR49" i="18"/>
  <c r="BQ50" i="18"/>
  <c r="BQ52" i="18"/>
  <c r="BQ55" i="18"/>
  <c r="BR56" i="18"/>
  <c r="BQ63" i="18"/>
  <c r="BR64" i="18"/>
  <c r="BR50" i="18"/>
  <c r="BQ51" i="18"/>
  <c r="BR52" i="18"/>
  <c r="BQ54" i="18"/>
  <c r="BR55" i="18"/>
  <c r="BQ62" i="18"/>
  <c r="BR63" i="18"/>
  <c r="BR51" i="18"/>
  <c r="BQ53" i="18"/>
  <c r="BR54" i="18"/>
  <c r="BQ61" i="18"/>
  <c r="BR62" i="18"/>
  <c r="BR44" i="18"/>
  <c r="BR53" i="18"/>
  <c r="BQ60" i="18"/>
  <c r="BR61" i="18"/>
  <c r="AT45" i="18"/>
  <c r="CP37" i="18"/>
  <c r="BK38" i="18"/>
  <c r="BL39" i="18"/>
  <c r="CP35" i="18"/>
  <c r="CP34" i="18"/>
  <c r="BK35" i="18"/>
  <c r="BL36" i="18"/>
  <c r="CP42" i="18"/>
  <c r="BK43" i="18"/>
  <c r="BL44" i="18"/>
  <c r="BL34" i="18"/>
  <c r="BK36" i="18"/>
  <c r="CP41" i="18"/>
  <c r="CP36" i="18"/>
  <c r="CP43" i="18"/>
  <c r="CP44" i="18"/>
  <c r="CP48" i="18"/>
  <c r="BK49" i="18"/>
  <c r="BL50" i="18"/>
  <c r="CP47" i="18"/>
  <c r="BK48" i="18"/>
  <c r="BL49" i="18"/>
  <c r="BK37" i="18"/>
  <c r="BK41" i="18"/>
  <c r="CP46" i="18"/>
  <c r="BK47" i="18"/>
  <c r="BK44" i="18"/>
  <c r="CP56" i="18"/>
  <c r="BK57" i="18"/>
  <c r="BL58" i="18"/>
  <c r="CP64" i="18"/>
  <c r="BK65" i="18"/>
  <c r="AA71" i="18"/>
  <c r="AA96" i="17" s="1"/>
  <c r="BK40" i="18"/>
  <c r="BK45" i="18"/>
  <c r="BL47" i="18"/>
  <c r="CP55" i="18"/>
  <c r="BK56" i="18"/>
  <c r="BL57" i="18"/>
  <c r="CP63" i="18"/>
  <c r="BK64" i="18"/>
  <c r="BL65" i="18"/>
  <c r="BL40" i="18"/>
  <c r="BL41" i="18"/>
  <c r="BL45" i="18"/>
  <c r="CP54" i="18"/>
  <c r="BK55" i="18"/>
  <c r="BL56" i="18"/>
  <c r="CP62" i="18"/>
  <c r="BK63" i="18"/>
  <c r="BL64" i="18"/>
  <c r="BL35" i="18"/>
  <c r="CP39" i="18"/>
  <c r="BK50" i="18"/>
  <c r="BK51" i="18"/>
  <c r="BK52" i="18"/>
  <c r="CP53" i="18"/>
  <c r="BK54" i="18"/>
  <c r="BL55" i="18"/>
  <c r="CP61" i="18"/>
  <c r="BK62" i="18"/>
  <c r="BL63" i="18"/>
  <c r="AR35" i="18"/>
  <c r="CF35" i="18"/>
  <c r="AQ39" i="18"/>
  <c r="AR40" i="18"/>
  <c r="CF40" i="18"/>
  <c r="CF34" i="18"/>
  <c r="CF36" i="18"/>
  <c r="CF42" i="18"/>
  <c r="CF44" i="18"/>
  <c r="AQ46" i="18"/>
  <c r="AR47" i="18"/>
  <c r="CF47" i="18"/>
  <c r="AQ34" i="18"/>
  <c r="AR46" i="18"/>
  <c r="CF46" i="18"/>
  <c r="AQ53" i="18"/>
  <c r="AR34" i="18"/>
  <c r="AQ41" i="18"/>
  <c r="CF45" i="18"/>
  <c r="AQ52" i="18"/>
  <c r="AQ35" i="18"/>
  <c r="AQ36" i="18"/>
  <c r="CF37" i="18"/>
  <c r="CF38" i="18"/>
  <c r="AQ40" i="18"/>
  <c r="AR41" i="18"/>
  <c r="AQ43" i="18"/>
  <c r="CF41" i="18"/>
  <c r="AQ48" i="18"/>
  <c r="CF48" i="18"/>
  <c r="AR54" i="18"/>
  <c r="CF54" i="18"/>
  <c r="AQ61" i="18"/>
  <c r="AR62" i="18"/>
  <c r="CF62" i="18"/>
  <c r="CF39" i="18"/>
  <c r="AQ42" i="18"/>
  <c r="AR48" i="18"/>
  <c r="AQ50" i="18"/>
  <c r="AQ51" i="18"/>
  <c r="CF53" i="18"/>
  <c r="AQ60" i="18"/>
  <c r="AR61" i="18"/>
  <c r="CF61" i="18"/>
  <c r="AQ37" i="18"/>
  <c r="AR42" i="18"/>
  <c r="AR43" i="18"/>
  <c r="AR50" i="18"/>
  <c r="AR51" i="18"/>
  <c r="AR52" i="18"/>
  <c r="AR53" i="18"/>
  <c r="AQ59" i="18"/>
  <c r="AR60" i="18"/>
  <c r="CF60" i="18"/>
  <c r="AR37" i="18"/>
  <c r="AQ38" i="18"/>
  <c r="CF43" i="18"/>
  <c r="AQ44" i="18"/>
  <c r="AQ49" i="18"/>
  <c r="AQ58" i="18"/>
  <c r="AR59" i="18"/>
  <c r="CF59" i="18"/>
  <c r="AK66" i="18"/>
  <c r="AK67" i="18"/>
  <c r="L66" i="18"/>
  <c r="L67" i="18"/>
  <c r="R66" i="18"/>
  <c r="BU34" i="18"/>
  <c r="BV36" i="18"/>
  <c r="BV45" i="18"/>
  <c r="BU51" i="18"/>
  <c r="BV52" i="18"/>
  <c r="BU50" i="18"/>
  <c r="BV51" i="18"/>
  <c r="BV37" i="18"/>
  <c r="BU38" i="18"/>
  <c r="BP39" i="18"/>
  <c r="BO40" i="18"/>
  <c r="BP41" i="18"/>
  <c r="BO43" i="18"/>
  <c r="BO46" i="18"/>
  <c r="BP47" i="18"/>
  <c r="BO42" i="18"/>
  <c r="BP43" i="18"/>
  <c r="BO44" i="18"/>
  <c r="BO45" i="18"/>
  <c r="BP46" i="18"/>
  <c r="BP42" i="18"/>
  <c r="BP44" i="18"/>
  <c r="BP45" i="18"/>
  <c r="BO52" i="18"/>
  <c r="BO36" i="18"/>
  <c r="AO34" i="18"/>
  <c r="AO37" i="18"/>
  <c r="AP38" i="18"/>
  <c r="AO45" i="18"/>
  <c r="AO41" i="18"/>
  <c r="AO35" i="18"/>
  <c r="AO36" i="18"/>
  <c r="AO40" i="18"/>
  <c r="AP41" i="18"/>
  <c r="AO43" i="18"/>
  <c r="AO51" i="18"/>
  <c r="AP52" i="18"/>
  <c r="AP35" i="18"/>
  <c r="AP36" i="18"/>
  <c r="AP40" i="18"/>
  <c r="AO42" i="18"/>
  <c r="AP43" i="18"/>
  <c r="AO44" i="18"/>
  <c r="AO50" i="18"/>
  <c r="AP51" i="18"/>
  <c r="AP37" i="18"/>
  <c r="AO38" i="18"/>
  <c r="AP42" i="18"/>
  <c r="AP44" i="18"/>
  <c r="AP45" i="18"/>
  <c r="BO48" i="18"/>
  <c r="AO47" i="18"/>
  <c r="CD36" i="18"/>
  <c r="BV34" i="18"/>
  <c r="AP34" i="18"/>
  <c r="BV41" i="18"/>
  <c r="BP38" i="18"/>
  <c r="BH35" i="18"/>
  <c r="CN35" i="18"/>
  <c r="BG39" i="18"/>
  <c r="BH40" i="18"/>
  <c r="CN40" i="18"/>
  <c r="BG37" i="18"/>
  <c r="BG38" i="18"/>
  <c r="BG41" i="18"/>
  <c r="BG46" i="18"/>
  <c r="BH47" i="18"/>
  <c r="CN47" i="18"/>
  <c r="BG34" i="18"/>
  <c r="BH37" i="18"/>
  <c r="BH38" i="18"/>
  <c r="BG40" i="18"/>
  <c r="BH41" i="18"/>
  <c r="BG43" i="18"/>
  <c r="BH46" i="18"/>
  <c r="CN46" i="18"/>
  <c r="BG53" i="18"/>
  <c r="BH34" i="18"/>
  <c r="CN37" i="18"/>
  <c r="CN38" i="18"/>
  <c r="BH39" i="18"/>
  <c r="BG42" i="18"/>
  <c r="BH43" i="18"/>
  <c r="BG44" i="18"/>
  <c r="BG45" i="18"/>
  <c r="CN45" i="18"/>
  <c r="BG52" i="18"/>
  <c r="BH42" i="18"/>
  <c r="BH44" i="18"/>
  <c r="BH45" i="18"/>
  <c r="BU41" i="18"/>
  <c r="BV40" i="18"/>
  <c r="BO38" i="18"/>
  <c r="BP37" i="18"/>
  <c r="BV35" i="18"/>
  <c r="CD38" i="18"/>
  <c r="CD45" i="18"/>
  <c r="CD37" i="18"/>
  <c r="CD52" i="18"/>
  <c r="CD51" i="18"/>
  <c r="CD35" i="18"/>
  <c r="CD39" i="18"/>
  <c r="BE34" i="18"/>
  <c r="BE37" i="18"/>
  <c r="BF38" i="18"/>
  <c r="BE45" i="18"/>
  <c r="BE39" i="18"/>
  <c r="BF40" i="18"/>
  <c r="BE42" i="18"/>
  <c r="BF43" i="18"/>
  <c r="BE44" i="18"/>
  <c r="BF39" i="18"/>
  <c r="BF42" i="18"/>
  <c r="BF44" i="18"/>
  <c r="BF45" i="18"/>
  <c r="BE51" i="18"/>
  <c r="BF52" i="18"/>
  <c r="BE50" i="18"/>
  <c r="BF51" i="18"/>
  <c r="BE35" i="18"/>
  <c r="BE36" i="18"/>
  <c r="CH37" i="18"/>
  <c r="AU38" i="18"/>
  <c r="AV39" i="18"/>
  <c r="CH35" i="18"/>
  <c r="AU36" i="18"/>
  <c r="CH34" i="18"/>
  <c r="AU35" i="18"/>
  <c r="AV36" i="18"/>
  <c r="CH42" i="18"/>
  <c r="AU43" i="18"/>
  <c r="AV44" i="18"/>
  <c r="AV34" i="18"/>
  <c r="AV37" i="18"/>
  <c r="AV38" i="18"/>
  <c r="CH40" i="18"/>
  <c r="CH41" i="18"/>
  <c r="AV42" i="18"/>
  <c r="AU44" i="18"/>
  <c r="AU45" i="18"/>
  <c r="AU39" i="18"/>
  <c r="CH43" i="18"/>
  <c r="AV45" i="18"/>
  <c r="CH48" i="18"/>
  <c r="AU49" i="18"/>
  <c r="AV50" i="18"/>
  <c r="CH36" i="18"/>
  <c r="CH44" i="18"/>
  <c r="CH47" i="18"/>
  <c r="AU48" i="18"/>
  <c r="AV49" i="18"/>
  <c r="CH46" i="18"/>
  <c r="AU47" i="18"/>
  <c r="BY36" i="18"/>
  <c r="BZ37" i="18"/>
  <c r="BY34" i="18"/>
  <c r="BZ35" i="18"/>
  <c r="BY41" i="18"/>
  <c r="BZ42" i="18"/>
  <c r="BP35" i="18"/>
  <c r="CQ38" i="18"/>
  <c r="CQ35" i="18"/>
  <c r="BO39" i="18"/>
  <c r="BP40" i="18"/>
  <c r="CQ43" i="18"/>
  <c r="BJ34" i="18"/>
  <c r="AZ35" i="18"/>
  <c r="CJ36" i="18"/>
  <c r="AY39" i="18"/>
  <c r="AZ40" i="18"/>
  <c r="CJ44" i="18"/>
  <c r="AT34" i="18"/>
  <c r="CC39" i="18"/>
  <c r="BT38" i="18"/>
  <c r="BT37" i="18"/>
  <c r="CQ36" i="18"/>
  <c r="CC35" i="18"/>
  <c r="BO35" i="18"/>
  <c r="BZ34" i="18"/>
  <c r="BS34" i="18"/>
  <c r="BM34" i="18"/>
  <c r="BM37" i="18"/>
  <c r="BN38" i="18"/>
  <c r="BM45" i="18"/>
  <c r="AW34" i="18"/>
  <c r="AW37" i="18"/>
  <c r="AX38" i="18"/>
  <c r="AW45" i="18"/>
  <c r="BZ40" i="18"/>
  <c r="CC38" i="18"/>
  <c r="AZ36" i="18"/>
  <c r="CQ34" i="18"/>
  <c r="BN34" i="18"/>
  <c r="BC38" i="18"/>
  <c r="BD39" i="18"/>
  <c r="BC36" i="18"/>
  <c r="BC35" i="18"/>
  <c r="BD36" i="18"/>
  <c r="CL38" i="18"/>
  <c r="BC43" i="18"/>
  <c r="BD44" i="18"/>
  <c r="AX34" i="18"/>
  <c r="BY35" i="18"/>
  <c r="BS38" i="18"/>
  <c r="BT39" i="18"/>
  <c r="BS35" i="18"/>
  <c r="BT36" i="18"/>
  <c r="CT38" i="18"/>
  <c r="BS43" i="18"/>
  <c r="BT44" i="18"/>
  <c r="BA36" i="18"/>
  <c r="BB37" i="18"/>
  <c r="BA34" i="18"/>
  <c r="BB35" i="18"/>
  <c r="BA41" i="18"/>
  <c r="BB42" i="18"/>
  <c r="BQ36" i="18"/>
  <c r="BR37" i="18"/>
  <c r="BQ34" i="18"/>
  <c r="BR35" i="18"/>
  <c r="BR34" i="18"/>
  <c r="CS37" i="18"/>
  <c r="BQ41" i="18"/>
  <c r="BR42" i="18"/>
  <c r="BV38" i="18"/>
  <c r="BU37" i="18"/>
  <c r="CC66" i="17" l="1"/>
  <c r="CC57" i="17"/>
  <c r="CC59" i="17"/>
  <c r="CC60" i="17"/>
  <c r="CC64" i="17"/>
  <c r="CC58" i="17"/>
  <c r="CC56" i="17"/>
  <c r="CC48" i="17"/>
  <c r="CC49" i="17"/>
  <c r="CC54" i="17"/>
  <c r="CC61" i="17"/>
  <c r="CC47" i="17"/>
  <c r="CC42" i="17"/>
  <c r="CC35" i="17"/>
  <c r="CC67" i="17"/>
  <c r="CC62" i="17"/>
  <c r="CC31" i="17"/>
  <c r="CC29" i="17"/>
  <c r="CC27" i="17"/>
  <c r="CC25" i="17"/>
  <c r="CC23" i="17"/>
  <c r="CC21" i="17"/>
  <c r="CC19" i="17"/>
  <c r="CC43" i="17"/>
  <c r="CC36" i="17"/>
  <c r="CC55" i="17"/>
  <c r="CC53" i="17"/>
  <c r="CC37" i="17"/>
  <c r="CC44" i="17"/>
  <c r="CC34" i="17"/>
  <c r="Q256" i="4"/>
  <c r="CC33" i="17"/>
  <c r="CC32" i="17"/>
  <c r="CC17" i="17"/>
  <c r="CC15" i="17"/>
  <c r="CC13" i="17"/>
  <c r="CC11" i="17"/>
  <c r="CC9" i="17"/>
  <c r="CC7" i="17"/>
  <c r="CC52" i="17"/>
  <c r="CC50" i="17"/>
  <c r="CC22" i="17"/>
  <c r="CC39" i="17"/>
  <c r="CC38" i="17"/>
  <c r="CC28" i="17"/>
  <c r="CC45" i="17"/>
  <c r="CC20" i="17"/>
  <c r="CC51" i="17"/>
  <c r="CC41" i="17"/>
  <c r="CC12" i="17"/>
  <c r="CC63" i="17"/>
  <c r="CC30" i="17"/>
  <c r="CC18" i="17"/>
  <c r="CC26" i="17"/>
  <c r="CC8" i="17"/>
  <c r="CC40" i="17"/>
  <c r="CC24" i="17"/>
  <c r="CC16" i="17"/>
  <c r="CC6" i="17"/>
  <c r="CC14" i="17"/>
  <c r="CC46" i="17"/>
  <c r="CC10" i="17"/>
  <c r="CC65" i="17"/>
  <c r="BE59" i="17"/>
  <c r="BE60" i="17"/>
  <c r="BE61" i="17"/>
  <c r="BE65" i="17"/>
  <c r="BE58" i="17"/>
  <c r="BE56" i="17"/>
  <c r="BE48" i="17"/>
  <c r="BE66" i="17"/>
  <c r="BE49" i="17"/>
  <c r="BE54" i="17"/>
  <c r="BE50" i="17"/>
  <c r="BE35" i="17"/>
  <c r="BE57" i="17"/>
  <c r="BE46" i="17"/>
  <c r="BE36" i="17"/>
  <c r="BE37" i="17"/>
  <c r="BE52" i="17"/>
  <c r="BE51" i="17"/>
  <c r="BE43" i="17"/>
  <c r="BE42" i="17"/>
  <c r="BE34" i="17"/>
  <c r="T139" i="4"/>
  <c r="BE55" i="17"/>
  <c r="BE53" i="17"/>
  <c r="BE40" i="17"/>
  <c r="BE33" i="17"/>
  <c r="BE64" i="17"/>
  <c r="BE41" i="17"/>
  <c r="BE63" i="17"/>
  <c r="BE30" i="17"/>
  <c r="BE26" i="17"/>
  <c r="BE22" i="17"/>
  <c r="BE18" i="17"/>
  <c r="BE14" i="17"/>
  <c r="BE10" i="17"/>
  <c r="BE6" i="17"/>
  <c r="BE44" i="17"/>
  <c r="BE38" i="17"/>
  <c r="BE47" i="17"/>
  <c r="BE29" i="17"/>
  <c r="BE21" i="17"/>
  <c r="BE13" i="17"/>
  <c r="BE39" i="17"/>
  <c r="BE19" i="17"/>
  <c r="BE62" i="17"/>
  <c r="BE17" i="17"/>
  <c r="BE28" i="17"/>
  <c r="BE20" i="17"/>
  <c r="BE12" i="17"/>
  <c r="BE45" i="17"/>
  <c r="BE67" i="17"/>
  <c r="BE27" i="17"/>
  <c r="BE11" i="17"/>
  <c r="BE9" i="17"/>
  <c r="BE32" i="17"/>
  <c r="BE24" i="17"/>
  <c r="BE16" i="17"/>
  <c r="BE8" i="17"/>
  <c r="BE31" i="17"/>
  <c r="BE23" i="17"/>
  <c r="BE15" i="17"/>
  <c r="BE7" i="17"/>
  <c r="BE25" i="17"/>
  <c r="CQ65" i="17"/>
  <c r="CQ66" i="17"/>
  <c r="CQ57" i="17"/>
  <c r="CQ58" i="17"/>
  <c r="CQ60" i="17"/>
  <c r="CQ54" i="17"/>
  <c r="CQ46" i="17"/>
  <c r="CQ61" i="17"/>
  <c r="CQ55" i="17"/>
  <c r="CQ47" i="17"/>
  <c r="CQ64" i="17"/>
  <c r="CQ52" i="17"/>
  <c r="CQ41" i="17"/>
  <c r="CQ33" i="17"/>
  <c r="CQ34" i="17"/>
  <c r="CQ50" i="17"/>
  <c r="CQ49" i="17"/>
  <c r="CQ45" i="17"/>
  <c r="CQ44" i="17"/>
  <c r="CQ35" i="17"/>
  <c r="CQ40" i="17"/>
  <c r="CQ48" i="17"/>
  <c r="CQ42" i="17"/>
  <c r="CQ43" i="17"/>
  <c r="CQ37" i="17"/>
  <c r="CQ29" i="17"/>
  <c r="CQ62" i="17"/>
  <c r="CQ22" i="17"/>
  <c r="CQ24" i="17"/>
  <c r="CQ26" i="17"/>
  <c r="CQ7" i="17"/>
  <c r="CQ9" i="17"/>
  <c r="CQ11" i="17"/>
  <c r="CQ13" i="17"/>
  <c r="CQ15" i="17"/>
  <c r="CQ17" i="17"/>
  <c r="CQ19" i="17"/>
  <c r="CQ21" i="17"/>
  <c r="CQ31" i="17"/>
  <c r="CQ59" i="17"/>
  <c r="CQ53" i="17"/>
  <c r="CQ39" i="17"/>
  <c r="CQ32" i="17"/>
  <c r="CQ23" i="17"/>
  <c r="CQ25" i="17"/>
  <c r="CQ27" i="17"/>
  <c r="CQ8" i="17"/>
  <c r="CQ10" i="17"/>
  <c r="CQ12" i="17"/>
  <c r="CQ14" i="17"/>
  <c r="CQ16" i="17"/>
  <c r="CQ18" i="17"/>
  <c r="CQ20" i="17"/>
  <c r="CQ28" i="17"/>
  <c r="CQ67" i="17"/>
  <c r="CQ56" i="17"/>
  <c r="CQ30" i="17"/>
  <c r="CQ6" i="17"/>
  <c r="CQ36" i="17"/>
  <c r="CQ51" i="17"/>
  <c r="CQ63" i="17"/>
  <c r="CQ38" i="17"/>
  <c r="BF58" i="17"/>
  <c r="BF59" i="17"/>
  <c r="BF60" i="17"/>
  <c r="BF66" i="17"/>
  <c r="BF61" i="17"/>
  <c r="BF65" i="17"/>
  <c r="BF49" i="17"/>
  <c r="BF57" i="17"/>
  <c r="BF50" i="17"/>
  <c r="BF42" i="17"/>
  <c r="BF55" i="17"/>
  <c r="BF46" i="17"/>
  <c r="BF36" i="17"/>
  <c r="BF37" i="17"/>
  <c r="BF56" i="17"/>
  <c r="BF54" i="17"/>
  <c r="BF48" i="17"/>
  <c r="BF45" i="17"/>
  <c r="BF44" i="17"/>
  <c r="BF38" i="17"/>
  <c r="BF35" i="17"/>
  <c r="BF53" i="17"/>
  <c r="BF52" i="17"/>
  <c r="BF40" i="17"/>
  <c r="BF33" i="17"/>
  <c r="S139" i="4"/>
  <c r="BF39" i="17"/>
  <c r="BF47" i="17"/>
  <c r="BF43" i="17"/>
  <c r="BF63" i="17"/>
  <c r="BF30" i="17"/>
  <c r="BF26" i="17"/>
  <c r="BF22" i="17"/>
  <c r="BF18" i="17"/>
  <c r="BF14" i="17"/>
  <c r="BF10" i="17"/>
  <c r="BF6" i="17"/>
  <c r="BF64" i="17"/>
  <c r="BF62" i="17"/>
  <c r="BF29" i="17"/>
  <c r="BF25" i="17"/>
  <c r="BF21" i="17"/>
  <c r="BF17" i="17"/>
  <c r="BF13" i="17"/>
  <c r="BF9" i="17"/>
  <c r="BF67" i="17"/>
  <c r="BF31" i="17"/>
  <c r="BF27" i="17"/>
  <c r="BF23" i="17"/>
  <c r="BF19" i="17"/>
  <c r="BF15" i="17"/>
  <c r="BF11" i="17"/>
  <c r="BF7" i="17"/>
  <c r="BF41" i="17"/>
  <c r="BF8" i="17"/>
  <c r="BF28" i="17"/>
  <c r="BF20" i="17"/>
  <c r="BF12" i="17"/>
  <c r="BF16" i="17"/>
  <c r="BF51" i="17"/>
  <c r="BF34" i="17"/>
  <c r="BF24" i="17"/>
  <c r="BF32" i="17"/>
  <c r="BL66" i="17"/>
  <c r="BL58" i="17"/>
  <c r="BL59" i="17"/>
  <c r="BL60" i="17"/>
  <c r="BL55" i="17"/>
  <c r="BL47" i="17"/>
  <c r="BL56" i="17"/>
  <c r="BL48" i="17"/>
  <c r="BL53" i="17"/>
  <c r="BL34" i="17"/>
  <c r="BL64" i="17"/>
  <c r="BL43" i="17"/>
  <c r="BL42" i="17"/>
  <c r="BL35" i="17"/>
  <c r="BL52" i="17"/>
  <c r="BL36" i="17"/>
  <c r="BL61" i="17"/>
  <c r="BL41" i="17"/>
  <c r="BL33" i="17"/>
  <c r="BL46" i="17"/>
  <c r="BL38" i="17"/>
  <c r="BL67" i="17"/>
  <c r="BL31" i="17"/>
  <c r="BL27" i="17"/>
  <c r="BL23" i="17"/>
  <c r="BL19" i="17"/>
  <c r="BL15" i="17"/>
  <c r="BL11" i="17"/>
  <c r="BL7" i="17"/>
  <c r="BL57" i="17"/>
  <c r="BL51" i="17"/>
  <c r="BL45" i="17"/>
  <c r="BL63" i="17"/>
  <c r="BL30" i="17"/>
  <c r="BL26" i="17"/>
  <c r="BL22" i="17"/>
  <c r="BL18" i="17"/>
  <c r="BL14" i="17"/>
  <c r="BL10" i="17"/>
  <c r="BL6" i="17"/>
  <c r="BL32" i="17"/>
  <c r="BL28" i="17"/>
  <c r="BL24" i="17"/>
  <c r="BL20" i="17"/>
  <c r="BL16" i="17"/>
  <c r="BL12" i="17"/>
  <c r="BL8" i="17"/>
  <c r="BL40" i="17"/>
  <c r="BL39" i="17"/>
  <c r="BL65" i="17"/>
  <c r="BL54" i="17"/>
  <c r="BL49" i="17"/>
  <c r="BL29" i="17"/>
  <c r="BL21" i="17"/>
  <c r="BL13" i="17"/>
  <c r="BL50" i="17"/>
  <c r="BL37" i="17"/>
  <c r="BL62" i="17"/>
  <c r="BL25" i="17"/>
  <c r="BL17" i="17"/>
  <c r="BL9" i="17"/>
  <c r="BL44" i="17"/>
  <c r="H197" i="4"/>
  <c r="BK66" i="17"/>
  <c r="BK65" i="17"/>
  <c r="BK57" i="17"/>
  <c r="BK58" i="17"/>
  <c r="BK54" i="17"/>
  <c r="BK46" i="17"/>
  <c r="BK60" i="17"/>
  <c r="BK55" i="17"/>
  <c r="BK47" i="17"/>
  <c r="BK52" i="17"/>
  <c r="BK61" i="17"/>
  <c r="BK53" i="17"/>
  <c r="BK41" i="17"/>
  <c r="BK33" i="17"/>
  <c r="BK34" i="17"/>
  <c r="BK64" i="17"/>
  <c r="BK43" i="17"/>
  <c r="BK42" i="17"/>
  <c r="BK35" i="17"/>
  <c r="BK40" i="17"/>
  <c r="BK56" i="17"/>
  <c r="BK39" i="17"/>
  <c r="BK38" i="17"/>
  <c r="BK67" i="17"/>
  <c r="BK31" i="17"/>
  <c r="BK27" i="17"/>
  <c r="BK23" i="17"/>
  <c r="BK19" i="17"/>
  <c r="BK15" i="17"/>
  <c r="BK11" i="17"/>
  <c r="BK7" i="17"/>
  <c r="BK49" i="17"/>
  <c r="BK48" i="17"/>
  <c r="BK44" i="17"/>
  <c r="BK32" i="17"/>
  <c r="BK24" i="17"/>
  <c r="BK16" i="17"/>
  <c r="BK8" i="17"/>
  <c r="BK30" i="17"/>
  <c r="BK22" i="17"/>
  <c r="BK14" i="17"/>
  <c r="BK6" i="17"/>
  <c r="BK36" i="17"/>
  <c r="BK59" i="17"/>
  <c r="BK51" i="17"/>
  <c r="I197" i="4"/>
  <c r="BK45" i="17"/>
  <c r="BK50" i="17"/>
  <c r="BK37" i="17"/>
  <c r="BK21" i="17"/>
  <c r="BK20" i="17"/>
  <c r="BK13" i="17"/>
  <c r="BK28" i="17"/>
  <c r="BK63" i="17"/>
  <c r="BK18" i="17"/>
  <c r="BK62" i="17"/>
  <c r="BK17" i="17"/>
  <c r="BK29" i="17"/>
  <c r="BK26" i="17"/>
  <c r="BK10" i="17"/>
  <c r="BK25" i="17"/>
  <c r="BK9" i="17"/>
  <c r="BK12" i="17"/>
  <c r="DZ66" i="17"/>
  <c r="DZ58" i="17"/>
  <c r="DZ59" i="17"/>
  <c r="DZ60" i="17"/>
  <c r="DZ61" i="17"/>
  <c r="DZ65" i="17"/>
  <c r="DZ49" i="17"/>
  <c r="DZ50" i="17"/>
  <c r="DZ42" i="17"/>
  <c r="DZ55" i="17"/>
  <c r="DZ54" i="17"/>
  <c r="DZ46" i="17"/>
  <c r="DZ36" i="17"/>
  <c r="DZ56" i="17"/>
  <c r="DZ37" i="17"/>
  <c r="DZ53" i="17"/>
  <c r="DZ38" i="17"/>
  <c r="DZ57" i="17"/>
  <c r="DZ35" i="17"/>
  <c r="DZ52" i="17"/>
  <c r="DZ48" i="17"/>
  <c r="DZ45" i="17"/>
  <c r="DZ33" i="17"/>
  <c r="DZ39" i="17"/>
  <c r="DZ44" i="17"/>
  <c r="DZ34" i="17"/>
  <c r="DZ40" i="17"/>
  <c r="DZ22" i="17"/>
  <c r="DZ24" i="17"/>
  <c r="DZ26" i="17"/>
  <c r="DZ7" i="17"/>
  <c r="DZ9" i="17"/>
  <c r="DZ11" i="17"/>
  <c r="DZ13" i="17"/>
  <c r="DZ15" i="17"/>
  <c r="DZ17" i="17"/>
  <c r="DZ19" i="17"/>
  <c r="DZ21" i="17"/>
  <c r="DZ31" i="17"/>
  <c r="DZ30" i="17"/>
  <c r="DZ64" i="17"/>
  <c r="DZ63" i="17"/>
  <c r="DZ29" i="17"/>
  <c r="DZ51" i="17"/>
  <c r="DZ43" i="17"/>
  <c r="DZ41" i="17"/>
  <c r="DZ14" i="17"/>
  <c r="DZ8" i="17"/>
  <c r="DZ67" i="17"/>
  <c r="DZ12" i="17"/>
  <c r="DZ62" i="17"/>
  <c r="DZ32" i="17"/>
  <c r="DZ28" i="17"/>
  <c r="DZ23" i="17"/>
  <c r="DZ18" i="17"/>
  <c r="DZ47" i="17"/>
  <c r="DZ6" i="17"/>
  <c r="DZ27" i="17"/>
  <c r="DZ16" i="17"/>
  <c r="DZ10" i="17"/>
  <c r="DZ25" i="17"/>
  <c r="DZ20" i="17"/>
  <c r="L91" i="17"/>
  <c r="L70" i="18"/>
  <c r="L95" i="17" s="1"/>
  <c r="L71" i="18"/>
  <c r="L96" i="17" s="1"/>
  <c r="BB66" i="17"/>
  <c r="BB64" i="17"/>
  <c r="BB65" i="17"/>
  <c r="BB53" i="17"/>
  <c r="BB45" i="17"/>
  <c r="BB58" i="17"/>
  <c r="BB54" i="17"/>
  <c r="BB46" i="17"/>
  <c r="BB60" i="17"/>
  <c r="BB51" i="17"/>
  <c r="BB40" i="17"/>
  <c r="BB61" i="17"/>
  <c r="BB59" i="17"/>
  <c r="BB52" i="17"/>
  <c r="BB41" i="17"/>
  <c r="BB33" i="17"/>
  <c r="BB43" i="17"/>
  <c r="BB42" i="17"/>
  <c r="BB34" i="17"/>
  <c r="BB39" i="17"/>
  <c r="BB50" i="17"/>
  <c r="BB47" i="17"/>
  <c r="BB49" i="17"/>
  <c r="BB37" i="17"/>
  <c r="BB55" i="17"/>
  <c r="BB48" i="17"/>
  <c r="BB44" i="17"/>
  <c r="BB36" i="17"/>
  <c r="BB38" i="17"/>
  <c r="BB63" i="17"/>
  <c r="BB30" i="17"/>
  <c r="BB26" i="17"/>
  <c r="BB22" i="17"/>
  <c r="BB18" i="17"/>
  <c r="BB14" i="17"/>
  <c r="BB10" i="17"/>
  <c r="BB6" i="17"/>
  <c r="BB35" i="17"/>
  <c r="BB62" i="17"/>
  <c r="BB29" i="17"/>
  <c r="BB25" i="17"/>
  <c r="BB21" i="17"/>
  <c r="BB17" i="17"/>
  <c r="BB13" i="17"/>
  <c r="BB9" i="17"/>
  <c r="BB57" i="17"/>
  <c r="S110" i="4"/>
  <c r="BB67" i="17"/>
  <c r="BB31" i="17"/>
  <c r="BB27" i="17"/>
  <c r="BB23" i="17"/>
  <c r="BB19" i="17"/>
  <c r="BB15" i="17"/>
  <c r="BB11" i="17"/>
  <c r="BB7" i="17"/>
  <c r="BB8" i="17"/>
  <c r="BB20" i="17"/>
  <c r="BB24" i="17"/>
  <c r="BB32" i="17"/>
  <c r="BB12" i="17"/>
  <c r="BB16" i="17"/>
  <c r="BB56" i="17"/>
  <c r="BB28" i="17"/>
  <c r="DJ58" i="17"/>
  <c r="DJ66" i="17"/>
  <c r="DJ59" i="17"/>
  <c r="DJ60" i="17"/>
  <c r="DJ61" i="17"/>
  <c r="DJ49" i="17"/>
  <c r="DJ64" i="17"/>
  <c r="DJ50" i="17"/>
  <c r="DJ42" i="17"/>
  <c r="DJ55" i="17"/>
  <c r="DJ53" i="17"/>
  <c r="DJ36" i="17"/>
  <c r="DJ37" i="17"/>
  <c r="DJ65" i="17"/>
  <c r="DJ45" i="17"/>
  <c r="DJ43" i="17"/>
  <c r="DJ38" i="17"/>
  <c r="DJ56" i="17"/>
  <c r="DJ54" i="17"/>
  <c r="DJ46" i="17"/>
  <c r="DJ35" i="17"/>
  <c r="DJ51" i="17"/>
  <c r="DJ39" i="17"/>
  <c r="F197" i="4"/>
  <c r="DJ63" i="17"/>
  <c r="DJ26" i="17"/>
  <c r="DJ18" i="17"/>
  <c r="DJ10" i="17"/>
  <c r="DJ57" i="17"/>
  <c r="DJ44" i="17"/>
  <c r="DJ62" i="17"/>
  <c r="DJ25" i="17"/>
  <c r="DJ17" i="17"/>
  <c r="DJ9" i="17"/>
  <c r="DJ41" i="17"/>
  <c r="DJ32" i="17"/>
  <c r="DJ24" i="17"/>
  <c r="DJ16" i="17"/>
  <c r="DJ8" i="17"/>
  <c r="DJ33" i="17"/>
  <c r="DJ28" i="17"/>
  <c r="DJ20" i="17"/>
  <c r="DJ12" i="17"/>
  <c r="DJ47" i="17"/>
  <c r="DJ67" i="17"/>
  <c r="DJ19" i="17"/>
  <c r="DJ52" i="17"/>
  <c r="DJ34" i="17"/>
  <c r="DJ31" i="17"/>
  <c r="DJ15" i="17"/>
  <c r="DJ30" i="17"/>
  <c r="DJ14" i="17"/>
  <c r="DJ22" i="17"/>
  <c r="DJ6" i="17"/>
  <c r="DJ29" i="17"/>
  <c r="DJ27" i="17"/>
  <c r="DJ40" i="17"/>
  <c r="DJ23" i="17"/>
  <c r="DJ13" i="17"/>
  <c r="DJ11" i="17"/>
  <c r="DJ7" i="17"/>
  <c r="DJ21" i="17"/>
  <c r="DJ48" i="17"/>
  <c r="AK68" i="18"/>
  <c r="AK93" i="17" s="1"/>
  <c r="AK92" i="17"/>
  <c r="E256" i="4" s="1"/>
  <c r="BP60" i="17"/>
  <c r="BP61" i="17"/>
  <c r="BP64" i="17"/>
  <c r="BP65" i="17"/>
  <c r="BP57" i="17"/>
  <c r="BP51" i="17"/>
  <c r="BP58" i="17"/>
  <c r="BP52" i="17"/>
  <c r="BP44" i="17"/>
  <c r="BP59" i="17"/>
  <c r="BP50" i="17"/>
  <c r="BP49" i="17"/>
  <c r="BP46" i="17"/>
  <c r="BP38" i="17"/>
  <c r="BP45" i="17"/>
  <c r="BP39" i="17"/>
  <c r="BP48" i="17"/>
  <c r="BP40" i="17"/>
  <c r="BP37" i="17"/>
  <c r="BP67" i="17"/>
  <c r="BP31" i="17"/>
  <c r="BP27" i="17"/>
  <c r="BP23" i="17"/>
  <c r="BP19" i="17"/>
  <c r="BP15" i="17"/>
  <c r="BP11" i="17"/>
  <c r="BP7" i="17"/>
  <c r="BP47" i="17"/>
  <c r="BP34" i="17"/>
  <c r="H227" i="4"/>
  <c r="BP54" i="17"/>
  <c r="BP33" i="17"/>
  <c r="BP63" i="17"/>
  <c r="BP30" i="17"/>
  <c r="BP26" i="17"/>
  <c r="BP22" i="17"/>
  <c r="BP18" i="17"/>
  <c r="BP14" i="17"/>
  <c r="BP10" i="17"/>
  <c r="BP6" i="17"/>
  <c r="BP56" i="17"/>
  <c r="BP41" i="17"/>
  <c r="BP32" i="17"/>
  <c r="BP28" i="17"/>
  <c r="BP24" i="17"/>
  <c r="BP20" i="17"/>
  <c r="BP16" i="17"/>
  <c r="BP12" i="17"/>
  <c r="BP8" i="17"/>
  <c r="BP29" i="17"/>
  <c r="BP21" i="17"/>
  <c r="BP13" i="17"/>
  <c r="BP36" i="17"/>
  <c r="BP43" i="17"/>
  <c r="BP53" i="17"/>
  <c r="BP42" i="17"/>
  <c r="BP35" i="17"/>
  <c r="BP55" i="17"/>
  <c r="BP25" i="17"/>
  <c r="BP9" i="17"/>
  <c r="BP62" i="17"/>
  <c r="BP17" i="17"/>
  <c r="BP66" i="17"/>
  <c r="BC65" i="17"/>
  <c r="BC57" i="17"/>
  <c r="BC58" i="17"/>
  <c r="BC64" i="17"/>
  <c r="BC54" i="17"/>
  <c r="BC46" i="17"/>
  <c r="BC61" i="17"/>
  <c r="BC55" i="17"/>
  <c r="BC47" i="17"/>
  <c r="BC52" i="17"/>
  <c r="BC59" i="17"/>
  <c r="BC41" i="17"/>
  <c r="BC33" i="17"/>
  <c r="BC51" i="17"/>
  <c r="BC43" i="17"/>
  <c r="BC42" i="17"/>
  <c r="BC34" i="17"/>
  <c r="BC66" i="17"/>
  <c r="BC50" i="17"/>
  <c r="BC49" i="17"/>
  <c r="BC35" i="17"/>
  <c r="BC40" i="17"/>
  <c r="BC37" i="17"/>
  <c r="BC48" i="17"/>
  <c r="BC44" i="17"/>
  <c r="BC36" i="17"/>
  <c r="BC56" i="17"/>
  <c r="BC53" i="17"/>
  <c r="BC38" i="17"/>
  <c r="J139" i="4"/>
  <c r="BC32" i="17"/>
  <c r="BC28" i="17"/>
  <c r="BC24" i="17"/>
  <c r="BC20" i="17"/>
  <c r="BC16" i="17"/>
  <c r="BC12" i="17"/>
  <c r="BC8" i="17"/>
  <c r="BC45" i="17"/>
  <c r="BC60" i="17"/>
  <c r="BC39" i="17"/>
  <c r="BC67" i="17"/>
  <c r="BC27" i="17"/>
  <c r="BC19" i="17"/>
  <c r="BC11" i="17"/>
  <c r="BC25" i="17"/>
  <c r="BC9" i="17"/>
  <c r="BC31" i="17"/>
  <c r="BC15" i="17"/>
  <c r="BC63" i="17"/>
  <c r="BC26" i="17"/>
  <c r="BC18" i="17"/>
  <c r="BC10" i="17"/>
  <c r="BC62" i="17"/>
  <c r="BC17" i="17"/>
  <c r="BC7" i="17"/>
  <c r="BC30" i="17"/>
  <c r="BC22" i="17"/>
  <c r="BC14" i="17"/>
  <c r="BC6" i="17"/>
  <c r="BC29" i="17"/>
  <c r="BC21" i="17"/>
  <c r="BC13" i="17"/>
  <c r="BC23" i="17"/>
  <c r="Z77" i="17"/>
  <c r="Z75" i="17"/>
  <c r="Z76" i="17"/>
  <c r="AN76" i="17"/>
  <c r="AN75" i="17"/>
  <c r="G70" i="18"/>
  <c r="G95" i="17" s="1"/>
  <c r="G71" i="18"/>
  <c r="G96" i="17" s="1"/>
  <c r="G91" i="17"/>
  <c r="R75" i="17"/>
  <c r="R76" i="17"/>
  <c r="R91" i="17"/>
  <c r="R70" i="18"/>
  <c r="R95" i="17" s="1"/>
  <c r="R71" i="18"/>
  <c r="R96" i="17" s="1"/>
  <c r="L92" i="17"/>
  <c r="G168" i="4" s="1"/>
  <c r="L68" i="18"/>
  <c r="L93" i="17" s="1"/>
  <c r="AK70" i="18"/>
  <c r="CX37" i="18"/>
  <c r="CX35" i="18"/>
  <c r="CX34" i="18"/>
  <c r="CX42" i="18"/>
  <c r="CX41" i="18"/>
  <c r="CX43" i="18"/>
  <c r="CX36" i="18"/>
  <c r="CX44" i="18"/>
  <c r="CX48" i="18"/>
  <c r="CX38" i="18"/>
  <c r="CX47" i="18"/>
  <c r="CX46" i="18"/>
  <c r="CX56" i="18"/>
  <c r="CX64" i="18"/>
  <c r="CX55" i="18"/>
  <c r="CX63" i="18"/>
  <c r="AK71" i="18"/>
  <c r="CX54" i="18"/>
  <c r="CX62" i="18"/>
  <c r="CX39" i="18"/>
  <c r="CX53" i="18"/>
  <c r="CX61" i="18"/>
  <c r="CX45" i="18"/>
  <c r="CX52" i="18"/>
  <c r="CX60" i="18"/>
  <c r="CX58" i="18"/>
  <c r="CX51" i="18"/>
  <c r="CX59" i="18"/>
  <c r="CX57" i="18"/>
  <c r="CX50" i="18"/>
  <c r="CX65" i="18"/>
  <c r="CX24" i="18"/>
  <c r="CX33" i="18"/>
  <c r="CX16" i="18"/>
  <c r="CX8" i="18"/>
  <c r="CX40" i="18"/>
  <c r="CX49" i="18"/>
  <c r="CX29" i="18"/>
  <c r="CX6" i="18"/>
  <c r="CX15" i="18"/>
  <c r="CX7" i="18"/>
  <c r="CX26" i="18"/>
  <c r="CX32" i="18"/>
  <c r="CX14" i="18"/>
  <c r="AK91" i="17"/>
  <c r="CX22" i="18"/>
  <c r="CX30" i="18"/>
  <c r="CX18" i="18"/>
  <c r="CX10" i="18"/>
  <c r="CX13" i="18"/>
  <c r="CX28" i="18"/>
  <c r="CX12" i="18"/>
  <c r="CX25" i="18"/>
  <c r="CX9" i="18"/>
  <c r="CX27" i="18"/>
  <c r="CX23" i="18"/>
  <c r="CX11" i="18"/>
  <c r="CX20" i="18"/>
  <c r="CX31" i="18"/>
  <c r="CX19" i="18"/>
  <c r="CX17" i="18"/>
  <c r="CX21" i="18"/>
  <c r="BO59" i="17"/>
  <c r="BO60" i="17"/>
  <c r="BO61" i="17"/>
  <c r="BO64" i="17"/>
  <c r="BO66" i="17"/>
  <c r="BO50" i="17"/>
  <c r="BO57" i="17"/>
  <c r="BO51" i="17"/>
  <c r="BO43" i="17"/>
  <c r="BO56" i="17"/>
  <c r="BO65" i="17"/>
  <c r="BO37" i="17"/>
  <c r="BO49" i="17"/>
  <c r="BO46" i="17"/>
  <c r="BO38" i="17"/>
  <c r="BO45" i="17"/>
  <c r="BO44" i="17"/>
  <c r="BO39" i="17"/>
  <c r="BO52" i="17"/>
  <c r="BO36" i="17"/>
  <c r="I227" i="4"/>
  <c r="BO67" i="17"/>
  <c r="BO31" i="17"/>
  <c r="BO27" i="17"/>
  <c r="BO23" i="17"/>
  <c r="BO19" i="17"/>
  <c r="BO15" i="17"/>
  <c r="BO11" i="17"/>
  <c r="BO7" i="17"/>
  <c r="BO47" i="17"/>
  <c r="BO40" i="17"/>
  <c r="BO34" i="17"/>
  <c r="BO42" i="17"/>
  <c r="BO35" i="17"/>
  <c r="BO55" i="17"/>
  <c r="BO54" i="17"/>
  <c r="BO48" i="17"/>
  <c r="BO33" i="17"/>
  <c r="BO29" i="17"/>
  <c r="BO21" i="17"/>
  <c r="BO13" i="17"/>
  <c r="BO41" i="17"/>
  <c r="BO28" i="17"/>
  <c r="BO20" i="17"/>
  <c r="BO12" i="17"/>
  <c r="BO58" i="17"/>
  <c r="BO32" i="17"/>
  <c r="BO24" i="17"/>
  <c r="BO16" i="17"/>
  <c r="BO8" i="17"/>
  <c r="BO53" i="17"/>
  <c r="BO30" i="17"/>
  <c r="BO14" i="17"/>
  <c r="BO26" i="17"/>
  <c r="BO10" i="17"/>
  <c r="BO25" i="17"/>
  <c r="BO22" i="17"/>
  <c r="BO6" i="17"/>
  <c r="BO63" i="17"/>
  <c r="BO9" i="17"/>
  <c r="BO18" i="17"/>
  <c r="BO62" i="17"/>
  <c r="BO17" i="17"/>
  <c r="BD66" i="17"/>
  <c r="BD58" i="17"/>
  <c r="BD59" i="17"/>
  <c r="BD61" i="17"/>
  <c r="BD55" i="17"/>
  <c r="BD47" i="17"/>
  <c r="BD65" i="17"/>
  <c r="BD56" i="17"/>
  <c r="BD48" i="17"/>
  <c r="BD64" i="17"/>
  <c r="BD53" i="17"/>
  <c r="BD52" i="17"/>
  <c r="BD51" i="17"/>
  <c r="BD43" i="17"/>
  <c r="BD42" i="17"/>
  <c r="BD34" i="17"/>
  <c r="BD50" i="17"/>
  <c r="BD49" i="17"/>
  <c r="BD35" i="17"/>
  <c r="BD57" i="17"/>
  <c r="BD46" i="17"/>
  <c r="BD36" i="17"/>
  <c r="BD41" i="17"/>
  <c r="BD33" i="17"/>
  <c r="BD44" i="17"/>
  <c r="BD40" i="17"/>
  <c r="BD60" i="17"/>
  <c r="BD45" i="17"/>
  <c r="BD32" i="17"/>
  <c r="BD28" i="17"/>
  <c r="BD24" i="17"/>
  <c r="BD20" i="17"/>
  <c r="BD16" i="17"/>
  <c r="BD12" i="17"/>
  <c r="BD8" i="17"/>
  <c r="I139" i="4"/>
  <c r="BD37" i="17"/>
  <c r="BD67" i="17"/>
  <c r="BD31" i="17"/>
  <c r="BD27" i="17"/>
  <c r="BD23" i="17"/>
  <c r="BD19" i="17"/>
  <c r="BD15" i="17"/>
  <c r="BD11" i="17"/>
  <c r="BD7" i="17"/>
  <c r="BD39" i="17"/>
  <c r="BD62" i="17"/>
  <c r="BD29" i="17"/>
  <c r="BD25" i="17"/>
  <c r="BD21" i="17"/>
  <c r="BD17" i="17"/>
  <c r="BD13" i="17"/>
  <c r="BD9" i="17"/>
  <c r="BD38" i="17"/>
  <c r="BD63" i="17"/>
  <c r="BD26" i="17"/>
  <c r="BD18" i="17"/>
  <c r="BD10" i="17"/>
  <c r="BD22" i="17"/>
  <c r="BD14" i="17"/>
  <c r="BD54" i="17"/>
  <c r="BD30" i="17"/>
  <c r="BD6" i="17"/>
  <c r="M92" i="17"/>
  <c r="M68" i="18"/>
  <c r="M93" i="17" s="1"/>
  <c r="CE66" i="17"/>
  <c r="CE59" i="17"/>
  <c r="CE60" i="17"/>
  <c r="CE61" i="17"/>
  <c r="CE64" i="17"/>
  <c r="CE50" i="17"/>
  <c r="CE65" i="17"/>
  <c r="CE51" i="17"/>
  <c r="CE43" i="17"/>
  <c r="CE56" i="17"/>
  <c r="CE54" i="17"/>
  <c r="CE53" i="17"/>
  <c r="CE37" i="17"/>
  <c r="CE57" i="17"/>
  <c r="CE55" i="17"/>
  <c r="CE38" i="17"/>
  <c r="CE52" i="17"/>
  <c r="CE46" i="17"/>
  <c r="CE39" i="17"/>
  <c r="CE63" i="17"/>
  <c r="CE32" i="17"/>
  <c r="CE30" i="17"/>
  <c r="CE28" i="17"/>
  <c r="CE26" i="17"/>
  <c r="CE24" i="17"/>
  <c r="CE22" i="17"/>
  <c r="CE20" i="17"/>
  <c r="CE42" i="17"/>
  <c r="CE36" i="17"/>
  <c r="CE44" i="17"/>
  <c r="CE67" i="17"/>
  <c r="CE19" i="17"/>
  <c r="CE58" i="17"/>
  <c r="CE25" i="17"/>
  <c r="CE49" i="17"/>
  <c r="CE41" i="17"/>
  <c r="CE35" i="17"/>
  <c r="CE31" i="17"/>
  <c r="CE18" i="17"/>
  <c r="CE16" i="17"/>
  <c r="CE14" i="17"/>
  <c r="CE12" i="17"/>
  <c r="CE10" i="17"/>
  <c r="CE8" i="17"/>
  <c r="CE6" i="17"/>
  <c r="CE34" i="17"/>
  <c r="CE33" i="17"/>
  <c r="CE23" i="17"/>
  <c r="CE17" i="17"/>
  <c r="CE15" i="17"/>
  <c r="CE13" i="17"/>
  <c r="CE11" i="17"/>
  <c r="CE9" i="17"/>
  <c r="CE7" i="17"/>
  <c r="CE48" i="17"/>
  <c r="CE47" i="17"/>
  <c r="CE45" i="17"/>
  <c r="G279" i="4"/>
  <c r="CE40" i="17"/>
  <c r="CE21" i="17"/>
  <c r="CE29" i="17"/>
  <c r="CE62" i="17"/>
  <c r="CE27" i="17"/>
  <c r="CR58" i="17"/>
  <c r="CR59" i="17"/>
  <c r="CR61" i="17"/>
  <c r="CR55" i="17"/>
  <c r="CR47" i="17"/>
  <c r="CR65" i="17"/>
  <c r="CR56" i="17"/>
  <c r="CR48" i="17"/>
  <c r="CR60" i="17"/>
  <c r="CR53" i="17"/>
  <c r="CR66" i="17"/>
  <c r="CR57" i="17"/>
  <c r="CR52" i="17"/>
  <c r="CR34" i="17"/>
  <c r="CR50" i="17"/>
  <c r="CR49" i="17"/>
  <c r="CR45" i="17"/>
  <c r="CR44" i="17"/>
  <c r="CR35" i="17"/>
  <c r="CR64" i="17"/>
  <c r="CR51" i="17"/>
  <c r="CR36" i="17"/>
  <c r="CR46" i="17"/>
  <c r="CR41" i="17"/>
  <c r="CR33" i="17"/>
  <c r="CR43" i="17"/>
  <c r="CR54" i="17"/>
  <c r="CR37" i="17"/>
  <c r="CR39" i="17"/>
  <c r="CR38" i="17"/>
  <c r="CR62" i="17"/>
  <c r="CR42" i="17"/>
  <c r="CR40" i="17"/>
  <c r="CR30" i="17"/>
  <c r="CR24" i="17"/>
  <c r="CR16" i="17"/>
  <c r="CR19" i="17"/>
  <c r="CR6" i="17"/>
  <c r="CR29" i="17"/>
  <c r="CR10" i="17"/>
  <c r="CR13" i="17"/>
  <c r="CR14" i="17"/>
  <c r="CR8" i="17"/>
  <c r="CR11" i="17"/>
  <c r="CR67" i="17"/>
  <c r="CR23" i="17"/>
  <c r="CR26" i="17"/>
  <c r="CR18" i="17"/>
  <c r="CR21" i="17"/>
  <c r="CR63" i="17"/>
  <c r="CR32" i="17"/>
  <c r="CR25" i="17"/>
  <c r="CR7" i="17"/>
  <c r="CR20" i="17"/>
  <c r="CR31" i="17"/>
  <c r="CR22" i="17"/>
  <c r="CR17" i="17"/>
  <c r="CR12" i="17"/>
  <c r="CR15" i="17"/>
  <c r="CR27" i="17"/>
  <c r="CR9" i="17"/>
  <c r="CR28" i="17"/>
  <c r="AD75" i="17"/>
  <c r="AD76" i="17"/>
  <c r="DG65" i="17"/>
  <c r="DG57" i="17"/>
  <c r="DG58" i="17"/>
  <c r="DG66" i="17"/>
  <c r="DG61" i="17"/>
  <c r="DG59" i="17"/>
  <c r="DG54" i="17"/>
  <c r="DG46" i="17"/>
  <c r="DG55" i="17"/>
  <c r="DG47" i="17"/>
  <c r="DG52" i="17"/>
  <c r="DG41" i="17"/>
  <c r="DG33" i="17"/>
  <c r="DG64" i="17"/>
  <c r="DG56" i="17"/>
  <c r="DG34" i="17"/>
  <c r="DG53" i="17"/>
  <c r="DG35" i="17"/>
  <c r="DG51" i="17"/>
  <c r="DG40" i="17"/>
  <c r="DG45" i="17"/>
  <c r="DG28" i="17"/>
  <c r="DG20" i="17"/>
  <c r="DG12" i="17"/>
  <c r="DG67" i="17"/>
  <c r="DG27" i="17"/>
  <c r="DG19" i="17"/>
  <c r="DG11" i="17"/>
  <c r="DG60" i="17"/>
  <c r="DG63" i="17"/>
  <c r="DG26" i="17"/>
  <c r="DG18" i="17"/>
  <c r="DG10" i="17"/>
  <c r="DG50" i="17"/>
  <c r="DG48" i="17"/>
  <c r="DG37" i="17"/>
  <c r="DG30" i="17"/>
  <c r="DG22" i="17"/>
  <c r="DG14" i="17"/>
  <c r="DG6" i="17"/>
  <c r="DG36" i="17"/>
  <c r="DG24" i="17"/>
  <c r="DG8" i="17"/>
  <c r="DG44" i="17"/>
  <c r="DG23" i="17"/>
  <c r="DG7" i="17"/>
  <c r="DG39" i="17"/>
  <c r="DG38" i="17"/>
  <c r="DG21" i="17"/>
  <c r="DG29" i="17"/>
  <c r="DG13" i="17"/>
  <c r="DG17" i="17"/>
  <c r="DG43" i="17"/>
  <c r="DG16" i="17"/>
  <c r="DG15" i="17"/>
  <c r="Q139" i="4"/>
  <c r="DG9" i="17"/>
  <c r="DG31" i="17"/>
  <c r="DG49" i="17"/>
  <c r="DG25" i="17"/>
  <c r="DG62" i="17"/>
  <c r="DG42" i="17"/>
  <c r="DG32" i="17"/>
  <c r="G75" i="17"/>
  <c r="G76" i="17"/>
  <c r="L75" i="17"/>
  <c r="L76" i="17"/>
  <c r="CB39" i="18" l="1"/>
  <c r="CB36" i="18"/>
  <c r="CB44" i="18"/>
  <c r="CB34" i="18"/>
  <c r="CB37" i="18"/>
  <c r="CB38" i="18"/>
  <c r="CB35" i="18"/>
  <c r="CB50" i="18"/>
  <c r="CB41" i="18"/>
  <c r="CB49" i="18"/>
  <c r="CB40" i="18"/>
  <c r="CB43" i="18"/>
  <c r="CB46" i="18"/>
  <c r="CB58" i="18"/>
  <c r="CB52" i="18"/>
  <c r="CB57" i="18"/>
  <c r="CB65" i="18"/>
  <c r="CB51" i="18"/>
  <c r="CB56" i="18"/>
  <c r="CB64" i="18"/>
  <c r="CB45" i="18"/>
  <c r="CB55" i="18"/>
  <c r="CB63" i="18"/>
  <c r="CB42" i="18"/>
  <c r="CB53" i="18"/>
  <c r="CB61" i="18"/>
  <c r="CB54" i="18"/>
  <c r="CB62" i="18"/>
  <c r="AK95" i="17"/>
  <c r="CB48" i="18"/>
  <c r="CB59" i="18"/>
  <c r="CB60" i="18"/>
  <c r="CB9" i="18"/>
  <c r="CB13" i="18"/>
  <c r="CB17" i="18"/>
  <c r="CB21" i="18"/>
  <c r="CB25" i="18"/>
  <c r="CB29" i="18"/>
  <c r="CB33" i="18"/>
  <c r="CB6" i="18"/>
  <c r="CB47" i="18"/>
  <c r="CB10" i="18"/>
  <c r="CB14" i="18"/>
  <c r="CB18" i="18"/>
  <c r="CB22" i="18"/>
  <c r="CB26" i="18"/>
  <c r="CB30" i="18"/>
  <c r="CB8" i="18"/>
  <c r="CB12" i="18"/>
  <c r="CB16" i="18"/>
  <c r="CB20" i="18"/>
  <c r="CB24" i="18"/>
  <c r="CB28" i="18"/>
  <c r="CB32" i="18"/>
  <c r="CB11" i="18"/>
  <c r="CB27" i="18"/>
  <c r="CB19" i="18"/>
  <c r="CB7" i="18"/>
  <c r="CB15" i="18"/>
  <c r="CB23" i="18"/>
  <c r="CB31" i="18"/>
  <c r="DH58" i="17"/>
  <c r="DH66" i="17"/>
  <c r="DH59" i="17"/>
  <c r="DH65" i="17"/>
  <c r="DH55" i="17"/>
  <c r="DH47" i="17"/>
  <c r="DH56" i="17"/>
  <c r="DH48" i="17"/>
  <c r="DH61" i="17"/>
  <c r="DH53" i="17"/>
  <c r="DH64" i="17"/>
  <c r="DH34" i="17"/>
  <c r="DH54" i="17"/>
  <c r="DH46" i="17"/>
  <c r="DH35" i="17"/>
  <c r="DH49" i="17"/>
  <c r="DH36" i="17"/>
  <c r="DH41" i="17"/>
  <c r="DH33" i="17"/>
  <c r="DH60" i="17"/>
  <c r="DH51" i="17"/>
  <c r="DH42" i="17"/>
  <c r="DH39" i="17"/>
  <c r="DH38" i="17"/>
  <c r="DH44" i="17"/>
  <c r="DH27" i="17"/>
  <c r="DH19" i="17"/>
  <c r="DH11" i="17"/>
  <c r="DH30" i="17"/>
  <c r="DH26" i="17"/>
  <c r="DH18" i="17"/>
  <c r="DH10" i="17"/>
  <c r="DH43" i="17"/>
  <c r="DH63" i="17"/>
  <c r="DH25" i="17"/>
  <c r="DH17" i="17"/>
  <c r="DH9" i="17"/>
  <c r="DH52" i="17"/>
  <c r="DH50" i="17"/>
  <c r="DH29" i="17"/>
  <c r="DH31" i="17"/>
  <c r="DH21" i="17"/>
  <c r="DH13" i="17"/>
  <c r="DH40" i="17"/>
  <c r="DH67" i="17"/>
  <c r="DH14" i="17"/>
  <c r="DH37" i="17"/>
  <c r="DH28" i="17"/>
  <c r="DH12" i="17"/>
  <c r="DH6" i="17"/>
  <c r="DH45" i="17"/>
  <c r="DH20" i="17"/>
  <c r="DH24" i="17"/>
  <c r="DH8" i="17"/>
  <c r="DH62" i="17"/>
  <c r="DH32" i="17"/>
  <c r="DH23" i="17"/>
  <c r="DH7" i="17"/>
  <c r="DH57" i="17"/>
  <c r="F168" i="4"/>
  <c r="DH16" i="17"/>
  <c r="DH15" i="17"/>
  <c r="DH22" i="17"/>
  <c r="DM61" i="17"/>
  <c r="DM64" i="17"/>
  <c r="DM65" i="17"/>
  <c r="DM66" i="17"/>
  <c r="DM52" i="17"/>
  <c r="DM44" i="17"/>
  <c r="DM60" i="17"/>
  <c r="DM53" i="17"/>
  <c r="DM45" i="17"/>
  <c r="DM50" i="17"/>
  <c r="DM48" i="17"/>
  <c r="DM47" i="17"/>
  <c r="DM39" i="17"/>
  <c r="DM43" i="17"/>
  <c r="DM40" i="17"/>
  <c r="DM59" i="17"/>
  <c r="DM41" i="17"/>
  <c r="DM33" i="17"/>
  <c r="DM58" i="17"/>
  <c r="DM42" i="17"/>
  <c r="DM38" i="17"/>
  <c r="DM57" i="17"/>
  <c r="DM55" i="17"/>
  <c r="DM46" i="17"/>
  <c r="DM34" i="17"/>
  <c r="DM49" i="17"/>
  <c r="DM37" i="17"/>
  <c r="DM30" i="17"/>
  <c r="DM67" i="17"/>
  <c r="DM22" i="17"/>
  <c r="DM14" i="17"/>
  <c r="DM6" i="17"/>
  <c r="DM56" i="17"/>
  <c r="DM63" i="17"/>
  <c r="DM31" i="17"/>
  <c r="DM21" i="17"/>
  <c r="DM13" i="17"/>
  <c r="DM54" i="17"/>
  <c r="DM51" i="17"/>
  <c r="DM28" i="17"/>
  <c r="DM20" i="17"/>
  <c r="DM12" i="17"/>
  <c r="DM62" i="17"/>
  <c r="DM24" i="17"/>
  <c r="DM16" i="17"/>
  <c r="DM8" i="17"/>
  <c r="DM35" i="17"/>
  <c r="DM29" i="17"/>
  <c r="DM26" i="17"/>
  <c r="DM10" i="17"/>
  <c r="DM25" i="17"/>
  <c r="DM9" i="17"/>
  <c r="P227" i="4"/>
  <c r="DM19" i="17"/>
  <c r="DM36" i="17"/>
  <c r="DM17" i="17"/>
  <c r="DM32" i="17"/>
  <c r="DM23" i="17"/>
  <c r="DM7" i="17"/>
  <c r="DM15" i="17"/>
  <c r="DM27" i="17"/>
  <c r="DM11" i="17"/>
  <c r="DM18" i="17"/>
  <c r="BG66" i="17"/>
  <c r="BG59" i="17"/>
  <c r="BG60" i="17"/>
  <c r="BG61" i="17"/>
  <c r="BG64" i="17"/>
  <c r="BG57" i="17"/>
  <c r="BG50" i="17"/>
  <c r="BG51" i="17"/>
  <c r="BG43" i="17"/>
  <c r="BG65" i="17"/>
  <c r="BG56" i="17"/>
  <c r="BG58" i="17"/>
  <c r="BG49" i="17"/>
  <c r="BG37" i="17"/>
  <c r="BG54" i="17"/>
  <c r="BG48" i="17"/>
  <c r="BG45" i="17"/>
  <c r="BG44" i="17"/>
  <c r="BG38" i="17"/>
  <c r="BG39" i="17"/>
  <c r="BG46" i="17"/>
  <c r="BG36" i="17"/>
  <c r="BG55" i="17"/>
  <c r="BG33" i="17"/>
  <c r="BG62" i="17"/>
  <c r="BG29" i="17"/>
  <c r="BG25" i="17"/>
  <c r="BG34" i="17"/>
  <c r="BG30" i="17"/>
  <c r="BG23" i="17"/>
  <c r="BG19" i="17"/>
  <c r="BG15" i="17"/>
  <c r="BG11" i="17"/>
  <c r="BG7" i="17"/>
  <c r="BG52" i="17"/>
  <c r="BG53" i="17"/>
  <c r="BG42" i="17"/>
  <c r="BG35" i="17"/>
  <c r="BG28" i="17"/>
  <c r="BG47" i="17"/>
  <c r="BG41" i="17"/>
  <c r="BG67" i="17"/>
  <c r="BG22" i="17"/>
  <c r="BG14" i="17"/>
  <c r="BG6" i="17"/>
  <c r="BG63" i="17"/>
  <c r="BG12" i="17"/>
  <c r="BG18" i="17"/>
  <c r="BG32" i="17"/>
  <c r="BG21" i="17"/>
  <c r="BG13" i="17"/>
  <c r="BG31" i="17"/>
  <c r="BG20" i="17"/>
  <c r="BG10" i="17"/>
  <c r="BG40" i="17"/>
  <c r="BG26" i="17"/>
  <c r="BG17" i="17"/>
  <c r="BG9" i="17"/>
  <c r="BG24" i="17"/>
  <c r="BG16" i="17"/>
  <c r="BG8" i="17"/>
  <c r="BG27" i="17"/>
  <c r="I168" i="4"/>
  <c r="EB60" i="17"/>
  <c r="EB61" i="17"/>
  <c r="EB64" i="17"/>
  <c r="EB65" i="17"/>
  <c r="EB51" i="17"/>
  <c r="EB43" i="17"/>
  <c r="EB59" i="17"/>
  <c r="EB58" i="17"/>
  <c r="EB57" i="17"/>
  <c r="EB52" i="17"/>
  <c r="EB44" i="17"/>
  <c r="EB49" i="17"/>
  <c r="EB56" i="17"/>
  <c r="EB53" i="17"/>
  <c r="EB38" i="17"/>
  <c r="EB55" i="17"/>
  <c r="EB45" i="17"/>
  <c r="EB42" i="17"/>
  <c r="EB39" i="17"/>
  <c r="EB48" i="17"/>
  <c r="EB40" i="17"/>
  <c r="EB37" i="17"/>
  <c r="EB50" i="17"/>
  <c r="EB47" i="17"/>
  <c r="EB35" i="17"/>
  <c r="EB36" i="17"/>
  <c r="EB63" i="17"/>
  <c r="EB67" i="17"/>
  <c r="EB22" i="17"/>
  <c r="EB14" i="17"/>
  <c r="EB6" i="17"/>
  <c r="EB46" i="17"/>
  <c r="EB31" i="17"/>
  <c r="EB21" i="17"/>
  <c r="EB13" i="17"/>
  <c r="EB34" i="17"/>
  <c r="EB41" i="17"/>
  <c r="EB32" i="17"/>
  <c r="EB28" i="17"/>
  <c r="EB20" i="17"/>
  <c r="EB12" i="17"/>
  <c r="EB24" i="17"/>
  <c r="EB16" i="17"/>
  <c r="EB8" i="17"/>
  <c r="EB66" i="17"/>
  <c r="EB54" i="17"/>
  <c r="EB29" i="17"/>
  <c r="EB27" i="17"/>
  <c r="EB11" i="17"/>
  <c r="EB26" i="17"/>
  <c r="EB10" i="17"/>
  <c r="EB23" i="17"/>
  <c r="EB19" i="17"/>
  <c r="EB18" i="17"/>
  <c r="EB62" i="17"/>
  <c r="EB25" i="17"/>
  <c r="EB9" i="17"/>
  <c r="EB33" i="17"/>
  <c r="EB30" i="17"/>
  <c r="EB7" i="17"/>
  <c r="EB17" i="17"/>
  <c r="EB15" i="17"/>
  <c r="D256" i="4"/>
  <c r="BQ61" i="17"/>
  <c r="BQ66" i="17"/>
  <c r="BQ64" i="17"/>
  <c r="BQ65" i="17"/>
  <c r="BQ60" i="17"/>
  <c r="BQ58" i="17"/>
  <c r="BQ52" i="17"/>
  <c r="BQ44" i="17"/>
  <c r="BQ53" i="17"/>
  <c r="BQ45" i="17"/>
  <c r="BQ50" i="17"/>
  <c r="BQ51" i="17"/>
  <c r="BQ39" i="17"/>
  <c r="BQ48" i="17"/>
  <c r="BQ40" i="17"/>
  <c r="BQ57" i="17"/>
  <c r="BQ54" i="17"/>
  <c r="BQ41" i="17"/>
  <c r="BQ33" i="17"/>
  <c r="BQ49" i="17"/>
  <c r="BQ46" i="17"/>
  <c r="BQ38" i="17"/>
  <c r="BQ47" i="17"/>
  <c r="BQ34" i="17"/>
  <c r="BQ37" i="17"/>
  <c r="BQ55" i="17"/>
  <c r="BQ36" i="17"/>
  <c r="BQ43" i="17"/>
  <c r="BQ27" i="17"/>
  <c r="BQ23" i="17"/>
  <c r="BQ19" i="17"/>
  <c r="BQ15" i="17"/>
  <c r="BQ11" i="17"/>
  <c r="BQ7" i="17"/>
  <c r="BQ59" i="17"/>
  <c r="BQ56" i="17"/>
  <c r="BQ30" i="17"/>
  <c r="S227" i="4"/>
  <c r="BQ63" i="17"/>
  <c r="BQ67" i="17"/>
  <c r="BQ26" i="17"/>
  <c r="BQ22" i="17"/>
  <c r="BQ18" i="17"/>
  <c r="BQ14" i="17"/>
  <c r="BQ10" i="17"/>
  <c r="BQ6" i="17"/>
  <c r="BQ29" i="17"/>
  <c r="BQ28" i="17"/>
  <c r="BQ24" i="17"/>
  <c r="BQ20" i="17"/>
  <c r="BQ16" i="17"/>
  <c r="BQ12" i="17"/>
  <c r="BQ8" i="17"/>
  <c r="BQ35" i="17"/>
  <c r="BQ62" i="17"/>
  <c r="BQ32" i="17"/>
  <c r="BQ25" i="17"/>
  <c r="BQ17" i="17"/>
  <c r="BQ9" i="17"/>
  <c r="BQ31" i="17"/>
  <c r="BQ13" i="17"/>
  <c r="BQ42" i="17"/>
  <c r="BQ21" i="17"/>
  <c r="BR66" i="17"/>
  <c r="BR64" i="17"/>
  <c r="BR65" i="17"/>
  <c r="BR53" i="17"/>
  <c r="BR45" i="17"/>
  <c r="BR54" i="17"/>
  <c r="BR46" i="17"/>
  <c r="BR60" i="17"/>
  <c r="BR57" i="17"/>
  <c r="BR51" i="17"/>
  <c r="BR48" i="17"/>
  <c r="BR40" i="17"/>
  <c r="BR44" i="17"/>
  <c r="BR41" i="17"/>
  <c r="BR33" i="17"/>
  <c r="BR56" i="17"/>
  <c r="BR47" i="17"/>
  <c r="BR34" i="17"/>
  <c r="BR50" i="17"/>
  <c r="BR39" i="17"/>
  <c r="BR37" i="17"/>
  <c r="BR55" i="17"/>
  <c r="BR36" i="17"/>
  <c r="BR59" i="17"/>
  <c r="BR58" i="17"/>
  <c r="BR49" i="17"/>
  <c r="BR30" i="17"/>
  <c r="BR61" i="17"/>
  <c r="BR38" i="17"/>
  <c r="BR63" i="17"/>
  <c r="BR67" i="17"/>
  <c r="BR26" i="17"/>
  <c r="BR22" i="17"/>
  <c r="BR18" i="17"/>
  <c r="BR14" i="17"/>
  <c r="BR10" i="17"/>
  <c r="BR6" i="17"/>
  <c r="BR43" i="17"/>
  <c r="R227" i="4"/>
  <c r="BR62" i="17"/>
  <c r="BR52" i="17"/>
  <c r="BR24" i="17"/>
  <c r="BR16" i="17"/>
  <c r="BR8" i="17"/>
  <c r="BR21" i="17"/>
  <c r="BR20" i="17"/>
  <c r="BR23" i="17"/>
  <c r="BR15" i="17"/>
  <c r="BR7" i="17"/>
  <c r="BR42" i="17"/>
  <c r="BR31" i="17"/>
  <c r="BR13" i="17"/>
  <c r="BR28" i="17"/>
  <c r="BR29" i="17"/>
  <c r="BR27" i="17"/>
  <c r="BR19" i="17"/>
  <c r="BR11" i="17"/>
  <c r="BR35" i="17"/>
  <c r="BR32" i="17"/>
  <c r="BR25" i="17"/>
  <c r="BR17" i="17"/>
  <c r="BR9" i="17"/>
  <c r="BR12" i="17"/>
  <c r="CA38" i="18"/>
  <c r="CA35" i="18"/>
  <c r="CA43" i="18"/>
  <c r="CA39" i="18"/>
  <c r="CA41" i="18"/>
  <c r="CA49" i="18"/>
  <c r="CA40" i="18"/>
  <c r="CA48" i="18"/>
  <c r="CA42" i="18"/>
  <c r="CA47" i="18"/>
  <c r="CA36" i="18"/>
  <c r="CA52" i="18"/>
  <c r="CA57" i="18"/>
  <c r="CA65" i="18"/>
  <c r="CA44" i="18"/>
  <c r="CA50" i="18"/>
  <c r="CA51" i="18"/>
  <c r="CA56" i="18"/>
  <c r="CA64" i="18"/>
  <c r="AK96" i="17"/>
  <c r="CA45" i="18"/>
  <c r="CA55" i="18"/>
  <c r="CA63" i="18"/>
  <c r="CA34" i="18"/>
  <c r="CA54" i="18"/>
  <c r="CA62" i="18"/>
  <c r="CA46" i="18"/>
  <c r="CA53" i="18"/>
  <c r="CA61" i="18"/>
  <c r="CA60" i="18"/>
  <c r="CA58" i="18"/>
  <c r="CA59" i="18"/>
  <c r="CA37" i="18"/>
  <c r="CA10" i="18"/>
  <c r="CA14" i="18"/>
  <c r="CA18" i="18"/>
  <c r="CA22" i="18"/>
  <c r="CA26" i="18"/>
  <c r="CA30" i="18"/>
  <c r="CA8" i="18"/>
  <c r="CA16" i="18"/>
  <c r="CA24" i="18"/>
  <c r="CA32" i="18"/>
  <c r="CA9" i="18"/>
  <c r="CA17" i="18"/>
  <c r="CA25" i="18"/>
  <c r="CA33" i="18"/>
  <c r="CA20" i="18"/>
  <c r="CA11" i="18"/>
  <c r="CA19" i="18"/>
  <c r="CA27" i="18"/>
  <c r="CA12" i="18"/>
  <c r="CA7" i="18"/>
  <c r="CA15" i="18"/>
  <c r="CA23" i="18"/>
  <c r="CA31" i="18"/>
  <c r="CA28" i="18"/>
  <c r="CA13" i="18"/>
  <c r="CA21" i="18"/>
  <c r="CA29" i="18"/>
  <c r="CA6" i="18"/>
  <c r="BH60" i="17"/>
  <c r="BH61" i="17"/>
  <c r="BH64" i="17"/>
  <c r="BH65" i="17"/>
  <c r="BH51" i="17"/>
  <c r="BH52" i="17"/>
  <c r="BH44" i="17"/>
  <c r="BH58" i="17"/>
  <c r="BH57" i="17"/>
  <c r="BH54" i="17"/>
  <c r="BH48" i="17"/>
  <c r="BH45" i="17"/>
  <c r="BH38" i="17"/>
  <c r="BH56" i="17"/>
  <c r="BH39" i="17"/>
  <c r="BH53" i="17"/>
  <c r="BH47" i="17"/>
  <c r="BH40" i="17"/>
  <c r="BH59" i="17"/>
  <c r="BH50" i="17"/>
  <c r="BH49" i="17"/>
  <c r="BH37" i="17"/>
  <c r="BH36" i="17"/>
  <c r="BH62" i="17"/>
  <c r="BH46" i="17"/>
  <c r="BH42" i="17"/>
  <c r="BH35" i="17"/>
  <c r="BH32" i="17"/>
  <c r="BH28" i="17"/>
  <c r="BH24" i="17"/>
  <c r="BH63" i="17"/>
  <c r="BH30" i="17"/>
  <c r="BH26" i="17"/>
  <c r="BH23" i="17"/>
  <c r="BH19" i="17"/>
  <c r="BH15" i="17"/>
  <c r="BH11" i="17"/>
  <c r="BH7" i="17"/>
  <c r="H168" i="4"/>
  <c r="BH29" i="17"/>
  <c r="BH67" i="17"/>
  <c r="BH22" i="17"/>
  <c r="BH18" i="17"/>
  <c r="BH14" i="17"/>
  <c r="BH10" i="17"/>
  <c r="BH6" i="17"/>
  <c r="BH55" i="17"/>
  <c r="BH31" i="17"/>
  <c r="BH25" i="17"/>
  <c r="BH20" i="17"/>
  <c r="BH16" i="17"/>
  <c r="BH12" i="17"/>
  <c r="BH8" i="17"/>
  <c r="BH43" i="17"/>
  <c r="BH21" i="17"/>
  <c r="BH13" i="17"/>
  <c r="BH9" i="17"/>
  <c r="BH34" i="17"/>
  <c r="BH33" i="17"/>
  <c r="BH17" i="17"/>
  <c r="BH41" i="17"/>
  <c r="BH66" i="17"/>
  <c r="BH27" i="17"/>
  <c r="CV66" i="17" l="1"/>
  <c r="CV60" i="17"/>
  <c r="CV61" i="17"/>
  <c r="CV64" i="17"/>
  <c r="CV65" i="17"/>
  <c r="CV51" i="17"/>
  <c r="CV52" i="17"/>
  <c r="CV44" i="17"/>
  <c r="CV48" i="17"/>
  <c r="CV43" i="17"/>
  <c r="CV38" i="17"/>
  <c r="CV58" i="17"/>
  <c r="CV39" i="17"/>
  <c r="CV53" i="17"/>
  <c r="CV40" i="17"/>
  <c r="CV47" i="17"/>
  <c r="CV42" i="17"/>
  <c r="CV37" i="17"/>
  <c r="CV49" i="17"/>
  <c r="CV34" i="17"/>
  <c r="CV56" i="17"/>
  <c r="CV33" i="17"/>
  <c r="CV59" i="17"/>
  <c r="CV57" i="17"/>
  <c r="CV36" i="17"/>
  <c r="CV50" i="17"/>
  <c r="CV46" i="17"/>
  <c r="CV10" i="17"/>
  <c r="CV14" i="17"/>
  <c r="CV18" i="17"/>
  <c r="CV22" i="17"/>
  <c r="CV26" i="17"/>
  <c r="CV67" i="17"/>
  <c r="CV32" i="17"/>
  <c r="CV6" i="17"/>
  <c r="CV41" i="17"/>
  <c r="CV7" i="17"/>
  <c r="CV11" i="17"/>
  <c r="CV15" i="17"/>
  <c r="CV19" i="17"/>
  <c r="CV23" i="17"/>
  <c r="CV27" i="17"/>
  <c r="F256" i="4"/>
  <c r="CV30" i="17"/>
  <c r="CV9" i="17"/>
  <c r="CV13" i="17"/>
  <c r="CV17" i="17"/>
  <c r="CV21" i="17"/>
  <c r="CV25" i="17"/>
  <c r="CV31" i="17"/>
  <c r="CV54" i="17"/>
  <c r="CV62" i="17"/>
  <c r="CV35" i="17"/>
  <c r="CV20" i="17"/>
  <c r="CV12" i="17"/>
  <c r="CV28" i="17"/>
  <c r="CV45" i="17"/>
  <c r="CV55" i="17"/>
  <c r="CV63" i="17"/>
  <c r="CV8" i="17"/>
  <c r="CV16" i="17"/>
  <c r="CV24" i="17"/>
  <c r="CV29" i="17"/>
  <c r="CU66" i="17"/>
  <c r="CU59" i="17"/>
  <c r="CU60" i="17"/>
  <c r="CU61" i="17"/>
  <c r="CU64" i="17"/>
  <c r="CU57" i="17"/>
  <c r="CU50" i="17"/>
  <c r="CU51" i="17"/>
  <c r="CU43" i="17"/>
  <c r="CU65" i="17"/>
  <c r="CU56" i="17"/>
  <c r="CU47" i="17"/>
  <c r="CU42" i="17"/>
  <c r="CU37" i="17"/>
  <c r="CU48" i="17"/>
  <c r="CU38" i="17"/>
  <c r="CU58" i="17"/>
  <c r="CU39" i="17"/>
  <c r="CU49" i="17"/>
  <c r="CU36" i="17"/>
  <c r="CU54" i="17"/>
  <c r="CU53" i="17"/>
  <c r="CU45" i="17"/>
  <c r="CU40" i="17"/>
  <c r="CU34" i="17"/>
  <c r="CU33" i="17"/>
  <c r="CU55" i="17"/>
  <c r="CU46" i="17"/>
  <c r="CU41" i="17"/>
  <c r="CU63" i="17"/>
  <c r="CU44" i="17"/>
  <c r="CU7" i="17"/>
  <c r="CU11" i="17"/>
  <c r="CU15" i="17"/>
  <c r="CU19" i="17"/>
  <c r="CU23" i="17"/>
  <c r="CU27" i="17"/>
  <c r="G256" i="4"/>
  <c r="CU52" i="17"/>
  <c r="CU32" i="17"/>
  <c r="CU6" i="17"/>
  <c r="CU35" i="17"/>
  <c r="CU9" i="17"/>
  <c r="CU17" i="17"/>
  <c r="CU25" i="17"/>
  <c r="CU62" i="17"/>
  <c r="CU10" i="17"/>
  <c r="CU18" i="17"/>
  <c r="CU26" i="17"/>
  <c r="CU21" i="17"/>
  <c r="CU12" i="17"/>
  <c r="CU20" i="17"/>
  <c r="CU28" i="17"/>
  <c r="CU13" i="17"/>
  <c r="CU30" i="17"/>
  <c r="CU29" i="17"/>
  <c r="CU8" i="17"/>
  <c r="CU16" i="17"/>
  <c r="CU24" i="17"/>
  <c r="CU31" i="17"/>
  <c r="CU14" i="17"/>
  <c r="CU22" i="17"/>
  <c r="CU67" i="17"/>
</calcChain>
</file>

<file path=xl/comments1.xml><?xml version="1.0" encoding="utf-8"?>
<comments xmlns="http://schemas.openxmlformats.org/spreadsheetml/2006/main">
  <authors>
    <author>東レ・ファインケミカル（株）</author>
  </authors>
  <commentList>
    <comment ref="F54" authorId="0">
      <text>
        <r>
          <rPr>
            <sz val="9"/>
            <color indexed="81"/>
            <rFont val="ＭＳ Ｐゴシック"/>
            <family val="3"/>
            <charset val="128"/>
          </rPr>
          <t>プロット計算式では
４：１６</t>
        </r>
      </text>
    </comment>
  </commentList>
</comments>
</file>

<file path=xl/sharedStrings.xml><?xml version="1.0" encoding="utf-8"?>
<sst xmlns="http://schemas.openxmlformats.org/spreadsheetml/2006/main" count="375" uniqueCount="206">
  <si>
    <t>Lot.No</t>
  </si>
  <si>
    <t>感度</t>
  </si>
  <si>
    <t>熟成時間</t>
    <rPh sb="0" eb="2">
      <t>ジュクセイ</t>
    </rPh>
    <rPh sb="2" eb="4">
      <t>ジカン</t>
    </rPh>
    <phoneticPr fontId="7"/>
  </si>
  <si>
    <t>固形分</t>
    <rPh sb="0" eb="2">
      <t>コケイ</t>
    </rPh>
    <rPh sb="2" eb="3">
      <t>ブン</t>
    </rPh>
    <phoneticPr fontId="7"/>
  </si>
  <si>
    <t>平均値</t>
    <rPh sb="0" eb="3">
      <t>ヘイキンチ</t>
    </rPh>
    <phoneticPr fontId="5"/>
  </si>
  <si>
    <t>±３σの幅</t>
    <rPh sb="4" eb="5">
      <t>ハバ</t>
    </rPh>
    <phoneticPr fontId="5"/>
  </si>
  <si>
    <t>傾向管理</t>
    <rPh sb="0" eb="2">
      <t>ケイコウ</t>
    </rPh>
    <rPh sb="2" eb="4">
      <t>カンリ</t>
    </rPh>
    <phoneticPr fontId="5"/>
  </si>
  <si>
    <t>仕込み
時間</t>
    <rPh sb="0" eb="2">
      <t>シコ</t>
    </rPh>
    <rPh sb="4" eb="6">
      <t>ジカン</t>
    </rPh>
    <phoneticPr fontId="5"/>
  </si>
  <si>
    <t>仕込み時間</t>
    <rPh sb="0" eb="2">
      <t>シコ</t>
    </rPh>
    <rPh sb="3" eb="4">
      <t>ジ</t>
    </rPh>
    <rPh sb="4" eb="5">
      <t>カン</t>
    </rPh>
    <phoneticPr fontId="5"/>
  </si>
  <si>
    <t>上限</t>
    <rPh sb="0" eb="2">
      <t>ジョウゲン</t>
    </rPh>
    <phoneticPr fontId="5"/>
  </si>
  <si>
    <t>下限</t>
    <rPh sb="0" eb="2">
      <t>カゲン</t>
    </rPh>
    <phoneticPr fontId="5"/>
  </si>
  <si>
    <t>３σ</t>
    <phoneticPr fontId="5"/>
  </si>
  <si>
    <t>総ﾃﾞｰﾀｰ数</t>
    <rPh sb="0" eb="1">
      <t>ソウ</t>
    </rPh>
    <rPh sb="6" eb="7">
      <t>スウ</t>
    </rPh>
    <phoneticPr fontId="5"/>
  </si>
  <si>
    <t>平均値</t>
  </si>
  <si>
    <t>３σ</t>
  </si>
  <si>
    <t>工程能力</t>
  </si>
  <si>
    <t>MAX</t>
  </si>
  <si>
    <t>min</t>
  </si>
  <si>
    <t>+3σ</t>
  </si>
  <si>
    <t>-3σ</t>
  </si>
  <si>
    <t>平均値</t>
    <rPh sb="0" eb="3">
      <t>ヘイキンチ</t>
    </rPh>
    <phoneticPr fontId="7"/>
  </si>
  <si>
    <t>工程能力</t>
    <rPh sb="0" eb="2">
      <t>コウテイ</t>
    </rPh>
    <rPh sb="2" eb="4">
      <t>ノウリョク</t>
    </rPh>
    <phoneticPr fontId="7"/>
  </si>
  <si>
    <t>ﾃﾞｰﾀｰ数</t>
    <rPh sb="5" eb="6">
      <t>スウ</t>
    </rPh>
    <phoneticPr fontId="5"/>
  </si>
  <si>
    <t>反応開始まで</t>
    <rPh sb="0" eb="2">
      <t>ハンノウ</t>
    </rPh>
    <rPh sb="2" eb="4">
      <t>カイシ</t>
    </rPh>
    <phoneticPr fontId="5"/>
  </si>
  <si>
    <t>熟成開始まで</t>
    <rPh sb="0" eb="2">
      <t>ジュクセイ</t>
    </rPh>
    <rPh sb="2" eb="4">
      <t>カイシ</t>
    </rPh>
    <phoneticPr fontId="5"/>
  </si>
  <si>
    <t>W051121-A</t>
  </si>
  <si>
    <t>w051216-A</t>
  </si>
  <si>
    <t>w051219-A</t>
  </si>
  <si>
    <t>w060201-A</t>
  </si>
  <si>
    <t>w060202-A</t>
  </si>
  <si>
    <t>w060203-A</t>
  </si>
  <si>
    <t>w060205-A</t>
  </si>
  <si>
    <t>規格上限</t>
    <rPh sb="0" eb="2">
      <t>キカク</t>
    </rPh>
    <rPh sb="2" eb="4">
      <t>ジョウゲン</t>
    </rPh>
    <phoneticPr fontId="5"/>
  </si>
  <si>
    <t>規格下限</t>
    <rPh sb="0" eb="2">
      <t>キカク</t>
    </rPh>
    <rPh sb="2" eb="4">
      <t>カゲン</t>
    </rPh>
    <phoneticPr fontId="5"/>
  </si>
  <si>
    <t>３σは、前年度の生産実績で管理</t>
    <rPh sb="4" eb="7">
      <t>ゼンネンド</t>
    </rPh>
    <rPh sb="8" eb="10">
      <t>セイサン</t>
    </rPh>
    <rPh sb="10" eb="12">
      <t>ジッセキ</t>
    </rPh>
    <rPh sb="13" eb="15">
      <t>カンリ</t>
    </rPh>
    <phoneticPr fontId="5"/>
  </si>
  <si>
    <t>仕込
総量</t>
    <rPh sb="0" eb="2">
      <t>シコ</t>
    </rPh>
    <rPh sb="3" eb="5">
      <t>ソウリョウ</t>
    </rPh>
    <phoneticPr fontId="5"/>
  </si>
  <si>
    <t>抜出
総量</t>
    <rPh sb="0" eb="1">
      <t>ヌ</t>
    </rPh>
    <rPh sb="1" eb="2">
      <t>ダ</t>
    </rPh>
    <rPh sb="3" eb="5">
      <t>ソウリョウ</t>
    </rPh>
    <phoneticPr fontId="5"/>
  </si>
  <si>
    <t>差異</t>
    <rPh sb="0" eb="2">
      <t>サイ</t>
    </rPh>
    <phoneticPr fontId="5"/>
  </si>
  <si>
    <t>重量差異</t>
    <rPh sb="0" eb="2">
      <t>ジュウリョウ</t>
    </rPh>
    <rPh sb="2" eb="4">
      <t>サイ</t>
    </rPh>
    <phoneticPr fontId="5"/>
  </si>
  <si>
    <t>３σ</t>
    <phoneticPr fontId="7"/>
  </si>
  <si>
    <t>+3σ</t>
    <phoneticPr fontId="5"/>
  </si>
  <si>
    <t>-3σ</t>
    <phoneticPr fontId="5"/>
  </si>
  <si>
    <t>MAX</t>
    <phoneticPr fontId="5"/>
  </si>
  <si>
    <t>min</t>
    <phoneticPr fontId="5"/>
  </si>
  <si>
    <t>ＶＰ－２での生産</t>
    <rPh sb="6" eb="8">
      <t>セイサン</t>
    </rPh>
    <phoneticPr fontId="5"/>
  </si>
  <si>
    <t>粘度</t>
  </si>
  <si>
    <t>Ｍw/Mn</t>
  </si>
  <si>
    <t>ＰＯＭＥＭＡＧ</t>
    <phoneticPr fontId="5"/>
  </si>
  <si>
    <t>追添槽　滴下時間</t>
    <rPh sb="0" eb="1">
      <t>ツイ</t>
    </rPh>
    <rPh sb="1" eb="2">
      <t>テン</t>
    </rPh>
    <rPh sb="2" eb="3">
      <t>ソウ</t>
    </rPh>
    <rPh sb="4" eb="6">
      <t>テキカ</t>
    </rPh>
    <rPh sb="6" eb="8">
      <t>ジカン</t>
    </rPh>
    <phoneticPr fontId="5"/>
  </si>
  <si>
    <t>触媒槽滴下時間</t>
    <rPh sb="0" eb="2">
      <t>ショクバイ</t>
    </rPh>
    <rPh sb="2" eb="3">
      <t>ソウ</t>
    </rPh>
    <rPh sb="3" eb="5">
      <t>テキカ</t>
    </rPh>
    <rPh sb="5" eb="7">
      <t>ジカン</t>
    </rPh>
    <phoneticPr fontId="5"/>
  </si>
  <si>
    <t>total
重合時間</t>
    <rPh sb="6" eb="8">
      <t>ジュウゴウ</t>
    </rPh>
    <rPh sb="8" eb="10">
      <t>ジカン</t>
    </rPh>
    <phoneticPr fontId="7"/>
  </si>
  <si>
    <t>2.50Hr
粘度</t>
    <rPh sb="7" eb="9">
      <t>ネンド</t>
    </rPh>
    <phoneticPr fontId="5"/>
  </si>
  <si>
    <t>3.00Hr
粘度</t>
    <rPh sb="7" eb="9">
      <t>ネンド</t>
    </rPh>
    <phoneticPr fontId="5"/>
  </si>
  <si>
    <t>3.50Hr
粘度</t>
    <rPh sb="7" eb="9">
      <t>ネンド</t>
    </rPh>
    <phoneticPr fontId="5"/>
  </si>
  <si>
    <t>4.00Hr
粘度</t>
    <rPh sb="7" eb="9">
      <t>ネンド</t>
    </rPh>
    <phoneticPr fontId="5"/>
  </si>
  <si>
    <t>追添槽</t>
    <rPh sb="0" eb="1">
      <t>ツイ</t>
    </rPh>
    <rPh sb="1" eb="2">
      <t>テン</t>
    </rPh>
    <rPh sb="2" eb="3">
      <t>ソウ</t>
    </rPh>
    <phoneticPr fontId="5"/>
  </si>
  <si>
    <t>実仕込総量</t>
    <rPh sb="0" eb="1">
      <t>ジツ</t>
    </rPh>
    <rPh sb="1" eb="3">
      <t>シコミ</t>
    </rPh>
    <rPh sb="3" eb="4">
      <t>ソウ</t>
    </rPh>
    <rPh sb="4" eb="5">
      <t>リョウ</t>
    </rPh>
    <phoneticPr fontId="5"/>
  </si>
  <si>
    <t>流量計重量差異（追添槽）</t>
    <rPh sb="3" eb="5">
      <t>ジュウリョウ</t>
    </rPh>
    <rPh sb="5" eb="7">
      <t>サイ</t>
    </rPh>
    <rPh sb="8" eb="9">
      <t>ツイ</t>
    </rPh>
    <rPh sb="9" eb="10">
      <t>テン</t>
    </rPh>
    <rPh sb="10" eb="11">
      <t>ソウ</t>
    </rPh>
    <phoneticPr fontId="5"/>
  </si>
  <si>
    <t>触媒槽</t>
    <rPh sb="0" eb="2">
      <t>ショクバイ</t>
    </rPh>
    <rPh sb="2" eb="3">
      <t>ソウ</t>
    </rPh>
    <phoneticPr fontId="5"/>
  </si>
  <si>
    <t>流量計重量差異（触媒槽）</t>
    <rPh sb="3" eb="5">
      <t>ジュウリョウ</t>
    </rPh>
    <rPh sb="5" eb="7">
      <t>サイ</t>
    </rPh>
    <rPh sb="8" eb="10">
      <t>ショクバイ</t>
    </rPh>
    <rPh sb="10" eb="11">
      <t>ソウ</t>
    </rPh>
    <phoneticPr fontId="5"/>
  </si>
  <si>
    <t>滴下時間</t>
    <rPh sb="0" eb="2">
      <t>テキカ</t>
    </rPh>
    <rPh sb="2" eb="4">
      <t>ジカン</t>
    </rPh>
    <phoneticPr fontId="5"/>
  </si>
  <si>
    <t>２０１４年のデータ</t>
    <rPh sb="4" eb="5">
      <t>ネン</t>
    </rPh>
    <phoneticPr fontId="5"/>
  </si>
  <si>
    <t>ピンク部今年のデータです</t>
    <rPh sb="3" eb="4">
      <t>ブ</t>
    </rPh>
    <rPh sb="4" eb="6">
      <t>コトシ</t>
    </rPh>
    <phoneticPr fontId="5"/>
  </si>
  <si>
    <t>追添0.5Hr
流量計積算量
(追添槽）</t>
    <rPh sb="0" eb="1">
      <t>ツイ</t>
    </rPh>
    <rPh sb="1" eb="2">
      <t>テン</t>
    </rPh>
    <rPh sb="8" eb="11">
      <t>リュウリョウケイ</t>
    </rPh>
    <rPh sb="11" eb="13">
      <t>セキサン</t>
    </rPh>
    <rPh sb="13" eb="14">
      <t>リョウ</t>
    </rPh>
    <rPh sb="16" eb="17">
      <t>ツイ</t>
    </rPh>
    <rPh sb="17" eb="18">
      <t>テン</t>
    </rPh>
    <rPh sb="18" eb="19">
      <t>ソウ</t>
    </rPh>
    <phoneticPr fontId="5"/>
  </si>
  <si>
    <t>追添1Hr
流量計積算量
(追添槽）</t>
    <rPh sb="0" eb="1">
      <t>ツイ</t>
    </rPh>
    <rPh sb="1" eb="2">
      <t>テン</t>
    </rPh>
    <rPh sb="6" eb="9">
      <t>リュウリョウケイ</t>
    </rPh>
    <rPh sb="9" eb="11">
      <t>セキサン</t>
    </rPh>
    <rPh sb="11" eb="12">
      <t>リョウ</t>
    </rPh>
    <phoneticPr fontId="5"/>
  </si>
  <si>
    <t>追添1.5Hr
流量計積算量
(追添槽）</t>
    <rPh sb="0" eb="1">
      <t>ツイ</t>
    </rPh>
    <rPh sb="1" eb="2">
      <t>テン</t>
    </rPh>
    <rPh sb="8" eb="11">
      <t>リュウリョウケイ</t>
    </rPh>
    <rPh sb="11" eb="13">
      <t>セキサン</t>
    </rPh>
    <rPh sb="13" eb="14">
      <t>リョウ</t>
    </rPh>
    <phoneticPr fontId="5"/>
  </si>
  <si>
    <t>最終流量計
積算量
(追添槽）</t>
    <rPh sb="0" eb="2">
      <t>サイシュウ</t>
    </rPh>
    <rPh sb="2" eb="5">
      <t>リュウリョウケイ</t>
    </rPh>
    <rPh sb="6" eb="8">
      <t>セキサン</t>
    </rPh>
    <rPh sb="8" eb="9">
      <t>リョウ</t>
    </rPh>
    <phoneticPr fontId="5"/>
  </si>
  <si>
    <t>追添0.5Hr
流量計積算量
(触媒槽）</t>
    <rPh sb="0" eb="1">
      <t>ツイ</t>
    </rPh>
    <rPh sb="1" eb="2">
      <t>テン</t>
    </rPh>
    <rPh sb="8" eb="11">
      <t>リュウリョウケイ</t>
    </rPh>
    <rPh sb="11" eb="13">
      <t>セキサン</t>
    </rPh>
    <rPh sb="13" eb="14">
      <t>リョウ</t>
    </rPh>
    <rPh sb="16" eb="18">
      <t>ショクバイ</t>
    </rPh>
    <phoneticPr fontId="5"/>
  </si>
  <si>
    <t>追添1Hr
流量計積算量
(触媒槽）</t>
    <rPh sb="0" eb="1">
      <t>ツイ</t>
    </rPh>
    <rPh sb="1" eb="2">
      <t>テン</t>
    </rPh>
    <rPh sb="6" eb="9">
      <t>リュウリョウケイ</t>
    </rPh>
    <rPh sb="9" eb="11">
      <t>セキサン</t>
    </rPh>
    <rPh sb="11" eb="12">
      <t>リョウ</t>
    </rPh>
    <phoneticPr fontId="5"/>
  </si>
  <si>
    <t>追添1.5Hr
流量計積算量
(触媒槽）</t>
    <rPh sb="0" eb="1">
      <t>ツイ</t>
    </rPh>
    <rPh sb="1" eb="2">
      <t>テン</t>
    </rPh>
    <rPh sb="8" eb="11">
      <t>リュウリョウケイ</t>
    </rPh>
    <rPh sb="11" eb="13">
      <t>セキサン</t>
    </rPh>
    <rPh sb="13" eb="14">
      <t>リョウ</t>
    </rPh>
    <phoneticPr fontId="5"/>
  </si>
  <si>
    <t>最終流量計
積算量
(触媒槽）</t>
    <rPh sb="0" eb="2">
      <t>サイシュウ</t>
    </rPh>
    <rPh sb="2" eb="5">
      <t>リュウリョウケイ</t>
    </rPh>
    <rPh sb="6" eb="8">
      <t>セキサン</t>
    </rPh>
    <rPh sb="8" eb="9">
      <t>リョウ</t>
    </rPh>
    <phoneticPr fontId="5"/>
  </si>
  <si>
    <t>＋３σ</t>
    <phoneticPr fontId="5"/>
  </si>
  <si>
    <t>－３σ</t>
    <phoneticPr fontId="5"/>
  </si>
  <si>
    <t>＋３σ</t>
    <phoneticPr fontId="5"/>
  </si>
  <si>
    <t>－３σ</t>
    <phoneticPr fontId="5"/>
  </si>
  <si>
    <t>冷却開始
時刻</t>
    <rPh sb="0" eb="2">
      <t>レイキャク</t>
    </rPh>
    <rPh sb="2" eb="4">
      <t>カイシ</t>
    </rPh>
    <rPh sb="5" eb="7">
      <t>ジコク</t>
    </rPh>
    <phoneticPr fontId="5"/>
  </si>
  <si>
    <t>冷却終了
時刻</t>
    <rPh sb="0" eb="2">
      <t>レイキャク</t>
    </rPh>
    <rPh sb="2" eb="4">
      <t>シュウリョウ</t>
    </rPh>
    <rPh sb="5" eb="7">
      <t>ジコク</t>
    </rPh>
    <phoneticPr fontId="5"/>
  </si>
  <si>
    <t>冷却
時間</t>
    <rPh sb="0" eb="2">
      <t>レイキャク</t>
    </rPh>
    <rPh sb="3" eb="5">
      <t>ジカン</t>
    </rPh>
    <phoneticPr fontId="5"/>
  </si>
  <si>
    <t>冷却温度
(抜出開始時)</t>
    <phoneticPr fontId="5"/>
  </si>
  <si>
    <t>充填終了時刻</t>
    <rPh sb="0" eb="2">
      <t>ジュウテン</t>
    </rPh>
    <rPh sb="2" eb="4">
      <t>シュウリョウ</t>
    </rPh>
    <rPh sb="4" eb="6">
      <t>ジコク</t>
    </rPh>
    <phoneticPr fontId="5"/>
  </si>
  <si>
    <t>冷凍倉庫保管
時刻</t>
    <rPh sb="0" eb="2">
      <t>レイトウ</t>
    </rPh>
    <rPh sb="2" eb="4">
      <t>ソウコ</t>
    </rPh>
    <rPh sb="4" eb="6">
      <t>ホカン</t>
    </rPh>
    <rPh sb="7" eb="9">
      <t>ジコク</t>
    </rPh>
    <phoneticPr fontId="5"/>
  </si>
  <si>
    <t>移送時間（充填後⇒保管庫）</t>
    <rPh sb="0" eb="2">
      <t>イソウ</t>
    </rPh>
    <rPh sb="2" eb="4">
      <t>ジカン</t>
    </rPh>
    <rPh sb="5" eb="7">
      <t>ジュウテン</t>
    </rPh>
    <rPh sb="7" eb="8">
      <t>ゴ</t>
    </rPh>
    <rPh sb="9" eb="12">
      <t>ホカンコ</t>
    </rPh>
    <phoneticPr fontId="5"/>
  </si>
  <si>
    <t>冷却時間</t>
    <rPh sb="0" eb="2">
      <t>レイキャク</t>
    </rPh>
    <rPh sb="2" eb="4">
      <t>ジカン</t>
    </rPh>
    <phoneticPr fontId="5"/>
  </si>
  <si>
    <t>冷却温度</t>
    <rPh sb="0" eb="2">
      <t>レイキャク</t>
    </rPh>
    <rPh sb="2" eb="4">
      <t>オンド</t>
    </rPh>
    <phoneticPr fontId="5"/>
  </si>
  <si>
    <t>移送時間</t>
    <rPh sb="0" eb="2">
      <t>イソウ</t>
    </rPh>
    <rPh sb="2" eb="4">
      <t>ジカン</t>
    </rPh>
    <phoneticPr fontId="5"/>
  </si>
  <si>
    <t>ストレーナ内異物量</t>
    <rPh sb="5" eb="6">
      <t>ナイ</t>
    </rPh>
    <rPh sb="6" eb="8">
      <t>イブツ</t>
    </rPh>
    <rPh sb="8" eb="9">
      <t>リョウ</t>
    </rPh>
    <phoneticPr fontId="5"/>
  </si>
  <si>
    <t>ｽﾄﾚｰﾅ異物量</t>
    <rPh sb="5" eb="7">
      <t>イブツ</t>
    </rPh>
    <rPh sb="7" eb="8">
      <t>リョウ</t>
    </rPh>
    <phoneticPr fontId="5"/>
  </si>
  <si>
    <t>2016年度</t>
    <rPh sb="4" eb="6">
      <t>ネンド</t>
    </rPh>
    <phoneticPr fontId="5"/>
  </si>
  <si>
    <t>ZT160401-B</t>
    <phoneticPr fontId="5"/>
  </si>
  <si>
    <t>ZT160402-B</t>
    <phoneticPr fontId="5"/>
  </si>
  <si>
    <t>ストレーナ内異物量(g)</t>
    <rPh sb="5" eb="6">
      <t>ナイ</t>
    </rPh>
    <rPh sb="6" eb="8">
      <t>イブツ</t>
    </rPh>
    <rPh sb="8" eb="9">
      <t>リョウ</t>
    </rPh>
    <phoneticPr fontId="5"/>
  </si>
  <si>
    <t>ZT160403-B</t>
  </si>
  <si>
    <t>ZT160501-B</t>
    <phoneticPr fontId="5"/>
  </si>
  <si>
    <t>ZT160502-B</t>
  </si>
  <si>
    <t>ZT160503-B</t>
  </si>
  <si>
    <t>ZT160601-B</t>
    <phoneticPr fontId="5"/>
  </si>
  <si>
    <t>ZT160602-B</t>
  </si>
  <si>
    <t>MEDIC
仕込み量</t>
    <rPh sb="6" eb="8">
      <t>シコ</t>
    </rPh>
    <rPh sb="9" eb="10">
      <t>リョウ</t>
    </rPh>
    <phoneticPr fontId="5"/>
  </si>
  <si>
    <t>規格下限</t>
    <rPh sb="0" eb="2">
      <t>キカク</t>
    </rPh>
    <rPh sb="2" eb="3">
      <t>シタ</t>
    </rPh>
    <rPh sb="3" eb="4">
      <t>キリ</t>
    </rPh>
    <phoneticPr fontId="5"/>
  </si>
  <si>
    <t>規格中心値</t>
    <rPh sb="0" eb="2">
      <t>キカク</t>
    </rPh>
    <rPh sb="2" eb="4">
      <t>チュウシン</t>
    </rPh>
    <rPh sb="4" eb="5">
      <t>チ</t>
    </rPh>
    <phoneticPr fontId="5"/>
  </si>
  <si>
    <t>規格幅</t>
    <rPh sb="0" eb="2">
      <t>キカク</t>
    </rPh>
    <rPh sb="2" eb="3">
      <t>ハバ</t>
    </rPh>
    <phoneticPr fontId="5"/>
  </si>
  <si>
    <t>Cp</t>
  </si>
  <si>
    <t>k</t>
  </si>
  <si>
    <t>Cpk</t>
  </si>
  <si>
    <t xml:space="preserve"> Cp　＝（規格上限-規格下限）/6σ</t>
    <phoneticPr fontId="5"/>
  </si>
  <si>
    <t xml:space="preserve">  上限規格のみの場合：Cpu ＝ (上限規格値 - 平均値)/3σ</t>
  </si>
  <si>
    <t xml:space="preserve">  下限規格のみの場合：Cpl ＝ (下限規格値 - 平均値)/3σ</t>
  </si>
  <si>
    <t>　ｋ=(ABS(（上限規格+下限規格）/2-平均値)）/(（上限規格-下限規格）/2)</t>
  </si>
  <si>
    <t>　Cpｋ=(1-k）×（上限規格-下限規格）/6σ</t>
  </si>
  <si>
    <t>σ</t>
  </si>
  <si>
    <t>MEDIC
仕込み量</t>
  </si>
  <si>
    <t>抜出時間
1本目</t>
    <rPh sb="0" eb="1">
      <t>ヌ</t>
    </rPh>
    <rPh sb="1" eb="2">
      <t>ダ</t>
    </rPh>
    <rPh sb="2" eb="4">
      <t>ジカン</t>
    </rPh>
    <rPh sb="6" eb="7">
      <t>ホン</t>
    </rPh>
    <rPh sb="7" eb="8">
      <t>メ</t>
    </rPh>
    <phoneticPr fontId="5"/>
  </si>
  <si>
    <t>抜出時間
7本目</t>
    <rPh sb="0" eb="1">
      <t>ヌ</t>
    </rPh>
    <rPh sb="1" eb="2">
      <t>ダ</t>
    </rPh>
    <rPh sb="2" eb="4">
      <t>ジカン</t>
    </rPh>
    <rPh sb="6" eb="7">
      <t>ホン</t>
    </rPh>
    <rPh sb="7" eb="8">
      <t>メ</t>
    </rPh>
    <phoneticPr fontId="5"/>
  </si>
  <si>
    <t>抜出時間
差</t>
    <rPh sb="0" eb="1">
      <t>ヌ</t>
    </rPh>
    <rPh sb="1" eb="2">
      <t>ダ</t>
    </rPh>
    <rPh sb="2" eb="4">
      <t>ジカン</t>
    </rPh>
    <rPh sb="5" eb="6">
      <t>サ</t>
    </rPh>
    <phoneticPr fontId="5"/>
  </si>
  <si>
    <t>抜出時間
1本目</t>
    <phoneticPr fontId="5"/>
  </si>
  <si>
    <t>抜出時間
7本目</t>
    <phoneticPr fontId="5"/>
  </si>
  <si>
    <t>抜出時間
差</t>
    <phoneticPr fontId="5"/>
  </si>
  <si>
    <t>抜出時間1本目</t>
    <rPh sb="0" eb="2">
      <t>ヌキダシ</t>
    </rPh>
    <rPh sb="2" eb="4">
      <t>ジカン</t>
    </rPh>
    <rPh sb="5" eb="6">
      <t>ホン</t>
    </rPh>
    <rPh sb="6" eb="7">
      <t>メ</t>
    </rPh>
    <phoneticPr fontId="5"/>
  </si>
  <si>
    <t>抜出時間7本目</t>
    <rPh sb="0" eb="2">
      <t>ヌキダシ</t>
    </rPh>
    <rPh sb="2" eb="4">
      <t>ジカン</t>
    </rPh>
    <rPh sb="5" eb="6">
      <t>ホン</t>
    </rPh>
    <rPh sb="6" eb="7">
      <t>メ</t>
    </rPh>
    <phoneticPr fontId="5"/>
  </si>
  <si>
    <t>抜出時間差</t>
    <rPh sb="0" eb="2">
      <t>ヌキダシ</t>
    </rPh>
    <rPh sb="2" eb="4">
      <t>ジカン</t>
    </rPh>
    <rPh sb="4" eb="5">
      <t>サ</t>
    </rPh>
    <phoneticPr fontId="5"/>
  </si>
  <si>
    <t>３σ</t>
    <phoneticPr fontId="5"/>
  </si>
  <si>
    <t>３σ</t>
    <phoneticPr fontId="5"/>
  </si>
  <si>
    <t>ZT160603-B</t>
  </si>
  <si>
    <t>MEDIC仕込み量</t>
    <rPh sb="5" eb="7">
      <t>シコ</t>
    </rPh>
    <rPh sb="8" eb="9">
      <t>リョウ</t>
    </rPh>
    <phoneticPr fontId="5"/>
  </si>
  <si>
    <t>ZT160604-B</t>
  </si>
  <si>
    <t>ZT160605-B</t>
  </si>
  <si>
    <t>ZT160606-B</t>
  </si>
  <si>
    <t>ZT160701-B</t>
    <phoneticPr fontId="5"/>
  </si>
  <si>
    <t>ZT160702-B</t>
  </si>
  <si>
    <t>ZT160703-B</t>
  </si>
  <si>
    <t>ZT160704-B</t>
  </si>
  <si>
    <t>ZT160705-B</t>
  </si>
  <si>
    <t>ZT160706-B</t>
  </si>
  <si>
    <t>ZT160707-B</t>
  </si>
  <si>
    <t>ZT160801-B</t>
    <phoneticPr fontId="5"/>
  </si>
  <si>
    <t>ZT160901-B</t>
    <phoneticPr fontId="5"/>
  </si>
  <si>
    <t>ZT160902-B</t>
  </si>
  <si>
    <t>ZT160903-B</t>
  </si>
  <si>
    <t>ZT160904-B</t>
  </si>
  <si>
    <t>ZT160905-B</t>
  </si>
  <si>
    <t>ZT160906-B</t>
  </si>
  <si>
    <t>ZT160907-B</t>
  </si>
  <si>
    <t>ZT161001-B</t>
    <phoneticPr fontId="5"/>
  </si>
  <si>
    <t>ZT161002-B</t>
  </si>
  <si>
    <t>ZT161003-B</t>
  </si>
  <si>
    <t>ZT161004-B</t>
  </si>
  <si>
    <t>ZT161005-B</t>
  </si>
  <si>
    <t>ZT161006-B</t>
  </si>
  <si>
    <t>ZT161101-B</t>
    <phoneticPr fontId="5"/>
  </si>
  <si>
    <t>ZT161102-B</t>
  </si>
  <si>
    <t>ZT161103-B</t>
  </si>
  <si>
    <t>ZT161104-B</t>
  </si>
  <si>
    <t>ZT161105-B</t>
  </si>
  <si>
    <t>ZT161201-B</t>
    <phoneticPr fontId="5"/>
  </si>
  <si>
    <t>ZT161202-B</t>
  </si>
  <si>
    <t>ZT170101-B</t>
    <phoneticPr fontId="5"/>
  </si>
  <si>
    <t>ZT170102-B</t>
  </si>
  <si>
    <t>ZT170103-B</t>
  </si>
  <si>
    <t>ZT170104-B</t>
  </si>
  <si>
    <t>ZT170105-B</t>
  </si>
  <si>
    <t>ZT170106-B</t>
  </si>
  <si>
    <t>ZT170201-B</t>
    <phoneticPr fontId="5"/>
  </si>
  <si>
    <t>ZT170202-B</t>
  </si>
  <si>
    <t>ZT170203-B</t>
  </si>
  <si>
    <t>ZT170204-B</t>
  </si>
  <si>
    <t>ZT170205-B</t>
  </si>
  <si>
    <t>ZT170206-B</t>
  </si>
  <si>
    <t>ZT170207-B</t>
  </si>
  <si>
    <t>ZT170208-B</t>
  </si>
  <si>
    <t>ZT170209-B</t>
  </si>
  <si>
    <t>ZT170301-B</t>
    <phoneticPr fontId="5"/>
  </si>
  <si>
    <t>ZT170302-B</t>
  </si>
  <si>
    <t>ZT170303-B</t>
  </si>
  <si>
    <t>ZT170401-B</t>
  </si>
  <si>
    <t>2017年度</t>
    <rPh sb="4" eb="6">
      <t>ネンド</t>
    </rPh>
    <phoneticPr fontId="5"/>
  </si>
  <si>
    <t>ZT170402-B</t>
  </si>
  <si>
    <t>ZT170501-B</t>
    <phoneticPr fontId="5"/>
  </si>
  <si>
    <t>ZT170601-B</t>
    <phoneticPr fontId="5"/>
  </si>
  <si>
    <t>ZT170602-B</t>
  </si>
  <si>
    <t>ZT170603-B</t>
  </si>
  <si>
    <t>ZT170604-B</t>
  </si>
  <si>
    <t>ZT170605-B</t>
  </si>
  <si>
    <t>ZT170606-B</t>
  </si>
  <si>
    <t>ZT170607-B</t>
  </si>
  <si>
    <t>ZT170608-B</t>
  </si>
  <si>
    <t>ZT170701-B</t>
    <phoneticPr fontId="5"/>
  </si>
  <si>
    <t>ZT170702-B</t>
  </si>
  <si>
    <t>ZT170901-B</t>
    <phoneticPr fontId="5"/>
  </si>
  <si>
    <t>ZT170902-B</t>
  </si>
  <si>
    <t>ZT170903-B</t>
  </si>
  <si>
    <t>ZT170904-B</t>
  </si>
  <si>
    <t>ZT170905-B</t>
  </si>
  <si>
    <t>ZT171001-B</t>
    <phoneticPr fontId="5"/>
  </si>
  <si>
    <t>ZT171002-B</t>
  </si>
  <si>
    <t>ZT171003-B</t>
  </si>
  <si>
    <t>ZT171004-B</t>
  </si>
  <si>
    <t>ZT171101-B</t>
    <phoneticPr fontId="5"/>
  </si>
  <si>
    <t>ZT171102-B</t>
  </si>
  <si>
    <t>ZT171103-B</t>
  </si>
  <si>
    <t>ZT171104-B</t>
  </si>
  <si>
    <t>ZT171105-B</t>
  </si>
  <si>
    <t>ZT171106-B</t>
  </si>
  <si>
    <t>ZT171201-B</t>
    <phoneticPr fontId="5"/>
  </si>
  <si>
    <t>ZT171202-B</t>
  </si>
  <si>
    <t>ZT180101-B</t>
    <phoneticPr fontId="5"/>
  </si>
  <si>
    <t>ZT180102-B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</si>
</sst>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7" formatCode="#,##0.000_);[Red]\(#,##0.000\)"/>
    <numFmt numFmtId="178" formatCode="#,##0.00_);[Red]\(#,##0.00\)"/>
    <numFmt numFmtId="180" formatCode="0.00_);[Red]\(0.00\)"/>
    <numFmt numFmtId="191" formatCode="0.0000_);[Red]\(0.0000\)"/>
    <numFmt numFmtId="193" formatCode="0.00_ ;[Red]\-0.00\ "/>
    <numFmt numFmtId="194" formatCode="0.00_ "/>
    <numFmt numFmtId="196" formatCode="0_ ;[Red]\-0\ "/>
    <numFmt numFmtId="197" formatCode="0.0_ ;[Red]\-0.0\ "/>
    <numFmt numFmtId="206" formatCode="0.0_);[Red]\(0.0\)"/>
    <numFmt numFmtId="207" formatCode="0.0_ "/>
    <numFmt numFmtId="208" formatCode="h:mm;@"/>
  </numFmts>
  <fonts count="29">
    <font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color indexed="10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6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0"/>
      <name val="ＭＳ Ｐゴシック"/>
      <family val="3"/>
      <charset val="128"/>
    </font>
    <font>
      <b/>
      <sz val="16"/>
      <color indexed="12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6"/>
      <color indexed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indexed="12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38" fontId="2" fillId="0" borderId="0" applyFont="0" applyFill="0" applyBorder="0" applyAlignment="0" applyProtection="0"/>
    <xf numFmtId="0" fontId="3" fillId="0" borderId="0"/>
    <xf numFmtId="0" fontId="1" fillId="0" borderId="0"/>
  </cellStyleXfs>
  <cellXfs count="328">
    <xf numFmtId="0" fontId="0" fillId="0" borderId="0" xfId="0"/>
    <xf numFmtId="0" fontId="4" fillId="0" borderId="1" xfId="2" applyFont="1" applyBorder="1" applyAlignment="1">
      <alignment horizontal="center" vertical="center" wrapText="1"/>
    </xf>
    <xf numFmtId="178" fontId="3" fillId="0" borderId="2" xfId="2" applyNumberFormat="1" applyFont="1" applyFill="1" applyBorder="1" applyAlignment="1" applyProtection="1">
      <alignment horizontal="right"/>
      <protection locked="0"/>
    </xf>
    <xf numFmtId="0" fontId="6" fillId="0" borderId="1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177" fontId="6" fillId="0" borderId="3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0" xfId="0" applyFont="1"/>
    <xf numFmtId="2" fontId="0" fillId="0" borderId="0" xfId="0" applyNumberFormat="1" applyBorder="1"/>
    <xf numFmtId="0" fontId="6" fillId="0" borderId="3" xfId="2" applyFont="1" applyBorder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13" fillId="0" borderId="0" xfId="0" applyFont="1"/>
    <xf numFmtId="0" fontId="0" fillId="0" borderId="0" xfId="0" applyAlignment="1">
      <alignment horizontal="right"/>
    </xf>
    <xf numFmtId="0" fontId="6" fillId="2" borderId="3" xfId="2" applyFont="1" applyFill="1" applyBorder="1" applyAlignment="1">
      <alignment horizontal="center" vertical="center" wrapText="1"/>
    </xf>
    <xf numFmtId="0" fontId="10" fillId="0" borderId="2" xfId="2" applyNumberFormat="1" applyFont="1" applyFill="1" applyBorder="1" applyProtection="1">
      <protection locked="0"/>
    </xf>
    <xf numFmtId="20" fontId="10" fillId="0" borderId="2" xfId="2" applyNumberFormat="1" applyFont="1" applyFill="1" applyBorder="1" applyProtection="1">
      <protection locked="0"/>
    </xf>
    <xf numFmtId="2" fontId="10" fillId="0" borderId="2" xfId="2" applyNumberFormat="1" applyFont="1" applyFill="1" applyBorder="1" applyProtection="1">
      <protection locked="0"/>
    </xf>
    <xf numFmtId="180" fontId="10" fillId="0" borderId="2" xfId="2" applyNumberFormat="1" applyFont="1" applyFill="1" applyBorder="1" applyProtection="1">
      <protection locked="0"/>
    </xf>
    <xf numFmtId="180" fontId="10" fillId="0" borderId="2" xfId="2" applyNumberFormat="1" applyFont="1" applyFill="1" applyBorder="1" applyAlignment="1" applyProtection="1">
      <alignment horizontal="right"/>
      <protection locked="0"/>
    </xf>
    <xf numFmtId="193" fontId="10" fillId="0" borderId="2" xfId="2" applyNumberFormat="1" applyFont="1" applyFill="1" applyBorder="1" applyAlignment="1" applyProtection="1">
      <alignment horizontal="right"/>
      <protection locked="0"/>
    </xf>
    <xf numFmtId="178" fontId="10" fillId="0" borderId="2" xfId="2" applyNumberFormat="1" applyFont="1" applyFill="1" applyBorder="1" applyAlignment="1" applyProtection="1">
      <alignment horizontal="right"/>
      <protection locked="0"/>
    </xf>
    <xf numFmtId="2" fontId="10" fillId="0" borderId="4" xfId="2" applyNumberFormat="1" applyFont="1" applyFill="1" applyBorder="1" applyProtection="1">
      <protection locked="0"/>
    </xf>
    <xf numFmtId="0" fontId="10" fillId="0" borderId="5" xfId="2" applyNumberFormat="1" applyFont="1" applyFill="1" applyBorder="1" applyProtection="1">
      <protection locked="0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right"/>
    </xf>
    <xf numFmtId="0" fontId="14" fillId="0" borderId="0" xfId="0" applyFont="1"/>
    <xf numFmtId="180" fontId="10" fillId="0" borderId="5" xfId="2" applyNumberFormat="1" applyFont="1" applyFill="1" applyBorder="1" applyProtection="1">
      <protection locked="0"/>
    </xf>
    <xf numFmtId="180" fontId="10" fillId="0" borderId="6" xfId="2" applyNumberFormat="1" applyFont="1" applyFill="1" applyBorder="1" applyProtection="1">
      <protection locked="0"/>
    </xf>
    <xf numFmtId="180" fontId="10" fillId="0" borderId="7" xfId="2" applyNumberFormat="1" applyFont="1" applyFill="1" applyBorder="1" applyProtection="1">
      <protection locked="0"/>
    </xf>
    <xf numFmtId="0" fontId="18" fillId="0" borderId="0" xfId="0" applyFont="1" applyAlignment="1">
      <alignment vertical="center"/>
    </xf>
    <xf numFmtId="178" fontId="19" fillId="3" borderId="2" xfId="0" applyNumberFormat="1" applyFont="1" applyFill="1" applyBorder="1"/>
    <xf numFmtId="178" fontId="19" fillId="3" borderId="8" xfId="0" applyNumberFormat="1" applyFont="1" applyFill="1" applyBorder="1"/>
    <xf numFmtId="0" fontId="19" fillId="3" borderId="9" xfId="0" applyFont="1" applyFill="1" applyBorder="1"/>
    <xf numFmtId="0" fontId="19" fillId="3" borderId="10" xfId="0" applyFont="1" applyFill="1" applyBorder="1"/>
    <xf numFmtId="0" fontId="19" fillId="3" borderId="11" xfId="0" applyFont="1" applyFill="1" applyBorder="1"/>
    <xf numFmtId="0" fontId="19" fillId="3" borderId="10" xfId="2" applyFont="1" applyFill="1" applyBorder="1" applyProtection="1">
      <protection locked="0"/>
    </xf>
    <xf numFmtId="178" fontId="19" fillId="3" borderId="2" xfId="2" applyNumberFormat="1" applyFont="1" applyFill="1" applyBorder="1" applyAlignment="1" applyProtection="1">
      <alignment horizontal="right"/>
      <protection locked="0"/>
    </xf>
    <xf numFmtId="20" fontId="19" fillId="3" borderId="2" xfId="0" applyNumberFormat="1" applyFont="1" applyFill="1" applyBorder="1"/>
    <xf numFmtId="0" fontId="0" fillId="0" borderId="12" xfId="0" applyBorder="1"/>
    <xf numFmtId="0" fontId="8" fillId="0" borderId="3" xfId="2" applyFont="1" applyBorder="1" applyAlignment="1">
      <alignment horizontal="center" vertical="center"/>
    </xf>
    <xf numFmtId="206" fontId="10" fillId="0" borderId="5" xfId="2" applyNumberFormat="1" applyFont="1" applyFill="1" applyBorder="1" applyProtection="1">
      <protection locked="0"/>
    </xf>
    <xf numFmtId="207" fontId="19" fillId="3" borderId="2" xfId="0" applyNumberFormat="1" applyFont="1" applyFill="1" applyBorder="1"/>
    <xf numFmtId="0" fontId="19" fillId="4" borderId="10" xfId="2" applyFont="1" applyFill="1" applyBorder="1" applyProtection="1">
      <protection locked="0"/>
    </xf>
    <xf numFmtId="180" fontId="10" fillId="4" borderId="2" xfId="2" applyNumberFormat="1" applyFont="1" applyFill="1" applyBorder="1" applyProtection="1">
      <protection locked="0"/>
    </xf>
    <xf numFmtId="0" fontId="0" fillId="4" borderId="0" xfId="0" applyFill="1"/>
    <xf numFmtId="206" fontId="19" fillId="3" borderId="2" xfId="2" applyNumberFormat="1" applyFont="1" applyFill="1" applyBorder="1" applyProtection="1">
      <protection locked="0"/>
    </xf>
    <xf numFmtId="206" fontId="19" fillId="3" borderId="2" xfId="0" applyNumberFormat="1" applyFont="1" applyFill="1" applyBorder="1"/>
    <xf numFmtId="206" fontId="20" fillId="3" borderId="2" xfId="0" applyNumberFormat="1" applyFont="1" applyFill="1" applyBorder="1"/>
    <xf numFmtId="206" fontId="20" fillId="3" borderId="8" xfId="0" applyNumberFormat="1" applyFont="1" applyFill="1" applyBorder="1"/>
    <xf numFmtId="178" fontId="19" fillId="3" borderId="2" xfId="0" applyNumberFormat="1" applyFont="1" applyFill="1" applyBorder="1" applyAlignment="1">
      <alignment horizontal="center"/>
    </xf>
    <xf numFmtId="206" fontId="20" fillId="3" borderId="2" xfId="0" applyNumberFormat="1" applyFont="1" applyFill="1" applyBorder="1" applyAlignment="1">
      <alignment horizontal="center"/>
    </xf>
    <xf numFmtId="20" fontId="19" fillId="3" borderId="2" xfId="0" applyNumberFormat="1" applyFont="1" applyFill="1" applyBorder="1" applyAlignment="1">
      <alignment horizontal="center"/>
    </xf>
    <xf numFmtId="206" fontId="19" fillId="3" borderId="2" xfId="0" applyNumberFormat="1" applyFont="1" applyFill="1" applyBorder="1" applyAlignment="1">
      <alignment horizontal="center"/>
    </xf>
    <xf numFmtId="178" fontId="19" fillId="4" borderId="2" xfId="0" applyNumberFormat="1" applyFont="1" applyFill="1" applyBorder="1" applyAlignment="1">
      <alignment horizontal="center"/>
    </xf>
    <xf numFmtId="206" fontId="20" fillId="4" borderId="2" xfId="0" applyNumberFormat="1" applyFont="1" applyFill="1" applyBorder="1" applyAlignment="1">
      <alignment horizontal="center"/>
    </xf>
    <xf numFmtId="206" fontId="3" fillId="0" borderId="2" xfId="2" applyNumberFormat="1" applyFont="1" applyFill="1" applyBorder="1" applyProtection="1">
      <protection locked="0"/>
    </xf>
    <xf numFmtId="206" fontId="20" fillId="3" borderId="2" xfId="2" applyNumberFormat="1" applyFont="1" applyFill="1" applyBorder="1" applyAlignment="1" applyProtection="1">
      <alignment horizontal="right"/>
      <protection locked="0"/>
    </xf>
    <xf numFmtId="0" fontId="3" fillId="4" borderId="10" xfId="2" applyFont="1" applyFill="1" applyBorder="1" applyProtection="1">
      <protection locked="0"/>
    </xf>
    <xf numFmtId="20" fontId="3" fillId="4" borderId="2" xfId="2" applyNumberFormat="1" applyFont="1" applyFill="1" applyBorder="1" applyProtection="1">
      <protection locked="0"/>
    </xf>
    <xf numFmtId="207" fontId="3" fillId="4" borderId="2" xfId="2" applyNumberFormat="1" applyFont="1" applyFill="1" applyBorder="1" applyProtection="1">
      <protection locked="0"/>
    </xf>
    <xf numFmtId="206" fontId="3" fillId="4" borderId="2" xfId="2" applyNumberFormat="1" applyFont="1" applyFill="1" applyBorder="1" applyProtection="1">
      <protection locked="0"/>
    </xf>
    <xf numFmtId="178" fontId="3" fillId="4" borderId="2" xfId="2" applyNumberFormat="1" applyFont="1" applyFill="1" applyBorder="1" applyAlignment="1" applyProtection="1">
      <alignment horizontal="right"/>
      <protection locked="0"/>
    </xf>
    <xf numFmtId="208" fontId="0" fillId="0" borderId="0" xfId="0" applyNumberFormat="1"/>
    <xf numFmtId="207" fontId="20" fillId="3" borderId="2" xfId="2" applyNumberFormat="1" applyFont="1" applyFill="1" applyBorder="1" applyAlignment="1" applyProtection="1">
      <alignment horizontal="right"/>
      <protection locked="0"/>
    </xf>
    <xf numFmtId="178" fontId="19" fillId="3" borderId="8" xfId="0" applyNumberFormat="1" applyFont="1" applyFill="1" applyBorder="1" applyAlignment="1"/>
    <xf numFmtId="178" fontId="19" fillId="3" borderId="2" xfId="0" applyNumberFormat="1" applyFont="1" applyFill="1" applyBorder="1" applyAlignment="1"/>
    <xf numFmtId="0" fontId="6" fillId="0" borderId="1" xfId="2" applyFont="1" applyBorder="1" applyAlignment="1">
      <alignment horizontal="center" vertical="center"/>
    </xf>
    <xf numFmtId="206" fontId="19" fillId="3" borderId="8" xfId="0" applyNumberFormat="1" applyFont="1" applyFill="1" applyBorder="1"/>
    <xf numFmtId="206" fontId="3" fillId="4" borderId="10" xfId="2" applyNumberFormat="1" applyFont="1" applyFill="1" applyBorder="1" applyProtection="1">
      <protection locked="0"/>
    </xf>
    <xf numFmtId="0" fontId="6" fillId="2" borderId="13" xfId="2" applyFont="1" applyFill="1" applyBorder="1" applyAlignment="1">
      <alignment horizontal="center" vertical="center" wrapText="1"/>
    </xf>
    <xf numFmtId="206" fontId="20" fillId="4" borderId="12" xfId="0" applyNumberFormat="1" applyFont="1" applyFill="1" applyBorder="1" applyAlignment="1">
      <alignment horizontal="center"/>
    </xf>
    <xf numFmtId="0" fontId="6" fillId="0" borderId="14" xfId="2" applyFont="1" applyBorder="1" applyAlignment="1">
      <alignment horizontal="center" vertical="center"/>
    </xf>
    <xf numFmtId="0" fontId="10" fillId="0" borderId="7" xfId="2" applyNumberFormat="1" applyFont="1" applyFill="1" applyBorder="1" applyProtection="1">
      <protection locked="0"/>
    </xf>
    <xf numFmtId="2" fontId="19" fillId="0" borderId="3" xfId="1" applyNumberFormat="1" applyFont="1" applyBorder="1"/>
    <xf numFmtId="208" fontId="19" fillId="0" borderId="3" xfId="1" applyNumberFormat="1" applyFont="1" applyBorder="1"/>
    <xf numFmtId="0" fontId="19" fillId="0" borderId="0" xfId="0" applyFont="1"/>
    <xf numFmtId="0" fontId="10" fillId="2" borderId="1" xfId="0" applyNumberFormat="1" applyFont="1" applyFill="1" applyBorder="1" applyAlignment="1">
      <alignment horizontal="center" vertical="center"/>
    </xf>
    <xf numFmtId="2" fontId="19" fillId="2" borderId="3" xfId="0" applyNumberFormat="1" applyFont="1" applyFill="1" applyBorder="1"/>
    <xf numFmtId="208" fontId="19" fillId="2" borderId="3" xfId="0" applyNumberFormat="1" applyFont="1" applyFill="1" applyBorder="1"/>
    <xf numFmtId="0" fontId="19" fillId="3" borderId="5" xfId="0" applyFont="1" applyFill="1" applyBorder="1"/>
    <xf numFmtId="0" fontId="19" fillId="3" borderId="2" xfId="0" applyFont="1" applyFill="1" applyBorder="1"/>
    <xf numFmtId="20" fontId="19" fillId="3" borderId="8" xfId="0" applyNumberFormat="1" applyFont="1" applyFill="1" applyBorder="1"/>
    <xf numFmtId="207" fontId="19" fillId="3" borderId="8" xfId="0" applyNumberFormat="1" applyFont="1" applyFill="1" applyBorder="1"/>
    <xf numFmtId="0" fontId="10" fillId="0" borderId="3" xfId="0" applyNumberFormat="1" applyFont="1" applyFill="1" applyBorder="1" applyAlignment="1">
      <alignment horizontal="center" vertical="center"/>
    </xf>
    <xf numFmtId="2" fontId="19" fillId="0" borderId="3" xfId="0" applyNumberFormat="1" applyFont="1" applyBorder="1"/>
    <xf numFmtId="208" fontId="19" fillId="0" borderId="3" xfId="0" applyNumberFormat="1" applyFont="1" applyBorder="1"/>
    <xf numFmtId="0" fontId="10" fillId="2" borderId="15" xfId="0" applyNumberFormat="1" applyFont="1" applyFill="1" applyBorder="1" applyAlignment="1">
      <alignment horizontal="center" vertical="center"/>
    </xf>
    <xf numFmtId="2" fontId="19" fillId="2" borderId="16" xfId="0" applyNumberFormat="1" applyFont="1" applyFill="1" applyBorder="1"/>
    <xf numFmtId="208" fontId="19" fillId="2" borderId="16" xfId="0" applyNumberFormat="1" applyFont="1" applyFill="1" applyBorder="1"/>
    <xf numFmtId="0" fontId="19" fillId="2" borderId="0" xfId="0" applyFont="1" applyFill="1"/>
    <xf numFmtId="208" fontId="19" fillId="2" borderId="0" xfId="0" applyNumberFormat="1" applyFont="1" applyFill="1"/>
    <xf numFmtId="0" fontId="10" fillId="2" borderId="0" xfId="0" applyNumberFormat="1" applyFont="1" applyFill="1" applyBorder="1" applyAlignment="1">
      <alignment horizontal="center" vertical="center"/>
    </xf>
    <xf numFmtId="0" fontId="19" fillId="2" borderId="0" xfId="0" applyNumberFormat="1" applyFont="1" applyFill="1"/>
    <xf numFmtId="2" fontId="19" fillId="2" borderId="0" xfId="0" applyNumberFormat="1" applyFont="1" applyFill="1"/>
    <xf numFmtId="0" fontId="10" fillId="2" borderId="0" xfId="0" quotePrefix="1" applyNumberFormat="1" applyFont="1" applyFill="1" applyBorder="1" applyAlignment="1">
      <alignment horizontal="center" vertical="center"/>
    </xf>
    <xf numFmtId="180" fontId="19" fillId="2" borderId="0" xfId="0" applyNumberFormat="1" applyFont="1" applyFill="1"/>
    <xf numFmtId="0" fontId="10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/>
    <xf numFmtId="0" fontId="10" fillId="0" borderId="15" xfId="0" applyNumberFormat="1" applyFont="1" applyFill="1" applyBorder="1" applyAlignment="1">
      <alignment horizontal="center" vertical="center"/>
    </xf>
    <xf numFmtId="2" fontId="19" fillId="0" borderId="16" xfId="0" applyNumberFormat="1" applyFont="1" applyBorder="1"/>
    <xf numFmtId="0" fontId="10" fillId="0" borderId="0" xfId="0" quotePrefix="1" applyNumberFormat="1" applyFont="1" applyFill="1" applyBorder="1" applyAlignment="1">
      <alignment horizontal="center" vertical="center"/>
    </xf>
    <xf numFmtId="180" fontId="19" fillId="0" borderId="0" xfId="0" applyNumberFormat="1" applyFont="1"/>
    <xf numFmtId="208" fontId="19" fillId="0" borderId="0" xfId="0" applyNumberFormat="1" applyFont="1"/>
    <xf numFmtId="0" fontId="10" fillId="0" borderId="0" xfId="0" applyNumberFormat="1" applyFont="1" applyFill="1" applyBorder="1" applyAlignment="1">
      <alignment horizontal="center" vertical="center"/>
    </xf>
    <xf numFmtId="206" fontId="19" fillId="0" borderId="0" xfId="0" applyNumberFormat="1" applyFont="1"/>
    <xf numFmtId="207" fontId="19" fillId="0" borderId="0" xfId="0" applyNumberFormat="1" applyFont="1"/>
    <xf numFmtId="0" fontId="19" fillId="4" borderId="10" xfId="0" applyFont="1" applyFill="1" applyBorder="1"/>
    <xf numFmtId="20" fontId="19" fillId="4" borderId="2" xfId="0" applyNumberFormat="1" applyFont="1" applyFill="1" applyBorder="1" applyAlignment="1">
      <alignment horizontal="center"/>
    </xf>
    <xf numFmtId="206" fontId="19" fillId="4" borderId="2" xfId="0" applyNumberFormat="1" applyFont="1" applyFill="1" applyBorder="1" applyAlignment="1">
      <alignment horizontal="center"/>
    </xf>
    <xf numFmtId="180" fontId="19" fillId="3" borderId="8" xfId="0" applyNumberFormat="1" applyFont="1" applyFill="1" applyBorder="1" applyAlignment="1">
      <alignment horizontal="right"/>
    </xf>
    <xf numFmtId="180" fontId="19" fillId="3" borderId="12" xfId="0" applyNumberFormat="1" applyFont="1" applyFill="1" applyBorder="1" applyAlignment="1">
      <alignment horizontal="right"/>
    </xf>
    <xf numFmtId="180" fontId="19" fillId="3" borderId="2" xfId="0" applyNumberFormat="1" applyFont="1" applyFill="1" applyBorder="1" applyAlignment="1">
      <alignment horizontal="right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1" fillId="0" borderId="0" xfId="0" applyFont="1"/>
    <xf numFmtId="0" fontId="23" fillId="0" borderId="0" xfId="0" applyFont="1" applyAlignment="1">
      <alignment vertical="center"/>
    </xf>
    <xf numFmtId="0" fontId="19" fillId="4" borderId="0" xfId="0" applyFont="1" applyFill="1"/>
    <xf numFmtId="2" fontId="19" fillId="0" borderId="0" xfId="0" applyNumberFormat="1" applyFont="1" applyBorder="1"/>
    <xf numFmtId="0" fontId="24" fillId="2" borderId="0" xfId="0" applyFont="1" applyFill="1" applyAlignment="1">
      <alignment horizontal="center"/>
    </xf>
    <xf numFmtId="0" fontId="24" fillId="2" borderId="0" xfId="0" applyFont="1" applyFill="1" applyBorder="1" applyAlignment="1">
      <alignment horizontal="center"/>
    </xf>
    <xf numFmtId="206" fontId="10" fillId="2" borderId="7" xfId="2" applyNumberFormat="1" applyFont="1" applyFill="1" applyBorder="1" applyProtection="1">
      <protection locked="0"/>
    </xf>
    <xf numFmtId="206" fontId="10" fillId="2" borderId="2" xfId="2" applyNumberFormat="1" applyFont="1" applyFill="1" applyBorder="1" applyProtection="1">
      <protection locked="0"/>
    </xf>
    <xf numFmtId="206" fontId="10" fillId="2" borderId="2" xfId="2" applyNumberFormat="1" applyFont="1" applyFill="1" applyBorder="1" applyAlignment="1" applyProtection="1">
      <alignment horizontal="right"/>
      <protection locked="0"/>
    </xf>
    <xf numFmtId="206" fontId="10" fillId="2" borderId="4" xfId="2" applyNumberFormat="1" applyFont="1" applyFill="1" applyBorder="1" applyProtection="1">
      <protection locked="0"/>
    </xf>
    <xf numFmtId="206" fontId="10" fillId="4" borderId="7" xfId="2" applyNumberFormat="1" applyFont="1" applyFill="1" applyBorder="1" applyProtection="1">
      <protection locked="0"/>
    </xf>
    <xf numFmtId="206" fontId="10" fillId="4" borderId="2" xfId="2" applyNumberFormat="1" applyFont="1" applyFill="1" applyBorder="1" applyProtection="1">
      <protection locked="0"/>
    </xf>
    <xf numFmtId="206" fontId="10" fillId="4" borderId="2" xfId="2" applyNumberFormat="1" applyFont="1" applyFill="1" applyBorder="1" applyAlignment="1" applyProtection="1">
      <alignment horizontal="right"/>
      <protection locked="0"/>
    </xf>
    <xf numFmtId="206" fontId="10" fillId="4" borderId="4" xfId="2" applyNumberFormat="1" applyFont="1" applyFill="1" applyBorder="1" applyProtection="1">
      <protection locked="0"/>
    </xf>
    <xf numFmtId="206" fontId="19" fillId="4" borderId="0" xfId="0" applyNumberFormat="1" applyFont="1" applyFill="1"/>
    <xf numFmtId="206" fontId="19" fillId="0" borderId="0" xfId="0" applyNumberFormat="1" applyFont="1" applyFill="1" applyBorder="1"/>
    <xf numFmtId="206" fontId="19" fillId="0" borderId="0" xfId="0" applyNumberFormat="1" applyFont="1" applyBorder="1"/>
    <xf numFmtId="197" fontId="0" fillId="0" borderId="0" xfId="0" applyNumberFormat="1"/>
    <xf numFmtId="197" fontId="6" fillId="0" borderId="3" xfId="2" applyNumberFormat="1" applyFont="1" applyBorder="1" applyAlignment="1">
      <alignment horizontal="center" vertical="center" wrapText="1"/>
    </xf>
    <xf numFmtId="197" fontId="19" fillId="3" borderId="2" xfId="0" applyNumberFormat="1" applyFont="1" applyFill="1" applyBorder="1"/>
    <xf numFmtId="197" fontId="19" fillId="3" borderId="8" xfId="0" applyNumberFormat="1" applyFont="1" applyFill="1" applyBorder="1"/>
    <xf numFmtId="197" fontId="19" fillId="3" borderId="2" xfId="0" applyNumberFormat="1" applyFont="1" applyFill="1" applyBorder="1" applyAlignment="1">
      <alignment horizontal="center"/>
    </xf>
    <xf numFmtId="197" fontId="19" fillId="4" borderId="2" xfId="0" applyNumberFormat="1" applyFont="1" applyFill="1" applyBorder="1" applyAlignment="1">
      <alignment horizontal="center"/>
    </xf>
    <xf numFmtId="197" fontId="19" fillId="0" borderId="3" xfId="0" applyNumberFormat="1" applyFont="1" applyBorder="1"/>
    <xf numFmtId="197" fontId="19" fillId="0" borderId="16" xfId="0" applyNumberFormat="1" applyFont="1" applyBorder="1"/>
    <xf numFmtId="197" fontId="19" fillId="0" borderId="0" xfId="0" applyNumberFormat="1" applyFont="1"/>
    <xf numFmtId="193" fontId="5" fillId="0" borderId="0" xfId="0" applyNumberFormat="1" applyFont="1"/>
    <xf numFmtId="197" fontId="3" fillId="4" borderId="2" xfId="2" applyNumberFormat="1" applyFont="1" applyFill="1" applyBorder="1" applyProtection="1">
      <protection locked="0"/>
    </xf>
    <xf numFmtId="197" fontId="19" fillId="0" borderId="3" xfId="1" applyNumberFormat="1" applyFont="1" applyBorder="1"/>
    <xf numFmtId="197" fontId="19" fillId="2" borderId="3" xfId="0" applyNumberFormat="1" applyFont="1" applyFill="1" applyBorder="1"/>
    <xf numFmtId="197" fontId="19" fillId="2" borderId="16" xfId="0" applyNumberFormat="1" applyFont="1" applyFill="1" applyBorder="1"/>
    <xf numFmtId="197" fontId="19" fillId="2" borderId="0" xfId="0" applyNumberFormat="1" applyFont="1" applyFill="1"/>
    <xf numFmtId="208" fontId="10" fillId="2" borderId="7" xfId="2" applyNumberFormat="1" applyFont="1" applyFill="1" applyBorder="1" applyProtection="1">
      <protection locked="0"/>
    </xf>
    <xf numFmtId="208" fontId="10" fillId="2" borderId="2" xfId="2" applyNumberFormat="1" applyFont="1" applyFill="1" applyBorder="1" applyProtection="1">
      <protection locked="0"/>
    </xf>
    <xf numFmtId="208" fontId="10" fillId="4" borderId="7" xfId="2" applyNumberFormat="1" applyFont="1" applyFill="1" applyBorder="1" applyProtection="1">
      <protection locked="0"/>
    </xf>
    <xf numFmtId="208" fontId="10" fillId="4" borderId="2" xfId="2" applyNumberFormat="1" applyFont="1" applyFill="1" applyBorder="1" applyProtection="1">
      <protection locked="0"/>
    </xf>
    <xf numFmtId="197" fontId="6" fillId="2" borderId="3" xfId="2" applyNumberFormat="1" applyFont="1" applyFill="1" applyBorder="1" applyAlignment="1">
      <alignment horizontal="center" vertical="center" wrapText="1"/>
    </xf>
    <xf numFmtId="0" fontId="19" fillId="2" borderId="17" xfId="0" applyFont="1" applyFill="1" applyBorder="1"/>
    <xf numFmtId="0" fontId="19" fillId="2" borderId="18" xfId="0" applyFont="1" applyFill="1" applyBorder="1"/>
    <xf numFmtId="0" fontId="3" fillId="0" borderId="2" xfId="2" applyNumberFormat="1" applyFont="1" applyFill="1" applyBorder="1" applyProtection="1">
      <protection locked="0"/>
    </xf>
    <xf numFmtId="0" fontId="3" fillId="3" borderId="8" xfId="0" applyNumberFormat="1" applyFont="1" applyFill="1" applyBorder="1"/>
    <xf numFmtId="0" fontId="3" fillId="3" borderId="2" xfId="0" applyNumberFormat="1" applyFont="1" applyFill="1" applyBorder="1"/>
    <xf numFmtId="0" fontId="3" fillId="3" borderId="2" xfId="2" applyNumberFormat="1" applyFont="1" applyFill="1" applyBorder="1" applyAlignment="1" applyProtection="1">
      <alignment horizontal="right"/>
      <protection locked="0"/>
    </xf>
    <xf numFmtId="197" fontId="19" fillId="0" borderId="2" xfId="2" applyNumberFormat="1" applyFont="1" applyFill="1" applyBorder="1" applyProtection="1">
      <protection locked="0"/>
    </xf>
    <xf numFmtId="0" fontId="19" fillId="0" borderId="10" xfId="2" applyFont="1" applyFill="1" applyBorder="1" applyProtection="1">
      <protection locked="0"/>
    </xf>
    <xf numFmtId="207" fontId="19" fillId="0" borderId="2" xfId="2" applyNumberFormat="1" applyFont="1" applyFill="1" applyBorder="1" applyProtection="1">
      <protection locked="0"/>
    </xf>
    <xf numFmtId="20" fontId="19" fillId="0" borderId="2" xfId="2" applyNumberFormat="1" applyFont="1" applyFill="1" applyBorder="1" applyProtection="1">
      <protection locked="0"/>
    </xf>
    <xf numFmtId="197" fontId="19" fillId="5" borderId="0" xfId="0" applyNumberFormat="1" applyFont="1" applyFill="1"/>
    <xf numFmtId="197" fontId="19" fillId="5" borderId="3" xfId="0" applyNumberFormat="1" applyFont="1" applyFill="1" applyBorder="1"/>
    <xf numFmtId="0" fontId="0" fillId="0" borderId="0" xfId="0" quotePrefix="1" applyAlignment="1">
      <alignment horizontal="center"/>
    </xf>
    <xf numFmtId="206" fontId="19" fillId="0" borderId="2" xfId="2" applyNumberFormat="1" applyFont="1" applyFill="1" applyBorder="1" applyProtection="1">
      <protection locked="0"/>
    </xf>
    <xf numFmtId="206" fontId="25" fillId="3" borderId="2" xfId="0" applyNumberFormat="1" applyFont="1" applyFill="1" applyBorder="1"/>
    <xf numFmtId="0" fontId="26" fillId="6" borderId="3" xfId="3" applyFont="1" applyFill="1" applyBorder="1" applyAlignment="1">
      <alignment horizontal="center" vertical="center" wrapText="1"/>
    </xf>
    <xf numFmtId="0" fontId="3" fillId="0" borderId="10" xfId="2" applyNumberFormat="1" applyFont="1" applyBorder="1" applyAlignment="1">
      <alignment horizontal="right" vertical="center"/>
    </xf>
    <xf numFmtId="0" fontId="26" fillId="6" borderId="19" xfId="3" applyFont="1" applyFill="1" applyBorder="1" applyAlignment="1">
      <alignment horizontal="center" vertical="center" wrapText="1"/>
    </xf>
    <xf numFmtId="206" fontId="10" fillId="2" borderId="12" xfId="2" applyNumberFormat="1" applyFont="1" applyFill="1" applyBorder="1" applyAlignment="1" applyProtection="1">
      <alignment horizontal="right"/>
      <protection locked="0"/>
    </xf>
    <xf numFmtId="206" fontId="10" fillId="4" borderId="12" xfId="2" applyNumberFormat="1" applyFont="1" applyFill="1" applyBorder="1" applyAlignment="1" applyProtection="1">
      <alignment horizontal="right"/>
      <protection locked="0"/>
    </xf>
    <xf numFmtId="206" fontId="10" fillId="2" borderId="10" xfId="2" applyNumberFormat="1" applyFont="1" applyFill="1" applyBorder="1" applyAlignment="1" applyProtection="1">
      <alignment horizontal="right"/>
      <protection locked="0"/>
    </xf>
    <xf numFmtId="206" fontId="10" fillId="4" borderId="10" xfId="2" applyNumberFormat="1" applyFont="1" applyFill="1" applyBorder="1" applyAlignment="1" applyProtection="1">
      <alignment horizontal="right"/>
      <protection locked="0"/>
    </xf>
    <xf numFmtId="206" fontId="10" fillId="2" borderId="5" xfId="2" applyNumberFormat="1" applyFont="1" applyFill="1" applyBorder="1" applyAlignment="1" applyProtection="1">
      <alignment horizontal="right"/>
      <protection locked="0"/>
    </xf>
    <xf numFmtId="206" fontId="10" fillId="2" borderId="10" xfId="2" applyNumberFormat="1" applyFont="1" applyFill="1" applyBorder="1" applyProtection="1">
      <protection locked="0"/>
    </xf>
    <xf numFmtId="206" fontId="10" fillId="4" borderId="10" xfId="2" applyNumberFormat="1" applyFont="1" applyFill="1" applyBorder="1" applyProtection="1">
      <protection locked="0"/>
    </xf>
    <xf numFmtId="0" fontId="6" fillId="2" borderId="1" xfId="2" applyFont="1" applyFill="1" applyBorder="1" applyAlignment="1">
      <alignment horizontal="center" vertical="center"/>
    </xf>
    <xf numFmtId="206" fontId="10" fillId="2" borderId="20" xfId="2" applyNumberFormat="1" applyFont="1" applyFill="1" applyBorder="1" applyProtection="1">
      <protection locked="0"/>
    </xf>
    <xf numFmtId="206" fontId="10" fillId="4" borderId="20" xfId="2" applyNumberFormat="1" applyFont="1" applyFill="1" applyBorder="1" applyProtection="1">
      <protection locked="0"/>
    </xf>
    <xf numFmtId="206" fontId="10" fillId="2" borderId="21" xfId="2" applyNumberFormat="1" applyFont="1" applyFill="1" applyBorder="1" applyProtection="1">
      <protection locked="0"/>
    </xf>
    <xf numFmtId="2" fontId="19" fillId="0" borderId="14" xfId="0" applyNumberFormat="1" applyFont="1" applyBorder="1"/>
    <xf numFmtId="2" fontId="19" fillId="0" borderId="15" xfId="0" applyNumberFormat="1" applyFont="1" applyBorder="1"/>
    <xf numFmtId="208" fontId="19" fillId="3" borderId="2" xfId="0" applyNumberFormat="1" applyFont="1" applyFill="1" applyBorder="1"/>
    <xf numFmtId="208" fontId="19" fillId="3" borderId="8" xfId="0" applyNumberFormat="1" applyFont="1" applyFill="1" applyBorder="1"/>
    <xf numFmtId="208" fontId="19" fillId="0" borderId="2" xfId="2" applyNumberFormat="1" applyFont="1" applyFill="1" applyBorder="1" applyProtection="1">
      <protection locked="0"/>
    </xf>
    <xf numFmtId="208" fontId="19" fillId="3" borderId="2" xfId="0" applyNumberFormat="1" applyFont="1" applyFill="1" applyBorder="1" applyAlignment="1">
      <alignment horizontal="right"/>
    </xf>
    <xf numFmtId="208" fontId="19" fillId="3" borderId="2" xfId="0" applyNumberFormat="1" applyFont="1" applyFill="1" applyBorder="1" applyAlignment="1">
      <alignment horizontal="center"/>
    </xf>
    <xf numFmtId="208" fontId="19" fillId="4" borderId="2" xfId="0" applyNumberFormat="1" applyFont="1" applyFill="1" applyBorder="1" applyAlignment="1">
      <alignment horizontal="center"/>
    </xf>
    <xf numFmtId="208" fontId="19" fillId="0" borderId="16" xfId="0" applyNumberFormat="1" applyFont="1" applyBorder="1"/>
    <xf numFmtId="208" fontId="3" fillId="0" borderId="2" xfId="2" applyNumberFormat="1" applyFont="1" applyBorder="1" applyAlignment="1">
      <alignment horizontal="right" vertical="center"/>
    </xf>
    <xf numFmtId="208" fontId="3" fillId="0" borderId="12" xfId="2" applyNumberFormat="1" applyFont="1" applyBorder="1" applyAlignment="1">
      <alignment horizontal="right" vertical="center"/>
    </xf>
    <xf numFmtId="208" fontId="19" fillId="3" borderId="12" xfId="0" applyNumberFormat="1" applyFont="1" applyFill="1" applyBorder="1" applyAlignment="1">
      <alignment horizontal="right"/>
    </xf>
    <xf numFmtId="208" fontId="20" fillId="4" borderId="8" xfId="0" applyNumberFormat="1" applyFont="1" applyFill="1" applyBorder="1" applyAlignment="1">
      <alignment horizontal="center"/>
    </xf>
    <xf numFmtId="208" fontId="20" fillId="4" borderId="22" xfId="0" applyNumberFormat="1" applyFont="1" applyFill="1" applyBorder="1" applyAlignment="1">
      <alignment horizontal="center"/>
    </xf>
    <xf numFmtId="208" fontId="3" fillId="0" borderId="2" xfId="2" applyNumberFormat="1" applyFont="1" applyFill="1" applyBorder="1" applyProtection="1">
      <protection locked="0"/>
    </xf>
    <xf numFmtId="208" fontId="3" fillId="4" borderId="2" xfId="2" applyNumberFormat="1" applyFont="1" applyFill="1" applyBorder="1" applyProtection="1">
      <protection locked="0"/>
    </xf>
    <xf numFmtId="208" fontId="3" fillId="4" borderId="8" xfId="2" applyNumberFormat="1" applyFont="1" applyFill="1" applyBorder="1" applyProtection="1">
      <protection locked="0"/>
    </xf>
    <xf numFmtId="208" fontId="3" fillId="4" borderId="22" xfId="2" applyNumberFormat="1" applyFont="1" applyFill="1" applyBorder="1" applyProtection="1">
      <protection locked="0"/>
    </xf>
    <xf numFmtId="180" fontId="10" fillId="0" borderId="23" xfId="2" applyNumberFormat="1" applyFont="1" applyFill="1" applyBorder="1" applyAlignment="1" applyProtection="1">
      <alignment horizontal="right"/>
      <protection locked="0"/>
    </xf>
    <xf numFmtId="180" fontId="10" fillId="0" borderId="12" xfId="2" applyNumberFormat="1" applyFont="1" applyFill="1" applyBorder="1" applyAlignment="1" applyProtection="1">
      <alignment horizontal="right"/>
      <protection locked="0"/>
    </xf>
    <xf numFmtId="0" fontId="6" fillId="0" borderId="24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15" xfId="2" applyFont="1" applyFill="1" applyBorder="1" applyAlignment="1">
      <alignment horizontal="center" vertical="center"/>
    </xf>
    <xf numFmtId="2" fontId="10" fillId="0" borderId="10" xfId="2" applyNumberFormat="1" applyFont="1" applyFill="1" applyBorder="1" applyProtection="1">
      <protection locked="0"/>
    </xf>
    <xf numFmtId="2" fontId="10" fillId="0" borderId="21" xfId="2" applyNumberFormat="1" applyFont="1" applyFill="1" applyBorder="1" applyProtection="1">
      <protection locked="0"/>
    </xf>
    <xf numFmtId="180" fontId="10" fillId="0" borderId="10" xfId="2" applyNumberFormat="1" applyFont="1" applyFill="1" applyBorder="1" applyAlignment="1" applyProtection="1">
      <alignment horizontal="right"/>
      <protection locked="0"/>
    </xf>
    <xf numFmtId="180" fontId="10" fillId="0" borderId="5" xfId="2" applyNumberFormat="1" applyFont="1" applyFill="1" applyBorder="1" applyAlignment="1" applyProtection="1">
      <alignment horizontal="right"/>
      <protection locked="0"/>
    </xf>
    <xf numFmtId="197" fontId="9" fillId="0" borderId="0" xfId="0" applyNumberFormat="1" applyFont="1" applyBorder="1" applyAlignment="1">
      <alignment horizontal="center"/>
    </xf>
    <xf numFmtId="197" fontId="6" fillId="6" borderId="3" xfId="2" applyNumberFormat="1" applyFont="1" applyFill="1" applyBorder="1" applyAlignment="1">
      <alignment horizontal="center" vertical="center" wrapText="1"/>
    </xf>
    <xf numFmtId="193" fontId="19" fillId="3" borderId="2" xfId="0" applyNumberFormat="1" applyFont="1" applyFill="1" applyBorder="1"/>
    <xf numFmtId="196" fontId="19" fillId="3" borderId="8" xfId="0" applyNumberFormat="1" applyFont="1" applyFill="1" applyBorder="1"/>
    <xf numFmtId="196" fontId="19" fillId="3" borderId="2" xfId="0" applyNumberFormat="1" applyFont="1" applyFill="1" applyBorder="1"/>
    <xf numFmtId="196" fontId="3" fillId="4" borderId="2" xfId="2" applyNumberFormat="1" applyFont="1" applyFill="1" applyBorder="1" applyProtection="1">
      <protection locked="0"/>
    </xf>
    <xf numFmtId="196" fontId="19" fillId="0" borderId="3" xfId="0" applyNumberFormat="1" applyFont="1" applyBorder="1"/>
    <xf numFmtId="20" fontId="19" fillId="0" borderId="2" xfId="0" applyNumberFormat="1" applyFont="1" applyFill="1" applyBorder="1"/>
    <xf numFmtId="197" fontId="19" fillId="0" borderId="2" xfId="0" applyNumberFormat="1" applyFont="1" applyFill="1" applyBorder="1"/>
    <xf numFmtId="196" fontId="19" fillId="0" borderId="8" xfId="0" applyNumberFormat="1" applyFont="1" applyFill="1" applyBorder="1"/>
    <xf numFmtId="207" fontId="19" fillId="0" borderId="2" xfId="0" applyNumberFormat="1" applyFont="1" applyFill="1" applyBorder="1"/>
    <xf numFmtId="208" fontId="19" fillId="0" borderId="2" xfId="0" applyNumberFormat="1" applyFont="1" applyFill="1" applyBorder="1"/>
    <xf numFmtId="206" fontId="19" fillId="0" borderId="2" xfId="0" applyNumberFormat="1" applyFont="1" applyFill="1" applyBorder="1"/>
    <xf numFmtId="178" fontId="19" fillId="0" borderId="2" xfId="2" applyNumberFormat="1" applyFont="1" applyFill="1" applyBorder="1" applyAlignment="1" applyProtection="1">
      <alignment horizontal="right"/>
      <protection locked="0"/>
    </xf>
    <xf numFmtId="0" fontId="3" fillId="0" borderId="2" xfId="0" applyNumberFormat="1" applyFont="1" applyFill="1" applyBorder="1"/>
    <xf numFmtId="0" fontId="3" fillId="0" borderId="2" xfId="2" applyNumberFormat="1" applyFont="1" applyFill="1" applyBorder="1" applyAlignment="1" applyProtection="1">
      <alignment horizontal="right"/>
      <protection locked="0"/>
    </xf>
    <xf numFmtId="0" fontId="3" fillId="0" borderId="10" xfId="2" applyNumberFormat="1" applyFont="1" applyFill="1" applyBorder="1" applyAlignment="1">
      <alignment horizontal="right" vertical="center"/>
    </xf>
    <xf numFmtId="208" fontId="3" fillId="0" borderId="2" xfId="2" applyNumberFormat="1" applyFont="1" applyFill="1" applyBorder="1" applyAlignment="1">
      <alignment horizontal="right" vertical="center"/>
    </xf>
    <xf numFmtId="208" fontId="3" fillId="0" borderId="12" xfId="2" applyNumberFormat="1" applyFont="1" applyFill="1" applyBorder="1" applyAlignment="1">
      <alignment horizontal="right" vertical="center"/>
    </xf>
    <xf numFmtId="193" fontId="19" fillId="0" borderId="2" xfId="0" applyNumberFormat="1" applyFont="1" applyFill="1" applyBorder="1"/>
    <xf numFmtId="207" fontId="19" fillId="3" borderId="2" xfId="0" applyNumberFormat="1" applyFont="1" applyFill="1" applyBorder="1" applyAlignment="1"/>
    <xf numFmtId="0" fontId="6" fillId="4" borderId="1" xfId="2" applyFont="1" applyFill="1" applyBorder="1" applyAlignment="1">
      <alignment horizontal="center" vertical="center" wrapText="1"/>
    </xf>
    <xf numFmtId="180" fontId="10" fillId="2" borderId="2" xfId="2" applyNumberFormat="1" applyFont="1" applyFill="1" applyBorder="1" applyProtection="1">
      <protection locked="0"/>
    </xf>
    <xf numFmtId="0" fontId="9" fillId="7" borderId="3" xfId="0" applyFont="1" applyFill="1" applyBorder="1" applyAlignment="1">
      <alignment horizontal="center"/>
    </xf>
    <xf numFmtId="0" fontId="19" fillId="7" borderId="3" xfId="2" applyFont="1" applyFill="1" applyBorder="1" applyProtection="1">
      <protection locked="0"/>
    </xf>
    <xf numFmtId="20" fontId="19" fillId="7" borderId="3" xfId="2" applyNumberFormat="1" applyFont="1" applyFill="1" applyBorder="1" applyProtection="1">
      <protection locked="0"/>
    </xf>
    <xf numFmtId="0" fontId="19" fillId="7" borderId="3" xfId="2" applyNumberFormat="1" applyFont="1" applyFill="1" applyBorder="1" applyProtection="1">
      <protection locked="0"/>
    </xf>
    <xf numFmtId="207" fontId="19" fillId="7" borderId="3" xfId="2" applyNumberFormat="1" applyFont="1" applyFill="1" applyBorder="1" applyProtection="1">
      <protection locked="0"/>
    </xf>
    <xf numFmtId="208" fontId="19" fillId="7" borderId="3" xfId="2" applyNumberFormat="1" applyFont="1" applyFill="1" applyBorder="1" applyProtection="1">
      <protection locked="0"/>
    </xf>
    <xf numFmtId="206" fontId="19" fillId="7" borderId="3" xfId="2" applyNumberFormat="1" applyFont="1" applyFill="1" applyBorder="1" applyProtection="1">
      <protection locked="0"/>
    </xf>
    <xf numFmtId="178" fontId="19" fillId="7" borderId="3" xfId="2" applyNumberFormat="1" applyFont="1" applyFill="1" applyBorder="1" applyAlignment="1" applyProtection="1">
      <alignment horizontal="right"/>
      <protection locked="0"/>
    </xf>
    <xf numFmtId="0" fontId="10" fillId="0" borderId="0" xfId="2" applyNumberFormat="1" applyFont="1" applyFill="1" applyBorder="1" applyProtection="1">
      <protection locked="0"/>
    </xf>
    <xf numFmtId="2" fontId="10" fillId="0" borderId="0" xfId="2" applyNumberFormat="1" applyFont="1" applyFill="1" applyBorder="1" applyProtection="1">
      <protection locked="0"/>
    </xf>
    <xf numFmtId="208" fontId="10" fillId="0" borderId="0" xfId="2" applyNumberFormat="1" applyFont="1" applyFill="1" applyBorder="1" applyProtection="1">
      <protection locked="0"/>
    </xf>
    <xf numFmtId="197" fontId="10" fillId="0" borderId="0" xfId="2" applyNumberFormat="1" applyFont="1" applyFill="1" applyBorder="1" applyProtection="1">
      <protection locked="0"/>
    </xf>
    <xf numFmtId="180" fontId="10" fillId="0" borderId="0" xfId="2" applyNumberFormat="1" applyFont="1" applyFill="1" applyBorder="1" applyAlignment="1" applyProtection="1">
      <alignment horizontal="right"/>
      <protection locked="0"/>
    </xf>
    <xf numFmtId="0" fontId="9" fillId="0" borderId="0" xfId="0" applyFont="1" applyFill="1"/>
    <xf numFmtId="208" fontId="1" fillId="7" borderId="3" xfId="0" applyNumberFormat="1" applyFont="1" applyFill="1" applyBorder="1"/>
    <xf numFmtId="0" fontId="1" fillId="7" borderId="3" xfId="0" applyFont="1" applyFill="1" applyBorder="1"/>
    <xf numFmtId="191" fontId="9" fillId="8" borderId="3" xfId="0" applyNumberFormat="1" applyFont="1" applyFill="1" applyBorder="1" applyAlignment="1">
      <alignment horizontal="center" vertical="center"/>
    </xf>
    <xf numFmtId="180" fontId="1" fillId="8" borderId="16" xfId="0" applyNumberFormat="1" applyFont="1" applyFill="1" applyBorder="1" applyAlignment="1">
      <alignment horizontal="right"/>
    </xf>
    <xf numFmtId="180" fontId="1" fillId="8" borderId="3" xfId="0" applyNumberFormat="1" applyFont="1" applyFill="1" applyBorder="1" applyAlignment="1">
      <alignment horizontal="right"/>
    </xf>
    <xf numFmtId="178" fontId="1" fillId="8" borderId="16" xfId="0" applyNumberFormat="1" applyFont="1" applyFill="1" applyBorder="1" applyAlignment="1">
      <alignment horizontal="right"/>
    </xf>
    <xf numFmtId="194" fontId="19" fillId="3" borderId="9" xfId="0" applyNumberFormat="1" applyFont="1" applyFill="1" applyBorder="1"/>
    <xf numFmtId="194" fontId="19" fillId="3" borderId="2" xfId="0" applyNumberFormat="1" applyFont="1" applyFill="1" applyBorder="1"/>
    <xf numFmtId="194" fontId="19" fillId="3" borderId="10" xfId="0" applyNumberFormat="1" applyFont="1" applyFill="1" applyBorder="1"/>
    <xf numFmtId="194" fontId="19" fillId="3" borderId="10" xfId="2" applyNumberFormat="1" applyFont="1" applyFill="1" applyBorder="1" applyProtection="1">
      <protection locked="0"/>
    </xf>
    <xf numFmtId="194" fontId="19" fillId="3" borderId="11" xfId="0" applyNumberFormat="1" applyFont="1" applyFill="1" applyBorder="1"/>
    <xf numFmtId="194" fontId="19" fillId="0" borderId="10" xfId="2" applyNumberFormat="1" applyFont="1" applyFill="1" applyBorder="1" applyProtection="1">
      <protection locked="0"/>
    </xf>
    <xf numFmtId="194" fontId="3" fillId="4" borderId="10" xfId="2" applyNumberFormat="1" applyFont="1" applyFill="1" applyBorder="1" applyProtection="1">
      <protection locked="0"/>
    </xf>
    <xf numFmtId="0" fontId="26" fillId="9" borderId="3" xfId="3" applyFont="1" applyFill="1" applyBorder="1" applyAlignment="1">
      <alignment horizontal="center" vertical="center" wrapText="1"/>
    </xf>
    <xf numFmtId="45" fontId="1" fillId="3" borderId="2" xfId="0" applyNumberFormat="1" applyFont="1" applyFill="1" applyBorder="1"/>
    <xf numFmtId="45" fontId="10" fillId="2" borderId="2" xfId="2" applyNumberFormat="1" applyFont="1" applyFill="1" applyBorder="1" applyProtection="1">
      <protection locked="0"/>
    </xf>
    <xf numFmtId="45" fontId="10" fillId="4" borderId="2" xfId="2" applyNumberFormat="1" applyFont="1" applyFill="1" applyBorder="1" applyProtection="1">
      <protection locked="0"/>
    </xf>
    <xf numFmtId="45" fontId="10" fillId="0" borderId="2" xfId="2" applyNumberFormat="1" applyFont="1" applyFill="1" applyBorder="1" applyProtection="1">
      <protection locked="0"/>
    </xf>
    <xf numFmtId="0" fontId="0" fillId="0" borderId="0" xfId="0" applyAlignment="1"/>
    <xf numFmtId="45" fontId="19" fillId="7" borderId="3" xfId="2" applyNumberFormat="1" applyFont="1" applyFill="1" applyBorder="1" applyProtection="1">
      <protection locked="0"/>
    </xf>
    <xf numFmtId="45" fontId="1" fillId="7" borderId="3" xfId="0" applyNumberFormat="1" applyFont="1" applyFill="1" applyBorder="1"/>
    <xf numFmtId="45" fontId="19" fillId="0" borderId="3" xfId="0" applyNumberFormat="1" applyFont="1" applyBorder="1"/>
    <xf numFmtId="45" fontId="19" fillId="0" borderId="3" xfId="1" applyNumberFormat="1" applyFont="1" applyBorder="1"/>
    <xf numFmtId="180" fontId="19" fillId="3" borderId="2" xfId="0" applyNumberFormat="1" applyFont="1" applyFill="1" applyBorder="1" applyAlignment="1"/>
    <xf numFmtId="180" fontId="19" fillId="0" borderId="2" xfId="0" applyNumberFormat="1" applyFont="1" applyFill="1" applyBorder="1" applyAlignment="1">
      <alignment horizontal="right"/>
    </xf>
    <xf numFmtId="193" fontId="19" fillId="0" borderId="2" xfId="2" applyNumberFormat="1" applyFont="1" applyFill="1" applyBorder="1" applyProtection="1">
      <protection locked="0"/>
    </xf>
    <xf numFmtId="196" fontId="19" fillId="0" borderId="2" xfId="2" applyNumberFormat="1" applyFont="1" applyFill="1" applyBorder="1" applyProtection="1">
      <protection locked="0"/>
    </xf>
    <xf numFmtId="45" fontId="27" fillId="3" borderId="2" xfId="0" applyNumberFormat="1" applyFont="1" applyFill="1" applyBorder="1"/>
    <xf numFmtId="180" fontId="19" fillId="0" borderId="2" xfId="2" applyNumberFormat="1" applyFont="1" applyFill="1" applyBorder="1" applyAlignment="1" applyProtection="1">
      <alignment horizontal="right"/>
      <protection locked="0"/>
    </xf>
    <xf numFmtId="208" fontId="3" fillId="0" borderId="8" xfId="2" applyNumberFormat="1" applyFont="1" applyFill="1" applyBorder="1" applyProtection="1">
      <protection locked="0"/>
    </xf>
    <xf numFmtId="0" fontId="19" fillId="3" borderId="25" xfId="0" applyFont="1" applyFill="1" applyBorder="1"/>
    <xf numFmtId="0" fontId="19" fillId="0" borderId="2" xfId="0" applyFont="1" applyFill="1" applyBorder="1"/>
    <xf numFmtId="20" fontId="19" fillId="0" borderId="8" xfId="0" applyNumberFormat="1" applyFont="1" applyFill="1" applyBorder="1"/>
    <xf numFmtId="197" fontId="19" fillId="0" borderId="8" xfId="0" applyNumberFormat="1" applyFont="1" applyFill="1" applyBorder="1"/>
    <xf numFmtId="208" fontId="19" fillId="0" borderId="8" xfId="0" applyNumberFormat="1" applyFont="1" applyFill="1" applyBorder="1"/>
    <xf numFmtId="45" fontId="1" fillId="0" borderId="2" xfId="0" applyNumberFormat="1" applyFont="1" applyFill="1" applyBorder="1"/>
    <xf numFmtId="208" fontId="10" fillId="0" borderId="7" xfId="2" applyNumberFormat="1" applyFont="1" applyFill="1" applyBorder="1" applyProtection="1">
      <protection locked="0"/>
    </xf>
    <xf numFmtId="208" fontId="10" fillId="0" borderId="2" xfId="2" applyNumberFormat="1" applyFont="1" applyFill="1" applyBorder="1" applyProtection="1">
      <protection locked="0"/>
    </xf>
    <xf numFmtId="206" fontId="10" fillId="0" borderId="2" xfId="2" applyNumberFormat="1" applyFont="1" applyFill="1" applyBorder="1" applyProtection="1">
      <protection locked="0"/>
    </xf>
    <xf numFmtId="206" fontId="10" fillId="0" borderId="2" xfId="2" applyNumberFormat="1" applyFont="1" applyFill="1" applyBorder="1" applyAlignment="1" applyProtection="1">
      <alignment horizontal="right"/>
      <protection locked="0"/>
    </xf>
    <xf numFmtId="206" fontId="10" fillId="0" borderId="10" xfId="2" applyNumberFormat="1" applyFont="1" applyFill="1" applyBorder="1" applyAlignment="1" applyProtection="1">
      <alignment horizontal="right"/>
      <protection locked="0"/>
    </xf>
    <xf numFmtId="206" fontId="10" fillId="0" borderId="12" xfId="2" applyNumberFormat="1" applyFont="1" applyFill="1" applyBorder="1" applyAlignment="1" applyProtection="1">
      <alignment horizontal="right"/>
      <protection locked="0"/>
    </xf>
    <xf numFmtId="206" fontId="10" fillId="0" borderId="7" xfId="2" applyNumberFormat="1" applyFont="1" applyFill="1" applyBorder="1" applyProtection="1">
      <protection locked="0"/>
    </xf>
    <xf numFmtId="206" fontId="10" fillId="0" borderId="10" xfId="2" applyNumberFormat="1" applyFont="1" applyFill="1" applyBorder="1" applyProtection="1">
      <protection locked="0"/>
    </xf>
    <xf numFmtId="206" fontId="10" fillId="0" borderId="4" xfId="2" applyNumberFormat="1" applyFont="1" applyFill="1" applyBorder="1" applyProtection="1">
      <protection locked="0"/>
    </xf>
    <xf numFmtId="206" fontId="10" fillId="0" borderId="20" xfId="2" applyNumberFormat="1" applyFont="1" applyFill="1" applyBorder="1" applyProtection="1">
      <protection locked="0"/>
    </xf>
    <xf numFmtId="206" fontId="19" fillId="0" borderId="0" xfId="0" applyNumberFormat="1" applyFont="1" applyFill="1"/>
    <xf numFmtId="0" fontId="19" fillId="0" borderId="0" xfId="0" applyFont="1" applyFill="1"/>
    <xf numFmtId="196" fontId="19" fillId="4" borderId="2" xfId="2" applyNumberFormat="1" applyFont="1" applyFill="1" applyBorder="1" applyProtection="1">
      <protection locked="0"/>
    </xf>
    <xf numFmtId="0" fontId="17" fillId="0" borderId="3" xfId="2" applyFont="1" applyFill="1" applyBorder="1" applyAlignment="1">
      <alignment horizontal="center" vertical="center" wrapText="1"/>
    </xf>
    <xf numFmtId="0" fontId="26" fillId="6" borderId="1" xfId="3" applyFont="1" applyFill="1" applyBorder="1" applyAlignment="1">
      <alignment horizontal="center" vertical="center" wrapText="1"/>
    </xf>
    <xf numFmtId="0" fontId="26" fillId="6" borderId="27" xfId="3" applyFont="1" applyFill="1" applyBorder="1" applyAlignment="1">
      <alignment horizontal="center" vertical="center" wrapText="1"/>
    </xf>
    <xf numFmtId="197" fontId="6" fillId="6" borderId="1" xfId="2" applyNumberFormat="1" applyFont="1" applyFill="1" applyBorder="1" applyAlignment="1">
      <alignment horizontal="center" vertical="center" wrapText="1"/>
    </xf>
    <xf numFmtId="197" fontId="6" fillId="6" borderId="27" xfId="2" applyNumberFormat="1" applyFont="1" applyFill="1" applyBorder="1" applyAlignment="1">
      <alignment horizontal="center" vertical="center" wrapText="1"/>
    </xf>
    <xf numFmtId="197" fontId="9" fillId="0" borderId="1" xfId="0" applyNumberFormat="1" applyFont="1" applyBorder="1" applyAlignment="1">
      <alignment horizontal="center"/>
    </xf>
    <xf numFmtId="197" fontId="9" fillId="0" borderId="14" xfId="0" applyNumberFormat="1" applyFont="1" applyBorder="1" applyAlignment="1">
      <alignment horizontal="center"/>
    </xf>
    <xf numFmtId="197" fontId="9" fillId="0" borderId="27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6" fillId="0" borderId="13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26" fillId="6" borderId="14" xfId="3" applyFont="1" applyFill="1" applyBorder="1" applyAlignment="1">
      <alignment horizontal="center" vertical="center" wrapText="1"/>
    </xf>
    <xf numFmtId="0" fontId="26" fillId="6" borderId="28" xfId="3" applyFont="1" applyFill="1" applyBorder="1" applyAlignment="1">
      <alignment horizontal="center" vertical="center" wrapText="1"/>
    </xf>
    <xf numFmtId="177" fontId="17" fillId="0" borderId="3" xfId="2" applyNumberFormat="1" applyFont="1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197" fontId="17" fillId="2" borderId="3" xfId="2" applyNumberFormat="1" applyFont="1" applyFill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/>
    </xf>
    <xf numFmtId="0" fontId="24" fillId="2" borderId="31" xfId="0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6" fillId="2" borderId="29" xfId="2" applyFont="1" applyFill="1" applyBorder="1" applyAlignment="1">
      <alignment horizontal="center" vertical="center" wrapText="1"/>
    </xf>
    <xf numFmtId="0" fontId="6" fillId="2" borderId="28" xfId="2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2" fillId="2" borderId="3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77" fontId="17" fillId="2" borderId="3" xfId="2" applyNumberFormat="1" applyFont="1" applyFill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_Sheet1" xfId="2"/>
    <cellStyle name="標準_VP-1_傾向管理(2013）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87583955414587E-2"/>
          <c:y val="0.11855685022960574"/>
          <c:w val="0.82447794710828537"/>
          <c:h val="0.7036091328843993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ﾃﾞｰﾀｰ!$F$5</c:f>
              <c:strCache>
                <c:ptCount val="1"/>
                <c:pt idx="0">
                  <c:v>total
重合時間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ﾃﾞｰﾀｰ!$F$6:$F$67</c:f>
              <c:numCache>
                <c:formatCode>h:mm</c:formatCode>
                <c:ptCount val="62"/>
                <c:pt idx="0">
                  <c:v>0.18055555555555555</c:v>
                </c:pt>
                <c:pt idx="1">
                  <c:v>0.17916666666666667</c:v>
                </c:pt>
                <c:pt idx="2">
                  <c:v>0.18055555555555555</c:v>
                </c:pt>
                <c:pt idx="3">
                  <c:v>0.18194444444444444</c:v>
                </c:pt>
                <c:pt idx="4">
                  <c:v>0.18124999999999999</c:v>
                </c:pt>
                <c:pt idx="5">
                  <c:v>0.18055555555555555</c:v>
                </c:pt>
                <c:pt idx="6">
                  <c:v>0.18055555555555555</c:v>
                </c:pt>
                <c:pt idx="7">
                  <c:v>0.17916666666666667</c:v>
                </c:pt>
                <c:pt idx="8">
                  <c:v>0.17986111111111111</c:v>
                </c:pt>
                <c:pt idx="9">
                  <c:v>0.18263888888888891</c:v>
                </c:pt>
                <c:pt idx="10">
                  <c:v>0.18402777777777779</c:v>
                </c:pt>
                <c:pt idx="11">
                  <c:v>0.18055555555555555</c:v>
                </c:pt>
                <c:pt idx="12">
                  <c:v>0.18055555555555555</c:v>
                </c:pt>
                <c:pt idx="13">
                  <c:v>0.17777777777777778</c:v>
                </c:pt>
                <c:pt idx="14">
                  <c:v>0.17916666666666667</c:v>
                </c:pt>
                <c:pt idx="15">
                  <c:v>0.17777777777777778</c:v>
                </c:pt>
                <c:pt idx="16">
                  <c:v>0.18055555555555555</c:v>
                </c:pt>
                <c:pt idx="17">
                  <c:v>0.17847222222222223</c:v>
                </c:pt>
                <c:pt idx="18">
                  <c:v>0.18333333333333335</c:v>
                </c:pt>
                <c:pt idx="19">
                  <c:v>0.18611111111111112</c:v>
                </c:pt>
                <c:pt idx="20">
                  <c:v>0.18611111111111112</c:v>
                </c:pt>
                <c:pt idx="21">
                  <c:v>0.18333333333333335</c:v>
                </c:pt>
                <c:pt idx="22">
                  <c:v>0.18333333333333335</c:v>
                </c:pt>
                <c:pt idx="23">
                  <c:v>0.18541666666666667</c:v>
                </c:pt>
                <c:pt idx="24">
                  <c:v>0.17986111111111111</c:v>
                </c:pt>
                <c:pt idx="25">
                  <c:v>0.18194444444444444</c:v>
                </c:pt>
                <c:pt idx="26">
                  <c:v>0.18124999999999999</c:v>
                </c:pt>
                <c:pt idx="27">
                  <c:v>0.18194444444444444</c:v>
                </c:pt>
                <c:pt idx="28">
                  <c:v>0.17986111111111111</c:v>
                </c:pt>
                <c:pt idx="29">
                  <c:v>0.17916666666666667</c:v>
                </c:pt>
                <c:pt idx="30">
                  <c:v>0.17986111111111111</c:v>
                </c:pt>
                <c:pt idx="31">
                  <c:v>0.17847222222222223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ﾃﾞｰﾀｰ!$AX$6:$AX$67</c:f>
              <c:numCache>
                <c:formatCode>h:mm;@</c:formatCode>
                <c:ptCount val="62"/>
                <c:pt idx="0">
                  <c:v>0.18908304027974834</c:v>
                </c:pt>
                <c:pt idx="1">
                  <c:v>0.18908304027974834</c:v>
                </c:pt>
                <c:pt idx="2">
                  <c:v>0.18908304027974834</c:v>
                </c:pt>
                <c:pt idx="3">
                  <c:v>0.18908304027974834</c:v>
                </c:pt>
                <c:pt idx="4">
                  <c:v>0.18908304027974834</c:v>
                </c:pt>
                <c:pt idx="5">
                  <c:v>0.18908304027974834</c:v>
                </c:pt>
                <c:pt idx="6">
                  <c:v>0.18908304027974834</c:v>
                </c:pt>
                <c:pt idx="7">
                  <c:v>0.18908304027974834</c:v>
                </c:pt>
                <c:pt idx="8">
                  <c:v>0.18908304027974834</c:v>
                </c:pt>
                <c:pt idx="9">
                  <c:v>0.18908304027974834</c:v>
                </c:pt>
                <c:pt idx="10">
                  <c:v>0.18908304027974834</c:v>
                </c:pt>
                <c:pt idx="11">
                  <c:v>0.18908304027974834</c:v>
                </c:pt>
                <c:pt idx="12">
                  <c:v>0.18908304027974834</c:v>
                </c:pt>
                <c:pt idx="13">
                  <c:v>0.18908304027974834</c:v>
                </c:pt>
                <c:pt idx="14">
                  <c:v>0.18908304027974834</c:v>
                </c:pt>
                <c:pt idx="15">
                  <c:v>0.18908304027974834</c:v>
                </c:pt>
                <c:pt idx="16">
                  <c:v>0.18908304027974834</c:v>
                </c:pt>
                <c:pt idx="17">
                  <c:v>0.18908304027974834</c:v>
                </c:pt>
                <c:pt idx="18">
                  <c:v>0.18908304027974834</c:v>
                </c:pt>
                <c:pt idx="19">
                  <c:v>0.18908304027974834</c:v>
                </c:pt>
                <c:pt idx="20">
                  <c:v>0.18908304027974834</c:v>
                </c:pt>
                <c:pt idx="21">
                  <c:v>0.18908304027974834</c:v>
                </c:pt>
                <c:pt idx="22">
                  <c:v>0.18908304027974834</c:v>
                </c:pt>
                <c:pt idx="23">
                  <c:v>0.18908304027974834</c:v>
                </c:pt>
                <c:pt idx="24">
                  <c:v>0.18908304027974834</c:v>
                </c:pt>
                <c:pt idx="25">
                  <c:v>0.18908304027974834</c:v>
                </c:pt>
                <c:pt idx="26">
                  <c:v>0.18908304027974834</c:v>
                </c:pt>
                <c:pt idx="27">
                  <c:v>0.18908304027974834</c:v>
                </c:pt>
                <c:pt idx="28">
                  <c:v>0.18908304027974834</c:v>
                </c:pt>
                <c:pt idx="29">
                  <c:v>0.18908304027974834</c:v>
                </c:pt>
                <c:pt idx="30">
                  <c:v>0.18908304027974834</c:v>
                </c:pt>
                <c:pt idx="31">
                  <c:v>0.18908304027974834</c:v>
                </c:pt>
                <c:pt idx="32">
                  <c:v>0.18908304027974834</c:v>
                </c:pt>
                <c:pt idx="33">
                  <c:v>0.18908304027974834</c:v>
                </c:pt>
                <c:pt idx="34">
                  <c:v>0.18908304027974834</c:v>
                </c:pt>
                <c:pt idx="35">
                  <c:v>0.18908304027974834</c:v>
                </c:pt>
                <c:pt idx="36">
                  <c:v>0.18908304027974834</c:v>
                </c:pt>
                <c:pt idx="37">
                  <c:v>0.18908304027974834</c:v>
                </c:pt>
                <c:pt idx="38">
                  <c:v>0.18908304027974834</c:v>
                </c:pt>
                <c:pt idx="39">
                  <c:v>0.18908304027974834</c:v>
                </c:pt>
                <c:pt idx="40">
                  <c:v>0.18908304027974834</c:v>
                </c:pt>
                <c:pt idx="41">
                  <c:v>0.18908304027974834</c:v>
                </c:pt>
                <c:pt idx="42">
                  <c:v>0.18908304027974834</c:v>
                </c:pt>
                <c:pt idx="43">
                  <c:v>0.18908304027974834</c:v>
                </c:pt>
                <c:pt idx="44">
                  <c:v>0.18908304027974834</c:v>
                </c:pt>
                <c:pt idx="45">
                  <c:v>0.18908304027974834</c:v>
                </c:pt>
                <c:pt idx="46">
                  <c:v>0.18908304027974834</c:v>
                </c:pt>
                <c:pt idx="47">
                  <c:v>0.18908304027974834</c:v>
                </c:pt>
                <c:pt idx="48">
                  <c:v>0.18908304027974834</c:v>
                </c:pt>
                <c:pt idx="49">
                  <c:v>0.18908304027974834</c:v>
                </c:pt>
                <c:pt idx="50">
                  <c:v>0.18908304027974834</c:v>
                </c:pt>
                <c:pt idx="51">
                  <c:v>0.18908304027974834</c:v>
                </c:pt>
                <c:pt idx="52">
                  <c:v>0.18908304027974834</c:v>
                </c:pt>
                <c:pt idx="53">
                  <c:v>0.18908304027974834</c:v>
                </c:pt>
                <c:pt idx="54">
                  <c:v>0.18908304027974834</c:v>
                </c:pt>
                <c:pt idx="55">
                  <c:v>0.18908304027974834</c:v>
                </c:pt>
                <c:pt idx="56">
                  <c:v>0.18908304027974834</c:v>
                </c:pt>
                <c:pt idx="57">
                  <c:v>0.18908304027974834</c:v>
                </c:pt>
                <c:pt idx="58">
                  <c:v>0.18908304027974834</c:v>
                </c:pt>
                <c:pt idx="59">
                  <c:v>0.18908304027974834</c:v>
                </c:pt>
                <c:pt idx="60">
                  <c:v>0.18908304027974834</c:v>
                </c:pt>
                <c:pt idx="61">
                  <c:v>0.18908304027974834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ﾃﾞｰﾀｰ!$DC$6:$DC$67</c:f>
              <c:numCache>
                <c:formatCode>0.0_);[Red]\(0.0\)</c:formatCode>
                <c:ptCount val="62"/>
                <c:pt idx="0">
                  <c:v>0.18138170498084291</c:v>
                </c:pt>
                <c:pt idx="1">
                  <c:v>0.18138170498084291</c:v>
                </c:pt>
                <c:pt idx="2">
                  <c:v>0.18138170498084291</c:v>
                </c:pt>
                <c:pt idx="3">
                  <c:v>0.18138170498084291</c:v>
                </c:pt>
                <c:pt idx="4">
                  <c:v>0.18138170498084291</c:v>
                </c:pt>
                <c:pt idx="5">
                  <c:v>0.18138170498084291</c:v>
                </c:pt>
                <c:pt idx="6">
                  <c:v>0.18138170498084291</c:v>
                </c:pt>
                <c:pt idx="7">
                  <c:v>0.18138170498084291</c:v>
                </c:pt>
                <c:pt idx="8">
                  <c:v>0.18138170498084291</c:v>
                </c:pt>
                <c:pt idx="9">
                  <c:v>0.18138170498084291</c:v>
                </c:pt>
                <c:pt idx="10">
                  <c:v>0.18138170498084291</c:v>
                </c:pt>
                <c:pt idx="11">
                  <c:v>0.18138170498084291</c:v>
                </c:pt>
                <c:pt idx="12">
                  <c:v>0.18138170498084291</c:v>
                </c:pt>
                <c:pt idx="13">
                  <c:v>0.18138170498084291</c:v>
                </c:pt>
                <c:pt idx="14">
                  <c:v>0.18138170498084291</c:v>
                </c:pt>
                <c:pt idx="15">
                  <c:v>0.18138170498084291</c:v>
                </c:pt>
                <c:pt idx="16">
                  <c:v>0.18138170498084291</c:v>
                </c:pt>
                <c:pt idx="17">
                  <c:v>0.18138170498084291</c:v>
                </c:pt>
                <c:pt idx="18">
                  <c:v>0.18138170498084291</c:v>
                </c:pt>
                <c:pt idx="19">
                  <c:v>0.18138170498084291</c:v>
                </c:pt>
                <c:pt idx="20">
                  <c:v>0.18138170498084291</c:v>
                </c:pt>
                <c:pt idx="21">
                  <c:v>0.18138170498084291</c:v>
                </c:pt>
                <c:pt idx="22">
                  <c:v>0.18138170498084291</c:v>
                </c:pt>
                <c:pt idx="23">
                  <c:v>0.18138170498084291</c:v>
                </c:pt>
                <c:pt idx="24">
                  <c:v>0.18138170498084291</c:v>
                </c:pt>
                <c:pt idx="25">
                  <c:v>0.18138170498084291</c:v>
                </c:pt>
                <c:pt idx="26">
                  <c:v>0.18138170498084291</c:v>
                </c:pt>
                <c:pt idx="27">
                  <c:v>0.18138170498084291</c:v>
                </c:pt>
                <c:pt idx="28">
                  <c:v>0.18138170498084291</c:v>
                </c:pt>
                <c:pt idx="29">
                  <c:v>0.18138170498084291</c:v>
                </c:pt>
                <c:pt idx="30">
                  <c:v>0.18138170498084291</c:v>
                </c:pt>
                <c:pt idx="31">
                  <c:v>0.18138170498084291</c:v>
                </c:pt>
                <c:pt idx="32">
                  <c:v>0.18138170498084291</c:v>
                </c:pt>
                <c:pt idx="33">
                  <c:v>0.18138170498084291</c:v>
                </c:pt>
                <c:pt idx="34">
                  <c:v>0.18138170498084291</c:v>
                </c:pt>
                <c:pt idx="35">
                  <c:v>0.18138170498084291</c:v>
                </c:pt>
                <c:pt idx="36">
                  <c:v>0.18138170498084291</c:v>
                </c:pt>
                <c:pt idx="37">
                  <c:v>0.18138170498084291</c:v>
                </c:pt>
                <c:pt idx="38">
                  <c:v>0.18138170498084291</c:v>
                </c:pt>
                <c:pt idx="39">
                  <c:v>0.18138170498084291</c:v>
                </c:pt>
                <c:pt idx="40">
                  <c:v>0.18138170498084291</c:v>
                </c:pt>
                <c:pt idx="41">
                  <c:v>0.18138170498084291</c:v>
                </c:pt>
                <c:pt idx="42">
                  <c:v>0.18138170498084291</c:v>
                </c:pt>
                <c:pt idx="43">
                  <c:v>0.18138170498084291</c:v>
                </c:pt>
                <c:pt idx="44">
                  <c:v>0.18138170498084291</c:v>
                </c:pt>
                <c:pt idx="45">
                  <c:v>0.18138170498084291</c:v>
                </c:pt>
                <c:pt idx="46">
                  <c:v>0.18138170498084291</c:v>
                </c:pt>
                <c:pt idx="47">
                  <c:v>0.18138170498084291</c:v>
                </c:pt>
                <c:pt idx="48">
                  <c:v>0.18138170498084291</c:v>
                </c:pt>
                <c:pt idx="49">
                  <c:v>0.18138170498084291</c:v>
                </c:pt>
                <c:pt idx="50">
                  <c:v>0.18138170498084291</c:v>
                </c:pt>
                <c:pt idx="51">
                  <c:v>0.18138170498084291</c:v>
                </c:pt>
                <c:pt idx="52">
                  <c:v>0.18138170498084291</c:v>
                </c:pt>
                <c:pt idx="53">
                  <c:v>0.18138170498084291</c:v>
                </c:pt>
                <c:pt idx="54">
                  <c:v>0.18138170498084291</c:v>
                </c:pt>
                <c:pt idx="55">
                  <c:v>0.18138170498084291</c:v>
                </c:pt>
                <c:pt idx="56">
                  <c:v>0.18138170498084291</c:v>
                </c:pt>
                <c:pt idx="57">
                  <c:v>0.18138170498084291</c:v>
                </c:pt>
                <c:pt idx="58">
                  <c:v>0.18138170498084291</c:v>
                </c:pt>
                <c:pt idx="59">
                  <c:v>0.18138170498084291</c:v>
                </c:pt>
                <c:pt idx="60">
                  <c:v>0.18138170498084291</c:v>
                </c:pt>
                <c:pt idx="61">
                  <c:v>0.18138170498084291</c:v>
                </c:pt>
              </c:numCache>
            </c:numRef>
          </c:val>
          <c:smooth val="0"/>
        </c:ser>
        <c:ser>
          <c:idx val="1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ﾃﾞｰﾀｰ!$AW$6:$AW$67</c:f>
              <c:numCache>
                <c:formatCode>h:mm;@</c:formatCode>
                <c:ptCount val="62"/>
                <c:pt idx="0">
                  <c:v>0.17368036968193748</c:v>
                </c:pt>
                <c:pt idx="1">
                  <c:v>0.17368036968193748</c:v>
                </c:pt>
                <c:pt idx="2">
                  <c:v>0.17368036968193748</c:v>
                </c:pt>
                <c:pt idx="3">
                  <c:v>0.17368036968193748</c:v>
                </c:pt>
                <c:pt idx="4">
                  <c:v>0.17368036968193748</c:v>
                </c:pt>
                <c:pt idx="5">
                  <c:v>0.17368036968193748</c:v>
                </c:pt>
                <c:pt idx="6">
                  <c:v>0.17368036968193748</c:v>
                </c:pt>
                <c:pt idx="7">
                  <c:v>0.17368036968193748</c:v>
                </c:pt>
                <c:pt idx="8">
                  <c:v>0.17368036968193748</c:v>
                </c:pt>
                <c:pt idx="9">
                  <c:v>0.17368036968193748</c:v>
                </c:pt>
                <c:pt idx="10">
                  <c:v>0.17368036968193748</c:v>
                </c:pt>
                <c:pt idx="11">
                  <c:v>0.17368036968193748</c:v>
                </c:pt>
                <c:pt idx="12">
                  <c:v>0.17368036968193748</c:v>
                </c:pt>
                <c:pt idx="13">
                  <c:v>0.17368036968193748</c:v>
                </c:pt>
                <c:pt idx="14">
                  <c:v>0.17368036968193748</c:v>
                </c:pt>
                <c:pt idx="15">
                  <c:v>0.17368036968193748</c:v>
                </c:pt>
                <c:pt idx="16">
                  <c:v>0.17368036968193748</c:v>
                </c:pt>
                <c:pt idx="17">
                  <c:v>0.17368036968193748</c:v>
                </c:pt>
                <c:pt idx="18">
                  <c:v>0.17368036968193748</c:v>
                </c:pt>
                <c:pt idx="19">
                  <c:v>0.17368036968193748</c:v>
                </c:pt>
                <c:pt idx="20">
                  <c:v>0.17368036968193748</c:v>
                </c:pt>
                <c:pt idx="21">
                  <c:v>0.17368036968193748</c:v>
                </c:pt>
                <c:pt idx="22">
                  <c:v>0.17368036968193748</c:v>
                </c:pt>
                <c:pt idx="23">
                  <c:v>0.17368036968193748</c:v>
                </c:pt>
                <c:pt idx="24">
                  <c:v>0.17368036968193748</c:v>
                </c:pt>
                <c:pt idx="25">
                  <c:v>0.17368036968193748</c:v>
                </c:pt>
                <c:pt idx="26">
                  <c:v>0.17368036968193748</c:v>
                </c:pt>
                <c:pt idx="27">
                  <c:v>0.17368036968193748</c:v>
                </c:pt>
                <c:pt idx="28">
                  <c:v>0.17368036968193748</c:v>
                </c:pt>
                <c:pt idx="29">
                  <c:v>0.17368036968193748</c:v>
                </c:pt>
                <c:pt idx="30">
                  <c:v>0.17368036968193748</c:v>
                </c:pt>
                <c:pt idx="31">
                  <c:v>0.17368036968193748</c:v>
                </c:pt>
                <c:pt idx="32">
                  <c:v>0.17368036968193748</c:v>
                </c:pt>
                <c:pt idx="33">
                  <c:v>0.17368036968193748</c:v>
                </c:pt>
                <c:pt idx="34">
                  <c:v>0.17368036968193748</c:v>
                </c:pt>
                <c:pt idx="35">
                  <c:v>0.17368036968193748</c:v>
                </c:pt>
                <c:pt idx="36">
                  <c:v>0.17368036968193748</c:v>
                </c:pt>
                <c:pt idx="37">
                  <c:v>0.17368036968193748</c:v>
                </c:pt>
                <c:pt idx="38">
                  <c:v>0.17368036968193748</c:v>
                </c:pt>
                <c:pt idx="39">
                  <c:v>0.17368036968193748</c:v>
                </c:pt>
                <c:pt idx="40">
                  <c:v>0.17368036968193748</c:v>
                </c:pt>
                <c:pt idx="41">
                  <c:v>0.17368036968193748</c:v>
                </c:pt>
                <c:pt idx="42">
                  <c:v>0.17368036968193748</c:v>
                </c:pt>
                <c:pt idx="43">
                  <c:v>0.17368036968193748</c:v>
                </c:pt>
                <c:pt idx="44">
                  <c:v>0.17368036968193748</c:v>
                </c:pt>
                <c:pt idx="45">
                  <c:v>0.17368036968193748</c:v>
                </c:pt>
                <c:pt idx="46">
                  <c:v>0.17368036968193748</c:v>
                </c:pt>
                <c:pt idx="47">
                  <c:v>0.17368036968193748</c:v>
                </c:pt>
                <c:pt idx="48">
                  <c:v>0.17368036968193748</c:v>
                </c:pt>
                <c:pt idx="49">
                  <c:v>0.17368036968193748</c:v>
                </c:pt>
                <c:pt idx="50">
                  <c:v>0.17368036968193748</c:v>
                </c:pt>
                <c:pt idx="51">
                  <c:v>0.17368036968193748</c:v>
                </c:pt>
                <c:pt idx="52">
                  <c:v>0.17368036968193748</c:v>
                </c:pt>
                <c:pt idx="53">
                  <c:v>0.17368036968193748</c:v>
                </c:pt>
                <c:pt idx="54">
                  <c:v>0.17368036968193748</c:v>
                </c:pt>
                <c:pt idx="55">
                  <c:v>0.17368036968193748</c:v>
                </c:pt>
                <c:pt idx="56">
                  <c:v>0.17368036968193748</c:v>
                </c:pt>
                <c:pt idx="57">
                  <c:v>0.17368036968193748</c:v>
                </c:pt>
                <c:pt idx="58">
                  <c:v>0.17368036968193748</c:v>
                </c:pt>
                <c:pt idx="59">
                  <c:v>0.17368036968193748</c:v>
                </c:pt>
                <c:pt idx="60">
                  <c:v>0.17368036968193748</c:v>
                </c:pt>
                <c:pt idx="61">
                  <c:v>0.17368036968193748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0944"/>
        <c:axId val="131985408"/>
      </c:lineChart>
      <c:lineChart>
        <c:grouping val="standard"/>
        <c:varyColors val="0"/>
        <c:ser>
          <c:idx val="4"/>
          <c:order val="4"/>
          <c:tx>
            <c:strRef>
              <c:f>ﾃﾞｰﾀｰ!$AH$5</c:f>
              <c:strCache>
                <c:ptCount val="1"/>
                <c:pt idx="0">
                  <c:v>感度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86944"/>
        <c:axId val="131988480"/>
      </c:lineChart>
      <c:catAx>
        <c:axId val="131970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1985408"/>
        <c:crossesAt val="0.16"/>
        <c:auto val="1"/>
        <c:lblAlgn val="ctr"/>
        <c:lblOffset val="100"/>
        <c:tickLblSkip val="1"/>
        <c:tickMarkSkip val="1"/>
        <c:noMultiLvlLbl val="0"/>
      </c:catAx>
      <c:valAx>
        <c:axId val="131985408"/>
        <c:scaling>
          <c:orientation val="minMax"/>
          <c:max val="0.21"/>
          <c:min val="0.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1970944"/>
        <c:crosses val="autoZero"/>
        <c:crossBetween val="between"/>
        <c:majorUnit val="0.01"/>
        <c:minorUnit val="5.0000000000000001E-3"/>
      </c:valAx>
      <c:catAx>
        <c:axId val="13198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1988480"/>
        <c:crossesAt val="-5"/>
        <c:auto val="1"/>
        <c:lblAlgn val="ctr"/>
        <c:lblOffset val="100"/>
        <c:noMultiLvlLbl val="0"/>
      </c:catAx>
      <c:valAx>
        <c:axId val="131988480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1986944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515424522293495E-3"/>
          <c:y val="1.2886614155391928E-2"/>
          <c:w val="0.98550879615287235"/>
          <c:h val="8.50516534255867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2367053689682"/>
          <c:y val="0.10148514851485149"/>
          <c:w val="0.79967752902672617"/>
          <c:h val="0.6881188118811880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ﾃﾞｰﾀｰ!$L$5</c:f>
              <c:strCache>
                <c:ptCount val="1"/>
                <c:pt idx="0">
                  <c:v>流量計重量差異（追添槽）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ﾃﾞｰﾀｰ!$L$6:$L$67</c:f>
              <c:numCache>
                <c:formatCode>0.0_ ;[Red]\-0.0\ </c:formatCode>
                <c:ptCount val="62"/>
                <c:pt idx="0">
                  <c:v>13.470000000000027</c:v>
                </c:pt>
                <c:pt idx="1">
                  <c:v>23.160000000000082</c:v>
                </c:pt>
                <c:pt idx="2">
                  <c:v>19.080000000000041</c:v>
                </c:pt>
                <c:pt idx="3">
                  <c:v>21.240000000000009</c:v>
                </c:pt>
                <c:pt idx="4">
                  <c:v>18.309999999999945</c:v>
                </c:pt>
                <c:pt idx="5">
                  <c:v>20.669999999999959</c:v>
                </c:pt>
                <c:pt idx="6">
                  <c:v>22.670000000000073</c:v>
                </c:pt>
                <c:pt idx="7">
                  <c:v>21.82000000000005</c:v>
                </c:pt>
                <c:pt idx="8">
                  <c:v>21.139999999999986</c:v>
                </c:pt>
                <c:pt idx="9">
                  <c:v>26.060000000000059</c:v>
                </c:pt>
                <c:pt idx="10">
                  <c:v>14.029999999999973</c:v>
                </c:pt>
                <c:pt idx="11">
                  <c:v>23.620000000000005</c:v>
                </c:pt>
                <c:pt idx="12">
                  <c:v>23.400000000000091</c:v>
                </c:pt>
                <c:pt idx="13">
                  <c:v>37.730000000000018</c:v>
                </c:pt>
                <c:pt idx="14">
                  <c:v>31.949999999999932</c:v>
                </c:pt>
                <c:pt idx="15">
                  <c:v>36.42999999999995</c:v>
                </c:pt>
                <c:pt idx="16">
                  <c:v>34.860000000000014</c:v>
                </c:pt>
                <c:pt idx="17">
                  <c:v>29.519999999999982</c:v>
                </c:pt>
                <c:pt idx="18">
                  <c:v>32.300000000000068</c:v>
                </c:pt>
                <c:pt idx="19">
                  <c:v>25.809999999999945</c:v>
                </c:pt>
                <c:pt idx="20">
                  <c:v>22.870000000000005</c:v>
                </c:pt>
                <c:pt idx="21">
                  <c:v>25.399999999999864</c:v>
                </c:pt>
                <c:pt idx="22">
                  <c:v>22.950000000000045</c:v>
                </c:pt>
                <c:pt idx="23">
                  <c:v>25.340000000000032</c:v>
                </c:pt>
                <c:pt idx="24">
                  <c:v>21.259999999999991</c:v>
                </c:pt>
                <c:pt idx="25">
                  <c:v>24.5</c:v>
                </c:pt>
                <c:pt idx="26">
                  <c:v>26.919999999999959</c:v>
                </c:pt>
                <c:pt idx="27">
                  <c:v>27.100000000000023</c:v>
                </c:pt>
                <c:pt idx="28">
                  <c:v>26.25</c:v>
                </c:pt>
                <c:pt idx="29">
                  <c:v>25.710000000000036</c:v>
                </c:pt>
                <c:pt idx="30">
                  <c:v>32.009999999999991</c:v>
                </c:pt>
                <c:pt idx="31">
                  <c:v>28.300000000000068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ﾃﾞｰﾀｰ!$BH$6:$BH$67</c:f>
              <c:numCache>
                <c:formatCode>0.0_);[Red]\(0.0\)</c:formatCode>
                <c:ptCount val="62"/>
                <c:pt idx="0">
                  <c:v>29.870769788254243</c:v>
                </c:pt>
                <c:pt idx="1">
                  <c:v>29.870769788254243</c:v>
                </c:pt>
                <c:pt idx="2">
                  <c:v>29.870769788254243</c:v>
                </c:pt>
                <c:pt idx="3">
                  <c:v>29.870769788254243</c:v>
                </c:pt>
                <c:pt idx="4">
                  <c:v>29.870769788254243</c:v>
                </c:pt>
                <c:pt idx="5">
                  <c:v>29.870769788254243</c:v>
                </c:pt>
                <c:pt idx="6">
                  <c:v>29.870769788254243</c:v>
                </c:pt>
                <c:pt idx="7">
                  <c:v>29.870769788254243</c:v>
                </c:pt>
                <c:pt idx="8">
                  <c:v>29.870769788254243</c:v>
                </c:pt>
                <c:pt idx="9">
                  <c:v>29.870769788254243</c:v>
                </c:pt>
                <c:pt idx="10">
                  <c:v>29.870769788254243</c:v>
                </c:pt>
                <c:pt idx="11">
                  <c:v>29.870769788254243</c:v>
                </c:pt>
                <c:pt idx="12">
                  <c:v>29.870769788254243</c:v>
                </c:pt>
                <c:pt idx="13">
                  <c:v>29.870769788254243</c:v>
                </c:pt>
                <c:pt idx="14">
                  <c:v>29.870769788254243</c:v>
                </c:pt>
                <c:pt idx="15">
                  <c:v>29.870769788254243</c:v>
                </c:pt>
                <c:pt idx="16">
                  <c:v>29.870769788254243</c:v>
                </c:pt>
                <c:pt idx="17">
                  <c:v>29.870769788254243</c:v>
                </c:pt>
                <c:pt idx="18">
                  <c:v>29.870769788254243</c:v>
                </c:pt>
                <c:pt idx="19">
                  <c:v>29.870769788254243</c:v>
                </c:pt>
                <c:pt idx="20">
                  <c:v>29.870769788254243</c:v>
                </c:pt>
                <c:pt idx="21">
                  <c:v>29.870769788254243</c:v>
                </c:pt>
                <c:pt idx="22">
                  <c:v>29.870769788254243</c:v>
                </c:pt>
                <c:pt idx="23">
                  <c:v>29.870769788254243</c:v>
                </c:pt>
                <c:pt idx="24">
                  <c:v>29.870769788254243</c:v>
                </c:pt>
                <c:pt idx="25">
                  <c:v>29.870769788254243</c:v>
                </c:pt>
                <c:pt idx="26">
                  <c:v>29.870769788254243</c:v>
                </c:pt>
                <c:pt idx="27">
                  <c:v>29.870769788254243</c:v>
                </c:pt>
                <c:pt idx="28">
                  <c:v>29.870769788254243</c:v>
                </c:pt>
                <c:pt idx="29">
                  <c:v>29.870769788254243</c:v>
                </c:pt>
                <c:pt idx="30">
                  <c:v>29.870769788254243</c:v>
                </c:pt>
                <c:pt idx="31">
                  <c:v>29.870769788254243</c:v>
                </c:pt>
                <c:pt idx="32">
                  <c:v>29.870769788254243</c:v>
                </c:pt>
                <c:pt idx="33">
                  <c:v>29.870769788254243</c:v>
                </c:pt>
                <c:pt idx="34">
                  <c:v>29.870769788254243</c:v>
                </c:pt>
                <c:pt idx="35">
                  <c:v>29.870769788254243</c:v>
                </c:pt>
                <c:pt idx="36">
                  <c:v>29.870769788254243</c:v>
                </c:pt>
                <c:pt idx="37">
                  <c:v>29.870769788254243</c:v>
                </c:pt>
                <c:pt idx="38">
                  <c:v>29.870769788254243</c:v>
                </c:pt>
                <c:pt idx="39">
                  <c:v>29.870769788254243</c:v>
                </c:pt>
                <c:pt idx="40">
                  <c:v>29.870769788254243</c:v>
                </c:pt>
                <c:pt idx="41">
                  <c:v>29.870769788254243</c:v>
                </c:pt>
                <c:pt idx="42">
                  <c:v>29.870769788254243</c:v>
                </c:pt>
                <c:pt idx="43">
                  <c:v>29.870769788254243</c:v>
                </c:pt>
                <c:pt idx="44">
                  <c:v>29.870769788254243</c:v>
                </c:pt>
                <c:pt idx="45">
                  <c:v>29.870769788254243</c:v>
                </c:pt>
                <c:pt idx="46">
                  <c:v>29.870769788254243</c:v>
                </c:pt>
                <c:pt idx="47">
                  <c:v>29.870769788254243</c:v>
                </c:pt>
                <c:pt idx="48">
                  <c:v>29.870769788254243</c:v>
                </c:pt>
                <c:pt idx="49">
                  <c:v>29.870769788254243</c:v>
                </c:pt>
                <c:pt idx="50">
                  <c:v>29.870769788254243</c:v>
                </c:pt>
                <c:pt idx="51">
                  <c:v>29.870769788254243</c:v>
                </c:pt>
                <c:pt idx="52">
                  <c:v>29.870769788254243</c:v>
                </c:pt>
                <c:pt idx="53">
                  <c:v>29.870769788254243</c:v>
                </c:pt>
                <c:pt idx="54">
                  <c:v>29.870769788254243</c:v>
                </c:pt>
                <c:pt idx="55">
                  <c:v>29.870769788254243</c:v>
                </c:pt>
                <c:pt idx="56">
                  <c:v>29.870769788254243</c:v>
                </c:pt>
                <c:pt idx="57">
                  <c:v>29.870769788254243</c:v>
                </c:pt>
                <c:pt idx="58">
                  <c:v>29.870769788254243</c:v>
                </c:pt>
                <c:pt idx="59">
                  <c:v>29.870769788254243</c:v>
                </c:pt>
                <c:pt idx="60">
                  <c:v>29.870769788254243</c:v>
                </c:pt>
                <c:pt idx="61">
                  <c:v>29.870769788254243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ﾃﾞｰﾀｰ!$DH$6:$DH$67</c:f>
              <c:numCache>
                <c:formatCode>0.0_);[Red]\(0.0\)</c:formatCode>
                <c:ptCount val="62"/>
                <c:pt idx="0">
                  <c:v>18.147758620689654</c:v>
                </c:pt>
                <c:pt idx="1">
                  <c:v>18.147758620689654</c:v>
                </c:pt>
                <c:pt idx="2">
                  <c:v>18.147758620689654</c:v>
                </c:pt>
                <c:pt idx="3">
                  <c:v>18.147758620689654</c:v>
                </c:pt>
                <c:pt idx="4">
                  <c:v>18.147758620689654</c:v>
                </c:pt>
                <c:pt idx="5">
                  <c:v>18.147758620689654</c:v>
                </c:pt>
                <c:pt idx="6">
                  <c:v>18.147758620689654</c:v>
                </c:pt>
                <c:pt idx="7">
                  <c:v>18.147758620689654</c:v>
                </c:pt>
                <c:pt idx="8">
                  <c:v>18.147758620689654</c:v>
                </c:pt>
                <c:pt idx="9">
                  <c:v>18.147758620689654</c:v>
                </c:pt>
                <c:pt idx="10">
                  <c:v>18.147758620689654</c:v>
                </c:pt>
                <c:pt idx="11">
                  <c:v>18.147758620689654</c:v>
                </c:pt>
                <c:pt idx="12">
                  <c:v>18.147758620689654</c:v>
                </c:pt>
                <c:pt idx="13">
                  <c:v>18.147758620689654</c:v>
                </c:pt>
                <c:pt idx="14">
                  <c:v>18.147758620689654</c:v>
                </c:pt>
                <c:pt idx="15">
                  <c:v>18.147758620689654</c:v>
                </c:pt>
                <c:pt idx="16">
                  <c:v>18.147758620689654</c:v>
                </c:pt>
                <c:pt idx="17">
                  <c:v>18.147758620689654</c:v>
                </c:pt>
                <c:pt idx="18">
                  <c:v>18.147758620689654</c:v>
                </c:pt>
                <c:pt idx="19">
                  <c:v>18.147758620689654</c:v>
                </c:pt>
                <c:pt idx="20">
                  <c:v>18.147758620689654</c:v>
                </c:pt>
                <c:pt idx="21">
                  <c:v>18.147758620689654</c:v>
                </c:pt>
                <c:pt idx="22">
                  <c:v>18.147758620689654</c:v>
                </c:pt>
                <c:pt idx="23">
                  <c:v>18.147758620689654</c:v>
                </c:pt>
                <c:pt idx="24">
                  <c:v>18.147758620689654</c:v>
                </c:pt>
                <c:pt idx="25">
                  <c:v>18.147758620689654</c:v>
                </c:pt>
                <c:pt idx="26">
                  <c:v>18.147758620689654</c:v>
                </c:pt>
                <c:pt idx="27">
                  <c:v>18.147758620689654</c:v>
                </c:pt>
                <c:pt idx="28">
                  <c:v>18.147758620689654</c:v>
                </c:pt>
                <c:pt idx="29">
                  <c:v>18.147758620689654</c:v>
                </c:pt>
                <c:pt idx="30">
                  <c:v>18.147758620689654</c:v>
                </c:pt>
                <c:pt idx="31">
                  <c:v>18.147758620689654</c:v>
                </c:pt>
                <c:pt idx="32">
                  <c:v>18.147758620689654</c:v>
                </c:pt>
                <c:pt idx="33">
                  <c:v>18.147758620689654</c:v>
                </c:pt>
                <c:pt idx="34">
                  <c:v>18.147758620689654</c:v>
                </c:pt>
                <c:pt idx="35">
                  <c:v>18.147758620689654</c:v>
                </c:pt>
                <c:pt idx="36">
                  <c:v>18.147758620689654</c:v>
                </c:pt>
                <c:pt idx="37">
                  <c:v>18.147758620689654</c:v>
                </c:pt>
                <c:pt idx="38">
                  <c:v>18.147758620689654</c:v>
                </c:pt>
                <c:pt idx="39">
                  <c:v>18.147758620689654</c:v>
                </c:pt>
                <c:pt idx="40">
                  <c:v>18.147758620689654</c:v>
                </c:pt>
                <c:pt idx="41">
                  <c:v>18.147758620689654</c:v>
                </c:pt>
                <c:pt idx="42">
                  <c:v>18.147758620689654</c:v>
                </c:pt>
                <c:pt idx="43">
                  <c:v>18.147758620689654</c:v>
                </c:pt>
                <c:pt idx="44">
                  <c:v>18.147758620689654</c:v>
                </c:pt>
                <c:pt idx="45">
                  <c:v>18.147758620689654</c:v>
                </c:pt>
                <c:pt idx="46">
                  <c:v>18.147758620689654</c:v>
                </c:pt>
                <c:pt idx="47">
                  <c:v>18.147758620689654</c:v>
                </c:pt>
                <c:pt idx="48">
                  <c:v>18.147758620689654</c:v>
                </c:pt>
                <c:pt idx="49">
                  <c:v>18.147758620689654</c:v>
                </c:pt>
                <c:pt idx="50">
                  <c:v>18.147758620689654</c:v>
                </c:pt>
                <c:pt idx="51">
                  <c:v>18.147758620689654</c:v>
                </c:pt>
                <c:pt idx="52">
                  <c:v>18.147758620689654</c:v>
                </c:pt>
                <c:pt idx="53">
                  <c:v>18.147758620689654</c:v>
                </c:pt>
                <c:pt idx="54">
                  <c:v>18.147758620689654</c:v>
                </c:pt>
                <c:pt idx="55">
                  <c:v>18.147758620689654</c:v>
                </c:pt>
                <c:pt idx="56">
                  <c:v>18.147758620689654</c:v>
                </c:pt>
                <c:pt idx="57">
                  <c:v>18.147758620689654</c:v>
                </c:pt>
                <c:pt idx="58">
                  <c:v>18.147758620689654</c:v>
                </c:pt>
                <c:pt idx="59">
                  <c:v>18.147758620689654</c:v>
                </c:pt>
                <c:pt idx="60">
                  <c:v>18.147758620689654</c:v>
                </c:pt>
                <c:pt idx="61">
                  <c:v>18.147758620689654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ﾃﾞｰﾀｰ!$BG$6:$BG$67</c:f>
              <c:numCache>
                <c:formatCode>0.0_);[Red]\(0.0\)</c:formatCode>
                <c:ptCount val="62"/>
                <c:pt idx="0">
                  <c:v>6.4247474531250646</c:v>
                </c:pt>
                <c:pt idx="1">
                  <c:v>6.4247474531250646</c:v>
                </c:pt>
                <c:pt idx="2">
                  <c:v>6.4247474531250646</c:v>
                </c:pt>
                <c:pt idx="3">
                  <c:v>6.4247474531250646</c:v>
                </c:pt>
                <c:pt idx="4">
                  <c:v>6.4247474531250646</c:v>
                </c:pt>
                <c:pt idx="5">
                  <c:v>6.4247474531250646</c:v>
                </c:pt>
                <c:pt idx="6">
                  <c:v>6.4247474531250646</c:v>
                </c:pt>
                <c:pt idx="7">
                  <c:v>6.4247474531250646</c:v>
                </c:pt>
                <c:pt idx="8">
                  <c:v>6.4247474531250646</c:v>
                </c:pt>
                <c:pt idx="9">
                  <c:v>6.4247474531250646</c:v>
                </c:pt>
                <c:pt idx="10">
                  <c:v>6.4247474531250646</c:v>
                </c:pt>
                <c:pt idx="11">
                  <c:v>6.4247474531250646</c:v>
                </c:pt>
                <c:pt idx="12">
                  <c:v>6.4247474531250646</c:v>
                </c:pt>
                <c:pt idx="13">
                  <c:v>6.4247474531250646</c:v>
                </c:pt>
                <c:pt idx="14">
                  <c:v>6.4247474531250646</c:v>
                </c:pt>
                <c:pt idx="15">
                  <c:v>6.4247474531250646</c:v>
                </c:pt>
                <c:pt idx="16">
                  <c:v>6.4247474531250646</c:v>
                </c:pt>
                <c:pt idx="17">
                  <c:v>6.4247474531250646</c:v>
                </c:pt>
                <c:pt idx="18">
                  <c:v>6.4247474531250646</c:v>
                </c:pt>
                <c:pt idx="19">
                  <c:v>6.4247474531250646</c:v>
                </c:pt>
                <c:pt idx="20">
                  <c:v>6.4247474531250646</c:v>
                </c:pt>
                <c:pt idx="21">
                  <c:v>6.4247474531250646</c:v>
                </c:pt>
                <c:pt idx="22">
                  <c:v>6.4247474531250646</c:v>
                </c:pt>
                <c:pt idx="23">
                  <c:v>6.4247474531250646</c:v>
                </c:pt>
                <c:pt idx="24">
                  <c:v>6.4247474531250646</c:v>
                </c:pt>
                <c:pt idx="25">
                  <c:v>6.4247474531250646</c:v>
                </c:pt>
                <c:pt idx="26">
                  <c:v>6.4247474531250646</c:v>
                </c:pt>
                <c:pt idx="27">
                  <c:v>6.4247474531250646</c:v>
                </c:pt>
                <c:pt idx="28">
                  <c:v>6.4247474531250646</c:v>
                </c:pt>
                <c:pt idx="29">
                  <c:v>6.4247474531250646</c:v>
                </c:pt>
                <c:pt idx="30">
                  <c:v>6.4247474531250646</c:v>
                </c:pt>
                <c:pt idx="31">
                  <c:v>6.4247474531250646</c:v>
                </c:pt>
                <c:pt idx="32">
                  <c:v>6.4247474531250646</c:v>
                </c:pt>
                <c:pt idx="33">
                  <c:v>6.4247474531250646</c:v>
                </c:pt>
                <c:pt idx="34">
                  <c:v>6.4247474531250646</c:v>
                </c:pt>
                <c:pt idx="35">
                  <c:v>6.4247474531250646</c:v>
                </c:pt>
                <c:pt idx="36">
                  <c:v>6.4247474531250646</c:v>
                </c:pt>
                <c:pt idx="37">
                  <c:v>6.4247474531250646</c:v>
                </c:pt>
                <c:pt idx="38">
                  <c:v>6.4247474531250646</c:v>
                </c:pt>
                <c:pt idx="39">
                  <c:v>6.4247474531250646</c:v>
                </c:pt>
                <c:pt idx="40">
                  <c:v>6.4247474531250646</c:v>
                </c:pt>
                <c:pt idx="41">
                  <c:v>6.4247474531250646</c:v>
                </c:pt>
                <c:pt idx="42">
                  <c:v>6.4247474531250646</c:v>
                </c:pt>
                <c:pt idx="43">
                  <c:v>6.4247474531250646</c:v>
                </c:pt>
                <c:pt idx="44">
                  <c:v>6.4247474531250646</c:v>
                </c:pt>
                <c:pt idx="45">
                  <c:v>6.4247474531250646</c:v>
                </c:pt>
                <c:pt idx="46">
                  <c:v>6.4247474531250646</c:v>
                </c:pt>
                <c:pt idx="47">
                  <c:v>6.4247474531250646</c:v>
                </c:pt>
                <c:pt idx="48">
                  <c:v>6.4247474531250646</c:v>
                </c:pt>
                <c:pt idx="49">
                  <c:v>6.4247474531250646</c:v>
                </c:pt>
                <c:pt idx="50">
                  <c:v>6.4247474531250646</c:v>
                </c:pt>
                <c:pt idx="51">
                  <c:v>6.4247474531250646</c:v>
                </c:pt>
                <c:pt idx="52">
                  <c:v>6.4247474531250646</c:v>
                </c:pt>
                <c:pt idx="53">
                  <c:v>6.4247474531250646</c:v>
                </c:pt>
                <c:pt idx="54">
                  <c:v>6.4247474531250646</c:v>
                </c:pt>
                <c:pt idx="55">
                  <c:v>6.4247474531250646</c:v>
                </c:pt>
                <c:pt idx="56">
                  <c:v>6.4247474531250646</c:v>
                </c:pt>
                <c:pt idx="57">
                  <c:v>6.4247474531250646</c:v>
                </c:pt>
                <c:pt idx="58">
                  <c:v>6.4247474531250646</c:v>
                </c:pt>
                <c:pt idx="59">
                  <c:v>6.4247474531250646</c:v>
                </c:pt>
                <c:pt idx="60">
                  <c:v>6.4247474531250646</c:v>
                </c:pt>
                <c:pt idx="61">
                  <c:v>6.4247474531250646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1568"/>
        <c:axId val="134320128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21664"/>
        <c:axId val="134323200"/>
      </c:lineChart>
      <c:catAx>
        <c:axId val="134301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320128"/>
        <c:crossesAt val="-35"/>
        <c:auto val="1"/>
        <c:lblAlgn val="ctr"/>
        <c:lblOffset val="100"/>
        <c:tickLblSkip val="1"/>
        <c:tickMarkSkip val="1"/>
        <c:noMultiLvlLbl val="0"/>
      </c:catAx>
      <c:valAx>
        <c:axId val="13432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301568"/>
        <c:crosses val="autoZero"/>
        <c:crossBetween val="between"/>
        <c:minorUnit val="5"/>
      </c:valAx>
      <c:catAx>
        <c:axId val="13432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4323200"/>
        <c:crossesAt val="-5"/>
        <c:auto val="1"/>
        <c:lblAlgn val="ctr"/>
        <c:lblOffset val="100"/>
        <c:noMultiLvlLbl val="0"/>
      </c:catAx>
      <c:valAx>
        <c:axId val="134323200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321664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77550798249759E-3"/>
          <c:y val="1.2376237623762377E-2"/>
          <c:w val="0.99030772786542043"/>
          <c:h val="7.42574257425742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9463492963068"/>
          <c:y val="0.10140181047058709"/>
          <c:w val="0.79957180189540633"/>
          <c:h val="0.68755373928837105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ﾃﾞｰﾀｰ!$R$5</c:f>
              <c:strCache>
                <c:ptCount val="1"/>
                <c:pt idx="0">
                  <c:v>流量計重量差異（触媒槽）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ﾃﾞｰﾀｰ!$R$6:$R$67</c:f>
              <c:numCache>
                <c:formatCode>0.0_ ;[Red]\-0.0\ </c:formatCode>
                <c:ptCount val="62"/>
                <c:pt idx="0">
                  <c:v>-2.2099999999999795</c:v>
                </c:pt>
                <c:pt idx="1">
                  <c:v>-2.4799999999999898</c:v>
                </c:pt>
                <c:pt idx="2">
                  <c:v>-2.4200000000000159</c:v>
                </c:pt>
                <c:pt idx="3">
                  <c:v>-2.1799999999999784</c:v>
                </c:pt>
                <c:pt idx="4">
                  <c:v>-2.3500000000000227</c:v>
                </c:pt>
                <c:pt idx="5">
                  <c:v>-2.6699999999999875</c:v>
                </c:pt>
                <c:pt idx="6">
                  <c:v>-2.5500000000000114</c:v>
                </c:pt>
                <c:pt idx="7">
                  <c:v>-3.3200000000000216</c:v>
                </c:pt>
                <c:pt idx="8">
                  <c:v>-2.6599999999999966</c:v>
                </c:pt>
                <c:pt idx="9">
                  <c:v>-2.7299999999999898</c:v>
                </c:pt>
                <c:pt idx="10">
                  <c:v>-2.9300000000000068</c:v>
                </c:pt>
                <c:pt idx="11">
                  <c:v>-3.789999999999992</c:v>
                </c:pt>
                <c:pt idx="12">
                  <c:v>-2.8199999999999932</c:v>
                </c:pt>
                <c:pt idx="13">
                  <c:v>-2.1699999999999875</c:v>
                </c:pt>
                <c:pt idx="14">
                  <c:v>-2.3499999999999943</c:v>
                </c:pt>
                <c:pt idx="15">
                  <c:v>-3.0999999999999943</c:v>
                </c:pt>
                <c:pt idx="16">
                  <c:v>-2.289999999999992</c:v>
                </c:pt>
                <c:pt idx="17">
                  <c:v>-2.4800000000000182</c:v>
                </c:pt>
                <c:pt idx="18">
                  <c:v>-2.5999999999999943</c:v>
                </c:pt>
                <c:pt idx="19">
                  <c:v>-2.5999999999999943</c:v>
                </c:pt>
                <c:pt idx="20">
                  <c:v>-2.0200000000000102</c:v>
                </c:pt>
                <c:pt idx="21">
                  <c:v>-2.0999999999999659</c:v>
                </c:pt>
                <c:pt idx="22">
                  <c:v>-2.5999999999999943</c:v>
                </c:pt>
                <c:pt idx="23">
                  <c:v>-2.3600000000000136</c:v>
                </c:pt>
                <c:pt idx="24">
                  <c:v>-2.5499999999999829</c:v>
                </c:pt>
                <c:pt idx="25">
                  <c:v>-2.5099999999999909</c:v>
                </c:pt>
                <c:pt idx="26">
                  <c:v>-2.6599999999999682</c:v>
                </c:pt>
                <c:pt idx="27">
                  <c:v>-2.8700000000000045</c:v>
                </c:pt>
                <c:pt idx="28">
                  <c:v>-3.2399999999999807</c:v>
                </c:pt>
                <c:pt idx="29">
                  <c:v>-3.6199999999999761</c:v>
                </c:pt>
                <c:pt idx="30">
                  <c:v>-3.5800000000000125</c:v>
                </c:pt>
                <c:pt idx="31">
                  <c:v>-3.3800000000000239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ﾃﾞｰﾀｰ!$BR$6:$BR$67</c:f>
              <c:numCache>
                <c:formatCode>0.0_);[Red]\(0.0\)</c:formatCode>
                <c:ptCount val="62"/>
                <c:pt idx="0">
                  <c:v>-0.65327136813535303</c:v>
                </c:pt>
                <c:pt idx="1">
                  <c:v>-0.65327136813535303</c:v>
                </c:pt>
                <c:pt idx="2">
                  <c:v>-0.65327136813535303</c:v>
                </c:pt>
                <c:pt idx="3">
                  <c:v>-0.65327136813535303</c:v>
                </c:pt>
                <c:pt idx="4">
                  <c:v>-0.65327136813535303</c:v>
                </c:pt>
                <c:pt idx="5">
                  <c:v>-0.65327136813535303</c:v>
                </c:pt>
                <c:pt idx="6">
                  <c:v>-0.65327136813535303</c:v>
                </c:pt>
                <c:pt idx="7">
                  <c:v>-0.65327136813535303</c:v>
                </c:pt>
                <c:pt idx="8">
                  <c:v>-0.65327136813535303</c:v>
                </c:pt>
                <c:pt idx="9">
                  <c:v>-0.65327136813535303</c:v>
                </c:pt>
                <c:pt idx="10">
                  <c:v>-0.65327136813535303</c:v>
                </c:pt>
                <c:pt idx="11">
                  <c:v>-0.65327136813535303</c:v>
                </c:pt>
                <c:pt idx="12">
                  <c:v>-0.65327136813535303</c:v>
                </c:pt>
                <c:pt idx="13">
                  <c:v>-0.65327136813535303</c:v>
                </c:pt>
                <c:pt idx="14">
                  <c:v>-0.65327136813535303</c:v>
                </c:pt>
                <c:pt idx="15">
                  <c:v>-0.65327136813535303</c:v>
                </c:pt>
                <c:pt idx="16">
                  <c:v>-0.65327136813535303</c:v>
                </c:pt>
                <c:pt idx="17">
                  <c:v>-0.65327136813535303</c:v>
                </c:pt>
                <c:pt idx="18">
                  <c:v>-0.65327136813535303</c:v>
                </c:pt>
                <c:pt idx="19">
                  <c:v>-0.65327136813535303</c:v>
                </c:pt>
                <c:pt idx="20">
                  <c:v>-0.65327136813535303</c:v>
                </c:pt>
                <c:pt idx="21">
                  <c:v>-0.65327136813535303</c:v>
                </c:pt>
                <c:pt idx="22">
                  <c:v>-0.65327136813535303</c:v>
                </c:pt>
                <c:pt idx="23">
                  <c:v>-0.65327136813535303</c:v>
                </c:pt>
                <c:pt idx="24">
                  <c:v>-0.65327136813535303</c:v>
                </c:pt>
                <c:pt idx="25">
                  <c:v>-0.65327136813535303</c:v>
                </c:pt>
                <c:pt idx="26">
                  <c:v>-0.65327136813535303</c:v>
                </c:pt>
                <c:pt idx="27">
                  <c:v>-0.65327136813535303</c:v>
                </c:pt>
                <c:pt idx="28">
                  <c:v>-0.65327136813535303</c:v>
                </c:pt>
                <c:pt idx="29">
                  <c:v>-0.65327136813535303</c:v>
                </c:pt>
                <c:pt idx="30">
                  <c:v>-0.65327136813535303</c:v>
                </c:pt>
                <c:pt idx="31">
                  <c:v>-0.65327136813535303</c:v>
                </c:pt>
                <c:pt idx="32">
                  <c:v>-0.65327136813535303</c:v>
                </c:pt>
                <c:pt idx="33">
                  <c:v>-0.65327136813535303</c:v>
                </c:pt>
                <c:pt idx="34">
                  <c:v>-0.65327136813535303</c:v>
                </c:pt>
                <c:pt idx="35">
                  <c:v>-0.65327136813535303</c:v>
                </c:pt>
                <c:pt idx="36">
                  <c:v>-0.65327136813535303</c:v>
                </c:pt>
                <c:pt idx="37">
                  <c:v>-0.65327136813535303</c:v>
                </c:pt>
                <c:pt idx="38">
                  <c:v>-0.65327136813535303</c:v>
                </c:pt>
                <c:pt idx="39">
                  <c:v>-0.65327136813535303</c:v>
                </c:pt>
                <c:pt idx="40">
                  <c:v>-0.65327136813535303</c:v>
                </c:pt>
                <c:pt idx="41">
                  <c:v>-0.65327136813535303</c:v>
                </c:pt>
                <c:pt idx="42">
                  <c:v>-0.65327136813535303</c:v>
                </c:pt>
                <c:pt idx="43">
                  <c:v>-0.65327136813535303</c:v>
                </c:pt>
                <c:pt idx="44">
                  <c:v>-0.65327136813535303</c:v>
                </c:pt>
                <c:pt idx="45">
                  <c:v>-0.65327136813535303</c:v>
                </c:pt>
                <c:pt idx="46">
                  <c:v>-0.65327136813535303</c:v>
                </c:pt>
                <c:pt idx="47">
                  <c:v>-0.65327136813535303</c:v>
                </c:pt>
                <c:pt idx="48">
                  <c:v>-0.65327136813535303</c:v>
                </c:pt>
                <c:pt idx="49">
                  <c:v>-0.65327136813535303</c:v>
                </c:pt>
                <c:pt idx="50">
                  <c:v>-0.65327136813535303</c:v>
                </c:pt>
                <c:pt idx="51">
                  <c:v>-0.65327136813535303</c:v>
                </c:pt>
                <c:pt idx="52">
                  <c:v>-0.65327136813535303</c:v>
                </c:pt>
                <c:pt idx="53">
                  <c:v>-0.65327136813535303</c:v>
                </c:pt>
                <c:pt idx="54">
                  <c:v>-0.65327136813535303</c:v>
                </c:pt>
                <c:pt idx="55">
                  <c:v>-0.65327136813535303</c:v>
                </c:pt>
                <c:pt idx="56">
                  <c:v>-0.65327136813535303</c:v>
                </c:pt>
                <c:pt idx="57">
                  <c:v>-0.65327136813535303</c:v>
                </c:pt>
                <c:pt idx="58">
                  <c:v>-0.65327136813535303</c:v>
                </c:pt>
                <c:pt idx="59">
                  <c:v>-0.65327136813535303</c:v>
                </c:pt>
                <c:pt idx="60">
                  <c:v>-0.65327136813535303</c:v>
                </c:pt>
                <c:pt idx="61">
                  <c:v>-0.65327136813535303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ﾃﾞｰﾀｰ!$DM$6:$DM$67</c:f>
              <c:numCache>
                <c:formatCode>0.0_);[Red]\(0.0\)</c:formatCode>
                <c:ptCount val="62"/>
                <c:pt idx="0">
                  <c:v>-2.0636206896551719</c:v>
                </c:pt>
                <c:pt idx="1">
                  <c:v>-2.0636206896551719</c:v>
                </c:pt>
                <c:pt idx="2">
                  <c:v>-2.0636206896551719</c:v>
                </c:pt>
                <c:pt idx="3">
                  <c:v>-2.0636206896551719</c:v>
                </c:pt>
                <c:pt idx="4">
                  <c:v>-2.0636206896551719</c:v>
                </c:pt>
                <c:pt idx="5">
                  <c:v>-2.0636206896551719</c:v>
                </c:pt>
                <c:pt idx="6">
                  <c:v>-2.0636206896551719</c:v>
                </c:pt>
                <c:pt idx="7">
                  <c:v>-2.0636206896551719</c:v>
                </c:pt>
                <c:pt idx="8">
                  <c:v>-2.0636206896551719</c:v>
                </c:pt>
                <c:pt idx="9">
                  <c:v>-2.0636206896551719</c:v>
                </c:pt>
                <c:pt idx="10">
                  <c:v>-2.0636206896551719</c:v>
                </c:pt>
                <c:pt idx="11">
                  <c:v>-2.0636206896551719</c:v>
                </c:pt>
                <c:pt idx="12">
                  <c:v>-2.0636206896551719</c:v>
                </c:pt>
                <c:pt idx="13">
                  <c:v>-2.0636206896551719</c:v>
                </c:pt>
                <c:pt idx="14">
                  <c:v>-2.0636206896551719</c:v>
                </c:pt>
                <c:pt idx="15">
                  <c:v>-2.0636206896551719</c:v>
                </c:pt>
                <c:pt idx="16">
                  <c:v>-2.0636206896551719</c:v>
                </c:pt>
                <c:pt idx="17">
                  <c:v>-2.0636206896551719</c:v>
                </c:pt>
                <c:pt idx="18">
                  <c:v>-2.0636206896551719</c:v>
                </c:pt>
                <c:pt idx="19">
                  <c:v>-2.0636206896551719</c:v>
                </c:pt>
                <c:pt idx="20">
                  <c:v>-2.0636206896551719</c:v>
                </c:pt>
                <c:pt idx="21">
                  <c:v>-2.0636206896551719</c:v>
                </c:pt>
                <c:pt idx="22">
                  <c:v>-2.0636206896551719</c:v>
                </c:pt>
                <c:pt idx="23">
                  <c:v>-2.0636206896551719</c:v>
                </c:pt>
                <c:pt idx="24">
                  <c:v>-2.0636206896551719</c:v>
                </c:pt>
                <c:pt idx="25">
                  <c:v>-2.0636206896551719</c:v>
                </c:pt>
                <c:pt idx="26">
                  <c:v>-2.0636206896551719</c:v>
                </c:pt>
                <c:pt idx="27">
                  <c:v>-2.0636206896551719</c:v>
                </c:pt>
                <c:pt idx="28">
                  <c:v>-2.0636206896551719</c:v>
                </c:pt>
                <c:pt idx="29">
                  <c:v>-2.0636206896551719</c:v>
                </c:pt>
                <c:pt idx="30">
                  <c:v>-2.0636206896551719</c:v>
                </c:pt>
                <c:pt idx="31">
                  <c:v>-2.0636206896551719</c:v>
                </c:pt>
                <c:pt idx="32">
                  <c:v>-2.0636206896551719</c:v>
                </c:pt>
                <c:pt idx="33">
                  <c:v>-2.0636206896551719</c:v>
                </c:pt>
                <c:pt idx="34">
                  <c:v>-2.0636206896551719</c:v>
                </c:pt>
                <c:pt idx="35">
                  <c:v>-2.0636206896551719</c:v>
                </c:pt>
                <c:pt idx="36">
                  <c:v>-2.0636206896551719</c:v>
                </c:pt>
                <c:pt idx="37">
                  <c:v>-2.0636206896551719</c:v>
                </c:pt>
                <c:pt idx="38">
                  <c:v>-2.0636206896551719</c:v>
                </c:pt>
                <c:pt idx="39">
                  <c:v>-2.0636206896551719</c:v>
                </c:pt>
                <c:pt idx="40">
                  <c:v>-2.0636206896551719</c:v>
                </c:pt>
                <c:pt idx="41">
                  <c:v>-2.0636206896551719</c:v>
                </c:pt>
                <c:pt idx="42">
                  <c:v>-2.0636206896551719</c:v>
                </c:pt>
                <c:pt idx="43">
                  <c:v>-2.0636206896551719</c:v>
                </c:pt>
                <c:pt idx="44">
                  <c:v>-2.0636206896551719</c:v>
                </c:pt>
                <c:pt idx="45">
                  <c:v>-2.0636206896551719</c:v>
                </c:pt>
                <c:pt idx="46">
                  <c:v>-2.0636206896551719</c:v>
                </c:pt>
                <c:pt idx="47">
                  <c:v>-2.0636206896551719</c:v>
                </c:pt>
                <c:pt idx="48">
                  <c:v>-2.0636206896551719</c:v>
                </c:pt>
                <c:pt idx="49">
                  <c:v>-2.0636206896551719</c:v>
                </c:pt>
                <c:pt idx="50">
                  <c:v>-2.0636206896551719</c:v>
                </c:pt>
                <c:pt idx="51">
                  <c:v>-2.0636206896551719</c:v>
                </c:pt>
                <c:pt idx="52">
                  <c:v>-2.0636206896551719</c:v>
                </c:pt>
                <c:pt idx="53">
                  <c:v>-2.0636206896551719</c:v>
                </c:pt>
                <c:pt idx="54">
                  <c:v>-2.0636206896551719</c:v>
                </c:pt>
                <c:pt idx="55">
                  <c:v>-2.0636206896551719</c:v>
                </c:pt>
                <c:pt idx="56">
                  <c:v>-2.0636206896551719</c:v>
                </c:pt>
                <c:pt idx="57">
                  <c:v>-2.0636206896551719</c:v>
                </c:pt>
                <c:pt idx="58">
                  <c:v>-2.0636206896551719</c:v>
                </c:pt>
                <c:pt idx="59">
                  <c:v>-2.0636206896551719</c:v>
                </c:pt>
                <c:pt idx="60">
                  <c:v>-2.0636206896551719</c:v>
                </c:pt>
                <c:pt idx="61">
                  <c:v>-2.0636206896551719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ﾃﾞｰﾀｰ!$BQ$6:$BQ$67</c:f>
              <c:numCache>
                <c:formatCode>0.0_);[Red]\(0.0\)</c:formatCode>
                <c:ptCount val="62"/>
                <c:pt idx="0">
                  <c:v>-3.4739700111749907</c:v>
                </c:pt>
                <c:pt idx="1">
                  <c:v>-3.4739700111749907</c:v>
                </c:pt>
                <c:pt idx="2">
                  <c:v>-3.4739700111749907</c:v>
                </c:pt>
                <c:pt idx="3">
                  <c:v>-3.4739700111749907</c:v>
                </c:pt>
                <c:pt idx="4">
                  <c:v>-3.4739700111749907</c:v>
                </c:pt>
                <c:pt idx="5">
                  <c:v>-3.4739700111749907</c:v>
                </c:pt>
                <c:pt idx="6">
                  <c:v>-3.4739700111749907</c:v>
                </c:pt>
                <c:pt idx="7">
                  <c:v>-3.4739700111749907</c:v>
                </c:pt>
                <c:pt idx="8">
                  <c:v>-3.4739700111749907</c:v>
                </c:pt>
                <c:pt idx="9">
                  <c:v>-3.4739700111749907</c:v>
                </c:pt>
                <c:pt idx="10">
                  <c:v>-3.4739700111749907</c:v>
                </c:pt>
                <c:pt idx="11">
                  <c:v>-3.4739700111749907</c:v>
                </c:pt>
                <c:pt idx="12">
                  <c:v>-3.4739700111749907</c:v>
                </c:pt>
                <c:pt idx="13">
                  <c:v>-3.4739700111749907</c:v>
                </c:pt>
                <c:pt idx="14">
                  <c:v>-3.4739700111749907</c:v>
                </c:pt>
                <c:pt idx="15">
                  <c:v>-3.4739700111749907</c:v>
                </c:pt>
                <c:pt idx="16">
                  <c:v>-3.4739700111749907</c:v>
                </c:pt>
                <c:pt idx="17">
                  <c:v>-3.4739700111749907</c:v>
                </c:pt>
                <c:pt idx="18">
                  <c:v>-3.4739700111749907</c:v>
                </c:pt>
                <c:pt idx="19">
                  <c:v>-3.4739700111749907</c:v>
                </c:pt>
                <c:pt idx="20">
                  <c:v>-3.4739700111749907</c:v>
                </c:pt>
                <c:pt idx="21">
                  <c:v>-3.4739700111749907</c:v>
                </c:pt>
                <c:pt idx="22">
                  <c:v>-3.4739700111749907</c:v>
                </c:pt>
                <c:pt idx="23">
                  <c:v>-3.4739700111749907</c:v>
                </c:pt>
                <c:pt idx="24">
                  <c:v>-3.4739700111749907</c:v>
                </c:pt>
                <c:pt idx="25">
                  <c:v>-3.4739700111749907</c:v>
                </c:pt>
                <c:pt idx="26">
                  <c:v>-3.4739700111749907</c:v>
                </c:pt>
                <c:pt idx="27">
                  <c:v>-3.4739700111749907</c:v>
                </c:pt>
                <c:pt idx="28">
                  <c:v>-3.4739700111749907</c:v>
                </c:pt>
                <c:pt idx="29">
                  <c:v>-3.4739700111749907</c:v>
                </c:pt>
                <c:pt idx="30">
                  <c:v>-3.4739700111749907</c:v>
                </c:pt>
                <c:pt idx="31">
                  <c:v>-3.4739700111749907</c:v>
                </c:pt>
                <c:pt idx="32">
                  <c:v>-3.4739700111749907</c:v>
                </c:pt>
                <c:pt idx="33">
                  <c:v>-3.4739700111749907</c:v>
                </c:pt>
                <c:pt idx="34">
                  <c:v>-3.4739700111749907</c:v>
                </c:pt>
                <c:pt idx="35">
                  <c:v>-3.4739700111749907</c:v>
                </c:pt>
                <c:pt idx="36">
                  <c:v>-3.4739700111749907</c:v>
                </c:pt>
                <c:pt idx="37">
                  <c:v>-3.4739700111749907</c:v>
                </c:pt>
                <c:pt idx="38">
                  <c:v>-3.4739700111749907</c:v>
                </c:pt>
                <c:pt idx="39">
                  <c:v>-3.4739700111749907</c:v>
                </c:pt>
                <c:pt idx="40">
                  <c:v>-3.4739700111749907</c:v>
                </c:pt>
                <c:pt idx="41">
                  <c:v>-3.4739700111749907</c:v>
                </c:pt>
                <c:pt idx="42">
                  <c:v>-3.4739700111749907</c:v>
                </c:pt>
                <c:pt idx="43">
                  <c:v>-3.4739700111749907</c:v>
                </c:pt>
                <c:pt idx="44">
                  <c:v>-3.4739700111749907</c:v>
                </c:pt>
                <c:pt idx="45">
                  <c:v>-3.4739700111749907</c:v>
                </c:pt>
                <c:pt idx="46">
                  <c:v>-3.4739700111749907</c:v>
                </c:pt>
                <c:pt idx="47">
                  <c:v>-3.4739700111749907</c:v>
                </c:pt>
                <c:pt idx="48">
                  <c:v>-3.4739700111749907</c:v>
                </c:pt>
                <c:pt idx="49">
                  <c:v>-3.4739700111749907</c:v>
                </c:pt>
                <c:pt idx="50">
                  <c:v>-3.4739700111749907</c:v>
                </c:pt>
                <c:pt idx="51">
                  <c:v>-3.4739700111749907</c:v>
                </c:pt>
                <c:pt idx="52">
                  <c:v>-3.4739700111749907</c:v>
                </c:pt>
                <c:pt idx="53">
                  <c:v>-3.4739700111749907</c:v>
                </c:pt>
                <c:pt idx="54">
                  <c:v>-3.4739700111749907</c:v>
                </c:pt>
                <c:pt idx="55">
                  <c:v>-3.4739700111749907</c:v>
                </c:pt>
                <c:pt idx="56">
                  <c:v>-3.4739700111749907</c:v>
                </c:pt>
                <c:pt idx="57">
                  <c:v>-3.4739700111749907</c:v>
                </c:pt>
                <c:pt idx="58">
                  <c:v>-3.4739700111749907</c:v>
                </c:pt>
                <c:pt idx="59">
                  <c:v>-3.4739700111749907</c:v>
                </c:pt>
                <c:pt idx="60">
                  <c:v>-3.4739700111749907</c:v>
                </c:pt>
                <c:pt idx="61">
                  <c:v>-3.4739700111749907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47392"/>
        <c:axId val="134365952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67488"/>
        <c:axId val="134373376"/>
      </c:lineChart>
      <c:catAx>
        <c:axId val="134347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365952"/>
        <c:crossesAt val="-10"/>
        <c:auto val="1"/>
        <c:lblAlgn val="ctr"/>
        <c:lblOffset val="100"/>
        <c:tickLblSkip val="1"/>
        <c:tickMarkSkip val="1"/>
        <c:noMultiLvlLbl val="0"/>
      </c:catAx>
      <c:valAx>
        <c:axId val="134365952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347392"/>
        <c:crosses val="autoZero"/>
        <c:crossBetween val="between"/>
        <c:majorUnit val="2"/>
        <c:minorUnit val="2"/>
      </c:valAx>
      <c:catAx>
        <c:axId val="13436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4373376"/>
        <c:crossesAt val="-5"/>
        <c:auto val="1"/>
        <c:lblAlgn val="ctr"/>
        <c:lblOffset val="100"/>
        <c:noMultiLvlLbl val="0"/>
      </c:catAx>
      <c:valAx>
        <c:axId val="134373376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367488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601996158811123E-3"/>
          <c:y val="1.2366074447632573E-2"/>
          <c:w val="0.98818047290702438"/>
          <c:h val="7.4196446685795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2367053689682"/>
          <c:y val="0.10148514851485149"/>
          <c:w val="0.79967752902672617"/>
          <c:h val="0.6881188118811880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ﾃﾞｰﾀｰ!$H$5</c:f>
              <c:strCache>
                <c:ptCount val="1"/>
                <c:pt idx="0">
                  <c:v>追添0.5Hr
流量計積算量
(追添槽）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ﾃﾞｰﾀｰ!$H$6:$H$67</c:f>
              <c:numCache>
                <c:formatCode>0.0_ </c:formatCode>
                <c:ptCount val="62"/>
                <c:pt idx="0" formatCode="0.0_ ;[Red]\-0.0\ ">
                  <c:v>161.69999999999999</c:v>
                </c:pt>
                <c:pt idx="1">
                  <c:v>161</c:v>
                </c:pt>
                <c:pt idx="2" formatCode="0.0_ ;[Red]\-0.0\ ">
                  <c:v>160.80000000000001</c:v>
                </c:pt>
                <c:pt idx="3" formatCode="0.0_ ;[Red]\-0.0\ ">
                  <c:v>161.4</c:v>
                </c:pt>
                <c:pt idx="4" formatCode="0.0_ ;[Red]\-0.0\ ">
                  <c:v>161.30000000000001</c:v>
                </c:pt>
                <c:pt idx="5" formatCode="0.0_ ;[Red]\-0.0\ ">
                  <c:v>161.30000000000001</c:v>
                </c:pt>
                <c:pt idx="6" formatCode="0.0_ ;[Red]\-0.0\ ">
                  <c:v>161.19999999999999</c:v>
                </c:pt>
                <c:pt idx="7" formatCode="0.0_ ;[Red]\-0.0\ ">
                  <c:v>161.1</c:v>
                </c:pt>
                <c:pt idx="8" formatCode="0.0_ ;[Red]\-0.0\ ">
                  <c:v>161.19999999999999</c:v>
                </c:pt>
                <c:pt idx="9" formatCode="0.0_ ;[Red]\-0.0\ ">
                  <c:v>161.1</c:v>
                </c:pt>
                <c:pt idx="10" formatCode="0.0_ ;[Red]\-0.0\ ">
                  <c:v>160.80000000000001</c:v>
                </c:pt>
                <c:pt idx="11" formatCode="0.0_ ;[Red]\-0.0\ ">
                  <c:v>160.5</c:v>
                </c:pt>
                <c:pt idx="12" formatCode="0.0_ ;[Red]\-0.0\ ">
                  <c:v>160.69999999999999</c:v>
                </c:pt>
                <c:pt idx="13" formatCode="0.0_ ;[Red]\-0.0\ ">
                  <c:v>161.5</c:v>
                </c:pt>
                <c:pt idx="14" formatCode="0.0_ ;[Red]\-0.0\ ">
                  <c:v>161.30000000000001</c:v>
                </c:pt>
                <c:pt idx="15" formatCode="0.0_ ;[Red]\-0.0\ ">
                  <c:v>160.9</c:v>
                </c:pt>
                <c:pt idx="16" formatCode="0.0_ ;[Red]\-0.0\ ">
                  <c:v>161.6</c:v>
                </c:pt>
                <c:pt idx="17" formatCode="0.0_ ;[Red]\-0.0\ ">
                  <c:v>161.5</c:v>
                </c:pt>
                <c:pt idx="18" formatCode="0.0_ ;[Red]\-0.0\ ">
                  <c:v>158.5</c:v>
                </c:pt>
                <c:pt idx="19" formatCode="0.0_ ;[Red]\-0.0\ ">
                  <c:v>158.30000000000001</c:v>
                </c:pt>
                <c:pt idx="20" formatCode="0.0_ ;[Red]\-0.0\ ">
                  <c:v>158.6</c:v>
                </c:pt>
                <c:pt idx="21" formatCode="0.0_ ;[Red]\-0.0\ ">
                  <c:v>158.5</c:v>
                </c:pt>
                <c:pt idx="22" formatCode="0.0_ ;[Red]\-0.0\ ">
                  <c:v>159.19999999999999</c:v>
                </c:pt>
                <c:pt idx="23" formatCode="0.0_ ;[Red]\-0.0\ ">
                  <c:v>158.6</c:v>
                </c:pt>
                <c:pt idx="24" formatCode="0.0_ ;[Red]\-0.0\ ">
                  <c:v>159</c:v>
                </c:pt>
                <c:pt idx="25" formatCode="0.0_ ;[Red]\-0.0\ ">
                  <c:v>159.19999999999999</c:v>
                </c:pt>
                <c:pt idx="26" formatCode="0.0_ ;[Red]\-0.0\ ">
                  <c:v>159.6</c:v>
                </c:pt>
                <c:pt idx="27" formatCode="0.0_ ;[Red]\-0.0\ ">
                  <c:v>159.19999999999999</c:v>
                </c:pt>
                <c:pt idx="28" formatCode="0.0_ ;[Red]\-0.0\ ">
                  <c:v>159.5</c:v>
                </c:pt>
                <c:pt idx="29" formatCode="0.0_ ;[Red]\-0.0\ ">
                  <c:v>159.69999999999999</c:v>
                </c:pt>
                <c:pt idx="30" formatCode="0.0_ ;[Red]\-0.0\ ">
                  <c:v>159.1</c:v>
                </c:pt>
                <c:pt idx="31" formatCode="0.0_ ;[Red]\-0.0\ ">
                  <c:v>159.80000000000001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ﾃﾞｰﾀｰ!$AZ$6:$AZ$67</c:f>
              <c:numCache>
                <c:formatCode>0.0_);[Red]\(0.0\)</c:formatCode>
                <c:ptCount val="62"/>
                <c:pt idx="0">
                  <c:v>163.64145358736593</c:v>
                </c:pt>
                <c:pt idx="1">
                  <c:v>163.64145358736593</c:v>
                </c:pt>
                <c:pt idx="2">
                  <c:v>163.64145358736593</c:v>
                </c:pt>
                <c:pt idx="3">
                  <c:v>163.64145358736593</c:v>
                </c:pt>
                <c:pt idx="4">
                  <c:v>163.64145358736593</c:v>
                </c:pt>
                <c:pt idx="5">
                  <c:v>163.64145358736593</c:v>
                </c:pt>
                <c:pt idx="6">
                  <c:v>163.64145358736593</c:v>
                </c:pt>
                <c:pt idx="7">
                  <c:v>163.64145358736593</c:v>
                </c:pt>
                <c:pt idx="8">
                  <c:v>163.64145358736593</c:v>
                </c:pt>
                <c:pt idx="9">
                  <c:v>163.64145358736593</c:v>
                </c:pt>
                <c:pt idx="10">
                  <c:v>163.64145358736593</c:v>
                </c:pt>
                <c:pt idx="11">
                  <c:v>163.64145358736593</c:v>
                </c:pt>
                <c:pt idx="12">
                  <c:v>163.64145358736593</c:v>
                </c:pt>
                <c:pt idx="13">
                  <c:v>163.64145358736593</c:v>
                </c:pt>
                <c:pt idx="14">
                  <c:v>163.64145358736593</c:v>
                </c:pt>
                <c:pt idx="15">
                  <c:v>163.64145358736593</c:v>
                </c:pt>
                <c:pt idx="16">
                  <c:v>163.64145358736593</c:v>
                </c:pt>
                <c:pt idx="17">
                  <c:v>163.64145358736593</c:v>
                </c:pt>
                <c:pt idx="18">
                  <c:v>163.64145358736593</c:v>
                </c:pt>
                <c:pt idx="19">
                  <c:v>163.64145358736593</c:v>
                </c:pt>
                <c:pt idx="20">
                  <c:v>163.64145358736593</c:v>
                </c:pt>
                <c:pt idx="21">
                  <c:v>163.64145358736593</c:v>
                </c:pt>
                <c:pt idx="22">
                  <c:v>163.64145358736593</c:v>
                </c:pt>
                <c:pt idx="23">
                  <c:v>163.64145358736593</c:v>
                </c:pt>
                <c:pt idx="24">
                  <c:v>163.64145358736593</c:v>
                </c:pt>
                <c:pt idx="25">
                  <c:v>163.64145358736593</c:v>
                </c:pt>
                <c:pt idx="26">
                  <c:v>163.64145358736593</c:v>
                </c:pt>
                <c:pt idx="27">
                  <c:v>163.64145358736593</c:v>
                </c:pt>
                <c:pt idx="28">
                  <c:v>163.64145358736593</c:v>
                </c:pt>
                <c:pt idx="29">
                  <c:v>163.64145358736593</c:v>
                </c:pt>
                <c:pt idx="30">
                  <c:v>163.64145358736593</c:v>
                </c:pt>
                <c:pt idx="31">
                  <c:v>163.64145358736593</c:v>
                </c:pt>
                <c:pt idx="32">
                  <c:v>163.64145358736593</c:v>
                </c:pt>
                <c:pt idx="33">
                  <c:v>163.64145358736593</c:v>
                </c:pt>
                <c:pt idx="34">
                  <c:v>163.64145358736593</c:v>
                </c:pt>
                <c:pt idx="35">
                  <c:v>163.64145358736593</c:v>
                </c:pt>
                <c:pt idx="36">
                  <c:v>163.64145358736593</c:v>
                </c:pt>
                <c:pt idx="37">
                  <c:v>163.64145358736593</c:v>
                </c:pt>
                <c:pt idx="38">
                  <c:v>163.64145358736593</c:v>
                </c:pt>
                <c:pt idx="39">
                  <c:v>163.64145358736593</c:v>
                </c:pt>
                <c:pt idx="40">
                  <c:v>163.64145358736593</c:v>
                </c:pt>
                <c:pt idx="41">
                  <c:v>163.64145358736593</c:v>
                </c:pt>
                <c:pt idx="42">
                  <c:v>163.64145358736593</c:v>
                </c:pt>
                <c:pt idx="43">
                  <c:v>163.64145358736593</c:v>
                </c:pt>
                <c:pt idx="44">
                  <c:v>163.64145358736593</c:v>
                </c:pt>
                <c:pt idx="45">
                  <c:v>163.64145358736593</c:v>
                </c:pt>
                <c:pt idx="46">
                  <c:v>163.64145358736593</c:v>
                </c:pt>
                <c:pt idx="47">
                  <c:v>163.64145358736593</c:v>
                </c:pt>
                <c:pt idx="48">
                  <c:v>163.64145358736593</c:v>
                </c:pt>
                <c:pt idx="49">
                  <c:v>163.64145358736593</c:v>
                </c:pt>
                <c:pt idx="50">
                  <c:v>163.64145358736593</c:v>
                </c:pt>
                <c:pt idx="51">
                  <c:v>163.64145358736593</c:v>
                </c:pt>
                <c:pt idx="52">
                  <c:v>163.64145358736593</c:v>
                </c:pt>
                <c:pt idx="53">
                  <c:v>163.64145358736593</c:v>
                </c:pt>
                <c:pt idx="54">
                  <c:v>163.64145358736593</c:v>
                </c:pt>
                <c:pt idx="55">
                  <c:v>163.64145358736593</c:v>
                </c:pt>
                <c:pt idx="56">
                  <c:v>163.64145358736593</c:v>
                </c:pt>
                <c:pt idx="57">
                  <c:v>163.64145358736593</c:v>
                </c:pt>
                <c:pt idx="58">
                  <c:v>163.64145358736593</c:v>
                </c:pt>
                <c:pt idx="59">
                  <c:v>163.64145358736593</c:v>
                </c:pt>
                <c:pt idx="60">
                  <c:v>163.64145358736593</c:v>
                </c:pt>
                <c:pt idx="61">
                  <c:v>163.64145358736593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ﾃﾞｰﾀｰ!$DD$6:$DD$67</c:f>
              <c:numCache>
                <c:formatCode>0.0_);[Red]\(0.0\)</c:formatCode>
                <c:ptCount val="62"/>
                <c:pt idx="0">
                  <c:v>160.24062500000002</c:v>
                </c:pt>
                <c:pt idx="1">
                  <c:v>160.24062500000002</c:v>
                </c:pt>
                <c:pt idx="2">
                  <c:v>160.24062500000002</c:v>
                </c:pt>
                <c:pt idx="3">
                  <c:v>160.24062500000002</c:v>
                </c:pt>
                <c:pt idx="4">
                  <c:v>160.24062500000002</c:v>
                </c:pt>
                <c:pt idx="5">
                  <c:v>160.24062500000002</c:v>
                </c:pt>
                <c:pt idx="6">
                  <c:v>160.24062500000002</c:v>
                </c:pt>
                <c:pt idx="7">
                  <c:v>160.24062500000002</c:v>
                </c:pt>
                <c:pt idx="8">
                  <c:v>160.24062500000002</c:v>
                </c:pt>
                <c:pt idx="9">
                  <c:v>160.24062500000002</c:v>
                </c:pt>
                <c:pt idx="10">
                  <c:v>160.24062500000002</c:v>
                </c:pt>
                <c:pt idx="11">
                  <c:v>160.24062500000002</c:v>
                </c:pt>
                <c:pt idx="12">
                  <c:v>160.24062500000002</c:v>
                </c:pt>
                <c:pt idx="13">
                  <c:v>160.24062500000002</c:v>
                </c:pt>
                <c:pt idx="14">
                  <c:v>160.24062500000002</c:v>
                </c:pt>
                <c:pt idx="15">
                  <c:v>160.24062500000002</c:v>
                </c:pt>
                <c:pt idx="16">
                  <c:v>160.24062500000002</c:v>
                </c:pt>
                <c:pt idx="17">
                  <c:v>160.24062500000002</c:v>
                </c:pt>
                <c:pt idx="18">
                  <c:v>160.24062500000002</c:v>
                </c:pt>
                <c:pt idx="19">
                  <c:v>160.24062500000002</c:v>
                </c:pt>
                <c:pt idx="20">
                  <c:v>160.24062500000002</c:v>
                </c:pt>
                <c:pt idx="21">
                  <c:v>160.24062500000002</c:v>
                </c:pt>
                <c:pt idx="22">
                  <c:v>160.24062500000002</c:v>
                </c:pt>
                <c:pt idx="23">
                  <c:v>160.24062500000002</c:v>
                </c:pt>
                <c:pt idx="24">
                  <c:v>160.24062500000002</c:v>
                </c:pt>
                <c:pt idx="25">
                  <c:v>160.24062500000002</c:v>
                </c:pt>
                <c:pt idx="26">
                  <c:v>160.24062500000002</c:v>
                </c:pt>
                <c:pt idx="27">
                  <c:v>160.24062500000002</c:v>
                </c:pt>
                <c:pt idx="28">
                  <c:v>160.24062500000002</c:v>
                </c:pt>
                <c:pt idx="29">
                  <c:v>160.24062500000002</c:v>
                </c:pt>
                <c:pt idx="30">
                  <c:v>160.24062500000002</c:v>
                </c:pt>
                <c:pt idx="31">
                  <c:v>160.24062500000002</c:v>
                </c:pt>
                <c:pt idx="32">
                  <c:v>160.24062500000002</c:v>
                </c:pt>
                <c:pt idx="33">
                  <c:v>160.24062500000002</c:v>
                </c:pt>
                <c:pt idx="34">
                  <c:v>160.24062500000002</c:v>
                </c:pt>
                <c:pt idx="35">
                  <c:v>160.24062500000002</c:v>
                </c:pt>
                <c:pt idx="36">
                  <c:v>160.24062500000002</c:v>
                </c:pt>
                <c:pt idx="37">
                  <c:v>160.24062500000002</c:v>
                </c:pt>
                <c:pt idx="38">
                  <c:v>160.24062500000002</c:v>
                </c:pt>
                <c:pt idx="39">
                  <c:v>160.24062500000002</c:v>
                </c:pt>
                <c:pt idx="40">
                  <c:v>160.24062500000002</c:v>
                </c:pt>
                <c:pt idx="41">
                  <c:v>160.24062500000002</c:v>
                </c:pt>
                <c:pt idx="42">
                  <c:v>160.24062500000002</c:v>
                </c:pt>
                <c:pt idx="43">
                  <c:v>160.24062500000002</c:v>
                </c:pt>
                <c:pt idx="44">
                  <c:v>160.24062500000002</c:v>
                </c:pt>
                <c:pt idx="45">
                  <c:v>160.24062500000002</c:v>
                </c:pt>
                <c:pt idx="46">
                  <c:v>160.24062500000002</c:v>
                </c:pt>
                <c:pt idx="47">
                  <c:v>160.24062500000002</c:v>
                </c:pt>
                <c:pt idx="48">
                  <c:v>160.24062500000002</c:v>
                </c:pt>
                <c:pt idx="49">
                  <c:v>160.24062500000002</c:v>
                </c:pt>
                <c:pt idx="50">
                  <c:v>160.24062500000002</c:v>
                </c:pt>
                <c:pt idx="51">
                  <c:v>160.24062500000002</c:v>
                </c:pt>
                <c:pt idx="52">
                  <c:v>160.24062500000002</c:v>
                </c:pt>
                <c:pt idx="53">
                  <c:v>160.24062500000002</c:v>
                </c:pt>
                <c:pt idx="54">
                  <c:v>160.24062500000002</c:v>
                </c:pt>
                <c:pt idx="55">
                  <c:v>160.24062500000002</c:v>
                </c:pt>
                <c:pt idx="56">
                  <c:v>160.24062500000002</c:v>
                </c:pt>
                <c:pt idx="57">
                  <c:v>160.24062500000002</c:v>
                </c:pt>
                <c:pt idx="58">
                  <c:v>160.24062500000002</c:v>
                </c:pt>
                <c:pt idx="59">
                  <c:v>160.24062500000002</c:v>
                </c:pt>
                <c:pt idx="60">
                  <c:v>160.24062500000002</c:v>
                </c:pt>
                <c:pt idx="61">
                  <c:v>160.24062500000002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ﾃﾞｰﾀｰ!$AY$6:$AY$67</c:f>
              <c:numCache>
                <c:formatCode>0.0_);[Red]\(0.0\)</c:formatCode>
                <c:ptCount val="62"/>
                <c:pt idx="0">
                  <c:v>156.83979641263412</c:v>
                </c:pt>
                <c:pt idx="1">
                  <c:v>156.83979641263412</c:v>
                </c:pt>
                <c:pt idx="2">
                  <c:v>156.83979641263412</c:v>
                </c:pt>
                <c:pt idx="3">
                  <c:v>156.83979641263412</c:v>
                </c:pt>
                <c:pt idx="4">
                  <c:v>156.83979641263412</c:v>
                </c:pt>
                <c:pt idx="5">
                  <c:v>156.83979641263412</c:v>
                </c:pt>
                <c:pt idx="6">
                  <c:v>156.83979641263412</c:v>
                </c:pt>
                <c:pt idx="7">
                  <c:v>156.83979641263412</c:v>
                </c:pt>
                <c:pt idx="8">
                  <c:v>156.83979641263412</c:v>
                </c:pt>
                <c:pt idx="9">
                  <c:v>156.83979641263412</c:v>
                </c:pt>
                <c:pt idx="10">
                  <c:v>156.83979641263412</c:v>
                </c:pt>
                <c:pt idx="11">
                  <c:v>156.83979641263412</c:v>
                </c:pt>
                <c:pt idx="12">
                  <c:v>156.83979641263412</c:v>
                </c:pt>
                <c:pt idx="13">
                  <c:v>156.83979641263412</c:v>
                </c:pt>
                <c:pt idx="14">
                  <c:v>156.83979641263412</c:v>
                </c:pt>
                <c:pt idx="15">
                  <c:v>156.83979641263412</c:v>
                </c:pt>
                <c:pt idx="16">
                  <c:v>156.83979641263412</c:v>
                </c:pt>
                <c:pt idx="17">
                  <c:v>156.83979641263412</c:v>
                </c:pt>
                <c:pt idx="18">
                  <c:v>156.83979641263412</c:v>
                </c:pt>
                <c:pt idx="19">
                  <c:v>156.83979641263412</c:v>
                </c:pt>
                <c:pt idx="20">
                  <c:v>156.83979641263412</c:v>
                </c:pt>
                <c:pt idx="21">
                  <c:v>156.83979641263412</c:v>
                </c:pt>
                <c:pt idx="22">
                  <c:v>156.83979641263412</c:v>
                </c:pt>
                <c:pt idx="23">
                  <c:v>156.83979641263412</c:v>
                </c:pt>
                <c:pt idx="24">
                  <c:v>156.83979641263412</c:v>
                </c:pt>
                <c:pt idx="25">
                  <c:v>156.83979641263412</c:v>
                </c:pt>
                <c:pt idx="26">
                  <c:v>156.83979641263412</c:v>
                </c:pt>
                <c:pt idx="27">
                  <c:v>156.83979641263412</c:v>
                </c:pt>
                <c:pt idx="28">
                  <c:v>156.83979641263412</c:v>
                </c:pt>
                <c:pt idx="29">
                  <c:v>156.83979641263412</c:v>
                </c:pt>
                <c:pt idx="30">
                  <c:v>156.83979641263412</c:v>
                </c:pt>
                <c:pt idx="31">
                  <c:v>156.83979641263412</c:v>
                </c:pt>
                <c:pt idx="32">
                  <c:v>156.83979641263412</c:v>
                </c:pt>
                <c:pt idx="33">
                  <c:v>156.83979641263412</c:v>
                </c:pt>
                <c:pt idx="34">
                  <c:v>156.83979641263412</c:v>
                </c:pt>
                <c:pt idx="35">
                  <c:v>156.83979641263412</c:v>
                </c:pt>
                <c:pt idx="36">
                  <c:v>156.83979641263412</c:v>
                </c:pt>
                <c:pt idx="37">
                  <c:v>156.83979641263412</c:v>
                </c:pt>
                <c:pt idx="38">
                  <c:v>156.83979641263412</c:v>
                </c:pt>
                <c:pt idx="39">
                  <c:v>156.83979641263412</c:v>
                </c:pt>
                <c:pt idx="40">
                  <c:v>156.83979641263412</c:v>
                </c:pt>
                <c:pt idx="41">
                  <c:v>156.83979641263412</c:v>
                </c:pt>
                <c:pt idx="42">
                  <c:v>156.83979641263412</c:v>
                </c:pt>
                <c:pt idx="43">
                  <c:v>156.83979641263412</c:v>
                </c:pt>
                <c:pt idx="44">
                  <c:v>156.83979641263412</c:v>
                </c:pt>
                <c:pt idx="45">
                  <c:v>156.83979641263412</c:v>
                </c:pt>
                <c:pt idx="46">
                  <c:v>156.83979641263412</c:v>
                </c:pt>
                <c:pt idx="47">
                  <c:v>156.83979641263412</c:v>
                </c:pt>
                <c:pt idx="48">
                  <c:v>156.83979641263412</c:v>
                </c:pt>
                <c:pt idx="49">
                  <c:v>156.83979641263412</c:v>
                </c:pt>
                <c:pt idx="50">
                  <c:v>156.83979641263412</c:v>
                </c:pt>
                <c:pt idx="51">
                  <c:v>156.83979641263412</c:v>
                </c:pt>
                <c:pt idx="52">
                  <c:v>156.83979641263412</c:v>
                </c:pt>
                <c:pt idx="53">
                  <c:v>156.83979641263412</c:v>
                </c:pt>
                <c:pt idx="54">
                  <c:v>156.83979641263412</c:v>
                </c:pt>
                <c:pt idx="55">
                  <c:v>156.83979641263412</c:v>
                </c:pt>
                <c:pt idx="56">
                  <c:v>156.83979641263412</c:v>
                </c:pt>
                <c:pt idx="57">
                  <c:v>156.83979641263412</c:v>
                </c:pt>
                <c:pt idx="58">
                  <c:v>156.83979641263412</c:v>
                </c:pt>
                <c:pt idx="59">
                  <c:v>156.83979641263412</c:v>
                </c:pt>
                <c:pt idx="60">
                  <c:v>156.83979641263412</c:v>
                </c:pt>
                <c:pt idx="61">
                  <c:v>156.83979641263412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87424"/>
        <c:axId val="134501888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03424"/>
        <c:axId val="134513408"/>
      </c:lineChart>
      <c:catAx>
        <c:axId val="134487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501888"/>
        <c:crossesAt val="-35"/>
        <c:auto val="1"/>
        <c:lblAlgn val="ctr"/>
        <c:lblOffset val="100"/>
        <c:tickLblSkip val="1"/>
        <c:tickMarkSkip val="1"/>
        <c:noMultiLvlLbl val="0"/>
      </c:catAx>
      <c:valAx>
        <c:axId val="13450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487424"/>
        <c:crosses val="autoZero"/>
        <c:crossBetween val="between"/>
        <c:minorUnit val="5"/>
      </c:valAx>
      <c:catAx>
        <c:axId val="134503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4513408"/>
        <c:crossesAt val="-5"/>
        <c:auto val="1"/>
        <c:lblAlgn val="ctr"/>
        <c:lblOffset val="100"/>
        <c:noMultiLvlLbl val="0"/>
      </c:catAx>
      <c:valAx>
        <c:axId val="134513408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503424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77550798249759E-3"/>
          <c:y val="1.2376237623762377E-2"/>
          <c:w val="0.99030772786542043"/>
          <c:h val="7.42574257425742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2367053689682"/>
          <c:y val="0.10148514851485149"/>
          <c:w val="0.79967752902672617"/>
          <c:h val="0.6881188118811880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ﾃﾞｰﾀｰ!$I$5</c:f>
              <c:strCache>
                <c:ptCount val="1"/>
                <c:pt idx="0">
                  <c:v>追添1Hr
流量計積算量
(追添槽）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ﾃﾞｰﾀｰ!$I$6:$I$67</c:f>
              <c:numCache>
                <c:formatCode>0.0_ ;[Red]\-0.0\ </c:formatCode>
                <c:ptCount val="62"/>
                <c:pt idx="0">
                  <c:v>324.3</c:v>
                </c:pt>
                <c:pt idx="1">
                  <c:v>322.7</c:v>
                </c:pt>
                <c:pt idx="2">
                  <c:v>322.60000000000002</c:v>
                </c:pt>
                <c:pt idx="3">
                  <c:v>323.8</c:v>
                </c:pt>
                <c:pt idx="4">
                  <c:v>323.39999999999998</c:v>
                </c:pt>
                <c:pt idx="5">
                  <c:v>323.5</c:v>
                </c:pt>
                <c:pt idx="6">
                  <c:v>323.2</c:v>
                </c:pt>
                <c:pt idx="7">
                  <c:v>322.7</c:v>
                </c:pt>
                <c:pt idx="8">
                  <c:v>323.10000000000002</c:v>
                </c:pt>
                <c:pt idx="9">
                  <c:v>323</c:v>
                </c:pt>
                <c:pt idx="10">
                  <c:v>322.7</c:v>
                </c:pt>
                <c:pt idx="11">
                  <c:v>322</c:v>
                </c:pt>
                <c:pt idx="12">
                  <c:v>322.3</c:v>
                </c:pt>
                <c:pt idx="13">
                  <c:v>323.60000000000002</c:v>
                </c:pt>
                <c:pt idx="14">
                  <c:v>323.39999999999998</c:v>
                </c:pt>
                <c:pt idx="15">
                  <c:v>322.89999999999998</c:v>
                </c:pt>
                <c:pt idx="16">
                  <c:v>323.8</c:v>
                </c:pt>
                <c:pt idx="17">
                  <c:v>323.60000000000002</c:v>
                </c:pt>
                <c:pt idx="18">
                  <c:v>317.5</c:v>
                </c:pt>
                <c:pt idx="19">
                  <c:v>317.5</c:v>
                </c:pt>
                <c:pt idx="20">
                  <c:v>317.8</c:v>
                </c:pt>
                <c:pt idx="21">
                  <c:v>317.7</c:v>
                </c:pt>
                <c:pt idx="22">
                  <c:v>318.8</c:v>
                </c:pt>
                <c:pt idx="23">
                  <c:v>317.8</c:v>
                </c:pt>
                <c:pt idx="24">
                  <c:v>318.60000000000002</c:v>
                </c:pt>
                <c:pt idx="25">
                  <c:v>319.10000000000002</c:v>
                </c:pt>
                <c:pt idx="26">
                  <c:v>319.8</c:v>
                </c:pt>
                <c:pt idx="27">
                  <c:v>319.2</c:v>
                </c:pt>
                <c:pt idx="28">
                  <c:v>319.7</c:v>
                </c:pt>
                <c:pt idx="29">
                  <c:v>320.10000000000002</c:v>
                </c:pt>
                <c:pt idx="30">
                  <c:v>318.89999999999998</c:v>
                </c:pt>
                <c:pt idx="31">
                  <c:v>320.10000000000002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ﾃﾞｰﾀｰ!$BB$6:$BB$67</c:f>
              <c:numCache>
                <c:formatCode>0.0_);[Red]\(0.0\)</c:formatCode>
                <c:ptCount val="62"/>
                <c:pt idx="0">
                  <c:v>328.23996097062235</c:v>
                </c:pt>
                <c:pt idx="1">
                  <c:v>328.23996097062235</c:v>
                </c:pt>
                <c:pt idx="2">
                  <c:v>328.23996097062235</c:v>
                </c:pt>
                <c:pt idx="3">
                  <c:v>328.23996097062235</c:v>
                </c:pt>
                <c:pt idx="4">
                  <c:v>328.23996097062235</c:v>
                </c:pt>
                <c:pt idx="5">
                  <c:v>328.23996097062235</c:v>
                </c:pt>
                <c:pt idx="6">
                  <c:v>328.23996097062235</c:v>
                </c:pt>
                <c:pt idx="7">
                  <c:v>328.23996097062235</c:v>
                </c:pt>
                <c:pt idx="8">
                  <c:v>328.23996097062235</c:v>
                </c:pt>
                <c:pt idx="9">
                  <c:v>328.23996097062235</c:v>
                </c:pt>
                <c:pt idx="10">
                  <c:v>328.23996097062235</c:v>
                </c:pt>
                <c:pt idx="11">
                  <c:v>328.23996097062235</c:v>
                </c:pt>
                <c:pt idx="12">
                  <c:v>328.23996097062235</c:v>
                </c:pt>
                <c:pt idx="13">
                  <c:v>328.23996097062235</c:v>
                </c:pt>
                <c:pt idx="14">
                  <c:v>328.23996097062235</c:v>
                </c:pt>
                <c:pt idx="15">
                  <c:v>328.23996097062235</c:v>
                </c:pt>
                <c:pt idx="16">
                  <c:v>328.23996097062235</c:v>
                </c:pt>
                <c:pt idx="17">
                  <c:v>328.23996097062235</c:v>
                </c:pt>
                <c:pt idx="18">
                  <c:v>328.23996097062235</c:v>
                </c:pt>
                <c:pt idx="19">
                  <c:v>328.23996097062235</c:v>
                </c:pt>
                <c:pt idx="20">
                  <c:v>328.23996097062235</c:v>
                </c:pt>
                <c:pt idx="21">
                  <c:v>328.23996097062235</c:v>
                </c:pt>
                <c:pt idx="22">
                  <c:v>328.23996097062235</c:v>
                </c:pt>
                <c:pt idx="23">
                  <c:v>328.23996097062235</c:v>
                </c:pt>
                <c:pt idx="24">
                  <c:v>328.23996097062235</c:v>
                </c:pt>
                <c:pt idx="25">
                  <c:v>328.23996097062235</c:v>
                </c:pt>
                <c:pt idx="26">
                  <c:v>328.23996097062235</c:v>
                </c:pt>
                <c:pt idx="27">
                  <c:v>328.23996097062235</c:v>
                </c:pt>
                <c:pt idx="28">
                  <c:v>328.23996097062235</c:v>
                </c:pt>
                <c:pt idx="29">
                  <c:v>328.23996097062235</c:v>
                </c:pt>
                <c:pt idx="30">
                  <c:v>328.23996097062235</c:v>
                </c:pt>
                <c:pt idx="31">
                  <c:v>328.23996097062235</c:v>
                </c:pt>
                <c:pt idx="32">
                  <c:v>328.23996097062235</c:v>
                </c:pt>
                <c:pt idx="33">
                  <c:v>328.23996097062235</c:v>
                </c:pt>
                <c:pt idx="34">
                  <c:v>328.23996097062235</c:v>
                </c:pt>
                <c:pt idx="35">
                  <c:v>328.23996097062235</c:v>
                </c:pt>
                <c:pt idx="36">
                  <c:v>328.23996097062235</c:v>
                </c:pt>
                <c:pt idx="37">
                  <c:v>328.23996097062235</c:v>
                </c:pt>
                <c:pt idx="38">
                  <c:v>328.23996097062235</c:v>
                </c:pt>
                <c:pt idx="39">
                  <c:v>328.23996097062235</c:v>
                </c:pt>
                <c:pt idx="40">
                  <c:v>328.23996097062235</c:v>
                </c:pt>
                <c:pt idx="41">
                  <c:v>328.23996097062235</c:v>
                </c:pt>
                <c:pt idx="42">
                  <c:v>328.23996097062235</c:v>
                </c:pt>
                <c:pt idx="43">
                  <c:v>328.23996097062235</c:v>
                </c:pt>
                <c:pt idx="44">
                  <c:v>328.23996097062235</c:v>
                </c:pt>
                <c:pt idx="45">
                  <c:v>328.23996097062235</c:v>
                </c:pt>
                <c:pt idx="46">
                  <c:v>328.23996097062235</c:v>
                </c:pt>
                <c:pt idx="47">
                  <c:v>328.23996097062235</c:v>
                </c:pt>
                <c:pt idx="48">
                  <c:v>328.23996097062235</c:v>
                </c:pt>
                <c:pt idx="49">
                  <c:v>328.23996097062235</c:v>
                </c:pt>
                <c:pt idx="50">
                  <c:v>328.23996097062235</c:v>
                </c:pt>
                <c:pt idx="51">
                  <c:v>328.23996097062235</c:v>
                </c:pt>
                <c:pt idx="52">
                  <c:v>328.23996097062235</c:v>
                </c:pt>
                <c:pt idx="53">
                  <c:v>328.23996097062235</c:v>
                </c:pt>
                <c:pt idx="54">
                  <c:v>328.23996097062235</c:v>
                </c:pt>
                <c:pt idx="55">
                  <c:v>328.23996097062235</c:v>
                </c:pt>
                <c:pt idx="56">
                  <c:v>328.23996097062235</c:v>
                </c:pt>
                <c:pt idx="57">
                  <c:v>328.23996097062235</c:v>
                </c:pt>
                <c:pt idx="58">
                  <c:v>328.23996097062235</c:v>
                </c:pt>
                <c:pt idx="59">
                  <c:v>328.23996097062235</c:v>
                </c:pt>
                <c:pt idx="60">
                  <c:v>328.23996097062235</c:v>
                </c:pt>
                <c:pt idx="61">
                  <c:v>328.23996097062235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ﾃﾞｰﾀｰ!$DE$6:$DE$67</c:f>
              <c:numCache>
                <c:formatCode>0.0_);[Red]\(0.0\)</c:formatCode>
                <c:ptCount val="62"/>
                <c:pt idx="0">
                  <c:v>321.22500000000002</c:v>
                </c:pt>
                <c:pt idx="1">
                  <c:v>321.22500000000002</c:v>
                </c:pt>
                <c:pt idx="2">
                  <c:v>321.22500000000002</c:v>
                </c:pt>
                <c:pt idx="3">
                  <c:v>321.22500000000002</c:v>
                </c:pt>
                <c:pt idx="4">
                  <c:v>321.22500000000002</c:v>
                </c:pt>
                <c:pt idx="5">
                  <c:v>321.22500000000002</c:v>
                </c:pt>
                <c:pt idx="6">
                  <c:v>321.22500000000002</c:v>
                </c:pt>
                <c:pt idx="7">
                  <c:v>321.22500000000002</c:v>
                </c:pt>
                <c:pt idx="8">
                  <c:v>321.22500000000002</c:v>
                </c:pt>
                <c:pt idx="9">
                  <c:v>321.22500000000002</c:v>
                </c:pt>
                <c:pt idx="10">
                  <c:v>321.22500000000002</c:v>
                </c:pt>
                <c:pt idx="11">
                  <c:v>321.22500000000002</c:v>
                </c:pt>
                <c:pt idx="12">
                  <c:v>321.22500000000002</c:v>
                </c:pt>
                <c:pt idx="13">
                  <c:v>321.22500000000002</c:v>
                </c:pt>
                <c:pt idx="14">
                  <c:v>321.22500000000002</c:v>
                </c:pt>
                <c:pt idx="15">
                  <c:v>321.22500000000002</c:v>
                </c:pt>
                <c:pt idx="16">
                  <c:v>321.22500000000002</c:v>
                </c:pt>
                <c:pt idx="17">
                  <c:v>321.22500000000002</c:v>
                </c:pt>
                <c:pt idx="18">
                  <c:v>321.22500000000002</c:v>
                </c:pt>
                <c:pt idx="19">
                  <c:v>321.22500000000002</c:v>
                </c:pt>
                <c:pt idx="20">
                  <c:v>321.22500000000002</c:v>
                </c:pt>
                <c:pt idx="21">
                  <c:v>321.22500000000002</c:v>
                </c:pt>
                <c:pt idx="22">
                  <c:v>321.22500000000002</c:v>
                </c:pt>
                <c:pt idx="23">
                  <c:v>321.22500000000002</c:v>
                </c:pt>
                <c:pt idx="24">
                  <c:v>321.22500000000002</c:v>
                </c:pt>
                <c:pt idx="25">
                  <c:v>321.22500000000002</c:v>
                </c:pt>
                <c:pt idx="26">
                  <c:v>321.22500000000002</c:v>
                </c:pt>
                <c:pt idx="27">
                  <c:v>321.22500000000002</c:v>
                </c:pt>
                <c:pt idx="28">
                  <c:v>321.22500000000002</c:v>
                </c:pt>
                <c:pt idx="29">
                  <c:v>321.22500000000002</c:v>
                </c:pt>
                <c:pt idx="30">
                  <c:v>321.22500000000002</c:v>
                </c:pt>
                <c:pt idx="31">
                  <c:v>321.22500000000002</c:v>
                </c:pt>
                <c:pt idx="32">
                  <c:v>321.22500000000002</c:v>
                </c:pt>
                <c:pt idx="33">
                  <c:v>321.22500000000002</c:v>
                </c:pt>
                <c:pt idx="34">
                  <c:v>321.22500000000002</c:v>
                </c:pt>
                <c:pt idx="35">
                  <c:v>321.22500000000002</c:v>
                </c:pt>
                <c:pt idx="36">
                  <c:v>321.22500000000002</c:v>
                </c:pt>
                <c:pt idx="37">
                  <c:v>321.22500000000002</c:v>
                </c:pt>
                <c:pt idx="38">
                  <c:v>321.22500000000002</c:v>
                </c:pt>
                <c:pt idx="39">
                  <c:v>321.22500000000002</c:v>
                </c:pt>
                <c:pt idx="40">
                  <c:v>321.22500000000002</c:v>
                </c:pt>
                <c:pt idx="41">
                  <c:v>321.22500000000002</c:v>
                </c:pt>
                <c:pt idx="42">
                  <c:v>321.22500000000002</c:v>
                </c:pt>
                <c:pt idx="43">
                  <c:v>321.22500000000002</c:v>
                </c:pt>
                <c:pt idx="44">
                  <c:v>321.22500000000002</c:v>
                </c:pt>
                <c:pt idx="45">
                  <c:v>321.22500000000002</c:v>
                </c:pt>
                <c:pt idx="46">
                  <c:v>321.22500000000002</c:v>
                </c:pt>
                <c:pt idx="47">
                  <c:v>321.22500000000002</c:v>
                </c:pt>
                <c:pt idx="48">
                  <c:v>321.22500000000002</c:v>
                </c:pt>
                <c:pt idx="49">
                  <c:v>321.22500000000002</c:v>
                </c:pt>
                <c:pt idx="50">
                  <c:v>321.22500000000002</c:v>
                </c:pt>
                <c:pt idx="51">
                  <c:v>321.22500000000002</c:v>
                </c:pt>
                <c:pt idx="52">
                  <c:v>321.22500000000002</c:v>
                </c:pt>
                <c:pt idx="53">
                  <c:v>321.22500000000002</c:v>
                </c:pt>
                <c:pt idx="54">
                  <c:v>321.22500000000002</c:v>
                </c:pt>
                <c:pt idx="55">
                  <c:v>321.22500000000002</c:v>
                </c:pt>
                <c:pt idx="56">
                  <c:v>321.22500000000002</c:v>
                </c:pt>
                <c:pt idx="57">
                  <c:v>321.22500000000002</c:v>
                </c:pt>
                <c:pt idx="58">
                  <c:v>321.22500000000002</c:v>
                </c:pt>
                <c:pt idx="59">
                  <c:v>321.22500000000002</c:v>
                </c:pt>
                <c:pt idx="60">
                  <c:v>321.22500000000002</c:v>
                </c:pt>
                <c:pt idx="61">
                  <c:v>321.22500000000002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ﾃﾞｰﾀｰ!$BA$6:$BA$67</c:f>
              <c:numCache>
                <c:formatCode>0.0_);[Red]\(0.0\)</c:formatCode>
                <c:ptCount val="62"/>
                <c:pt idx="0">
                  <c:v>314.2100390293777</c:v>
                </c:pt>
                <c:pt idx="1">
                  <c:v>314.2100390293777</c:v>
                </c:pt>
                <c:pt idx="2">
                  <c:v>314.2100390293777</c:v>
                </c:pt>
                <c:pt idx="3">
                  <c:v>314.2100390293777</c:v>
                </c:pt>
                <c:pt idx="4">
                  <c:v>314.2100390293777</c:v>
                </c:pt>
                <c:pt idx="5">
                  <c:v>314.2100390293777</c:v>
                </c:pt>
                <c:pt idx="6">
                  <c:v>314.2100390293777</c:v>
                </c:pt>
                <c:pt idx="7">
                  <c:v>314.2100390293777</c:v>
                </c:pt>
                <c:pt idx="8">
                  <c:v>314.2100390293777</c:v>
                </c:pt>
                <c:pt idx="9">
                  <c:v>314.2100390293777</c:v>
                </c:pt>
                <c:pt idx="10">
                  <c:v>314.2100390293777</c:v>
                </c:pt>
                <c:pt idx="11">
                  <c:v>314.2100390293777</c:v>
                </c:pt>
                <c:pt idx="12">
                  <c:v>314.2100390293777</c:v>
                </c:pt>
                <c:pt idx="13">
                  <c:v>314.2100390293777</c:v>
                </c:pt>
                <c:pt idx="14">
                  <c:v>314.2100390293777</c:v>
                </c:pt>
                <c:pt idx="15">
                  <c:v>314.2100390293777</c:v>
                </c:pt>
                <c:pt idx="16">
                  <c:v>314.2100390293777</c:v>
                </c:pt>
                <c:pt idx="17">
                  <c:v>314.2100390293777</c:v>
                </c:pt>
                <c:pt idx="18">
                  <c:v>314.2100390293777</c:v>
                </c:pt>
                <c:pt idx="19">
                  <c:v>314.2100390293777</c:v>
                </c:pt>
                <c:pt idx="20">
                  <c:v>314.2100390293777</c:v>
                </c:pt>
                <c:pt idx="21">
                  <c:v>314.2100390293777</c:v>
                </c:pt>
                <c:pt idx="22">
                  <c:v>314.2100390293777</c:v>
                </c:pt>
                <c:pt idx="23">
                  <c:v>314.2100390293777</c:v>
                </c:pt>
                <c:pt idx="24">
                  <c:v>314.2100390293777</c:v>
                </c:pt>
                <c:pt idx="25">
                  <c:v>314.2100390293777</c:v>
                </c:pt>
                <c:pt idx="26">
                  <c:v>314.2100390293777</c:v>
                </c:pt>
                <c:pt idx="27">
                  <c:v>314.2100390293777</c:v>
                </c:pt>
                <c:pt idx="28">
                  <c:v>314.2100390293777</c:v>
                </c:pt>
                <c:pt idx="29">
                  <c:v>314.2100390293777</c:v>
                </c:pt>
                <c:pt idx="30">
                  <c:v>314.2100390293777</c:v>
                </c:pt>
                <c:pt idx="31">
                  <c:v>314.2100390293777</c:v>
                </c:pt>
                <c:pt idx="32">
                  <c:v>314.2100390293777</c:v>
                </c:pt>
                <c:pt idx="33">
                  <c:v>314.2100390293777</c:v>
                </c:pt>
                <c:pt idx="34">
                  <c:v>314.2100390293777</c:v>
                </c:pt>
                <c:pt idx="35">
                  <c:v>314.2100390293777</c:v>
                </c:pt>
                <c:pt idx="36">
                  <c:v>314.2100390293777</c:v>
                </c:pt>
                <c:pt idx="37">
                  <c:v>314.2100390293777</c:v>
                </c:pt>
                <c:pt idx="38">
                  <c:v>314.2100390293777</c:v>
                </c:pt>
                <c:pt idx="39">
                  <c:v>314.2100390293777</c:v>
                </c:pt>
                <c:pt idx="40">
                  <c:v>314.2100390293777</c:v>
                </c:pt>
                <c:pt idx="41">
                  <c:v>314.2100390293777</c:v>
                </c:pt>
                <c:pt idx="42">
                  <c:v>314.2100390293777</c:v>
                </c:pt>
                <c:pt idx="43">
                  <c:v>314.2100390293777</c:v>
                </c:pt>
                <c:pt idx="44">
                  <c:v>314.2100390293777</c:v>
                </c:pt>
                <c:pt idx="45">
                  <c:v>314.2100390293777</c:v>
                </c:pt>
                <c:pt idx="46">
                  <c:v>314.2100390293777</c:v>
                </c:pt>
                <c:pt idx="47">
                  <c:v>314.2100390293777</c:v>
                </c:pt>
                <c:pt idx="48">
                  <c:v>314.2100390293777</c:v>
                </c:pt>
                <c:pt idx="49">
                  <c:v>314.2100390293777</c:v>
                </c:pt>
                <c:pt idx="50">
                  <c:v>314.2100390293777</c:v>
                </c:pt>
                <c:pt idx="51">
                  <c:v>314.2100390293777</c:v>
                </c:pt>
                <c:pt idx="52">
                  <c:v>314.2100390293777</c:v>
                </c:pt>
                <c:pt idx="53">
                  <c:v>314.2100390293777</c:v>
                </c:pt>
                <c:pt idx="54">
                  <c:v>314.2100390293777</c:v>
                </c:pt>
                <c:pt idx="55">
                  <c:v>314.2100390293777</c:v>
                </c:pt>
                <c:pt idx="56">
                  <c:v>314.2100390293777</c:v>
                </c:pt>
                <c:pt idx="57">
                  <c:v>314.2100390293777</c:v>
                </c:pt>
                <c:pt idx="58">
                  <c:v>314.2100390293777</c:v>
                </c:pt>
                <c:pt idx="59">
                  <c:v>314.2100390293777</c:v>
                </c:pt>
                <c:pt idx="60">
                  <c:v>314.2100390293777</c:v>
                </c:pt>
                <c:pt idx="61">
                  <c:v>314.2100390293777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46176"/>
        <c:axId val="134548096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66272"/>
        <c:axId val="134567808"/>
      </c:lineChart>
      <c:catAx>
        <c:axId val="134546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548096"/>
        <c:crossesAt val="-35"/>
        <c:auto val="1"/>
        <c:lblAlgn val="ctr"/>
        <c:lblOffset val="100"/>
        <c:tickLblSkip val="1"/>
        <c:tickMarkSkip val="1"/>
        <c:noMultiLvlLbl val="0"/>
      </c:catAx>
      <c:valAx>
        <c:axId val="13454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546176"/>
        <c:crosses val="autoZero"/>
        <c:crossBetween val="between"/>
        <c:minorUnit val="5"/>
      </c:valAx>
      <c:catAx>
        <c:axId val="13456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4567808"/>
        <c:crossesAt val="-5"/>
        <c:auto val="1"/>
        <c:lblAlgn val="ctr"/>
        <c:lblOffset val="100"/>
        <c:noMultiLvlLbl val="0"/>
      </c:catAx>
      <c:valAx>
        <c:axId val="134567808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566272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77550798249759E-3"/>
          <c:y val="1.2376237623762377E-2"/>
          <c:w val="0.99030772786542043"/>
          <c:h val="7.42574257425742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2367053689682"/>
          <c:y val="0.10148514851485149"/>
          <c:w val="0.79967752902672617"/>
          <c:h val="0.6881188118811880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ﾃﾞｰﾀｰ!$J$5</c:f>
              <c:strCache>
                <c:ptCount val="1"/>
                <c:pt idx="0">
                  <c:v>追添1.5Hr
流量計積算量
(追添槽）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ﾃﾞｰﾀｰ!$J$6:$J$67</c:f>
              <c:numCache>
                <c:formatCode>0.0_ ;[Red]\-0.0\ </c:formatCode>
                <c:ptCount val="62"/>
                <c:pt idx="0">
                  <c:v>486.8</c:v>
                </c:pt>
                <c:pt idx="1">
                  <c:v>484.6</c:v>
                </c:pt>
                <c:pt idx="2">
                  <c:v>484.5</c:v>
                </c:pt>
                <c:pt idx="3">
                  <c:v>486</c:v>
                </c:pt>
                <c:pt idx="4">
                  <c:v>485.3</c:v>
                </c:pt>
                <c:pt idx="5">
                  <c:v>485.5</c:v>
                </c:pt>
                <c:pt idx="6">
                  <c:v>485.3</c:v>
                </c:pt>
                <c:pt idx="7">
                  <c:v>484.4</c:v>
                </c:pt>
                <c:pt idx="8">
                  <c:v>485.1</c:v>
                </c:pt>
                <c:pt idx="9">
                  <c:v>484.9</c:v>
                </c:pt>
                <c:pt idx="10">
                  <c:v>484.6</c:v>
                </c:pt>
                <c:pt idx="11">
                  <c:v>483.4</c:v>
                </c:pt>
                <c:pt idx="12">
                  <c:v>483.8</c:v>
                </c:pt>
                <c:pt idx="13">
                  <c:v>485.7</c:v>
                </c:pt>
                <c:pt idx="14">
                  <c:v>485.3</c:v>
                </c:pt>
                <c:pt idx="15">
                  <c:v>484.8</c:v>
                </c:pt>
                <c:pt idx="16">
                  <c:v>486</c:v>
                </c:pt>
                <c:pt idx="17">
                  <c:v>485.5</c:v>
                </c:pt>
                <c:pt idx="18">
                  <c:v>476.4</c:v>
                </c:pt>
                <c:pt idx="19">
                  <c:v>476.6</c:v>
                </c:pt>
                <c:pt idx="20">
                  <c:v>477.1</c:v>
                </c:pt>
                <c:pt idx="21">
                  <c:v>476.8</c:v>
                </c:pt>
                <c:pt idx="22">
                  <c:v>478.4</c:v>
                </c:pt>
                <c:pt idx="23">
                  <c:v>477.2</c:v>
                </c:pt>
                <c:pt idx="24">
                  <c:v>478.1</c:v>
                </c:pt>
                <c:pt idx="25">
                  <c:v>479.1</c:v>
                </c:pt>
                <c:pt idx="26">
                  <c:v>480</c:v>
                </c:pt>
                <c:pt idx="27">
                  <c:v>479</c:v>
                </c:pt>
                <c:pt idx="28">
                  <c:v>479.8</c:v>
                </c:pt>
                <c:pt idx="29">
                  <c:v>480.3</c:v>
                </c:pt>
                <c:pt idx="30">
                  <c:v>478.7</c:v>
                </c:pt>
                <c:pt idx="31">
                  <c:v>480.3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ﾃﾞｰﾀｰ!$BD$6:$BD$67</c:f>
              <c:numCache>
                <c:formatCode>0.0_);[Red]\(0.0\)</c:formatCode>
                <c:ptCount val="62"/>
                <c:pt idx="0">
                  <c:v>492.76965601609584</c:v>
                </c:pt>
                <c:pt idx="1">
                  <c:v>492.76965601609584</c:v>
                </c:pt>
                <c:pt idx="2">
                  <c:v>492.76965601609584</c:v>
                </c:pt>
                <c:pt idx="3">
                  <c:v>492.76965601609584</c:v>
                </c:pt>
                <c:pt idx="4">
                  <c:v>492.76965601609584</c:v>
                </c:pt>
                <c:pt idx="5">
                  <c:v>492.76965601609584</c:v>
                </c:pt>
                <c:pt idx="6">
                  <c:v>492.76965601609584</c:v>
                </c:pt>
                <c:pt idx="7">
                  <c:v>492.76965601609584</c:v>
                </c:pt>
                <c:pt idx="8">
                  <c:v>492.76965601609584</c:v>
                </c:pt>
                <c:pt idx="9">
                  <c:v>492.76965601609584</c:v>
                </c:pt>
                <c:pt idx="10">
                  <c:v>492.76965601609584</c:v>
                </c:pt>
                <c:pt idx="11">
                  <c:v>492.76965601609584</c:v>
                </c:pt>
                <c:pt idx="12">
                  <c:v>492.76965601609584</c:v>
                </c:pt>
                <c:pt idx="13">
                  <c:v>492.76965601609584</c:v>
                </c:pt>
                <c:pt idx="14">
                  <c:v>492.76965601609584</c:v>
                </c:pt>
                <c:pt idx="15">
                  <c:v>492.76965601609584</c:v>
                </c:pt>
                <c:pt idx="16">
                  <c:v>492.76965601609584</c:v>
                </c:pt>
                <c:pt idx="17">
                  <c:v>492.76965601609584</c:v>
                </c:pt>
                <c:pt idx="18">
                  <c:v>492.76965601609584</c:v>
                </c:pt>
                <c:pt idx="19">
                  <c:v>492.76965601609584</c:v>
                </c:pt>
                <c:pt idx="20">
                  <c:v>492.76965601609584</c:v>
                </c:pt>
                <c:pt idx="21">
                  <c:v>492.76965601609584</c:v>
                </c:pt>
                <c:pt idx="22">
                  <c:v>492.76965601609584</c:v>
                </c:pt>
                <c:pt idx="23">
                  <c:v>492.76965601609584</c:v>
                </c:pt>
                <c:pt idx="24">
                  <c:v>492.76965601609584</c:v>
                </c:pt>
                <c:pt idx="25">
                  <c:v>492.76965601609584</c:v>
                </c:pt>
                <c:pt idx="26">
                  <c:v>492.76965601609584</c:v>
                </c:pt>
                <c:pt idx="27">
                  <c:v>492.76965601609584</c:v>
                </c:pt>
                <c:pt idx="28">
                  <c:v>492.76965601609584</c:v>
                </c:pt>
                <c:pt idx="29">
                  <c:v>492.76965601609584</c:v>
                </c:pt>
                <c:pt idx="30">
                  <c:v>492.76965601609584</c:v>
                </c:pt>
                <c:pt idx="31">
                  <c:v>492.76965601609584</c:v>
                </c:pt>
                <c:pt idx="32">
                  <c:v>492.76965601609584</c:v>
                </c:pt>
                <c:pt idx="33">
                  <c:v>492.76965601609584</c:v>
                </c:pt>
                <c:pt idx="34">
                  <c:v>492.76965601609584</c:v>
                </c:pt>
                <c:pt idx="35">
                  <c:v>492.76965601609584</c:v>
                </c:pt>
                <c:pt idx="36">
                  <c:v>492.76965601609584</c:v>
                </c:pt>
                <c:pt idx="37">
                  <c:v>492.76965601609584</c:v>
                </c:pt>
                <c:pt idx="38">
                  <c:v>492.76965601609584</c:v>
                </c:pt>
                <c:pt idx="39">
                  <c:v>492.76965601609584</c:v>
                </c:pt>
                <c:pt idx="40">
                  <c:v>492.76965601609584</c:v>
                </c:pt>
                <c:pt idx="41">
                  <c:v>492.76965601609584</c:v>
                </c:pt>
                <c:pt idx="42">
                  <c:v>492.76965601609584</c:v>
                </c:pt>
                <c:pt idx="43">
                  <c:v>492.76965601609584</c:v>
                </c:pt>
                <c:pt idx="44">
                  <c:v>492.76965601609584</c:v>
                </c:pt>
                <c:pt idx="45">
                  <c:v>492.76965601609584</c:v>
                </c:pt>
                <c:pt idx="46">
                  <c:v>492.76965601609584</c:v>
                </c:pt>
                <c:pt idx="47">
                  <c:v>492.76965601609584</c:v>
                </c:pt>
                <c:pt idx="48">
                  <c:v>492.76965601609584</c:v>
                </c:pt>
                <c:pt idx="49">
                  <c:v>492.76965601609584</c:v>
                </c:pt>
                <c:pt idx="50">
                  <c:v>492.76965601609584</c:v>
                </c:pt>
                <c:pt idx="51">
                  <c:v>492.76965601609584</c:v>
                </c:pt>
                <c:pt idx="52">
                  <c:v>492.76965601609584</c:v>
                </c:pt>
                <c:pt idx="53">
                  <c:v>492.76965601609584</c:v>
                </c:pt>
                <c:pt idx="54">
                  <c:v>492.76965601609584</c:v>
                </c:pt>
                <c:pt idx="55">
                  <c:v>492.76965601609584</c:v>
                </c:pt>
                <c:pt idx="56">
                  <c:v>492.76965601609584</c:v>
                </c:pt>
                <c:pt idx="57">
                  <c:v>492.76965601609584</c:v>
                </c:pt>
                <c:pt idx="58">
                  <c:v>492.76965601609584</c:v>
                </c:pt>
                <c:pt idx="59">
                  <c:v>492.76965601609584</c:v>
                </c:pt>
                <c:pt idx="60">
                  <c:v>492.76965601609584</c:v>
                </c:pt>
                <c:pt idx="61">
                  <c:v>492.76965601609584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ﾃﾞｰﾀｰ!$DF$6:$DF$67</c:f>
              <c:numCache>
                <c:formatCode>0.0_);[Red]\(0.0\)</c:formatCode>
                <c:ptCount val="62"/>
                <c:pt idx="0">
                  <c:v>482.16562499999998</c:v>
                </c:pt>
                <c:pt idx="1">
                  <c:v>482.16562499999998</c:v>
                </c:pt>
                <c:pt idx="2">
                  <c:v>482.16562499999998</c:v>
                </c:pt>
                <c:pt idx="3">
                  <c:v>482.16562499999998</c:v>
                </c:pt>
                <c:pt idx="4">
                  <c:v>482.16562499999998</c:v>
                </c:pt>
                <c:pt idx="5">
                  <c:v>482.16562499999998</c:v>
                </c:pt>
                <c:pt idx="6">
                  <c:v>482.16562499999998</c:v>
                </c:pt>
                <c:pt idx="7">
                  <c:v>482.16562499999998</c:v>
                </c:pt>
                <c:pt idx="8">
                  <c:v>482.16562499999998</c:v>
                </c:pt>
                <c:pt idx="9">
                  <c:v>482.16562499999998</c:v>
                </c:pt>
                <c:pt idx="10">
                  <c:v>482.16562499999998</c:v>
                </c:pt>
                <c:pt idx="11">
                  <c:v>482.16562499999998</c:v>
                </c:pt>
                <c:pt idx="12">
                  <c:v>482.16562499999998</c:v>
                </c:pt>
                <c:pt idx="13">
                  <c:v>482.16562499999998</c:v>
                </c:pt>
                <c:pt idx="14">
                  <c:v>482.16562499999998</c:v>
                </c:pt>
                <c:pt idx="15">
                  <c:v>482.16562499999998</c:v>
                </c:pt>
                <c:pt idx="16">
                  <c:v>482.16562499999998</c:v>
                </c:pt>
                <c:pt idx="17">
                  <c:v>482.16562499999998</c:v>
                </c:pt>
                <c:pt idx="18">
                  <c:v>482.16562499999998</c:v>
                </c:pt>
                <c:pt idx="19">
                  <c:v>482.16562499999998</c:v>
                </c:pt>
                <c:pt idx="20">
                  <c:v>482.16562499999998</c:v>
                </c:pt>
                <c:pt idx="21">
                  <c:v>482.16562499999998</c:v>
                </c:pt>
                <c:pt idx="22">
                  <c:v>482.16562499999998</c:v>
                </c:pt>
                <c:pt idx="23">
                  <c:v>482.16562499999998</c:v>
                </c:pt>
                <c:pt idx="24">
                  <c:v>482.16562499999998</c:v>
                </c:pt>
                <c:pt idx="25">
                  <c:v>482.16562499999998</c:v>
                </c:pt>
                <c:pt idx="26">
                  <c:v>482.16562499999998</c:v>
                </c:pt>
                <c:pt idx="27">
                  <c:v>482.16562499999998</c:v>
                </c:pt>
                <c:pt idx="28">
                  <c:v>482.16562499999998</c:v>
                </c:pt>
                <c:pt idx="29">
                  <c:v>482.16562499999998</c:v>
                </c:pt>
                <c:pt idx="30">
                  <c:v>482.16562499999998</c:v>
                </c:pt>
                <c:pt idx="31">
                  <c:v>482.16562499999998</c:v>
                </c:pt>
                <c:pt idx="32">
                  <c:v>482.16562499999998</c:v>
                </c:pt>
                <c:pt idx="33">
                  <c:v>482.16562499999998</c:v>
                </c:pt>
                <c:pt idx="34">
                  <c:v>482.16562499999998</c:v>
                </c:pt>
                <c:pt idx="35">
                  <c:v>482.16562499999998</c:v>
                </c:pt>
                <c:pt idx="36">
                  <c:v>482.16562499999998</c:v>
                </c:pt>
                <c:pt idx="37">
                  <c:v>482.16562499999998</c:v>
                </c:pt>
                <c:pt idx="38">
                  <c:v>482.16562499999998</c:v>
                </c:pt>
                <c:pt idx="39">
                  <c:v>482.16562499999998</c:v>
                </c:pt>
                <c:pt idx="40">
                  <c:v>482.16562499999998</c:v>
                </c:pt>
                <c:pt idx="41">
                  <c:v>482.16562499999998</c:v>
                </c:pt>
                <c:pt idx="42">
                  <c:v>482.16562499999998</c:v>
                </c:pt>
                <c:pt idx="43">
                  <c:v>482.16562499999998</c:v>
                </c:pt>
                <c:pt idx="44">
                  <c:v>482.16562499999998</c:v>
                </c:pt>
                <c:pt idx="45">
                  <c:v>482.16562499999998</c:v>
                </c:pt>
                <c:pt idx="46">
                  <c:v>482.16562499999998</c:v>
                </c:pt>
                <c:pt idx="47">
                  <c:v>482.16562499999998</c:v>
                </c:pt>
                <c:pt idx="48">
                  <c:v>482.16562499999998</c:v>
                </c:pt>
                <c:pt idx="49">
                  <c:v>482.16562499999998</c:v>
                </c:pt>
                <c:pt idx="50">
                  <c:v>482.16562499999998</c:v>
                </c:pt>
                <c:pt idx="51">
                  <c:v>482.16562499999998</c:v>
                </c:pt>
                <c:pt idx="52">
                  <c:v>482.16562499999998</c:v>
                </c:pt>
                <c:pt idx="53">
                  <c:v>482.16562499999998</c:v>
                </c:pt>
                <c:pt idx="54">
                  <c:v>482.16562499999998</c:v>
                </c:pt>
                <c:pt idx="55">
                  <c:v>482.16562499999998</c:v>
                </c:pt>
                <c:pt idx="56">
                  <c:v>482.16562499999998</c:v>
                </c:pt>
                <c:pt idx="57">
                  <c:v>482.16562499999998</c:v>
                </c:pt>
                <c:pt idx="58">
                  <c:v>482.16562499999998</c:v>
                </c:pt>
                <c:pt idx="59">
                  <c:v>482.16562499999998</c:v>
                </c:pt>
                <c:pt idx="60">
                  <c:v>482.16562499999998</c:v>
                </c:pt>
                <c:pt idx="61">
                  <c:v>482.16562499999998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ﾃﾞｰﾀｰ!$BC$6:$BC$67</c:f>
              <c:numCache>
                <c:formatCode>0.0_);[Red]\(0.0\)</c:formatCode>
                <c:ptCount val="62"/>
                <c:pt idx="0">
                  <c:v>471.56159398390412</c:v>
                </c:pt>
                <c:pt idx="1">
                  <c:v>471.56159398390412</c:v>
                </c:pt>
                <c:pt idx="2">
                  <c:v>471.56159398390412</c:v>
                </c:pt>
                <c:pt idx="3">
                  <c:v>471.56159398390412</c:v>
                </c:pt>
                <c:pt idx="4">
                  <c:v>471.56159398390412</c:v>
                </c:pt>
                <c:pt idx="5">
                  <c:v>471.56159398390412</c:v>
                </c:pt>
                <c:pt idx="6">
                  <c:v>471.56159398390412</c:v>
                </c:pt>
                <c:pt idx="7">
                  <c:v>471.56159398390412</c:v>
                </c:pt>
                <c:pt idx="8">
                  <c:v>471.56159398390412</c:v>
                </c:pt>
                <c:pt idx="9">
                  <c:v>471.56159398390412</c:v>
                </c:pt>
                <c:pt idx="10">
                  <c:v>471.56159398390412</c:v>
                </c:pt>
                <c:pt idx="11">
                  <c:v>471.56159398390412</c:v>
                </c:pt>
                <c:pt idx="12">
                  <c:v>471.56159398390412</c:v>
                </c:pt>
                <c:pt idx="13">
                  <c:v>471.56159398390412</c:v>
                </c:pt>
                <c:pt idx="14">
                  <c:v>471.56159398390412</c:v>
                </c:pt>
                <c:pt idx="15">
                  <c:v>471.56159398390412</c:v>
                </c:pt>
                <c:pt idx="16">
                  <c:v>471.56159398390412</c:v>
                </c:pt>
                <c:pt idx="17">
                  <c:v>471.56159398390412</c:v>
                </c:pt>
                <c:pt idx="18">
                  <c:v>471.56159398390412</c:v>
                </c:pt>
                <c:pt idx="19">
                  <c:v>471.56159398390412</c:v>
                </c:pt>
                <c:pt idx="20">
                  <c:v>471.56159398390412</c:v>
                </c:pt>
                <c:pt idx="21">
                  <c:v>471.56159398390412</c:v>
                </c:pt>
                <c:pt idx="22">
                  <c:v>471.56159398390412</c:v>
                </c:pt>
                <c:pt idx="23">
                  <c:v>471.56159398390412</c:v>
                </c:pt>
                <c:pt idx="24">
                  <c:v>471.56159398390412</c:v>
                </c:pt>
                <c:pt idx="25">
                  <c:v>471.56159398390412</c:v>
                </c:pt>
                <c:pt idx="26">
                  <c:v>471.56159398390412</c:v>
                </c:pt>
                <c:pt idx="27">
                  <c:v>471.56159398390412</c:v>
                </c:pt>
                <c:pt idx="28">
                  <c:v>471.56159398390412</c:v>
                </c:pt>
                <c:pt idx="29">
                  <c:v>471.56159398390412</c:v>
                </c:pt>
                <c:pt idx="30">
                  <c:v>471.56159398390412</c:v>
                </c:pt>
                <c:pt idx="31">
                  <c:v>471.56159398390412</c:v>
                </c:pt>
                <c:pt idx="32">
                  <c:v>471.56159398390412</c:v>
                </c:pt>
                <c:pt idx="33">
                  <c:v>471.56159398390412</c:v>
                </c:pt>
                <c:pt idx="34">
                  <c:v>471.56159398390412</c:v>
                </c:pt>
                <c:pt idx="35">
                  <c:v>471.56159398390412</c:v>
                </c:pt>
                <c:pt idx="36">
                  <c:v>471.56159398390412</c:v>
                </c:pt>
                <c:pt idx="37">
                  <c:v>471.56159398390412</c:v>
                </c:pt>
                <c:pt idx="38">
                  <c:v>471.56159398390412</c:v>
                </c:pt>
                <c:pt idx="39">
                  <c:v>471.56159398390412</c:v>
                </c:pt>
                <c:pt idx="40">
                  <c:v>471.56159398390412</c:v>
                </c:pt>
                <c:pt idx="41">
                  <c:v>471.56159398390412</c:v>
                </c:pt>
                <c:pt idx="42">
                  <c:v>471.56159398390412</c:v>
                </c:pt>
                <c:pt idx="43">
                  <c:v>471.56159398390412</c:v>
                </c:pt>
                <c:pt idx="44">
                  <c:v>471.56159398390412</c:v>
                </c:pt>
                <c:pt idx="45">
                  <c:v>471.56159398390412</c:v>
                </c:pt>
                <c:pt idx="46">
                  <c:v>471.56159398390412</c:v>
                </c:pt>
                <c:pt idx="47">
                  <c:v>471.56159398390412</c:v>
                </c:pt>
                <c:pt idx="48">
                  <c:v>471.56159398390412</c:v>
                </c:pt>
                <c:pt idx="49">
                  <c:v>471.56159398390412</c:v>
                </c:pt>
                <c:pt idx="50">
                  <c:v>471.56159398390412</c:v>
                </c:pt>
                <c:pt idx="51">
                  <c:v>471.56159398390412</c:v>
                </c:pt>
                <c:pt idx="52">
                  <c:v>471.56159398390412</c:v>
                </c:pt>
                <c:pt idx="53">
                  <c:v>471.56159398390412</c:v>
                </c:pt>
                <c:pt idx="54">
                  <c:v>471.56159398390412</c:v>
                </c:pt>
                <c:pt idx="55">
                  <c:v>471.56159398390412</c:v>
                </c:pt>
                <c:pt idx="56">
                  <c:v>471.56159398390412</c:v>
                </c:pt>
                <c:pt idx="57">
                  <c:v>471.56159398390412</c:v>
                </c:pt>
                <c:pt idx="58">
                  <c:v>471.56159398390412</c:v>
                </c:pt>
                <c:pt idx="59">
                  <c:v>471.56159398390412</c:v>
                </c:pt>
                <c:pt idx="60">
                  <c:v>471.56159398390412</c:v>
                </c:pt>
                <c:pt idx="61">
                  <c:v>471.56159398390412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8384"/>
        <c:axId val="134610304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32576"/>
        <c:axId val="134634112"/>
      </c:lineChart>
      <c:catAx>
        <c:axId val="134608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610304"/>
        <c:crossesAt val="-35"/>
        <c:auto val="1"/>
        <c:lblAlgn val="ctr"/>
        <c:lblOffset val="100"/>
        <c:tickLblSkip val="1"/>
        <c:tickMarkSkip val="1"/>
        <c:noMultiLvlLbl val="0"/>
      </c:catAx>
      <c:valAx>
        <c:axId val="13461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608384"/>
        <c:crosses val="autoZero"/>
        <c:crossBetween val="between"/>
        <c:minorUnit val="5"/>
      </c:valAx>
      <c:catAx>
        <c:axId val="13463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4634112"/>
        <c:crossesAt val="-5"/>
        <c:auto val="1"/>
        <c:lblAlgn val="ctr"/>
        <c:lblOffset val="100"/>
        <c:noMultiLvlLbl val="0"/>
      </c:catAx>
      <c:valAx>
        <c:axId val="134634112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632576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77550798249759E-3"/>
          <c:y val="1.2376237623762377E-2"/>
          <c:w val="0.99030772786542043"/>
          <c:h val="7.42574257425742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2367053689682"/>
          <c:y val="0.10148514851485149"/>
          <c:w val="0.79967752902672617"/>
          <c:h val="0.6881188118811880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ﾃﾞｰﾀｰ!$K$5</c:f>
              <c:strCache>
                <c:ptCount val="1"/>
                <c:pt idx="0">
                  <c:v>最終流量計
積算量
(追添槽）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ﾃﾞｰﾀｰ!$K$6:$K$67</c:f>
              <c:numCache>
                <c:formatCode>0.0_ ;[Red]\-0.0\ </c:formatCode>
                <c:ptCount val="62"/>
                <c:pt idx="0">
                  <c:v>604.9</c:v>
                </c:pt>
                <c:pt idx="1">
                  <c:v>595.29999999999995</c:v>
                </c:pt>
                <c:pt idx="2">
                  <c:v>599.5</c:v>
                </c:pt>
                <c:pt idx="3">
                  <c:v>597.1</c:v>
                </c:pt>
                <c:pt idx="4">
                  <c:v>600</c:v>
                </c:pt>
                <c:pt idx="5">
                  <c:v>597.6</c:v>
                </c:pt>
                <c:pt idx="6">
                  <c:v>595.5</c:v>
                </c:pt>
                <c:pt idx="7">
                  <c:v>596.4</c:v>
                </c:pt>
                <c:pt idx="8">
                  <c:v>597</c:v>
                </c:pt>
                <c:pt idx="9">
                  <c:v>592.1</c:v>
                </c:pt>
                <c:pt idx="10">
                  <c:v>604.29999999999995</c:v>
                </c:pt>
                <c:pt idx="11">
                  <c:v>594.4</c:v>
                </c:pt>
                <c:pt idx="12">
                  <c:v>594.79999999999995</c:v>
                </c:pt>
                <c:pt idx="13">
                  <c:v>580.5</c:v>
                </c:pt>
                <c:pt idx="14">
                  <c:v>586.6</c:v>
                </c:pt>
                <c:pt idx="15">
                  <c:v>581.6</c:v>
                </c:pt>
                <c:pt idx="16">
                  <c:v>583.5</c:v>
                </c:pt>
                <c:pt idx="17">
                  <c:v>589</c:v>
                </c:pt>
                <c:pt idx="18">
                  <c:v>585.9</c:v>
                </c:pt>
                <c:pt idx="19">
                  <c:v>592.4</c:v>
                </c:pt>
                <c:pt idx="20">
                  <c:v>595.6</c:v>
                </c:pt>
                <c:pt idx="21">
                  <c:v>593</c:v>
                </c:pt>
                <c:pt idx="22">
                  <c:v>595.29999999999995</c:v>
                </c:pt>
                <c:pt idx="23">
                  <c:v>592.9</c:v>
                </c:pt>
                <c:pt idx="24">
                  <c:v>597.5</c:v>
                </c:pt>
                <c:pt idx="25">
                  <c:v>593.79999999999995</c:v>
                </c:pt>
                <c:pt idx="26">
                  <c:v>591.4</c:v>
                </c:pt>
                <c:pt idx="27">
                  <c:v>591.29999999999995</c:v>
                </c:pt>
                <c:pt idx="28">
                  <c:v>592.1</c:v>
                </c:pt>
                <c:pt idx="29">
                  <c:v>592.5</c:v>
                </c:pt>
                <c:pt idx="30">
                  <c:v>586</c:v>
                </c:pt>
                <c:pt idx="31">
                  <c:v>589.79999999999995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ﾃﾞｰﾀｰ!$BF$6:$BF$67</c:f>
              <c:numCache>
                <c:formatCode>0.0_);[Red]\(0.0\)</c:formatCode>
                <c:ptCount val="62"/>
                <c:pt idx="0">
                  <c:v>611.71810851641135</c:v>
                </c:pt>
                <c:pt idx="1">
                  <c:v>611.71810851641135</c:v>
                </c:pt>
                <c:pt idx="2">
                  <c:v>611.71810851641135</c:v>
                </c:pt>
                <c:pt idx="3">
                  <c:v>611.71810851641135</c:v>
                </c:pt>
                <c:pt idx="4">
                  <c:v>611.71810851641135</c:v>
                </c:pt>
                <c:pt idx="5">
                  <c:v>611.71810851641135</c:v>
                </c:pt>
                <c:pt idx="6">
                  <c:v>611.71810851641135</c:v>
                </c:pt>
                <c:pt idx="7">
                  <c:v>611.71810851641135</c:v>
                </c:pt>
                <c:pt idx="8">
                  <c:v>611.71810851641135</c:v>
                </c:pt>
                <c:pt idx="9">
                  <c:v>611.71810851641135</c:v>
                </c:pt>
                <c:pt idx="10">
                  <c:v>611.71810851641135</c:v>
                </c:pt>
                <c:pt idx="11">
                  <c:v>611.71810851641135</c:v>
                </c:pt>
                <c:pt idx="12">
                  <c:v>611.71810851641135</c:v>
                </c:pt>
                <c:pt idx="13">
                  <c:v>611.71810851641135</c:v>
                </c:pt>
                <c:pt idx="14">
                  <c:v>611.71810851641135</c:v>
                </c:pt>
                <c:pt idx="15">
                  <c:v>611.71810851641135</c:v>
                </c:pt>
                <c:pt idx="16">
                  <c:v>611.71810851641135</c:v>
                </c:pt>
                <c:pt idx="17">
                  <c:v>611.71810851641135</c:v>
                </c:pt>
                <c:pt idx="18">
                  <c:v>611.71810851641135</c:v>
                </c:pt>
                <c:pt idx="19">
                  <c:v>611.71810851641135</c:v>
                </c:pt>
                <c:pt idx="20">
                  <c:v>611.71810851641135</c:v>
                </c:pt>
                <c:pt idx="21">
                  <c:v>611.71810851641135</c:v>
                </c:pt>
                <c:pt idx="22">
                  <c:v>611.71810851641135</c:v>
                </c:pt>
                <c:pt idx="23">
                  <c:v>611.71810851641135</c:v>
                </c:pt>
                <c:pt idx="24">
                  <c:v>611.71810851641135</c:v>
                </c:pt>
                <c:pt idx="25">
                  <c:v>611.71810851641135</c:v>
                </c:pt>
                <c:pt idx="26">
                  <c:v>611.71810851641135</c:v>
                </c:pt>
                <c:pt idx="27">
                  <c:v>611.71810851641135</c:v>
                </c:pt>
                <c:pt idx="28">
                  <c:v>611.71810851641135</c:v>
                </c:pt>
                <c:pt idx="29">
                  <c:v>611.71810851641135</c:v>
                </c:pt>
                <c:pt idx="30">
                  <c:v>611.71810851641135</c:v>
                </c:pt>
                <c:pt idx="31">
                  <c:v>611.71810851641135</c:v>
                </c:pt>
                <c:pt idx="32">
                  <c:v>611.71810851641135</c:v>
                </c:pt>
                <c:pt idx="33">
                  <c:v>611.71810851641135</c:v>
                </c:pt>
                <c:pt idx="34">
                  <c:v>611.71810851641135</c:v>
                </c:pt>
                <c:pt idx="35">
                  <c:v>611.71810851641135</c:v>
                </c:pt>
                <c:pt idx="36">
                  <c:v>611.71810851641135</c:v>
                </c:pt>
                <c:pt idx="37">
                  <c:v>611.71810851641135</c:v>
                </c:pt>
                <c:pt idx="38">
                  <c:v>611.71810851641135</c:v>
                </c:pt>
                <c:pt idx="39">
                  <c:v>611.71810851641135</c:v>
                </c:pt>
                <c:pt idx="40">
                  <c:v>611.71810851641135</c:v>
                </c:pt>
                <c:pt idx="41">
                  <c:v>611.71810851641135</c:v>
                </c:pt>
                <c:pt idx="42">
                  <c:v>611.71810851641135</c:v>
                </c:pt>
                <c:pt idx="43">
                  <c:v>611.71810851641135</c:v>
                </c:pt>
                <c:pt idx="44">
                  <c:v>611.71810851641135</c:v>
                </c:pt>
                <c:pt idx="45">
                  <c:v>611.71810851641135</c:v>
                </c:pt>
                <c:pt idx="46">
                  <c:v>611.71810851641135</c:v>
                </c:pt>
                <c:pt idx="47">
                  <c:v>611.71810851641135</c:v>
                </c:pt>
                <c:pt idx="48">
                  <c:v>611.71810851641135</c:v>
                </c:pt>
                <c:pt idx="49">
                  <c:v>611.71810851641135</c:v>
                </c:pt>
                <c:pt idx="50">
                  <c:v>611.71810851641135</c:v>
                </c:pt>
                <c:pt idx="51">
                  <c:v>611.71810851641135</c:v>
                </c:pt>
                <c:pt idx="52">
                  <c:v>611.71810851641135</c:v>
                </c:pt>
                <c:pt idx="53">
                  <c:v>611.71810851641135</c:v>
                </c:pt>
                <c:pt idx="54">
                  <c:v>611.71810851641135</c:v>
                </c:pt>
                <c:pt idx="55">
                  <c:v>611.71810851641135</c:v>
                </c:pt>
                <c:pt idx="56">
                  <c:v>611.71810851641135</c:v>
                </c:pt>
                <c:pt idx="57">
                  <c:v>611.71810851641135</c:v>
                </c:pt>
                <c:pt idx="58">
                  <c:v>611.71810851641135</c:v>
                </c:pt>
                <c:pt idx="59">
                  <c:v>611.71810851641135</c:v>
                </c:pt>
                <c:pt idx="60">
                  <c:v>611.71810851641135</c:v>
                </c:pt>
                <c:pt idx="61">
                  <c:v>611.71810851641135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ﾃﾞｰﾀｰ!$DG$6:$DG$67</c:f>
              <c:numCache>
                <c:formatCode>0.0_);[Red]\(0.0\)</c:formatCode>
                <c:ptCount val="62"/>
                <c:pt idx="0">
                  <c:v>600.12241379310342</c:v>
                </c:pt>
                <c:pt idx="1">
                  <c:v>600.12241379310342</c:v>
                </c:pt>
                <c:pt idx="2">
                  <c:v>600.12241379310342</c:v>
                </c:pt>
                <c:pt idx="3">
                  <c:v>600.12241379310342</c:v>
                </c:pt>
                <c:pt idx="4">
                  <c:v>600.12241379310342</c:v>
                </c:pt>
                <c:pt idx="5">
                  <c:v>600.12241379310342</c:v>
                </c:pt>
                <c:pt idx="6">
                  <c:v>600.12241379310342</c:v>
                </c:pt>
                <c:pt idx="7">
                  <c:v>600.12241379310342</c:v>
                </c:pt>
                <c:pt idx="8">
                  <c:v>600.12241379310342</c:v>
                </c:pt>
                <c:pt idx="9">
                  <c:v>600.12241379310342</c:v>
                </c:pt>
                <c:pt idx="10">
                  <c:v>600.12241379310342</c:v>
                </c:pt>
                <c:pt idx="11">
                  <c:v>600.12241379310342</c:v>
                </c:pt>
                <c:pt idx="12">
                  <c:v>600.12241379310342</c:v>
                </c:pt>
                <c:pt idx="13">
                  <c:v>600.12241379310342</c:v>
                </c:pt>
                <c:pt idx="14">
                  <c:v>600.12241379310342</c:v>
                </c:pt>
                <c:pt idx="15">
                  <c:v>600.12241379310342</c:v>
                </c:pt>
                <c:pt idx="16">
                  <c:v>600.12241379310342</c:v>
                </c:pt>
                <c:pt idx="17">
                  <c:v>600.12241379310342</c:v>
                </c:pt>
                <c:pt idx="18">
                  <c:v>600.12241379310342</c:v>
                </c:pt>
                <c:pt idx="19">
                  <c:v>600.12241379310342</c:v>
                </c:pt>
                <c:pt idx="20">
                  <c:v>600.12241379310342</c:v>
                </c:pt>
                <c:pt idx="21">
                  <c:v>600.12241379310342</c:v>
                </c:pt>
                <c:pt idx="22">
                  <c:v>600.12241379310342</c:v>
                </c:pt>
                <c:pt idx="23">
                  <c:v>600.12241379310342</c:v>
                </c:pt>
                <c:pt idx="24">
                  <c:v>600.12241379310342</c:v>
                </c:pt>
                <c:pt idx="25">
                  <c:v>600.12241379310342</c:v>
                </c:pt>
                <c:pt idx="26">
                  <c:v>600.12241379310342</c:v>
                </c:pt>
                <c:pt idx="27">
                  <c:v>600.12241379310342</c:v>
                </c:pt>
                <c:pt idx="28">
                  <c:v>600.12241379310342</c:v>
                </c:pt>
                <c:pt idx="29">
                  <c:v>600.12241379310342</c:v>
                </c:pt>
                <c:pt idx="30">
                  <c:v>600.12241379310342</c:v>
                </c:pt>
                <c:pt idx="31">
                  <c:v>600.12241379310342</c:v>
                </c:pt>
                <c:pt idx="32">
                  <c:v>600.12241379310342</c:v>
                </c:pt>
                <c:pt idx="33">
                  <c:v>600.12241379310342</c:v>
                </c:pt>
                <c:pt idx="34">
                  <c:v>600.12241379310342</c:v>
                </c:pt>
                <c:pt idx="35">
                  <c:v>600.12241379310342</c:v>
                </c:pt>
                <c:pt idx="36">
                  <c:v>600.12241379310342</c:v>
                </c:pt>
                <c:pt idx="37">
                  <c:v>600.12241379310342</c:v>
                </c:pt>
                <c:pt idx="38">
                  <c:v>600.12241379310342</c:v>
                </c:pt>
                <c:pt idx="39">
                  <c:v>600.12241379310342</c:v>
                </c:pt>
                <c:pt idx="40">
                  <c:v>600.12241379310342</c:v>
                </c:pt>
                <c:pt idx="41">
                  <c:v>600.12241379310342</c:v>
                </c:pt>
                <c:pt idx="42">
                  <c:v>600.12241379310342</c:v>
                </c:pt>
                <c:pt idx="43">
                  <c:v>600.12241379310342</c:v>
                </c:pt>
                <c:pt idx="44">
                  <c:v>600.12241379310342</c:v>
                </c:pt>
                <c:pt idx="45">
                  <c:v>600.12241379310342</c:v>
                </c:pt>
                <c:pt idx="46">
                  <c:v>600.12241379310342</c:v>
                </c:pt>
                <c:pt idx="47">
                  <c:v>600.12241379310342</c:v>
                </c:pt>
                <c:pt idx="48">
                  <c:v>600.12241379310342</c:v>
                </c:pt>
                <c:pt idx="49">
                  <c:v>600.12241379310342</c:v>
                </c:pt>
                <c:pt idx="50">
                  <c:v>600.12241379310342</c:v>
                </c:pt>
                <c:pt idx="51">
                  <c:v>600.12241379310342</c:v>
                </c:pt>
                <c:pt idx="52">
                  <c:v>600.12241379310342</c:v>
                </c:pt>
                <c:pt idx="53">
                  <c:v>600.12241379310342</c:v>
                </c:pt>
                <c:pt idx="54">
                  <c:v>600.12241379310342</c:v>
                </c:pt>
                <c:pt idx="55">
                  <c:v>600.12241379310342</c:v>
                </c:pt>
                <c:pt idx="56">
                  <c:v>600.12241379310342</c:v>
                </c:pt>
                <c:pt idx="57">
                  <c:v>600.12241379310342</c:v>
                </c:pt>
                <c:pt idx="58">
                  <c:v>600.12241379310342</c:v>
                </c:pt>
                <c:pt idx="59">
                  <c:v>600.12241379310342</c:v>
                </c:pt>
                <c:pt idx="60">
                  <c:v>600.12241379310342</c:v>
                </c:pt>
                <c:pt idx="61">
                  <c:v>600.12241379310342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ﾃﾞｰﾀｰ!$BE$6:$BE$67</c:f>
              <c:numCache>
                <c:formatCode>0.0_);[Red]\(0.0\)</c:formatCode>
                <c:ptCount val="62"/>
                <c:pt idx="0">
                  <c:v>588.52671906979549</c:v>
                </c:pt>
                <c:pt idx="1">
                  <c:v>588.52671906979549</c:v>
                </c:pt>
                <c:pt idx="2">
                  <c:v>588.52671906979549</c:v>
                </c:pt>
                <c:pt idx="3">
                  <c:v>588.52671906979549</c:v>
                </c:pt>
                <c:pt idx="4">
                  <c:v>588.52671906979549</c:v>
                </c:pt>
                <c:pt idx="5">
                  <c:v>588.52671906979549</c:v>
                </c:pt>
                <c:pt idx="6">
                  <c:v>588.52671906979549</c:v>
                </c:pt>
                <c:pt idx="7">
                  <c:v>588.52671906979549</c:v>
                </c:pt>
                <c:pt idx="8">
                  <c:v>588.52671906979549</c:v>
                </c:pt>
                <c:pt idx="9">
                  <c:v>588.52671906979549</c:v>
                </c:pt>
                <c:pt idx="10">
                  <c:v>588.52671906979549</c:v>
                </c:pt>
                <c:pt idx="11">
                  <c:v>588.52671906979549</c:v>
                </c:pt>
                <c:pt idx="12">
                  <c:v>588.52671906979549</c:v>
                </c:pt>
                <c:pt idx="13">
                  <c:v>588.52671906979549</c:v>
                </c:pt>
                <c:pt idx="14">
                  <c:v>588.52671906979549</c:v>
                </c:pt>
                <c:pt idx="15">
                  <c:v>588.52671906979549</c:v>
                </c:pt>
                <c:pt idx="16">
                  <c:v>588.52671906979549</c:v>
                </c:pt>
                <c:pt idx="17">
                  <c:v>588.52671906979549</c:v>
                </c:pt>
                <c:pt idx="18">
                  <c:v>588.52671906979549</c:v>
                </c:pt>
                <c:pt idx="19">
                  <c:v>588.52671906979549</c:v>
                </c:pt>
                <c:pt idx="20">
                  <c:v>588.52671906979549</c:v>
                </c:pt>
                <c:pt idx="21">
                  <c:v>588.52671906979549</c:v>
                </c:pt>
                <c:pt idx="22">
                  <c:v>588.52671906979549</c:v>
                </c:pt>
                <c:pt idx="23">
                  <c:v>588.52671906979549</c:v>
                </c:pt>
                <c:pt idx="24">
                  <c:v>588.52671906979549</c:v>
                </c:pt>
                <c:pt idx="25">
                  <c:v>588.52671906979549</c:v>
                </c:pt>
                <c:pt idx="26">
                  <c:v>588.52671906979549</c:v>
                </c:pt>
                <c:pt idx="27">
                  <c:v>588.52671906979549</c:v>
                </c:pt>
                <c:pt idx="28">
                  <c:v>588.52671906979549</c:v>
                </c:pt>
                <c:pt idx="29">
                  <c:v>588.52671906979549</c:v>
                </c:pt>
                <c:pt idx="30">
                  <c:v>588.52671906979549</c:v>
                </c:pt>
                <c:pt idx="31">
                  <c:v>588.52671906979549</c:v>
                </c:pt>
                <c:pt idx="32">
                  <c:v>588.52671906979549</c:v>
                </c:pt>
                <c:pt idx="33">
                  <c:v>588.52671906979549</c:v>
                </c:pt>
                <c:pt idx="34">
                  <c:v>588.52671906979549</c:v>
                </c:pt>
                <c:pt idx="35">
                  <c:v>588.52671906979549</c:v>
                </c:pt>
                <c:pt idx="36">
                  <c:v>588.52671906979549</c:v>
                </c:pt>
                <c:pt idx="37">
                  <c:v>588.52671906979549</c:v>
                </c:pt>
                <c:pt idx="38">
                  <c:v>588.52671906979549</c:v>
                </c:pt>
                <c:pt idx="39">
                  <c:v>588.52671906979549</c:v>
                </c:pt>
                <c:pt idx="40">
                  <c:v>588.52671906979549</c:v>
                </c:pt>
                <c:pt idx="41">
                  <c:v>588.52671906979549</c:v>
                </c:pt>
                <c:pt idx="42">
                  <c:v>588.52671906979549</c:v>
                </c:pt>
                <c:pt idx="43">
                  <c:v>588.52671906979549</c:v>
                </c:pt>
                <c:pt idx="44">
                  <c:v>588.52671906979549</c:v>
                </c:pt>
                <c:pt idx="45">
                  <c:v>588.52671906979549</c:v>
                </c:pt>
                <c:pt idx="46">
                  <c:v>588.52671906979549</c:v>
                </c:pt>
                <c:pt idx="47">
                  <c:v>588.52671906979549</c:v>
                </c:pt>
                <c:pt idx="48">
                  <c:v>588.52671906979549</c:v>
                </c:pt>
                <c:pt idx="49">
                  <c:v>588.52671906979549</c:v>
                </c:pt>
                <c:pt idx="50">
                  <c:v>588.52671906979549</c:v>
                </c:pt>
                <c:pt idx="51">
                  <c:v>588.52671906979549</c:v>
                </c:pt>
                <c:pt idx="52">
                  <c:v>588.52671906979549</c:v>
                </c:pt>
                <c:pt idx="53">
                  <c:v>588.52671906979549</c:v>
                </c:pt>
                <c:pt idx="54">
                  <c:v>588.52671906979549</c:v>
                </c:pt>
                <c:pt idx="55">
                  <c:v>588.52671906979549</c:v>
                </c:pt>
                <c:pt idx="56">
                  <c:v>588.52671906979549</c:v>
                </c:pt>
                <c:pt idx="57">
                  <c:v>588.52671906979549</c:v>
                </c:pt>
                <c:pt idx="58">
                  <c:v>588.52671906979549</c:v>
                </c:pt>
                <c:pt idx="59">
                  <c:v>588.52671906979549</c:v>
                </c:pt>
                <c:pt idx="60">
                  <c:v>588.52671906979549</c:v>
                </c:pt>
                <c:pt idx="61">
                  <c:v>588.52671906979549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04"/>
        <c:axId val="134668672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0208"/>
        <c:axId val="134671744"/>
      </c:lineChart>
      <c:catAx>
        <c:axId val="134658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668672"/>
        <c:crossesAt val="-35"/>
        <c:auto val="1"/>
        <c:lblAlgn val="ctr"/>
        <c:lblOffset val="100"/>
        <c:tickLblSkip val="1"/>
        <c:tickMarkSkip val="1"/>
        <c:noMultiLvlLbl val="0"/>
      </c:catAx>
      <c:valAx>
        <c:axId val="13466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658304"/>
        <c:crosses val="autoZero"/>
        <c:crossBetween val="between"/>
        <c:minorUnit val="5"/>
      </c:valAx>
      <c:catAx>
        <c:axId val="13467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4671744"/>
        <c:crossesAt val="-5"/>
        <c:auto val="1"/>
        <c:lblAlgn val="ctr"/>
        <c:lblOffset val="100"/>
        <c:noMultiLvlLbl val="0"/>
      </c:catAx>
      <c:valAx>
        <c:axId val="134671744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670208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77550798249759E-3"/>
          <c:y val="1.2376237623762377E-2"/>
          <c:w val="0.99030772786542043"/>
          <c:h val="7.42574257425742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2367053689682"/>
          <c:y val="0.10148514851485149"/>
          <c:w val="0.79967752902672617"/>
          <c:h val="0.6881188118811880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ﾃﾞｰﾀｰ!$N$5</c:f>
              <c:strCache>
                <c:ptCount val="1"/>
                <c:pt idx="0">
                  <c:v>追添0.5Hr
流量計積算量
(触媒槽）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ﾃﾞｰﾀｰ!$N$6:$N$67</c:f>
              <c:numCache>
                <c:formatCode>0.0_ ;[Red]\-0.0\ </c:formatCode>
                <c:ptCount val="62"/>
                <c:pt idx="0">
                  <c:v>41.8</c:v>
                </c:pt>
                <c:pt idx="1">
                  <c:v>41.7</c:v>
                </c:pt>
                <c:pt idx="2">
                  <c:v>41.7</c:v>
                </c:pt>
                <c:pt idx="3">
                  <c:v>41.8</c:v>
                </c:pt>
                <c:pt idx="4">
                  <c:v>41.8</c:v>
                </c:pt>
                <c:pt idx="5">
                  <c:v>41.7</c:v>
                </c:pt>
                <c:pt idx="6">
                  <c:v>41.8</c:v>
                </c:pt>
                <c:pt idx="7">
                  <c:v>41.8</c:v>
                </c:pt>
                <c:pt idx="8">
                  <c:v>41.8</c:v>
                </c:pt>
                <c:pt idx="9">
                  <c:v>41.7</c:v>
                </c:pt>
                <c:pt idx="10">
                  <c:v>41.8</c:v>
                </c:pt>
                <c:pt idx="11">
                  <c:v>41.8</c:v>
                </c:pt>
                <c:pt idx="12">
                  <c:v>41.7</c:v>
                </c:pt>
                <c:pt idx="13">
                  <c:v>41.7</c:v>
                </c:pt>
                <c:pt idx="14">
                  <c:v>41.8</c:v>
                </c:pt>
                <c:pt idx="15">
                  <c:v>41.8</c:v>
                </c:pt>
                <c:pt idx="16">
                  <c:v>41.8</c:v>
                </c:pt>
                <c:pt idx="17">
                  <c:v>41.7</c:v>
                </c:pt>
                <c:pt idx="18">
                  <c:v>41.8</c:v>
                </c:pt>
                <c:pt idx="19">
                  <c:v>41.8</c:v>
                </c:pt>
                <c:pt idx="20">
                  <c:v>41.7</c:v>
                </c:pt>
                <c:pt idx="21">
                  <c:v>41.8</c:v>
                </c:pt>
                <c:pt idx="22">
                  <c:v>41.8</c:v>
                </c:pt>
                <c:pt idx="23">
                  <c:v>41.7</c:v>
                </c:pt>
                <c:pt idx="24">
                  <c:v>41.8</c:v>
                </c:pt>
                <c:pt idx="25">
                  <c:v>41.8</c:v>
                </c:pt>
                <c:pt idx="26">
                  <c:v>41.8</c:v>
                </c:pt>
                <c:pt idx="27">
                  <c:v>41.8</c:v>
                </c:pt>
                <c:pt idx="28">
                  <c:v>41.8</c:v>
                </c:pt>
                <c:pt idx="29">
                  <c:v>41.8</c:v>
                </c:pt>
                <c:pt idx="30">
                  <c:v>41.8</c:v>
                </c:pt>
                <c:pt idx="31">
                  <c:v>41.8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ﾃﾞｰﾀｰ!$BJ$6:$BJ$67</c:f>
              <c:numCache>
                <c:formatCode>0.0_);[Red]\(0.0\)</c:formatCode>
                <c:ptCount val="62"/>
                <c:pt idx="0">
                  <c:v>41.908916022819731</c:v>
                </c:pt>
                <c:pt idx="1">
                  <c:v>41.908916022819731</c:v>
                </c:pt>
                <c:pt idx="2">
                  <c:v>41.908916022819731</c:v>
                </c:pt>
                <c:pt idx="3">
                  <c:v>41.908916022819731</c:v>
                </c:pt>
                <c:pt idx="4">
                  <c:v>41.908916022819731</c:v>
                </c:pt>
                <c:pt idx="5">
                  <c:v>41.908916022819731</c:v>
                </c:pt>
                <c:pt idx="6">
                  <c:v>41.908916022819731</c:v>
                </c:pt>
                <c:pt idx="7">
                  <c:v>41.908916022819731</c:v>
                </c:pt>
                <c:pt idx="8">
                  <c:v>41.908916022819731</c:v>
                </c:pt>
                <c:pt idx="9">
                  <c:v>41.908916022819731</c:v>
                </c:pt>
                <c:pt idx="10">
                  <c:v>41.908916022819731</c:v>
                </c:pt>
                <c:pt idx="11">
                  <c:v>41.908916022819731</c:v>
                </c:pt>
                <c:pt idx="12">
                  <c:v>41.908916022819731</c:v>
                </c:pt>
                <c:pt idx="13">
                  <c:v>41.908916022819731</c:v>
                </c:pt>
                <c:pt idx="14">
                  <c:v>41.908916022819731</c:v>
                </c:pt>
                <c:pt idx="15">
                  <c:v>41.908916022819731</c:v>
                </c:pt>
                <c:pt idx="16">
                  <c:v>41.908916022819731</c:v>
                </c:pt>
                <c:pt idx="17">
                  <c:v>41.908916022819731</c:v>
                </c:pt>
                <c:pt idx="18">
                  <c:v>41.908916022819731</c:v>
                </c:pt>
                <c:pt idx="19">
                  <c:v>41.908916022819731</c:v>
                </c:pt>
                <c:pt idx="20">
                  <c:v>41.908916022819731</c:v>
                </c:pt>
                <c:pt idx="21">
                  <c:v>41.908916022819731</c:v>
                </c:pt>
                <c:pt idx="22">
                  <c:v>41.908916022819731</c:v>
                </c:pt>
                <c:pt idx="23">
                  <c:v>41.908916022819731</c:v>
                </c:pt>
                <c:pt idx="24">
                  <c:v>41.908916022819731</c:v>
                </c:pt>
                <c:pt idx="25">
                  <c:v>41.908916022819731</c:v>
                </c:pt>
                <c:pt idx="26">
                  <c:v>41.908916022819731</c:v>
                </c:pt>
                <c:pt idx="27">
                  <c:v>41.908916022819731</c:v>
                </c:pt>
                <c:pt idx="28">
                  <c:v>41.908916022819731</c:v>
                </c:pt>
                <c:pt idx="29">
                  <c:v>41.908916022819731</c:v>
                </c:pt>
                <c:pt idx="30">
                  <c:v>41.908916022819731</c:v>
                </c:pt>
                <c:pt idx="31">
                  <c:v>41.908916022819731</c:v>
                </c:pt>
                <c:pt idx="32">
                  <c:v>41.908916022819731</c:v>
                </c:pt>
                <c:pt idx="33">
                  <c:v>41.908916022819731</c:v>
                </c:pt>
                <c:pt idx="34">
                  <c:v>41.908916022819731</c:v>
                </c:pt>
                <c:pt idx="35">
                  <c:v>41.908916022819731</c:v>
                </c:pt>
                <c:pt idx="36">
                  <c:v>41.908916022819731</c:v>
                </c:pt>
                <c:pt idx="37">
                  <c:v>41.908916022819731</c:v>
                </c:pt>
                <c:pt idx="38">
                  <c:v>41.908916022819731</c:v>
                </c:pt>
                <c:pt idx="39">
                  <c:v>41.908916022819731</c:v>
                </c:pt>
                <c:pt idx="40">
                  <c:v>41.908916022819731</c:v>
                </c:pt>
                <c:pt idx="41">
                  <c:v>41.908916022819731</c:v>
                </c:pt>
                <c:pt idx="42">
                  <c:v>41.908916022819731</c:v>
                </c:pt>
                <c:pt idx="43">
                  <c:v>41.908916022819731</c:v>
                </c:pt>
                <c:pt idx="44">
                  <c:v>41.908916022819731</c:v>
                </c:pt>
                <c:pt idx="45">
                  <c:v>41.908916022819731</c:v>
                </c:pt>
                <c:pt idx="46">
                  <c:v>41.908916022819731</c:v>
                </c:pt>
                <c:pt idx="47">
                  <c:v>41.908916022819731</c:v>
                </c:pt>
                <c:pt idx="48">
                  <c:v>41.908916022819731</c:v>
                </c:pt>
                <c:pt idx="49">
                  <c:v>41.908916022819731</c:v>
                </c:pt>
                <c:pt idx="50">
                  <c:v>41.908916022819731</c:v>
                </c:pt>
                <c:pt idx="51">
                  <c:v>41.908916022819731</c:v>
                </c:pt>
                <c:pt idx="52">
                  <c:v>41.908916022819731</c:v>
                </c:pt>
                <c:pt idx="53">
                  <c:v>41.908916022819731</c:v>
                </c:pt>
                <c:pt idx="54">
                  <c:v>41.908916022819731</c:v>
                </c:pt>
                <c:pt idx="55">
                  <c:v>41.908916022819731</c:v>
                </c:pt>
                <c:pt idx="56">
                  <c:v>41.908916022819731</c:v>
                </c:pt>
                <c:pt idx="57">
                  <c:v>41.908916022819731</c:v>
                </c:pt>
                <c:pt idx="58">
                  <c:v>41.908916022819731</c:v>
                </c:pt>
                <c:pt idx="59">
                  <c:v>41.908916022819731</c:v>
                </c:pt>
                <c:pt idx="60">
                  <c:v>41.908916022819731</c:v>
                </c:pt>
                <c:pt idx="61">
                  <c:v>41.908916022819731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ﾃﾞｰﾀｰ!$DI$6:$DI$67</c:f>
              <c:numCache>
                <c:formatCode>0.0_);[Red]\(0.0\)</c:formatCode>
                <c:ptCount val="62"/>
                <c:pt idx="0">
                  <c:v>41.771874999999987</c:v>
                </c:pt>
                <c:pt idx="1">
                  <c:v>41.771874999999987</c:v>
                </c:pt>
                <c:pt idx="2">
                  <c:v>41.771874999999987</c:v>
                </c:pt>
                <c:pt idx="3">
                  <c:v>41.771874999999987</c:v>
                </c:pt>
                <c:pt idx="4">
                  <c:v>41.771874999999987</c:v>
                </c:pt>
                <c:pt idx="5">
                  <c:v>41.771874999999987</c:v>
                </c:pt>
                <c:pt idx="6">
                  <c:v>41.771874999999987</c:v>
                </c:pt>
                <c:pt idx="7">
                  <c:v>41.771874999999987</c:v>
                </c:pt>
                <c:pt idx="8">
                  <c:v>41.771874999999987</c:v>
                </c:pt>
                <c:pt idx="9">
                  <c:v>41.771874999999987</c:v>
                </c:pt>
                <c:pt idx="10">
                  <c:v>41.771874999999987</c:v>
                </c:pt>
                <c:pt idx="11">
                  <c:v>41.771874999999987</c:v>
                </c:pt>
                <c:pt idx="12">
                  <c:v>41.771874999999987</c:v>
                </c:pt>
                <c:pt idx="13">
                  <c:v>41.771874999999987</c:v>
                </c:pt>
                <c:pt idx="14">
                  <c:v>41.771874999999987</c:v>
                </c:pt>
                <c:pt idx="15">
                  <c:v>41.771874999999987</c:v>
                </c:pt>
                <c:pt idx="16">
                  <c:v>41.771874999999987</c:v>
                </c:pt>
                <c:pt idx="17">
                  <c:v>41.771874999999987</c:v>
                </c:pt>
                <c:pt idx="18">
                  <c:v>41.771874999999987</c:v>
                </c:pt>
                <c:pt idx="19">
                  <c:v>41.771874999999987</c:v>
                </c:pt>
                <c:pt idx="20">
                  <c:v>41.771874999999987</c:v>
                </c:pt>
                <c:pt idx="21">
                  <c:v>41.771874999999987</c:v>
                </c:pt>
                <c:pt idx="22">
                  <c:v>41.771874999999987</c:v>
                </c:pt>
                <c:pt idx="23">
                  <c:v>41.771874999999987</c:v>
                </c:pt>
                <c:pt idx="24">
                  <c:v>41.771874999999987</c:v>
                </c:pt>
                <c:pt idx="25">
                  <c:v>41.771874999999987</c:v>
                </c:pt>
                <c:pt idx="26">
                  <c:v>41.771874999999987</c:v>
                </c:pt>
                <c:pt idx="27">
                  <c:v>41.771874999999987</c:v>
                </c:pt>
                <c:pt idx="28">
                  <c:v>41.771874999999987</c:v>
                </c:pt>
                <c:pt idx="29">
                  <c:v>41.771874999999987</c:v>
                </c:pt>
                <c:pt idx="30">
                  <c:v>41.771874999999987</c:v>
                </c:pt>
                <c:pt idx="31">
                  <c:v>41.771874999999987</c:v>
                </c:pt>
                <c:pt idx="32">
                  <c:v>41.771874999999987</c:v>
                </c:pt>
                <c:pt idx="33">
                  <c:v>41.771874999999987</c:v>
                </c:pt>
                <c:pt idx="34">
                  <c:v>41.771874999999987</c:v>
                </c:pt>
                <c:pt idx="35">
                  <c:v>41.771874999999987</c:v>
                </c:pt>
                <c:pt idx="36">
                  <c:v>41.771874999999987</c:v>
                </c:pt>
                <c:pt idx="37">
                  <c:v>41.771874999999987</c:v>
                </c:pt>
                <c:pt idx="38">
                  <c:v>41.771874999999987</c:v>
                </c:pt>
                <c:pt idx="39">
                  <c:v>41.771874999999987</c:v>
                </c:pt>
                <c:pt idx="40">
                  <c:v>41.771874999999987</c:v>
                </c:pt>
                <c:pt idx="41">
                  <c:v>41.771874999999987</c:v>
                </c:pt>
                <c:pt idx="42">
                  <c:v>41.771874999999987</c:v>
                </c:pt>
                <c:pt idx="43">
                  <c:v>41.771874999999987</c:v>
                </c:pt>
                <c:pt idx="44">
                  <c:v>41.771874999999987</c:v>
                </c:pt>
                <c:pt idx="45">
                  <c:v>41.771874999999987</c:v>
                </c:pt>
                <c:pt idx="46">
                  <c:v>41.771874999999987</c:v>
                </c:pt>
                <c:pt idx="47">
                  <c:v>41.771874999999987</c:v>
                </c:pt>
                <c:pt idx="48">
                  <c:v>41.771874999999987</c:v>
                </c:pt>
                <c:pt idx="49">
                  <c:v>41.771874999999987</c:v>
                </c:pt>
                <c:pt idx="50">
                  <c:v>41.771874999999987</c:v>
                </c:pt>
                <c:pt idx="51">
                  <c:v>41.771874999999987</c:v>
                </c:pt>
                <c:pt idx="52">
                  <c:v>41.771874999999987</c:v>
                </c:pt>
                <c:pt idx="53">
                  <c:v>41.771874999999987</c:v>
                </c:pt>
                <c:pt idx="54">
                  <c:v>41.771874999999987</c:v>
                </c:pt>
                <c:pt idx="55">
                  <c:v>41.771874999999987</c:v>
                </c:pt>
                <c:pt idx="56">
                  <c:v>41.771874999999987</c:v>
                </c:pt>
                <c:pt idx="57">
                  <c:v>41.771874999999987</c:v>
                </c:pt>
                <c:pt idx="58">
                  <c:v>41.771874999999987</c:v>
                </c:pt>
                <c:pt idx="59">
                  <c:v>41.771874999999987</c:v>
                </c:pt>
                <c:pt idx="60">
                  <c:v>41.771874999999987</c:v>
                </c:pt>
                <c:pt idx="61">
                  <c:v>41.771874999999987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ﾃﾞｰﾀｰ!$BI$6:$BI$67</c:f>
              <c:numCache>
                <c:formatCode>0.0_);[Red]\(0.0\)</c:formatCode>
                <c:ptCount val="62"/>
                <c:pt idx="0">
                  <c:v>41.634833977180243</c:v>
                </c:pt>
                <c:pt idx="1">
                  <c:v>41.634833977180243</c:v>
                </c:pt>
                <c:pt idx="2">
                  <c:v>41.634833977180243</c:v>
                </c:pt>
                <c:pt idx="3">
                  <c:v>41.634833977180243</c:v>
                </c:pt>
                <c:pt idx="4">
                  <c:v>41.634833977180243</c:v>
                </c:pt>
                <c:pt idx="5">
                  <c:v>41.634833977180243</c:v>
                </c:pt>
                <c:pt idx="6">
                  <c:v>41.634833977180243</c:v>
                </c:pt>
                <c:pt idx="7">
                  <c:v>41.634833977180243</c:v>
                </c:pt>
                <c:pt idx="8">
                  <c:v>41.634833977180243</c:v>
                </c:pt>
                <c:pt idx="9">
                  <c:v>41.634833977180243</c:v>
                </c:pt>
                <c:pt idx="10">
                  <c:v>41.634833977180243</c:v>
                </c:pt>
                <c:pt idx="11">
                  <c:v>41.634833977180243</c:v>
                </c:pt>
                <c:pt idx="12">
                  <c:v>41.634833977180243</c:v>
                </c:pt>
                <c:pt idx="13">
                  <c:v>41.634833977180243</c:v>
                </c:pt>
                <c:pt idx="14">
                  <c:v>41.634833977180243</c:v>
                </c:pt>
                <c:pt idx="15">
                  <c:v>41.634833977180243</c:v>
                </c:pt>
                <c:pt idx="16">
                  <c:v>41.634833977180243</c:v>
                </c:pt>
                <c:pt idx="17">
                  <c:v>41.634833977180243</c:v>
                </c:pt>
                <c:pt idx="18">
                  <c:v>41.634833977180243</c:v>
                </c:pt>
                <c:pt idx="19">
                  <c:v>41.634833977180243</c:v>
                </c:pt>
                <c:pt idx="20">
                  <c:v>41.634833977180243</c:v>
                </c:pt>
                <c:pt idx="21">
                  <c:v>41.634833977180243</c:v>
                </c:pt>
                <c:pt idx="22">
                  <c:v>41.634833977180243</c:v>
                </c:pt>
                <c:pt idx="23">
                  <c:v>41.634833977180243</c:v>
                </c:pt>
                <c:pt idx="24">
                  <c:v>41.634833977180243</c:v>
                </c:pt>
                <c:pt idx="25">
                  <c:v>41.634833977180243</c:v>
                </c:pt>
                <c:pt idx="26">
                  <c:v>41.634833977180243</c:v>
                </c:pt>
                <c:pt idx="27">
                  <c:v>41.634833977180243</c:v>
                </c:pt>
                <c:pt idx="28">
                  <c:v>41.634833977180243</c:v>
                </c:pt>
                <c:pt idx="29">
                  <c:v>41.634833977180243</c:v>
                </c:pt>
                <c:pt idx="30">
                  <c:v>41.634833977180243</c:v>
                </c:pt>
                <c:pt idx="31">
                  <c:v>41.634833977180243</c:v>
                </c:pt>
                <c:pt idx="32">
                  <c:v>41.634833977180243</c:v>
                </c:pt>
                <c:pt idx="33">
                  <c:v>41.634833977180243</c:v>
                </c:pt>
                <c:pt idx="34">
                  <c:v>41.634833977180243</c:v>
                </c:pt>
                <c:pt idx="35">
                  <c:v>41.634833977180243</c:v>
                </c:pt>
                <c:pt idx="36">
                  <c:v>41.634833977180243</c:v>
                </c:pt>
                <c:pt idx="37">
                  <c:v>41.634833977180243</c:v>
                </c:pt>
                <c:pt idx="38">
                  <c:v>41.634833977180243</c:v>
                </c:pt>
                <c:pt idx="39">
                  <c:v>41.634833977180243</c:v>
                </c:pt>
                <c:pt idx="40">
                  <c:v>41.634833977180243</c:v>
                </c:pt>
                <c:pt idx="41">
                  <c:v>41.634833977180243</c:v>
                </c:pt>
                <c:pt idx="42">
                  <c:v>41.634833977180243</c:v>
                </c:pt>
                <c:pt idx="43">
                  <c:v>41.634833977180243</c:v>
                </c:pt>
                <c:pt idx="44">
                  <c:v>41.634833977180243</c:v>
                </c:pt>
                <c:pt idx="45">
                  <c:v>41.634833977180243</c:v>
                </c:pt>
                <c:pt idx="46">
                  <c:v>41.634833977180243</c:v>
                </c:pt>
                <c:pt idx="47">
                  <c:v>41.634833977180243</c:v>
                </c:pt>
                <c:pt idx="48">
                  <c:v>41.634833977180243</c:v>
                </c:pt>
                <c:pt idx="49">
                  <c:v>41.634833977180243</c:v>
                </c:pt>
                <c:pt idx="50">
                  <c:v>41.634833977180243</c:v>
                </c:pt>
                <c:pt idx="51">
                  <c:v>41.634833977180243</c:v>
                </c:pt>
                <c:pt idx="52">
                  <c:v>41.634833977180243</c:v>
                </c:pt>
                <c:pt idx="53">
                  <c:v>41.634833977180243</c:v>
                </c:pt>
                <c:pt idx="54">
                  <c:v>41.634833977180243</c:v>
                </c:pt>
                <c:pt idx="55">
                  <c:v>41.634833977180243</c:v>
                </c:pt>
                <c:pt idx="56">
                  <c:v>41.634833977180243</c:v>
                </c:pt>
                <c:pt idx="57">
                  <c:v>41.634833977180243</c:v>
                </c:pt>
                <c:pt idx="58">
                  <c:v>41.634833977180243</c:v>
                </c:pt>
                <c:pt idx="59">
                  <c:v>41.634833977180243</c:v>
                </c:pt>
                <c:pt idx="60">
                  <c:v>41.634833977180243</c:v>
                </c:pt>
                <c:pt idx="61">
                  <c:v>41.634833977180243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2320"/>
        <c:axId val="134734976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36512"/>
        <c:axId val="134738304"/>
      </c:lineChart>
      <c:catAx>
        <c:axId val="134712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734976"/>
        <c:crossesAt val="-35"/>
        <c:auto val="1"/>
        <c:lblAlgn val="ctr"/>
        <c:lblOffset val="100"/>
        <c:tickLblSkip val="1"/>
        <c:tickMarkSkip val="1"/>
        <c:noMultiLvlLbl val="0"/>
      </c:catAx>
      <c:valAx>
        <c:axId val="13473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712320"/>
        <c:crosses val="autoZero"/>
        <c:crossBetween val="between"/>
        <c:majorUnit val="1"/>
        <c:minorUnit val="1"/>
      </c:valAx>
      <c:catAx>
        <c:axId val="13473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4738304"/>
        <c:crossesAt val="-5"/>
        <c:auto val="1"/>
        <c:lblAlgn val="ctr"/>
        <c:lblOffset val="100"/>
        <c:noMultiLvlLbl val="0"/>
      </c:catAx>
      <c:valAx>
        <c:axId val="134738304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736512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77550798249759E-3"/>
          <c:y val="1.2376237623762377E-2"/>
          <c:w val="0.99030772786542043"/>
          <c:h val="7.42574257425742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2367053689682"/>
          <c:y val="0.10148514851485149"/>
          <c:w val="0.79967752902672617"/>
          <c:h val="0.6881188118811880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ﾃﾞｰﾀｰ!$O$5</c:f>
              <c:strCache>
                <c:ptCount val="1"/>
                <c:pt idx="0">
                  <c:v>追添1Hr
流量計積算量
(触媒槽）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ﾃﾞｰﾀｰ!$O$6:$O$67</c:f>
              <c:numCache>
                <c:formatCode>0.0_ ;[Red]\-0.0\ </c:formatCode>
                <c:ptCount val="62"/>
                <c:pt idx="0">
                  <c:v>83.7</c:v>
                </c:pt>
                <c:pt idx="1">
                  <c:v>83.6</c:v>
                </c:pt>
                <c:pt idx="2">
                  <c:v>83.6</c:v>
                </c:pt>
                <c:pt idx="3">
                  <c:v>83.8</c:v>
                </c:pt>
                <c:pt idx="4">
                  <c:v>83.8</c:v>
                </c:pt>
                <c:pt idx="5">
                  <c:v>83.6</c:v>
                </c:pt>
                <c:pt idx="6">
                  <c:v>83.7</c:v>
                </c:pt>
                <c:pt idx="7">
                  <c:v>83.7</c:v>
                </c:pt>
                <c:pt idx="8">
                  <c:v>83.7</c:v>
                </c:pt>
                <c:pt idx="9">
                  <c:v>83.7</c:v>
                </c:pt>
                <c:pt idx="10">
                  <c:v>83.7</c:v>
                </c:pt>
                <c:pt idx="11">
                  <c:v>83.7</c:v>
                </c:pt>
                <c:pt idx="12">
                  <c:v>83.7</c:v>
                </c:pt>
                <c:pt idx="13">
                  <c:v>83.6</c:v>
                </c:pt>
                <c:pt idx="14">
                  <c:v>83.8</c:v>
                </c:pt>
                <c:pt idx="15">
                  <c:v>83.8</c:v>
                </c:pt>
                <c:pt idx="16">
                  <c:v>83.7</c:v>
                </c:pt>
                <c:pt idx="17">
                  <c:v>83.7</c:v>
                </c:pt>
                <c:pt idx="18">
                  <c:v>83.8</c:v>
                </c:pt>
                <c:pt idx="19">
                  <c:v>83.8</c:v>
                </c:pt>
                <c:pt idx="20">
                  <c:v>83.7</c:v>
                </c:pt>
                <c:pt idx="21">
                  <c:v>83.7</c:v>
                </c:pt>
                <c:pt idx="22">
                  <c:v>83.8</c:v>
                </c:pt>
                <c:pt idx="23">
                  <c:v>83.7</c:v>
                </c:pt>
                <c:pt idx="24">
                  <c:v>83.7</c:v>
                </c:pt>
                <c:pt idx="25">
                  <c:v>83.7</c:v>
                </c:pt>
                <c:pt idx="26">
                  <c:v>83.7</c:v>
                </c:pt>
                <c:pt idx="27">
                  <c:v>83.7</c:v>
                </c:pt>
                <c:pt idx="28">
                  <c:v>83.7</c:v>
                </c:pt>
                <c:pt idx="29">
                  <c:v>83.8</c:v>
                </c:pt>
                <c:pt idx="30">
                  <c:v>83.8</c:v>
                </c:pt>
                <c:pt idx="31">
                  <c:v>83.7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ﾃﾞｰﾀｰ!$BL$6:$BL$67</c:f>
              <c:numCache>
                <c:formatCode>0.0_);[Red]\(0.0\)</c:formatCode>
                <c:ptCount val="62"/>
                <c:pt idx="0">
                  <c:v>83.903969870709489</c:v>
                </c:pt>
                <c:pt idx="1">
                  <c:v>83.903969870709489</c:v>
                </c:pt>
                <c:pt idx="2">
                  <c:v>83.903969870709489</c:v>
                </c:pt>
                <c:pt idx="3">
                  <c:v>83.903969870709489</c:v>
                </c:pt>
                <c:pt idx="4">
                  <c:v>83.903969870709489</c:v>
                </c:pt>
                <c:pt idx="5">
                  <c:v>83.903969870709489</c:v>
                </c:pt>
                <c:pt idx="6">
                  <c:v>83.903969870709489</c:v>
                </c:pt>
                <c:pt idx="7">
                  <c:v>83.903969870709489</c:v>
                </c:pt>
                <c:pt idx="8">
                  <c:v>83.903969870709489</c:v>
                </c:pt>
                <c:pt idx="9">
                  <c:v>83.903969870709489</c:v>
                </c:pt>
                <c:pt idx="10">
                  <c:v>83.903969870709489</c:v>
                </c:pt>
                <c:pt idx="11">
                  <c:v>83.903969870709489</c:v>
                </c:pt>
                <c:pt idx="12">
                  <c:v>83.903969870709489</c:v>
                </c:pt>
                <c:pt idx="13">
                  <c:v>83.903969870709489</c:v>
                </c:pt>
                <c:pt idx="14">
                  <c:v>83.903969870709489</c:v>
                </c:pt>
                <c:pt idx="15">
                  <c:v>83.903969870709489</c:v>
                </c:pt>
                <c:pt idx="16">
                  <c:v>83.903969870709489</c:v>
                </c:pt>
                <c:pt idx="17">
                  <c:v>83.903969870709489</c:v>
                </c:pt>
                <c:pt idx="18">
                  <c:v>83.903969870709489</c:v>
                </c:pt>
                <c:pt idx="19">
                  <c:v>83.903969870709489</c:v>
                </c:pt>
                <c:pt idx="20">
                  <c:v>83.903969870709489</c:v>
                </c:pt>
                <c:pt idx="21">
                  <c:v>83.903969870709489</c:v>
                </c:pt>
                <c:pt idx="22">
                  <c:v>83.903969870709489</c:v>
                </c:pt>
                <c:pt idx="23">
                  <c:v>83.903969870709489</c:v>
                </c:pt>
                <c:pt idx="24">
                  <c:v>83.903969870709489</c:v>
                </c:pt>
                <c:pt idx="25">
                  <c:v>83.903969870709489</c:v>
                </c:pt>
                <c:pt idx="26">
                  <c:v>83.903969870709489</c:v>
                </c:pt>
                <c:pt idx="27">
                  <c:v>83.903969870709489</c:v>
                </c:pt>
                <c:pt idx="28">
                  <c:v>83.903969870709489</c:v>
                </c:pt>
                <c:pt idx="29">
                  <c:v>83.903969870709489</c:v>
                </c:pt>
                <c:pt idx="30">
                  <c:v>83.903969870709489</c:v>
                </c:pt>
                <c:pt idx="31">
                  <c:v>83.903969870709489</c:v>
                </c:pt>
                <c:pt idx="32">
                  <c:v>83.903969870709489</c:v>
                </c:pt>
                <c:pt idx="33">
                  <c:v>83.903969870709489</c:v>
                </c:pt>
                <c:pt idx="34">
                  <c:v>83.903969870709489</c:v>
                </c:pt>
                <c:pt idx="35">
                  <c:v>83.903969870709489</c:v>
                </c:pt>
                <c:pt idx="36">
                  <c:v>83.903969870709489</c:v>
                </c:pt>
                <c:pt idx="37">
                  <c:v>83.903969870709489</c:v>
                </c:pt>
                <c:pt idx="38">
                  <c:v>83.903969870709489</c:v>
                </c:pt>
                <c:pt idx="39">
                  <c:v>83.903969870709489</c:v>
                </c:pt>
                <c:pt idx="40">
                  <c:v>83.903969870709489</c:v>
                </c:pt>
                <c:pt idx="41">
                  <c:v>83.903969870709489</c:v>
                </c:pt>
                <c:pt idx="42">
                  <c:v>83.903969870709489</c:v>
                </c:pt>
                <c:pt idx="43">
                  <c:v>83.903969870709489</c:v>
                </c:pt>
                <c:pt idx="44">
                  <c:v>83.903969870709489</c:v>
                </c:pt>
                <c:pt idx="45">
                  <c:v>83.903969870709489</c:v>
                </c:pt>
                <c:pt idx="46">
                  <c:v>83.903969870709489</c:v>
                </c:pt>
                <c:pt idx="47">
                  <c:v>83.903969870709489</c:v>
                </c:pt>
                <c:pt idx="48">
                  <c:v>83.903969870709489</c:v>
                </c:pt>
                <c:pt idx="49">
                  <c:v>83.903969870709489</c:v>
                </c:pt>
                <c:pt idx="50">
                  <c:v>83.903969870709489</c:v>
                </c:pt>
                <c:pt idx="51">
                  <c:v>83.903969870709489</c:v>
                </c:pt>
                <c:pt idx="52">
                  <c:v>83.903969870709489</c:v>
                </c:pt>
                <c:pt idx="53">
                  <c:v>83.903969870709489</c:v>
                </c:pt>
                <c:pt idx="54">
                  <c:v>83.903969870709489</c:v>
                </c:pt>
                <c:pt idx="55">
                  <c:v>83.903969870709489</c:v>
                </c:pt>
                <c:pt idx="56">
                  <c:v>83.903969870709489</c:v>
                </c:pt>
                <c:pt idx="57">
                  <c:v>83.903969870709489</c:v>
                </c:pt>
                <c:pt idx="58">
                  <c:v>83.903969870709489</c:v>
                </c:pt>
                <c:pt idx="59">
                  <c:v>83.903969870709489</c:v>
                </c:pt>
                <c:pt idx="60">
                  <c:v>83.903969870709489</c:v>
                </c:pt>
                <c:pt idx="61">
                  <c:v>83.903969870709489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ﾃﾞｰﾀｰ!$DJ$6:$DJ$67</c:f>
              <c:numCache>
                <c:formatCode>0.0_);[Red]\(0.0\)</c:formatCode>
                <c:ptCount val="62"/>
                <c:pt idx="0">
                  <c:v>83.715624999999989</c:v>
                </c:pt>
                <c:pt idx="1">
                  <c:v>83.715624999999989</c:v>
                </c:pt>
                <c:pt idx="2">
                  <c:v>83.715624999999989</c:v>
                </c:pt>
                <c:pt idx="3">
                  <c:v>83.715624999999989</c:v>
                </c:pt>
                <c:pt idx="4">
                  <c:v>83.715624999999989</c:v>
                </c:pt>
                <c:pt idx="5">
                  <c:v>83.715624999999989</c:v>
                </c:pt>
                <c:pt idx="6">
                  <c:v>83.715624999999989</c:v>
                </c:pt>
                <c:pt idx="7">
                  <c:v>83.715624999999989</c:v>
                </c:pt>
                <c:pt idx="8">
                  <c:v>83.715624999999989</c:v>
                </c:pt>
                <c:pt idx="9">
                  <c:v>83.715624999999989</c:v>
                </c:pt>
                <c:pt idx="10">
                  <c:v>83.715624999999989</c:v>
                </c:pt>
                <c:pt idx="11">
                  <c:v>83.715624999999989</c:v>
                </c:pt>
                <c:pt idx="12">
                  <c:v>83.715624999999989</c:v>
                </c:pt>
                <c:pt idx="13">
                  <c:v>83.715624999999989</c:v>
                </c:pt>
                <c:pt idx="14">
                  <c:v>83.715624999999989</c:v>
                </c:pt>
                <c:pt idx="15">
                  <c:v>83.715624999999989</c:v>
                </c:pt>
                <c:pt idx="16">
                  <c:v>83.715624999999989</c:v>
                </c:pt>
                <c:pt idx="17">
                  <c:v>83.715624999999989</c:v>
                </c:pt>
                <c:pt idx="18">
                  <c:v>83.715624999999989</c:v>
                </c:pt>
                <c:pt idx="19">
                  <c:v>83.715624999999989</c:v>
                </c:pt>
                <c:pt idx="20">
                  <c:v>83.715624999999989</c:v>
                </c:pt>
                <c:pt idx="21">
                  <c:v>83.715624999999989</c:v>
                </c:pt>
                <c:pt idx="22">
                  <c:v>83.715624999999989</c:v>
                </c:pt>
                <c:pt idx="23">
                  <c:v>83.715624999999989</c:v>
                </c:pt>
                <c:pt idx="24">
                  <c:v>83.715624999999989</c:v>
                </c:pt>
                <c:pt idx="25">
                  <c:v>83.715624999999989</c:v>
                </c:pt>
                <c:pt idx="26">
                  <c:v>83.715624999999989</c:v>
                </c:pt>
                <c:pt idx="27">
                  <c:v>83.715624999999989</c:v>
                </c:pt>
                <c:pt idx="28">
                  <c:v>83.715624999999989</c:v>
                </c:pt>
                <c:pt idx="29">
                  <c:v>83.715624999999989</c:v>
                </c:pt>
                <c:pt idx="30">
                  <c:v>83.715624999999989</c:v>
                </c:pt>
                <c:pt idx="31">
                  <c:v>83.715624999999989</c:v>
                </c:pt>
                <c:pt idx="32">
                  <c:v>83.715624999999989</c:v>
                </c:pt>
                <c:pt idx="33">
                  <c:v>83.715624999999989</c:v>
                </c:pt>
                <c:pt idx="34">
                  <c:v>83.715624999999989</c:v>
                </c:pt>
                <c:pt idx="35">
                  <c:v>83.715624999999989</c:v>
                </c:pt>
                <c:pt idx="36">
                  <c:v>83.715624999999989</c:v>
                </c:pt>
                <c:pt idx="37">
                  <c:v>83.715624999999989</c:v>
                </c:pt>
                <c:pt idx="38">
                  <c:v>83.715624999999989</c:v>
                </c:pt>
                <c:pt idx="39">
                  <c:v>83.715624999999989</c:v>
                </c:pt>
                <c:pt idx="40">
                  <c:v>83.715624999999989</c:v>
                </c:pt>
                <c:pt idx="41">
                  <c:v>83.715624999999989</c:v>
                </c:pt>
                <c:pt idx="42">
                  <c:v>83.715624999999989</c:v>
                </c:pt>
                <c:pt idx="43">
                  <c:v>83.715624999999989</c:v>
                </c:pt>
                <c:pt idx="44">
                  <c:v>83.715624999999989</c:v>
                </c:pt>
                <c:pt idx="45">
                  <c:v>83.715624999999989</c:v>
                </c:pt>
                <c:pt idx="46">
                  <c:v>83.715624999999989</c:v>
                </c:pt>
                <c:pt idx="47">
                  <c:v>83.715624999999989</c:v>
                </c:pt>
                <c:pt idx="48">
                  <c:v>83.715624999999989</c:v>
                </c:pt>
                <c:pt idx="49">
                  <c:v>83.715624999999989</c:v>
                </c:pt>
                <c:pt idx="50">
                  <c:v>83.715624999999989</c:v>
                </c:pt>
                <c:pt idx="51">
                  <c:v>83.715624999999989</c:v>
                </c:pt>
                <c:pt idx="52">
                  <c:v>83.715624999999989</c:v>
                </c:pt>
                <c:pt idx="53">
                  <c:v>83.715624999999989</c:v>
                </c:pt>
                <c:pt idx="54">
                  <c:v>83.715624999999989</c:v>
                </c:pt>
                <c:pt idx="55">
                  <c:v>83.715624999999989</c:v>
                </c:pt>
                <c:pt idx="56">
                  <c:v>83.715624999999989</c:v>
                </c:pt>
                <c:pt idx="57">
                  <c:v>83.715624999999989</c:v>
                </c:pt>
                <c:pt idx="58">
                  <c:v>83.715624999999989</c:v>
                </c:pt>
                <c:pt idx="59">
                  <c:v>83.715624999999989</c:v>
                </c:pt>
                <c:pt idx="60">
                  <c:v>83.715624999999989</c:v>
                </c:pt>
                <c:pt idx="61">
                  <c:v>83.715624999999989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ﾃﾞｰﾀｰ!$BK$6:$BK$67</c:f>
              <c:numCache>
                <c:formatCode>0.0_);[Red]\(0.0\)</c:formatCode>
                <c:ptCount val="62"/>
                <c:pt idx="0">
                  <c:v>83.527280129290489</c:v>
                </c:pt>
                <c:pt idx="1">
                  <c:v>83.527280129290489</c:v>
                </c:pt>
                <c:pt idx="2">
                  <c:v>83.527280129290489</c:v>
                </c:pt>
                <c:pt idx="3">
                  <c:v>83.527280129290489</c:v>
                </c:pt>
                <c:pt idx="4">
                  <c:v>83.527280129290489</c:v>
                </c:pt>
                <c:pt idx="5">
                  <c:v>83.527280129290489</c:v>
                </c:pt>
                <c:pt idx="6">
                  <c:v>83.527280129290489</c:v>
                </c:pt>
                <c:pt idx="7">
                  <c:v>83.527280129290489</c:v>
                </c:pt>
                <c:pt idx="8">
                  <c:v>83.527280129290489</c:v>
                </c:pt>
                <c:pt idx="9">
                  <c:v>83.527280129290489</c:v>
                </c:pt>
                <c:pt idx="10">
                  <c:v>83.527280129290489</c:v>
                </c:pt>
                <c:pt idx="11">
                  <c:v>83.527280129290489</c:v>
                </c:pt>
                <c:pt idx="12">
                  <c:v>83.527280129290489</c:v>
                </c:pt>
                <c:pt idx="13">
                  <c:v>83.527280129290489</c:v>
                </c:pt>
                <c:pt idx="14">
                  <c:v>83.527280129290489</c:v>
                </c:pt>
                <c:pt idx="15">
                  <c:v>83.527280129290489</c:v>
                </c:pt>
                <c:pt idx="16">
                  <c:v>83.527280129290489</c:v>
                </c:pt>
                <c:pt idx="17">
                  <c:v>83.527280129290489</c:v>
                </c:pt>
                <c:pt idx="18">
                  <c:v>83.527280129290489</c:v>
                </c:pt>
                <c:pt idx="19">
                  <c:v>83.527280129290489</c:v>
                </c:pt>
                <c:pt idx="20">
                  <c:v>83.527280129290489</c:v>
                </c:pt>
                <c:pt idx="21">
                  <c:v>83.527280129290489</c:v>
                </c:pt>
                <c:pt idx="22">
                  <c:v>83.527280129290489</c:v>
                </c:pt>
                <c:pt idx="23">
                  <c:v>83.527280129290489</c:v>
                </c:pt>
                <c:pt idx="24">
                  <c:v>83.527280129290489</c:v>
                </c:pt>
                <c:pt idx="25">
                  <c:v>83.527280129290489</c:v>
                </c:pt>
                <c:pt idx="26">
                  <c:v>83.527280129290489</c:v>
                </c:pt>
                <c:pt idx="27">
                  <c:v>83.527280129290489</c:v>
                </c:pt>
                <c:pt idx="28">
                  <c:v>83.527280129290489</c:v>
                </c:pt>
                <c:pt idx="29">
                  <c:v>83.527280129290489</c:v>
                </c:pt>
                <c:pt idx="30">
                  <c:v>83.527280129290489</c:v>
                </c:pt>
                <c:pt idx="31">
                  <c:v>83.527280129290489</c:v>
                </c:pt>
                <c:pt idx="32">
                  <c:v>83.527280129290489</c:v>
                </c:pt>
                <c:pt idx="33">
                  <c:v>83.527280129290489</c:v>
                </c:pt>
                <c:pt idx="34">
                  <c:v>83.527280129290489</c:v>
                </c:pt>
                <c:pt idx="35">
                  <c:v>83.527280129290489</c:v>
                </c:pt>
                <c:pt idx="36">
                  <c:v>83.527280129290489</c:v>
                </c:pt>
                <c:pt idx="37">
                  <c:v>83.527280129290489</c:v>
                </c:pt>
                <c:pt idx="38">
                  <c:v>83.527280129290489</c:v>
                </c:pt>
                <c:pt idx="39">
                  <c:v>83.527280129290489</c:v>
                </c:pt>
                <c:pt idx="40">
                  <c:v>83.527280129290489</c:v>
                </c:pt>
                <c:pt idx="41">
                  <c:v>83.527280129290489</c:v>
                </c:pt>
                <c:pt idx="42">
                  <c:v>83.527280129290489</c:v>
                </c:pt>
                <c:pt idx="43">
                  <c:v>83.527280129290489</c:v>
                </c:pt>
                <c:pt idx="44">
                  <c:v>83.527280129290489</c:v>
                </c:pt>
                <c:pt idx="45">
                  <c:v>83.527280129290489</c:v>
                </c:pt>
                <c:pt idx="46">
                  <c:v>83.527280129290489</c:v>
                </c:pt>
                <c:pt idx="47">
                  <c:v>83.527280129290489</c:v>
                </c:pt>
                <c:pt idx="48">
                  <c:v>83.527280129290489</c:v>
                </c:pt>
                <c:pt idx="49">
                  <c:v>83.527280129290489</c:v>
                </c:pt>
                <c:pt idx="50">
                  <c:v>83.527280129290489</c:v>
                </c:pt>
                <c:pt idx="51">
                  <c:v>83.527280129290489</c:v>
                </c:pt>
                <c:pt idx="52">
                  <c:v>83.527280129290489</c:v>
                </c:pt>
                <c:pt idx="53">
                  <c:v>83.527280129290489</c:v>
                </c:pt>
                <c:pt idx="54">
                  <c:v>83.527280129290489</c:v>
                </c:pt>
                <c:pt idx="55">
                  <c:v>83.527280129290489</c:v>
                </c:pt>
                <c:pt idx="56">
                  <c:v>83.527280129290489</c:v>
                </c:pt>
                <c:pt idx="57">
                  <c:v>83.527280129290489</c:v>
                </c:pt>
                <c:pt idx="58">
                  <c:v>83.527280129290489</c:v>
                </c:pt>
                <c:pt idx="59">
                  <c:v>83.527280129290489</c:v>
                </c:pt>
                <c:pt idx="60">
                  <c:v>83.527280129290489</c:v>
                </c:pt>
                <c:pt idx="61">
                  <c:v>83.527280129290489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24416"/>
        <c:axId val="138926336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28128"/>
        <c:axId val="138929664"/>
      </c:lineChart>
      <c:catAx>
        <c:axId val="1389244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8926336"/>
        <c:crossesAt val="-35"/>
        <c:auto val="1"/>
        <c:lblAlgn val="ctr"/>
        <c:lblOffset val="100"/>
        <c:tickLblSkip val="1"/>
        <c:tickMarkSkip val="1"/>
        <c:noMultiLvlLbl val="0"/>
      </c:catAx>
      <c:valAx>
        <c:axId val="13892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8924416"/>
        <c:crosses val="autoZero"/>
        <c:crossBetween val="between"/>
        <c:majorUnit val="1"/>
        <c:minorUnit val="1"/>
      </c:valAx>
      <c:catAx>
        <c:axId val="13892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929664"/>
        <c:crossesAt val="-5"/>
        <c:auto val="1"/>
        <c:lblAlgn val="ctr"/>
        <c:lblOffset val="100"/>
        <c:noMultiLvlLbl val="0"/>
      </c:catAx>
      <c:valAx>
        <c:axId val="138929664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8928128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77550798249759E-3"/>
          <c:y val="1.2376237623762377E-2"/>
          <c:w val="0.99030772786542043"/>
          <c:h val="7.42574257425742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2367053689682"/>
          <c:y val="0.10148514851485149"/>
          <c:w val="0.79967752902672617"/>
          <c:h val="0.6881188118811880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ﾃﾞｰﾀｰ!$P$5</c:f>
              <c:strCache>
                <c:ptCount val="1"/>
                <c:pt idx="0">
                  <c:v>追添1.5Hr
流量計積算量
(触媒槽）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ﾃﾞｰﾀｰ!$P$6:$P$67</c:f>
              <c:numCache>
                <c:formatCode>0.0_ ;[Red]\-0.0\ </c:formatCode>
                <c:ptCount val="62"/>
                <c:pt idx="0">
                  <c:v>125.7</c:v>
                </c:pt>
                <c:pt idx="1">
                  <c:v>125.6</c:v>
                </c:pt>
                <c:pt idx="2">
                  <c:v>125.6</c:v>
                </c:pt>
                <c:pt idx="3">
                  <c:v>125.7</c:v>
                </c:pt>
                <c:pt idx="4">
                  <c:v>125.7</c:v>
                </c:pt>
                <c:pt idx="5">
                  <c:v>125.6</c:v>
                </c:pt>
                <c:pt idx="6">
                  <c:v>125.7</c:v>
                </c:pt>
                <c:pt idx="7">
                  <c:v>125.6</c:v>
                </c:pt>
                <c:pt idx="8">
                  <c:v>125.6</c:v>
                </c:pt>
                <c:pt idx="9">
                  <c:v>125.6</c:v>
                </c:pt>
                <c:pt idx="10">
                  <c:v>125.6</c:v>
                </c:pt>
                <c:pt idx="11">
                  <c:v>125.6</c:v>
                </c:pt>
                <c:pt idx="12">
                  <c:v>125.6</c:v>
                </c:pt>
                <c:pt idx="13">
                  <c:v>125.6</c:v>
                </c:pt>
                <c:pt idx="14">
                  <c:v>125.7</c:v>
                </c:pt>
                <c:pt idx="15">
                  <c:v>125.7</c:v>
                </c:pt>
                <c:pt idx="16">
                  <c:v>125.7</c:v>
                </c:pt>
                <c:pt idx="17">
                  <c:v>125.6</c:v>
                </c:pt>
                <c:pt idx="18">
                  <c:v>125.7</c:v>
                </c:pt>
                <c:pt idx="19">
                  <c:v>125.7</c:v>
                </c:pt>
                <c:pt idx="20">
                  <c:v>125.7</c:v>
                </c:pt>
                <c:pt idx="21">
                  <c:v>125.6</c:v>
                </c:pt>
                <c:pt idx="22">
                  <c:v>125.7</c:v>
                </c:pt>
                <c:pt idx="23">
                  <c:v>125.6</c:v>
                </c:pt>
                <c:pt idx="24">
                  <c:v>125.7</c:v>
                </c:pt>
                <c:pt idx="25">
                  <c:v>125.7</c:v>
                </c:pt>
                <c:pt idx="26">
                  <c:v>125.7</c:v>
                </c:pt>
                <c:pt idx="27">
                  <c:v>125.7</c:v>
                </c:pt>
                <c:pt idx="28">
                  <c:v>125.7</c:v>
                </c:pt>
                <c:pt idx="29">
                  <c:v>125.7</c:v>
                </c:pt>
                <c:pt idx="30">
                  <c:v>125.8</c:v>
                </c:pt>
                <c:pt idx="31">
                  <c:v>125.7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ﾃﾞｰﾀｰ!$BN$6:$BN$67</c:f>
              <c:numCache>
                <c:formatCode>0.0_);[Red]\(0.0\)</c:formatCode>
                <c:ptCount val="62"/>
                <c:pt idx="0">
                  <c:v>125.82857421582314</c:v>
                </c:pt>
                <c:pt idx="1">
                  <c:v>125.82857421582314</c:v>
                </c:pt>
                <c:pt idx="2">
                  <c:v>125.82857421582314</c:v>
                </c:pt>
                <c:pt idx="3">
                  <c:v>125.82857421582314</c:v>
                </c:pt>
                <c:pt idx="4">
                  <c:v>125.82857421582314</c:v>
                </c:pt>
                <c:pt idx="5">
                  <c:v>125.82857421582314</c:v>
                </c:pt>
                <c:pt idx="6">
                  <c:v>125.82857421582314</c:v>
                </c:pt>
                <c:pt idx="7">
                  <c:v>125.82857421582314</c:v>
                </c:pt>
                <c:pt idx="8">
                  <c:v>125.82857421582314</c:v>
                </c:pt>
                <c:pt idx="9">
                  <c:v>125.82857421582314</c:v>
                </c:pt>
                <c:pt idx="10">
                  <c:v>125.82857421582314</c:v>
                </c:pt>
                <c:pt idx="11">
                  <c:v>125.82857421582314</c:v>
                </c:pt>
                <c:pt idx="12">
                  <c:v>125.82857421582314</c:v>
                </c:pt>
                <c:pt idx="13">
                  <c:v>125.82857421582314</c:v>
                </c:pt>
                <c:pt idx="14">
                  <c:v>125.82857421582314</c:v>
                </c:pt>
                <c:pt idx="15">
                  <c:v>125.82857421582314</c:v>
                </c:pt>
                <c:pt idx="16">
                  <c:v>125.82857421582314</c:v>
                </c:pt>
                <c:pt idx="17">
                  <c:v>125.82857421582314</c:v>
                </c:pt>
                <c:pt idx="18">
                  <c:v>125.82857421582314</c:v>
                </c:pt>
                <c:pt idx="19">
                  <c:v>125.82857421582314</c:v>
                </c:pt>
                <c:pt idx="20">
                  <c:v>125.82857421582314</c:v>
                </c:pt>
                <c:pt idx="21">
                  <c:v>125.82857421582314</c:v>
                </c:pt>
                <c:pt idx="22">
                  <c:v>125.82857421582314</c:v>
                </c:pt>
                <c:pt idx="23">
                  <c:v>125.82857421582314</c:v>
                </c:pt>
                <c:pt idx="24">
                  <c:v>125.82857421582314</c:v>
                </c:pt>
                <c:pt idx="25">
                  <c:v>125.82857421582314</c:v>
                </c:pt>
                <c:pt idx="26">
                  <c:v>125.82857421582314</c:v>
                </c:pt>
                <c:pt idx="27">
                  <c:v>125.82857421582314</c:v>
                </c:pt>
                <c:pt idx="28">
                  <c:v>125.82857421582314</c:v>
                </c:pt>
                <c:pt idx="29">
                  <c:v>125.82857421582314</c:v>
                </c:pt>
                <c:pt idx="30">
                  <c:v>125.82857421582314</c:v>
                </c:pt>
                <c:pt idx="31">
                  <c:v>125.82857421582314</c:v>
                </c:pt>
                <c:pt idx="32">
                  <c:v>125.82857421582314</c:v>
                </c:pt>
                <c:pt idx="33">
                  <c:v>125.82857421582314</c:v>
                </c:pt>
                <c:pt idx="34">
                  <c:v>125.82857421582314</c:v>
                </c:pt>
                <c:pt idx="35">
                  <c:v>125.82857421582314</c:v>
                </c:pt>
                <c:pt idx="36">
                  <c:v>125.82857421582314</c:v>
                </c:pt>
                <c:pt idx="37">
                  <c:v>125.82857421582314</c:v>
                </c:pt>
                <c:pt idx="38">
                  <c:v>125.82857421582314</c:v>
                </c:pt>
                <c:pt idx="39">
                  <c:v>125.82857421582314</c:v>
                </c:pt>
                <c:pt idx="40">
                  <c:v>125.82857421582314</c:v>
                </c:pt>
                <c:pt idx="41">
                  <c:v>125.82857421582314</c:v>
                </c:pt>
                <c:pt idx="42">
                  <c:v>125.82857421582314</c:v>
                </c:pt>
                <c:pt idx="43">
                  <c:v>125.82857421582314</c:v>
                </c:pt>
                <c:pt idx="44">
                  <c:v>125.82857421582314</c:v>
                </c:pt>
                <c:pt idx="45">
                  <c:v>125.82857421582314</c:v>
                </c:pt>
                <c:pt idx="46">
                  <c:v>125.82857421582314</c:v>
                </c:pt>
                <c:pt idx="47">
                  <c:v>125.82857421582314</c:v>
                </c:pt>
                <c:pt idx="48">
                  <c:v>125.82857421582314</c:v>
                </c:pt>
                <c:pt idx="49">
                  <c:v>125.82857421582314</c:v>
                </c:pt>
                <c:pt idx="50">
                  <c:v>125.82857421582314</c:v>
                </c:pt>
                <c:pt idx="51">
                  <c:v>125.82857421582314</c:v>
                </c:pt>
                <c:pt idx="52">
                  <c:v>125.82857421582314</c:v>
                </c:pt>
                <c:pt idx="53">
                  <c:v>125.82857421582314</c:v>
                </c:pt>
                <c:pt idx="54">
                  <c:v>125.82857421582314</c:v>
                </c:pt>
                <c:pt idx="55">
                  <c:v>125.82857421582314</c:v>
                </c:pt>
                <c:pt idx="56">
                  <c:v>125.82857421582314</c:v>
                </c:pt>
                <c:pt idx="57">
                  <c:v>125.82857421582314</c:v>
                </c:pt>
                <c:pt idx="58">
                  <c:v>125.82857421582314</c:v>
                </c:pt>
                <c:pt idx="59">
                  <c:v>125.82857421582314</c:v>
                </c:pt>
                <c:pt idx="60">
                  <c:v>125.82857421582314</c:v>
                </c:pt>
                <c:pt idx="61">
                  <c:v>125.82857421582314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ﾃﾞｰﾀｰ!$DK$6:$DK$67</c:f>
              <c:numCache>
                <c:formatCode>0.0_);[Red]\(0.0\)</c:formatCode>
                <c:ptCount val="62"/>
                <c:pt idx="0">
                  <c:v>125.66249999999992</c:v>
                </c:pt>
                <c:pt idx="1">
                  <c:v>125.66249999999992</c:v>
                </c:pt>
                <c:pt idx="2">
                  <c:v>125.66249999999992</c:v>
                </c:pt>
                <c:pt idx="3">
                  <c:v>125.66249999999992</c:v>
                </c:pt>
                <c:pt idx="4">
                  <c:v>125.66249999999992</c:v>
                </c:pt>
                <c:pt idx="5">
                  <c:v>125.66249999999992</c:v>
                </c:pt>
                <c:pt idx="6">
                  <c:v>125.66249999999992</c:v>
                </c:pt>
                <c:pt idx="7">
                  <c:v>125.66249999999992</c:v>
                </c:pt>
                <c:pt idx="8">
                  <c:v>125.66249999999992</c:v>
                </c:pt>
                <c:pt idx="9">
                  <c:v>125.66249999999992</c:v>
                </c:pt>
                <c:pt idx="10">
                  <c:v>125.66249999999992</c:v>
                </c:pt>
                <c:pt idx="11">
                  <c:v>125.66249999999992</c:v>
                </c:pt>
                <c:pt idx="12">
                  <c:v>125.66249999999992</c:v>
                </c:pt>
                <c:pt idx="13">
                  <c:v>125.66249999999992</c:v>
                </c:pt>
                <c:pt idx="14">
                  <c:v>125.66249999999992</c:v>
                </c:pt>
                <c:pt idx="15">
                  <c:v>125.66249999999992</c:v>
                </c:pt>
                <c:pt idx="16">
                  <c:v>125.66249999999992</c:v>
                </c:pt>
                <c:pt idx="17">
                  <c:v>125.66249999999992</c:v>
                </c:pt>
                <c:pt idx="18">
                  <c:v>125.66249999999992</c:v>
                </c:pt>
                <c:pt idx="19">
                  <c:v>125.66249999999992</c:v>
                </c:pt>
                <c:pt idx="20">
                  <c:v>125.66249999999992</c:v>
                </c:pt>
                <c:pt idx="21">
                  <c:v>125.66249999999992</c:v>
                </c:pt>
                <c:pt idx="22">
                  <c:v>125.66249999999992</c:v>
                </c:pt>
                <c:pt idx="23">
                  <c:v>125.66249999999992</c:v>
                </c:pt>
                <c:pt idx="24">
                  <c:v>125.66249999999992</c:v>
                </c:pt>
                <c:pt idx="25">
                  <c:v>125.66249999999992</c:v>
                </c:pt>
                <c:pt idx="26">
                  <c:v>125.66249999999992</c:v>
                </c:pt>
                <c:pt idx="27">
                  <c:v>125.66249999999992</c:v>
                </c:pt>
                <c:pt idx="28">
                  <c:v>125.66249999999992</c:v>
                </c:pt>
                <c:pt idx="29">
                  <c:v>125.66249999999992</c:v>
                </c:pt>
                <c:pt idx="30">
                  <c:v>125.66249999999992</c:v>
                </c:pt>
                <c:pt idx="31">
                  <c:v>125.66249999999992</c:v>
                </c:pt>
                <c:pt idx="32">
                  <c:v>125.66249999999992</c:v>
                </c:pt>
                <c:pt idx="33">
                  <c:v>125.66249999999992</c:v>
                </c:pt>
                <c:pt idx="34">
                  <c:v>125.66249999999992</c:v>
                </c:pt>
                <c:pt idx="35">
                  <c:v>125.66249999999992</c:v>
                </c:pt>
                <c:pt idx="36">
                  <c:v>125.66249999999992</c:v>
                </c:pt>
                <c:pt idx="37">
                  <c:v>125.66249999999992</c:v>
                </c:pt>
                <c:pt idx="38">
                  <c:v>125.66249999999992</c:v>
                </c:pt>
                <c:pt idx="39">
                  <c:v>125.66249999999992</c:v>
                </c:pt>
                <c:pt idx="40">
                  <c:v>125.66249999999992</c:v>
                </c:pt>
                <c:pt idx="41">
                  <c:v>125.66249999999992</c:v>
                </c:pt>
                <c:pt idx="42">
                  <c:v>125.66249999999992</c:v>
                </c:pt>
                <c:pt idx="43">
                  <c:v>125.66249999999992</c:v>
                </c:pt>
                <c:pt idx="44">
                  <c:v>125.66249999999992</c:v>
                </c:pt>
                <c:pt idx="45">
                  <c:v>125.66249999999992</c:v>
                </c:pt>
                <c:pt idx="46">
                  <c:v>125.66249999999992</c:v>
                </c:pt>
                <c:pt idx="47">
                  <c:v>125.66249999999992</c:v>
                </c:pt>
                <c:pt idx="48">
                  <c:v>125.66249999999992</c:v>
                </c:pt>
                <c:pt idx="49">
                  <c:v>125.66249999999992</c:v>
                </c:pt>
                <c:pt idx="50">
                  <c:v>125.66249999999992</c:v>
                </c:pt>
                <c:pt idx="51">
                  <c:v>125.66249999999992</c:v>
                </c:pt>
                <c:pt idx="52">
                  <c:v>125.66249999999992</c:v>
                </c:pt>
                <c:pt idx="53">
                  <c:v>125.66249999999992</c:v>
                </c:pt>
                <c:pt idx="54">
                  <c:v>125.66249999999992</c:v>
                </c:pt>
                <c:pt idx="55">
                  <c:v>125.66249999999992</c:v>
                </c:pt>
                <c:pt idx="56">
                  <c:v>125.66249999999992</c:v>
                </c:pt>
                <c:pt idx="57">
                  <c:v>125.66249999999992</c:v>
                </c:pt>
                <c:pt idx="58">
                  <c:v>125.66249999999992</c:v>
                </c:pt>
                <c:pt idx="59">
                  <c:v>125.66249999999992</c:v>
                </c:pt>
                <c:pt idx="60">
                  <c:v>125.66249999999992</c:v>
                </c:pt>
                <c:pt idx="61">
                  <c:v>125.66249999999992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ﾃﾞｰﾀｰ!$BM$6:$BM$67</c:f>
              <c:numCache>
                <c:formatCode>0.0_);[Red]\(0.0\)</c:formatCode>
                <c:ptCount val="62"/>
                <c:pt idx="0">
                  <c:v>125.49642578417671</c:v>
                </c:pt>
                <c:pt idx="1">
                  <c:v>125.49642578417671</c:v>
                </c:pt>
                <c:pt idx="2">
                  <c:v>125.49642578417671</c:v>
                </c:pt>
                <c:pt idx="3">
                  <c:v>125.49642578417671</c:v>
                </c:pt>
                <c:pt idx="4">
                  <c:v>125.49642578417671</c:v>
                </c:pt>
                <c:pt idx="5">
                  <c:v>125.49642578417671</c:v>
                </c:pt>
                <c:pt idx="6">
                  <c:v>125.49642578417671</c:v>
                </c:pt>
                <c:pt idx="7">
                  <c:v>125.49642578417671</c:v>
                </c:pt>
                <c:pt idx="8">
                  <c:v>125.49642578417671</c:v>
                </c:pt>
                <c:pt idx="9">
                  <c:v>125.49642578417671</c:v>
                </c:pt>
                <c:pt idx="10">
                  <c:v>125.49642578417671</c:v>
                </c:pt>
                <c:pt idx="11">
                  <c:v>125.49642578417671</c:v>
                </c:pt>
                <c:pt idx="12">
                  <c:v>125.49642578417671</c:v>
                </c:pt>
                <c:pt idx="13">
                  <c:v>125.49642578417671</c:v>
                </c:pt>
                <c:pt idx="14">
                  <c:v>125.49642578417671</c:v>
                </c:pt>
                <c:pt idx="15">
                  <c:v>125.49642578417671</c:v>
                </c:pt>
                <c:pt idx="16">
                  <c:v>125.49642578417671</c:v>
                </c:pt>
                <c:pt idx="17">
                  <c:v>125.49642578417671</c:v>
                </c:pt>
                <c:pt idx="18">
                  <c:v>125.49642578417671</c:v>
                </c:pt>
                <c:pt idx="19">
                  <c:v>125.49642578417671</c:v>
                </c:pt>
                <c:pt idx="20">
                  <c:v>125.49642578417671</c:v>
                </c:pt>
                <c:pt idx="21">
                  <c:v>125.49642578417671</c:v>
                </c:pt>
                <c:pt idx="22">
                  <c:v>125.49642578417671</c:v>
                </c:pt>
                <c:pt idx="23">
                  <c:v>125.49642578417671</c:v>
                </c:pt>
                <c:pt idx="24">
                  <c:v>125.49642578417671</c:v>
                </c:pt>
                <c:pt idx="25">
                  <c:v>125.49642578417671</c:v>
                </c:pt>
                <c:pt idx="26">
                  <c:v>125.49642578417671</c:v>
                </c:pt>
                <c:pt idx="27">
                  <c:v>125.49642578417671</c:v>
                </c:pt>
                <c:pt idx="28">
                  <c:v>125.49642578417671</c:v>
                </c:pt>
                <c:pt idx="29">
                  <c:v>125.49642578417671</c:v>
                </c:pt>
                <c:pt idx="30">
                  <c:v>125.49642578417671</c:v>
                </c:pt>
                <c:pt idx="31">
                  <c:v>125.49642578417671</c:v>
                </c:pt>
                <c:pt idx="32">
                  <c:v>125.49642578417671</c:v>
                </c:pt>
                <c:pt idx="33">
                  <c:v>125.49642578417671</c:v>
                </c:pt>
                <c:pt idx="34">
                  <c:v>125.49642578417671</c:v>
                </c:pt>
                <c:pt idx="35">
                  <c:v>125.49642578417671</c:v>
                </c:pt>
                <c:pt idx="36">
                  <c:v>125.49642578417671</c:v>
                </c:pt>
                <c:pt idx="37">
                  <c:v>125.49642578417671</c:v>
                </c:pt>
                <c:pt idx="38">
                  <c:v>125.49642578417671</c:v>
                </c:pt>
                <c:pt idx="39">
                  <c:v>125.49642578417671</c:v>
                </c:pt>
                <c:pt idx="40">
                  <c:v>125.49642578417671</c:v>
                </c:pt>
                <c:pt idx="41">
                  <c:v>125.49642578417671</c:v>
                </c:pt>
                <c:pt idx="42">
                  <c:v>125.49642578417671</c:v>
                </c:pt>
                <c:pt idx="43">
                  <c:v>125.49642578417671</c:v>
                </c:pt>
                <c:pt idx="44">
                  <c:v>125.49642578417671</c:v>
                </c:pt>
                <c:pt idx="45">
                  <c:v>125.49642578417671</c:v>
                </c:pt>
                <c:pt idx="46">
                  <c:v>125.49642578417671</c:v>
                </c:pt>
                <c:pt idx="47">
                  <c:v>125.49642578417671</c:v>
                </c:pt>
                <c:pt idx="48">
                  <c:v>125.49642578417671</c:v>
                </c:pt>
                <c:pt idx="49">
                  <c:v>125.49642578417671</c:v>
                </c:pt>
                <c:pt idx="50">
                  <c:v>125.49642578417671</c:v>
                </c:pt>
                <c:pt idx="51">
                  <c:v>125.49642578417671</c:v>
                </c:pt>
                <c:pt idx="52">
                  <c:v>125.49642578417671</c:v>
                </c:pt>
                <c:pt idx="53">
                  <c:v>125.49642578417671</c:v>
                </c:pt>
                <c:pt idx="54">
                  <c:v>125.49642578417671</c:v>
                </c:pt>
                <c:pt idx="55">
                  <c:v>125.49642578417671</c:v>
                </c:pt>
                <c:pt idx="56">
                  <c:v>125.49642578417671</c:v>
                </c:pt>
                <c:pt idx="57">
                  <c:v>125.49642578417671</c:v>
                </c:pt>
                <c:pt idx="58">
                  <c:v>125.49642578417671</c:v>
                </c:pt>
                <c:pt idx="59">
                  <c:v>125.49642578417671</c:v>
                </c:pt>
                <c:pt idx="60">
                  <c:v>125.49642578417671</c:v>
                </c:pt>
                <c:pt idx="61">
                  <c:v>125.49642578417671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74336"/>
        <c:axId val="138976256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82144"/>
        <c:axId val="138983680"/>
      </c:lineChart>
      <c:catAx>
        <c:axId val="138974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8976256"/>
        <c:crossesAt val="-35"/>
        <c:auto val="1"/>
        <c:lblAlgn val="ctr"/>
        <c:lblOffset val="100"/>
        <c:tickLblSkip val="1"/>
        <c:tickMarkSkip val="1"/>
        <c:noMultiLvlLbl val="0"/>
      </c:catAx>
      <c:valAx>
        <c:axId val="13897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8974336"/>
        <c:crosses val="autoZero"/>
        <c:crossBetween val="between"/>
        <c:majorUnit val="1"/>
        <c:minorUnit val="1"/>
      </c:valAx>
      <c:catAx>
        <c:axId val="13898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983680"/>
        <c:crossesAt val="-5"/>
        <c:auto val="1"/>
        <c:lblAlgn val="ctr"/>
        <c:lblOffset val="100"/>
        <c:noMultiLvlLbl val="0"/>
      </c:catAx>
      <c:valAx>
        <c:axId val="138983680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8982144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77550798249759E-3"/>
          <c:y val="1.2376237623762377E-2"/>
          <c:w val="0.99030772786542043"/>
          <c:h val="7.42574257425742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2367053689682"/>
          <c:y val="0.10148514851485149"/>
          <c:w val="0.79967752902672617"/>
          <c:h val="0.6881188118811880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ﾃﾞｰﾀｰ!$Q$5</c:f>
              <c:strCache>
                <c:ptCount val="1"/>
                <c:pt idx="0">
                  <c:v>最終流量計
積算量
(触媒槽）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ﾃﾞｰﾀｰ!$Q$6:$Q$67</c:f>
              <c:numCache>
                <c:formatCode>0.0_ ;[Red]\-0.0\ </c:formatCode>
                <c:ptCount val="62"/>
                <c:pt idx="0">
                  <c:v>156.69999999999999</c:v>
                </c:pt>
                <c:pt idx="1">
                  <c:v>157</c:v>
                </c:pt>
                <c:pt idx="2">
                  <c:v>156.9</c:v>
                </c:pt>
                <c:pt idx="3">
                  <c:v>156.69999999999999</c:v>
                </c:pt>
                <c:pt idx="4">
                  <c:v>156.80000000000001</c:v>
                </c:pt>
                <c:pt idx="5">
                  <c:v>157.19999999999999</c:v>
                </c:pt>
                <c:pt idx="6">
                  <c:v>157</c:v>
                </c:pt>
                <c:pt idx="7">
                  <c:v>157.80000000000001</c:v>
                </c:pt>
                <c:pt idx="8">
                  <c:v>157.1</c:v>
                </c:pt>
                <c:pt idx="9">
                  <c:v>157.1</c:v>
                </c:pt>
                <c:pt idx="10">
                  <c:v>157.30000000000001</c:v>
                </c:pt>
                <c:pt idx="11">
                  <c:v>158.4</c:v>
                </c:pt>
                <c:pt idx="12">
                  <c:v>157.19999999999999</c:v>
                </c:pt>
                <c:pt idx="13">
                  <c:v>156.69999999999999</c:v>
                </c:pt>
                <c:pt idx="14">
                  <c:v>156.9</c:v>
                </c:pt>
                <c:pt idx="15">
                  <c:v>157.6</c:v>
                </c:pt>
                <c:pt idx="16">
                  <c:v>156.69999999999999</c:v>
                </c:pt>
                <c:pt idx="17">
                  <c:v>157</c:v>
                </c:pt>
                <c:pt idx="18">
                  <c:v>157.1</c:v>
                </c:pt>
                <c:pt idx="19">
                  <c:v>157</c:v>
                </c:pt>
                <c:pt idx="20">
                  <c:v>156.5</c:v>
                </c:pt>
                <c:pt idx="21">
                  <c:v>156.69999999999999</c:v>
                </c:pt>
                <c:pt idx="22">
                  <c:v>157.1</c:v>
                </c:pt>
                <c:pt idx="23">
                  <c:v>156.80000000000001</c:v>
                </c:pt>
                <c:pt idx="24">
                  <c:v>157.1</c:v>
                </c:pt>
                <c:pt idx="25">
                  <c:v>157</c:v>
                </c:pt>
                <c:pt idx="26">
                  <c:v>157.19999999999999</c:v>
                </c:pt>
                <c:pt idx="27">
                  <c:v>157.4</c:v>
                </c:pt>
                <c:pt idx="28">
                  <c:v>157.69999999999999</c:v>
                </c:pt>
                <c:pt idx="29">
                  <c:v>158.1</c:v>
                </c:pt>
                <c:pt idx="30">
                  <c:v>158</c:v>
                </c:pt>
                <c:pt idx="31">
                  <c:v>157.80000000000001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ﾃﾞｰﾀｰ!$BP$6:$BP$67</c:f>
              <c:numCache>
                <c:formatCode>0.0_);[Red]\(0.0\)</c:formatCode>
                <c:ptCount val="62"/>
                <c:pt idx="0">
                  <c:v>157.96747237547007</c:v>
                </c:pt>
                <c:pt idx="1">
                  <c:v>157.96747237547007</c:v>
                </c:pt>
                <c:pt idx="2">
                  <c:v>157.96747237547007</c:v>
                </c:pt>
                <c:pt idx="3">
                  <c:v>157.96747237547007</c:v>
                </c:pt>
                <c:pt idx="4">
                  <c:v>157.96747237547007</c:v>
                </c:pt>
                <c:pt idx="5">
                  <c:v>157.96747237547007</c:v>
                </c:pt>
                <c:pt idx="6">
                  <c:v>157.96747237547007</c:v>
                </c:pt>
                <c:pt idx="7">
                  <c:v>157.96747237547007</c:v>
                </c:pt>
                <c:pt idx="8">
                  <c:v>157.96747237547007</c:v>
                </c:pt>
                <c:pt idx="9">
                  <c:v>157.96747237547007</c:v>
                </c:pt>
                <c:pt idx="10">
                  <c:v>157.96747237547007</c:v>
                </c:pt>
                <c:pt idx="11">
                  <c:v>157.96747237547007</c:v>
                </c:pt>
                <c:pt idx="12">
                  <c:v>157.96747237547007</c:v>
                </c:pt>
                <c:pt idx="13">
                  <c:v>157.96747237547007</c:v>
                </c:pt>
                <c:pt idx="14">
                  <c:v>157.96747237547007</c:v>
                </c:pt>
                <c:pt idx="15">
                  <c:v>157.96747237547007</c:v>
                </c:pt>
                <c:pt idx="16">
                  <c:v>157.96747237547007</c:v>
                </c:pt>
                <c:pt idx="17">
                  <c:v>157.96747237547007</c:v>
                </c:pt>
                <c:pt idx="18">
                  <c:v>157.96747237547007</c:v>
                </c:pt>
                <c:pt idx="19">
                  <c:v>157.96747237547007</c:v>
                </c:pt>
                <c:pt idx="20">
                  <c:v>157.96747237547007</c:v>
                </c:pt>
                <c:pt idx="21">
                  <c:v>157.96747237547007</c:v>
                </c:pt>
                <c:pt idx="22">
                  <c:v>157.96747237547007</c:v>
                </c:pt>
                <c:pt idx="23">
                  <c:v>157.96747237547007</c:v>
                </c:pt>
                <c:pt idx="24">
                  <c:v>157.96747237547007</c:v>
                </c:pt>
                <c:pt idx="25">
                  <c:v>157.96747237547007</c:v>
                </c:pt>
                <c:pt idx="26">
                  <c:v>157.96747237547007</c:v>
                </c:pt>
                <c:pt idx="27">
                  <c:v>157.96747237547007</c:v>
                </c:pt>
                <c:pt idx="28">
                  <c:v>157.96747237547007</c:v>
                </c:pt>
                <c:pt idx="29">
                  <c:v>157.96747237547007</c:v>
                </c:pt>
                <c:pt idx="30">
                  <c:v>157.96747237547007</c:v>
                </c:pt>
                <c:pt idx="31">
                  <c:v>157.96747237547007</c:v>
                </c:pt>
                <c:pt idx="32">
                  <c:v>157.96747237547007</c:v>
                </c:pt>
                <c:pt idx="33">
                  <c:v>157.96747237547007</c:v>
                </c:pt>
                <c:pt idx="34">
                  <c:v>157.96747237547007</c:v>
                </c:pt>
                <c:pt idx="35">
                  <c:v>157.96747237547007</c:v>
                </c:pt>
                <c:pt idx="36">
                  <c:v>157.96747237547007</c:v>
                </c:pt>
                <c:pt idx="37">
                  <c:v>157.96747237547007</c:v>
                </c:pt>
                <c:pt idx="38">
                  <c:v>157.96747237547007</c:v>
                </c:pt>
                <c:pt idx="39">
                  <c:v>157.96747237547007</c:v>
                </c:pt>
                <c:pt idx="40">
                  <c:v>157.96747237547007</c:v>
                </c:pt>
                <c:pt idx="41">
                  <c:v>157.96747237547007</c:v>
                </c:pt>
                <c:pt idx="42">
                  <c:v>157.96747237547007</c:v>
                </c:pt>
                <c:pt idx="43">
                  <c:v>157.96747237547007</c:v>
                </c:pt>
                <c:pt idx="44">
                  <c:v>157.96747237547007</c:v>
                </c:pt>
                <c:pt idx="45">
                  <c:v>157.96747237547007</c:v>
                </c:pt>
                <c:pt idx="46">
                  <c:v>157.96747237547007</c:v>
                </c:pt>
                <c:pt idx="47">
                  <c:v>157.96747237547007</c:v>
                </c:pt>
                <c:pt idx="48">
                  <c:v>157.96747237547007</c:v>
                </c:pt>
                <c:pt idx="49">
                  <c:v>157.96747237547007</c:v>
                </c:pt>
                <c:pt idx="50">
                  <c:v>157.96747237547007</c:v>
                </c:pt>
                <c:pt idx="51">
                  <c:v>157.96747237547007</c:v>
                </c:pt>
                <c:pt idx="52">
                  <c:v>157.96747237547007</c:v>
                </c:pt>
                <c:pt idx="53">
                  <c:v>157.96747237547007</c:v>
                </c:pt>
                <c:pt idx="54">
                  <c:v>157.96747237547007</c:v>
                </c:pt>
                <c:pt idx="55">
                  <c:v>157.96747237547007</c:v>
                </c:pt>
                <c:pt idx="56">
                  <c:v>157.96747237547007</c:v>
                </c:pt>
                <c:pt idx="57">
                  <c:v>157.96747237547007</c:v>
                </c:pt>
                <c:pt idx="58">
                  <c:v>157.96747237547007</c:v>
                </c:pt>
                <c:pt idx="59">
                  <c:v>157.96747237547007</c:v>
                </c:pt>
                <c:pt idx="60">
                  <c:v>157.96747237547007</c:v>
                </c:pt>
                <c:pt idx="61">
                  <c:v>157.96747237547007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ﾃﾞｰﾀｰ!$DL$6:$DL$67</c:f>
              <c:numCache>
                <c:formatCode>0.0_);[Red]\(0.0\)</c:formatCode>
                <c:ptCount val="62"/>
                <c:pt idx="0">
                  <c:v>156.53620689655173</c:v>
                </c:pt>
                <c:pt idx="1">
                  <c:v>156.53620689655173</c:v>
                </c:pt>
                <c:pt idx="2">
                  <c:v>156.53620689655173</c:v>
                </c:pt>
                <c:pt idx="3">
                  <c:v>156.53620689655173</c:v>
                </c:pt>
                <c:pt idx="4">
                  <c:v>156.53620689655173</c:v>
                </c:pt>
                <c:pt idx="5">
                  <c:v>156.53620689655173</c:v>
                </c:pt>
                <c:pt idx="6">
                  <c:v>156.53620689655173</c:v>
                </c:pt>
                <c:pt idx="7">
                  <c:v>156.53620689655173</c:v>
                </c:pt>
                <c:pt idx="8">
                  <c:v>156.53620689655173</c:v>
                </c:pt>
                <c:pt idx="9">
                  <c:v>156.53620689655173</c:v>
                </c:pt>
                <c:pt idx="10">
                  <c:v>156.53620689655173</c:v>
                </c:pt>
                <c:pt idx="11">
                  <c:v>156.53620689655173</c:v>
                </c:pt>
                <c:pt idx="12">
                  <c:v>156.53620689655173</c:v>
                </c:pt>
                <c:pt idx="13">
                  <c:v>156.53620689655173</c:v>
                </c:pt>
                <c:pt idx="14">
                  <c:v>156.53620689655173</c:v>
                </c:pt>
                <c:pt idx="15">
                  <c:v>156.53620689655173</c:v>
                </c:pt>
                <c:pt idx="16">
                  <c:v>156.53620689655173</c:v>
                </c:pt>
                <c:pt idx="17">
                  <c:v>156.53620689655173</c:v>
                </c:pt>
                <c:pt idx="18">
                  <c:v>156.53620689655173</c:v>
                </c:pt>
                <c:pt idx="19">
                  <c:v>156.53620689655173</c:v>
                </c:pt>
                <c:pt idx="20">
                  <c:v>156.53620689655173</c:v>
                </c:pt>
                <c:pt idx="21">
                  <c:v>156.53620689655173</c:v>
                </c:pt>
                <c:pt idx="22">
                  <c:v>156.53620689655173</c:v>
                </c:pt>
                <c:pt idx="23">
                  <c:v>156.53620689655173</c:v>
                </c:pt>
                <c:pt idx="24">
                  <c:v>156.53620689655173</c:v>
                </c:pt>
                <c:pt idx="25">
                  <c:v>156.53620689655173</c:v>
                </c:pt>
                <c:pt idx="26">
                  <c:v>156.53620689655173</c:v>
                </c:pt>
                <c:pt idx="27">
                  <c:v>156.53620689655173</c:v>
                </c:pt>
                <c:pt idx="28">
                  <c:v>156.53620689655173</c:v>
                </c:pt>
                <c:pt idx="29">
                  <c:v>156.53620689655173</c:v>
                </c:pt>
                <c:pt idx="30">
                  <c:v>156.53620689655173</c:v>
                </c:pt>
                <c:pt idx="31">
                  <c:v>156.53620689655173</c:v>
                </c:pt>
                <c:pt idx="32">
                  <c:v>156.53620689655173</c:v>
                </c:pt>
                <c:pt idx="33">
                  <c:v>156.53620689655173</c:v>
                </c:pt>
                <c:pt idx="34">
                  <c:v>156.53620689655173</c:v>
                </c:pt>
                <c:pt idx="35">
                  <c:v>156.53620689655173</c:v>
                </c:pt>
                <c:pt idx="36">
                  <c:v>156.53620689655173</c:v>
                </c:pt>
                <c:pt idx="37">
                  <c:v>156.53620689655173</c:v>
                </c:pt>
                <c:pt idx="38">
                  <c:v>156.53620689655173</c:v>
                </c:pt>
                <c:pt idx="39">
                  <c:v>156.53620689655173</c:v>
                </c:pt>
                <c:pt idx="40">
                  <c:v>156.53620689655173</c:v>
                </c:pt>
                <c:pt idx="41">
                  <c:v>156.53620689655173</c:v>
                </c:pt>
                <c:pt idx="42">
                  <c:v>156.53620689655173</c:v>
                </c:pt>
                <c:pt idx="43">
                  <c:v>156.53620689655173</c:v>
                </c:pt>
                <c:pt idx="44">
                  <c:v>156.53620689655173</c:v>
                </c:pt>
                <c:pt idx="45">
                  <c:v>156.53620689655173</c:v>
                </c:pt>
                <c:pt idx="46">
                  <c:v>156.53620689655173</c:v>
                </c:pt>
                <c:pt idx="47">
                  <c:v>156.53620689655173</c:v>
                </c:pt>
                <c:pt idx="48">
                  <c:v>156.53620689655173</c:v>
                </c:pt>
                <c:pt idx="49">
                  <c:v>156.53620689655173</c:v>
                </c:pt>
                <c:pt idx="50">
                  <c:v>156.53620689655173</c:v>
                </c:pt>
                <c:pt idx="51">
                  <c:v>156.53620689655173</c:v>
                </c:pt>
                <c:pt idx="52">
                  <c:v>156.53620689655173</c:v>
                </c:pt>
                <c:pt idx="53">
                  <c:v>156.53620689655173</c:v>
                </c:pt>
                <c:pt idx="54">
                  <c:v>156.53620689655173</c:v>
                </c:pt>
                <c:pt idx="55">
                  <c:v>156.53620689655173</c:v>
                </c:pt>
                <c:pt idx="56">
                  <c:v>156.53620689655173</c:v>
                </c:pt>
                <c:pt idx="57">
                  <c:v>156.53620689655173</c:v>
                </c:pt>
                <c:pt idx="58">
                  <c:v>156.53620689655173</c:v>
                </c:pt>
                <c:pt idx="59">
                  <c:v>156.53620689655173</c:v>
                </c:pt>
                <c:pt idx="60">
                  <c:v>156.53620689655173</c:v>
                </c:pt>
                <c:pt idx="61">
                  <c:v>156.53620689655173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ﾃﾞｰﾀｰ!$BO$6:$BO$67</c:f>
              <c:numCache>
                <c:formatCode>0.0_);[Red]\(0.0\)</c:formatCode>
                <c:ptCount val="62"/>
                <c:pt idx="0">
                  <c:v>155.1049414176334</c:v>
                </c:pt>
                <c:pt idx="1">
                  <c:v>155.1049414176334</c:v>
                </c:pt>
                <c:pt idx="2">
                  <c:v>155.1049414176334</c:v>
                </c:pt>
                <c:pt idx="3">
                  <c:v>155.1049414176334</c:v>
                </c:pt>
                <c:pt idx="4">
                  <c:v>155.1049414176334</c:v>
                </c:pt>
                <c:pt idx="5">
                  <c:v>155.1049414176334</c:v>
                </c:pt>
                <c:pt idx="6">
                  <c:v>155.1049414176334</c:v>
                </c:pt>
                <c:pt idx="7">
                  <c:v>155.1049414176334</c:v>
                </c:pt>
                <c:pt idx="8">
                  <c:v>155.1049414176334</c:v>
                </c:pt>
                <c:pt idx="9">
                  <c:v>155.1049414176334</c:v>
                </c:pt>
                <c:pt idx="10">
                  <c:v>155.1049414176334</c:v>
                </c:pt>
                <c:pt idx="11">
                  <c:v>155.1049414176334</c:v>
                </c:pt>
                <c:pt idx="12">
                  <c:v>155.1049414176334</c:v>
                </c:pt>
                <c:pt idx="13">
                  <c:v>155.1049414176334</c:v>
                </c:pt>
                <c:pt idx="14">
                  <c:v>155.1049414176334</c:v>
                </c:pt>
                <c:pt idx="15">
                  <c:v>155.1049414176334</c:v>
                </c:pt>
                <c:pt idx="16">
                  <c:v>155.1049414176334</c:v>
                </c:pt>
                <c:pt idx="17">
                  <c:v>155.1049414176334</c:v>
                </c:pt>
                <c:pt idx="18">
                  <c:v>155.1049414176334</c:v>
                </c:pt>
                <c:pt idx="19">
                  <c:v>155.1049414176334</c:v>
                </c:pt>
                <c:pt idx="20">
                  <c:v>155.1049414176334</c:v>
                </c:pt>
                <c:pt idx="21">
                  <c:v>155.1049414176334</c:v>
                </c:pt>
                <c:pt idx="22">
                  <c:v>155.1049414176334</c:v>
                </c:pt>
                <c:pt idx="23">
                  <c:v>155.1049414176334</c:v>
                </c:pt>
                <c:pt idx="24">
                  <c:v>155.1049414176334</c:v>
                </c:pt>
                <c:pt idx="25">
                  <c:v>155.1049414176334</c:v>
                </c:pt>
                <c:pt idx="26">
                  <c:v>155.1049414176334</c:v>
                </c:pt>
                <c:pt idx="27">
                  <c:v>155.1049414176334</c:v>
                </c:pt>
                <c:pt idx="28">
                  <c:v>155.1049414176334</c:v>
                </c:pt>
                <c:pt idx="29">
                  <c:v>155.1049414176334</c:v>
                </c:pt>
                <c:pt idx="30">
                  <c:v>155.1049414176334</c:v>
                </c:pt>
                <c:pt idx="31">
                  <c:v>155.1049414176334</c:v>
                </c:pt>
                <c:pt idx="32">
                  <c:v>155.1049414176334</c:v>
                </c:pt>
                <c:pt idx="33">
                  <c:v>155.1049414176334</c:v>
                </c:pt>
                <c:pt idx="34">
                  <c:v>155.1049414176334</c:v>
                </c:pt>
                <c:pt idx="35">
                  <c:v>155.1049414176334</c:v>
                </c:pt>
                <c:pt idx="36">
                  <c:v>155.1049414176334</c:v>
                </c:pt>
                <c:pt idx="37">
                  <c:v>155.1049414176334</c:v>
                </c:pt>
                <c:pt idx="38">
                  <c:v>155.1049414176334</c:v>
                </c:pt>
                <c:pt idx="39">
                  <c:v>155.1049414176334</c:v>
                </c:pt>
                <c:pt idx="40">
                  <c:v>155.1049414176334</c:v>
                </c:pt>
                <c:pt idx="41">
                  <c:v>155.1049414176334</c:v>
                </c:pt>
                <c:pt idx="42">
                  <c:v>155.1049414176334</c:v>
                </c:pt>
                <c:pt idx="43">
                  <c:v>155.1049414176334</c:v>
                </c:pt>
                <c:pt idx="44">
                  <c:v>155.1049414176334</c:v>
                </c:pt>
                <c:pt idx="45">
                  <c:v>155.1049414176334</c:v>
                </c:pt>
                <c:pt idx="46">
                  <c:v>155.1049414176334</c:v>
                </c:pt>
                <c:pt idx="47">
                  <c:v>155.1049414176334</c:v>
                </c:pt>
                <c:pt idx="48">
                  <c:v>155.1049414176334</c:v>
                </c:pt>
                <c:pt idx="49">
                  <c:v>155.1049414176334</c:v>
                </c:pt>
                <c:pt idx="50">
                  <c:v>155.1049414176334</c:v>
                </c:pt>
                <c:pt idx="51">
                  <c:v>155.1049414176334</c:v>
                </c:pt>
                <c:pt idx="52">
                  <c:v>155.1049414176334</c:v>
                </c:pt>
                <c:pt idx="53">
                  <c:v>155.1049414176334</c:v>
                </c:pt>
                <c:pt idx="54">
                  <c:v>155.1049414176334</c:v>
                </c:pt>
                <c:pt idx="55">
                  <c:v>155.1049414176334</c:v>
                </c:pt>
                <c:pt idx="56">
                  <c:v>155.1049414176334</c:v>
                </c:pt>
                <c:pt idx="57">
                  <c:v>155.1049414176334</c:v>
                </c:pt>
                <c:pt idx="58">
                  <c:v>155.1049414176334</c:v>
                </c:pt>
                <c:pt idx="59">
                  <c:v>155.1049414176334</c:v>
                </c:pt>
                <c:pt idx="60">
                  <c:v>155.1049414176334</c:v>
                </c:pt>
                <c:pt idx="61">
                  <c:v>155.1049414176334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40640"/>
        <c:axId val="139046912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48448"/>
        <c:axId val="139049984"/>
      </c:lineChart>
      <c:catAx>
        <c:axId val="139040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046912"/>
        <c:crossesAt val="-35"/>
        <c:auto val="1"/>
        <c:lblAlgn val="ctr"/>
        <c:lblOffset val="100"/>
        <c:tickLblSkip val="1"/>
        <c:tickMarkSkip val="1"/>
        <c:noMultiLvlLbl val="0"/>
      </c:catAx>
      <c:valAx>
        <c:axId val="13904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;[Red]\-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040640"/>
        <c:crosses val="autoZero"/>
        <c:crossBetween val="between"/>
        <c:majorUnit val="1"/>
        <c:minorUnit val="1"/>
      </c:valAx>
      <c:catAx>
        <c:axId val="13904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9049984"/>
        <c:crossesAt val="-5"/>
        <c:auto val="1"/>
        <c:lblAlgn val="ctr"/>
        <c:lblOffset val="100"/>
        <c:noMultiLvlLbl val="0"/>
      </c:catAx>
      <c:valAx>
        <c:axId val="139049984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048448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77550798249759E-3"/>
          <c:y val="1.2376237623762377E-2"/>
          <c:w val="0.99030772786542043"/>
          <c:h val="7.42574257425742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9463492963068"/>
          <c:y val="0.10038941023045425"/>
          <c:w val="0.79957180189540633"/>
          <c:h val="0.71906833374371881"/>
        </c:manualLayout>
      </c:layout>
      <c:lineChart>
        <c:grouping val="standard"/>
        <c:varyColors val="0"/>
        <c:ser>
          <c:idx val="0"/>
          <c:order val="1"/>
          <c:tx>
            <c:strRef>
              <c:f>ﾃﾞｰﾀｰ!$T$5</c:f>
              <c:strCache>
                <c:ptCount val="1"/>
                <c:pt idx="0">
                  <c:v>2.50Hr
粘度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ﾃﾞｰﾀｰ!$T$6:$T$67</c:f>
              <c:numCache>
                <c:formatCode>0.0_ </c:formatCode>
                <c:ptCount val="62"/>
                <c:pt idx="0">
                  <c:v>38.4</c:v>
                </c:pt>
                <c:pt idx="1">
                  <c:v>40</c:v>
                </c:pt>
                <c:pt idx="2">
                  <c:v>38.5</c:v>
                </c:pt>
                <c:pt idx="3">
                  <c:v>39.1</c:v>
                </c:pt>
                <c:pt idx="4">
                  <c:v>38.4</c:v>
                </c:pt>
                <c:pt idx="5">
                  <c:v>39.9</c:v>
                </c:pt>
                <c:pt idx="6">
                  <c:v>39.700000000000003</c:v>
                </c:pt>
                <c:pt idx="7">
                  <c:v>39.200000000000003</c:v>
                </c:pt>
                <c:pt idx="8">
                  <c:v>39.4</c:v>
                </c:pt>
                <c:pt idx="9">
                  <c:v>40.200000000000003</c:v>
                </c:pt>
                <c:pt idx="10">
                  <c:v>38</c:v>
                </c:pt>
                <c:pt idx="11">
                  <c:v>39.700000000000003</c:v>
                </c:pt>
                <c:pt idx="12">
                  <c:v>40.6</c:v>
                </c:pt>
                <c:pt idx="13">
                  <c:v>43.6</c:v>
                </c:pt>
                <c:pt idx="14">
                  <c:v>42.2</c:v>
                </c:pt>
                <c:pt idx="15">
                  <c:v>43.1</c:v>
                </c:pt>
                <c:pt idx="16">
                  <c:v>43.5</c:v>
                </c:pt>
                <c:pt idx="17">
                  <c:v>42.3</c:v>
                </c:pt>
                <c:pt idx="18">
                  <c:v>39.4</c:v>
                </c:pt>
                <c:pt idx="19">
                  <c:v>39</c:v>
                </c:pt>
                <c:pt idx="20">
                  <c:v>37.5</c:v>
                </c:pt>
                <c:pt idx="21">
                  <c:v>38.4</c:v>
                </c:pt>
                <c:pt idx="22">
                  <c:v>38.6</c:v>
                </c:pt>
                <c:pt idx="23">
                  <c:v>37.700000000000003</c:v>
                </c:pt>
                <c:pt idx="24">
                  <c:v>37.799999999999997</c:v>
                </c:pt>
                <c:pt idx="25">
                  <c:v>38.4</c:v>
                </c:pt>
                <c:pt idx="26">
                  <c:v>39.200000000000003</c:v>
                </c:pt>
                <c:pt idx="27">
                  <c:v>38.799999999999997</c:v>
                </c:pt>
                <c:pt idx="28">
                  <c:v>39.299999999999997</c:v>
                </c:pt>
                <c:pt idx="29">
                  <c:v>38.799999999999997</c:v>
                </c:pt>
                <c:pt idx="30">
                  <c:v>40.200000000000003</c:v>
                </c:pt>
                <c:pt idx="31">
                  <c:v>39.5</c:v>
                </c:pt>
              </c:numCache>
            </c:numRef>
          </c:val>
          <c:smooth val="0"/>
        </c:ser>
        <c:ser>
          <c:idx val="3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ﾃﾞｰﾀｰ!$BV$6:$BV$67</c:f>
              <c:numCache>
                <c:formatCode>0.0_);[Red]\(0.0\)</c:formatCode>
                <c:ptCount val="62"/>
                <c:pt idx="0">
                  <c:v>42.810394901722987</c:v>
                </c:pt>
                <c:pt idx="1">
                  <c:v>42.810394901722987</c:v>
                </c:pt>
                <c:pt idx="2">
                  <c:v>42.810394901722987</c:v>
                </c:pt>
                <c:pt idx="3">
                  <c:v>42.810394901722987</c:v>
                </c:pt>
                <c:pt idx="4">
                  <c:v>42.810394901722987</c:v>
                </c:pt>
                <c:pt idx="5">
                  <c:v>42.810394901722987</c:v>
                </c:pt>
                <c:pt idx="6">
                  <c:v>42.810394901722987</c:v>
                </c:pt>
                <c:pt idx="7">
                  <c:v>42.810394901722987</c:v>
                </c:pt>
                <c:pt idx="8">
                  <c:v>42.810394901722987</c:v>
                </c:pt>
                <c:pt idx="9">
                  <c:v>42.810394901722987</c:v>
                </c:pt>
                <c:pt idx="10">
                  <c:v>42.810394901722987</c:v>
                </c:pt>
                <c:pt idx="11">
                  <c:v>42.810394901722987</c:v>
                </c:pt>
                <c:pt idx="12">
                  <c:v>42.810394901722987</c:v>
                </c:pt>
                <c:pt idx="13">
                  <c:v>42.810394901722987</c:v>
                </c:pt>
                <c:pt idx="14">
                  <c:v>42.810394901722987</c:v>
                </c:pt>
                <c:pt idx="15">
                  <c:v>42.810394901722987</c:v>
                </c:pt>
                <c:pt idx="16">
                  <c:v>42.810394901722987</c:v>
                </c:pt>
                <c:pt idx="17">
                  <c:v>42.810394901722987</c:v>
                </c:pt>
                <c:pt idx="18">
                  <c:v>42.810394901722987</c:v>
                </c:pt>
                <c:pt idx="19">
                  <c:v>42.810394901722987</c:v>
                </c:pt>
                <c:pt idx="20">
                  <c:v>42.810394901722987</c:v>
                </c:pt>
                <c:pt idx="21">
                  <c:v>42.810394901722987</c:v>
                </c:pt>
                <c:pt idx="22">
                  <c:v>42.810394901722987</c:v>
                </c:pt>
                <c:pt idx="23">
                  <c:v>42.810394901722987</c:v>
                </c:pt>
                <c:pt idx="24">
                  <c:v>42.810394901722987</c:v>
                </c:pt>
                <c:pt idx="25">
                  <c:v>42.810394901722987</c:v>
                </c:pt>
                <c:pt idx="26">
                  <c:v>42.810394901722987</c:v>
                </c:pt>
                <c:pt idx="27">
                  <c:v>42.810394901722987</c:v>
                </c:pt>
                <c:pt idx="28">
                  <c:v>42.810394901722987</c:v>
                </c:pt>
                <c:pt idx="29">
                  <c:v>42.810394901722987</c:v>
                </c:pt>
                <c:pt idx="30">
                  <c:v>42.810394901722987</c:v>
                </c:pt>
                <c:pt idx="31">
                  <c:v>42.810394901722987</c:v>
                </c:pt>
                <c:pt idx="32">
                  <c:v>42.810394901722987</c:v>
                </c:pt>
                <c:pt idx="33">
                  <c:v>42.810394901722987</c:v>
                </c:pt>
                <c:pt idx="34">
                  <c:v>42.810394901722987</c:v>
                </c:pt>
                <c:pt idx="35">
                  <c:v>42.810394901722987</c:v>
                </c:pt>
                <c:pt idx="36">
                  <c:v>42.810394901722987</c:v>
                </c:pt>
                <c:pt idx="37">
                  <c:v>42.810394901722987</c:v>
                </c:pt>
                <c:pt idx="38">
                  <c:v>42.810394901722987</c:v>
                </c:pt>
                <c:pt idx="39">
                  <c:v>42.810394901722987</c:v>
                </c:pt>
                <c:pt idx="40">
                  <c:v>42.810394901722987</c:v>
                </c:pt>
                <c:pt idx="41">
                  <c:v>42.810394901722987</c:v>
                </c:pt>
                <c:pt idx="42">
                  <c:v>42.810394901722987</c:v>
                </c:pt>
                <c:pt idx="43">
                  <c:v>42.810394901722987</c:v>
                </c:pt>
                <c:pt idx="44">
                  <c:v>42.810394901722987</c:v>
                </c:pt>
                <c:pt idx="45">
                  <c:v>42.810394901722987</c:v>
                </c:pt>
                <c:pt idx="46">
                  <c:v>42.810394901722987</c:v>
                </c:pt>
                <c:pt idx="47">
                  <c:v>42.810394901722987</c:v>
                </c:pt>
                <c:pt idx="48">
                  <c:v>42.810394901722987</c:v>
                </c:pt>
                <c:pt idx="49">
                  <c:v>42.810394901722987</c:v>
                </c:pt>
                <c:pt idx="50">
                  <c:v>42.810394901722987</c:v>
                </c:pt>
                <c:pt idx="51">
                  <c:v>42.810394901722987</c:v>
                </c:pt>
                <c:pt idx="52">
                  <c:v>42.810394901722987</c:v>
                </c:pt>
                <c:pt idx="53">
                  <c:v>42.810394901722987</c:v>
                </c:pt>
                <c:pt idx="54">
                  <c:v>42.810394901722987</c:v>
                </c:pt>
                <c:pt idx="55">
                  <c:v>42.810394901722987</c:v>
                </c:pt>
                <c:pt idx="56">
                  <c:v>42.810394901722987</c:v>
                </c:pt>
                <c:pt idx="57">
                  <c:v>42.810394901722987</c:v>
                </c:pt>
                <c:pt idx="58">
                  <c:v>42.810394901722987</c:v>
                </c:pt>
                <c:pt idx="59">
                  <c:v>42.810394901722987</c:v>
                </c:pt>
                <c:pt idx="60">
                  <c:v>42.810394901722987</c:v>
                </c:pt>
                <c:pt idx="61">
                  <c:v>42.810394901722987</c:v>
                </c:pt>
              </c:numCache>
            </c:numRef>
          </c:val>
          <c:smooth val="0"/>
        </c:ser>
        <c:ser>
          <c:idx val="4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ﾃﾞｰﾀｰ!$DO$6:$DO$67</c:f>
              <c:numCache>
                <c:formatCode>0.0_);[Red]\(0.0\)</c:formatCode>
                <c:ptCount val="62"/>
                <c:pt idx="0">
                  <c:v>39.11724137931035</c:v>
                </c:pt>
                <c:pt idx="1">
                  <c:v>39.11724137931035</c:v>
                </c:pt>
                <c:pt idx="2">
                  <c:v>39.11724137931035</c:v>
                </c:pt>
                <c:pt idx="3">
                  <c:v>39.11724137931035</c:v>
                </c:pt>
                <c:pt idx="4">
                  <c:v>39.11724137931035</c:v>
                </c:pt>
                <c:pt idx="5">
                  <c:v>39.11724137931035</c:v>
                </c:pt>
                <c:pt idx="6">
                  <c:v>39.11724137931035</c:v>
                </c:pt>
                <c:pt idx="7">
                  <c:v>39.11724137931035</c:v>
                </c:pt>
                <c:pt idx="8">
                  <c:v>39.11724137931035</c:v>
                </c:pt>
                <c:pt idx="9">
                  <c:v>39.11724137931035</c:v>
                </c:pt>
                <c:pt idx="10">
                  <c:v>39.11724137931035</c:v>
                </c:pt>
                <c:pt idx="11">
                  <c:v>39.11724137931035</c:v>
                </c:pt>
                <c:pt idx="12">
                  <c:v>39.11724137931035</c:v>
                </c:pt>
                <c:pt idx="13">
                  <c:v>39.11724137931035</c:v>
                </c:pt>
                <c:pt idx="14">
                  <c:v>39.11724137931035</c:v>
                </c:pt>
                <c:pt idx="15">
                  <c:v>39.11724137931035</c:v>
                </c:pt>
                <c:pt idx="16">
                  <c:v>39.11724137931035</c:v>
                </c:pt>
                <c:pt idx="17">
                  <c:v>39.11724137931035</c:v>
                </c:pt>
                <c:pt idx="18">
                  <c:v>39.11724137931035</c:v>
                </c:pt>
                <c:pt idx="19">
                  <c:v>39.11724137931035</c:v>
                </c:pt>
                <c:pt idx="20">
                  <c:v>39.11724137931035</c:v>
                </c:pt>
                <c:pt idx="21">
                  <c:v>39.11724137931035</c:v>
                </c:pt>
                <c:pt idx="22">
                  <c:v>39.11724137931035</c:v>
                </c:pt>
                <c:pt idx="23">
                  <c:v>39.11724137931035</c:v>
                </c:pt>
                <c:pt idx="24">
                  <c:v>39.11724137931035</c:v>
                </c:pt>
                <c:pt idx="25">
                  <c:v>39.11724137931035</c:v>
                </c:pt>
                <c:pt idx="26">
                  <c:v>39.11724137931035</c:v>
                </c:pt>
                <c:pt idx="27">
                  <c:v>39.11724137931035</c:v>
                </c:pt>
                <c:pt idx="28">
                  <c:v>39.11724137931035</c:v>
                </c:pt>
                <c:pt idx="29">
                  <c:v>39.11724137931035</c:v>
                </c:pt>
                <c:pt idx="30">
                  <c:v>39.11724137931035</c:v>
                </c:pt>
                <c:pt idx="31">
                  <c:v>39.11724137931035</c:v>
                </c:pt>
                <c:pt idx="32">
                  <c:v>39.11724137931035</c:v>
                </c:pt>
                <c:pt idx="33">
                  <c:v>39.11724137931035</c:v>
                </c:pt>
                <c:pt idx="34">
                  <c:v>39.11724137931035</c:v>
                </c:pt>
                <c:pt idx="35">
                  <c:v>39.11724137931035</c:v>
                </c:pt>
                <c:pt idx="36">
                  <c:v>39.11724137931035</c:v>
                </c:pt>
                <c:pt idx="37">
                  <c:v>39.11724137931035</c:v>
                </c:pt>
                <c:pt idx="38">
                  <c:v>39.11724137931035</c:v>
                </c:pt>
                <c:pt idx="39">
                  <c:v>39.11724137931035</c:v>
                </c:pt>
                <c:pt idx="40">
                  <c:v>39.11724137931035</c:v>
                </c:pt>
                <c:pt idx="41">
                  <c:v>39.11724137931035</c:v>
                </c:pt>
                <c:pt idx="42">
                  <c:v>39.11724137931035</c:v>
                </c:pt>
                <c:pt idx="43">
                  <c:v>39.11724137931035</c:v>
                </c:pt>
                <c:pt idx="44">
                  <c:v>39.11724137931035</c:v>
                </c:pt>
                <c:pt idx="45">
                  <c:v>39.11724137931035</c:v>
                </c:pt>
                <c:pt idx="46">
                  <c:v>39.11724137931035</c:v>
                </c:pt>
                <c:pt idx="47">
                  <c:v>39.11724137931035</c:v>
                </c:pt>
                <c:pt idx="48">
                  <c:v>39.11724137931035</c:v>
                </c:pt>
                <c:pt idx="49">
                  <c:v>39.11724137931035</c:v>
                </c:pt>
                <c:pt idx="50">
                  <c:v>39.11724137931035</c:v>
                </c:pt>
                <c:pt idx="51">
                  <c:v>39.11724137931035</c:v>
                </c:pt>
                <c:pt idx="52">
                  <c:v>39.11724137931035</c:v>
                </c:pt>
                <c:pt idx="53">
                  <c:v>39.11724137931035</c:v>
                </c:pt>
                <c:pt idx="54">
                  <c:v>39.11724137931035</c:v>
                </c:pt>
                <c:pt idx="55">
                  <c:v>39.11724137931035</c:v>
                </c:pt>
                <c:pt idx="56">
                  <c:v>39.11724137931035</c:v>
                </c:pt>
                <c:pt idx="57">
                  <c:v>39.11724137931035</c:v>
                </c:pt>
                <c:pt idx="58">
                  <c:v>39.11724137931035</c:v>
                </c:pt>
                <c:pt idx="59">
                  <c:v>39.11724137931035</c:v>
                </c:pt>
                <c:pt idx="60">
                  <c:v>39.11724137931035</c:v>
                </c:pt>
                <c:pt idx="61">
                  <c:v>39.11724137931035</c:v>
                </c:pt>
              </c:numCache>
            </c:numRef>
          </c:val>
          <c:smooth val="0"/>
        </c:ser>
        <c:ser>
          <c:idx val="2"/>
          <c:order val="4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ﾃﾞｰﾀｰ!$BU$6:$BU$67</c:f>
              <c:numCache>
                <c:formatCode>0.0_);[Red]\(0.0\)</c:formatCode>
                <c:ptCount val="62"/>
                <c:pt idx="0">
                  <c:v>35.424087856897714</c:v>
                </c:pt>
                <c:pt idx="1">
                  <c:v>35.424087856897714</c:v>
                </c:pt>
                <c:pt idx="2">
                  <c:v>35.424087856897714</c:v>
                </c:pt>
                <c:pt idx="3">
                  <c:v>35.424087856897714</c:v>
                </c:pt>
                <c:pt idx="4">
                  <c:v>35.424087856897714</c:v>
                </c:pt>
                <c:pt idx="5">
                  <c:v>35.424087856897714</c:v>
                </c:pt>
                <c:pt idx="6">
                  <c:v>35.424087856897714</c:v>
                </c:pt>
                <c:pt idx="7">
                  <c:v>35.424087856897714</c:v>
                </c:pt>
                <c:pt idx="8">
                  <c:v>35.424087856897714</c:v>
                </c:pt>
                <c:pt idx="9">
                  <c:v>35.424087856897714</c:v>
                </c:pt>
                <c:pt idx="10">
                  <c:v>35.424087856897714</c:v>
                </c:pt>
                <c:pt idx="11">
                  <c:v>35.424087856897714</c:v>
                </c:pt>
                <c:pt idx="12">
                  <c:v>35.424087856897714</c:v>
                </c:pt>
                <c:pt idx="13">
                  <c:v>35.424087856897714</c:v>
                </c:pt>
                <c:pt idx="14">
                  <c:v>35.424087856897714</c:v>
                </c:pt>
                <c:pt idx="15">
                  <c:v>35.424087856897714</c:v>
                </c:pt>
                <c:pt idx="16">
                  <c:v>35.424087856897714</c:v>
                </c:pt>
                <c:pt idx="17">
                  <c:v>35.424087856897714</c:v>
                </c:pt>
                <c:pt idx="18">
                  <c:v>35.424087856897714</c:v>
                </c:pt>
                <c:pt idx="19">
                  <c:v>35.424087856897714</c:v>
                </c:pt>
                <c:pt idx="20">
                  <c:v>35.424087856897714</c:v>
                </c:pt>
                <c:pt idx="21">
                  <c:v>35.424087856897714</c:v>
                </c:pt>
                <c:pt idx="22">
                  <c:v>35.424087856897714</c:v>
                </c:pt>
                <c:pt idx="23">
                  <c:v>35.424087856897714</c:v>
                </c:pt>
                <c:pt idx="24">
                  <c:v>35.424087856897714</c:v>
                </c:pt>
                <c:pt idx="25">
                  <c:v>35.424087856897714</c:v>
                </c:pt>
                <c:pt idx="26">
                  <c:v>35.424087856897714</c:v>
                </c:pt>
                <c:pt idx="27">
                  <c:v>35.424087856897714</c:v>
                </c:pt>
                <c:pt idx="28">
                  <c:v>35.424087856897714</c:v>
                </c:pt>
                <c:pt idx="29">
                  <c:v>35.424087856897714</c:v>
                </c:pt>
                <c:pt idx="30">
                  <c:v>35.424087856897714</c:v>
                </c:pt>
                <c:pt idx="31">
                  <c:v>35.424087856897714</c:v>
                </c:pt>
                <c:pt idx="32">
                  <c:v>35.424087856897714</c:v>
                </c:pt>
                <c:pt idx="33">
                  <c:v>35.424087856897714</c:v>
                </c:pt>
                <c:pt idx="34">
                  <c:v>35.424087856897714</c:v>
                </c:pt>
                <c:pt idx="35">
                  <c:v>35.424087856897714</c:v>
                </c:pt>
                <c:pt idx="36">
                  <c:v>35.424087856897714</c:v>
                </c:pt>
                <c:pt idx="37">
                  <c:v>35.424087856897714</c:v>
                </c:pt>
                <c:pt idx="38">
                  <c:v>35.424087856897714</c:v>
                </c:pt>
                <c:pt idx="39">
                  <c:v>35.424087856897714</c:v>
                </c:pt>
                <c:pt idx="40">
                  <c:v>35.424087856897714</c:v>
                </c:pt>
                <c:pt idx="41">
                  <c:v>35.424087856897714</c:v>
                </c:pt>
                <c:pt idx="42">
                  <c:v>35.424087856897714</c:v>
                </c:pt>
                <c:pt idx="43">
                  <c:v>35.424087856897714</c:v>
                </c:pt>
                <c:pt idx="44">
                  <c:v>35.424087856897714</c:v>
                </c:pt>
                <c:pt idx="45">
                  <c:v>35.424087856897714</c:v>
                </c:pt>
                <c:pt idx="46">
                  <c:v>35.424087856897714</c:v>
                </c:pt>
                <c:pt idx="47">
                  <c:v>35.424087856897714</c:v>
                </c:pt>
                <c:pt idx="48">
                  <c:v>35.424087856897714</c:v>
                </c:pt>
                <c:pt idx="49">
                  <c:v>35.424087856897714</c:v>
                </c:pt>
                <c:pt idx="50">
                  <c:v>35.424087856897714</c:v>
                </c:pt>
                <c:pt idx="51">
                  <c:v>35.424087856897714</c:v>
                </c:pt>
                <c:pt idx="52">
                  <c:v>35.424087856897714</c:v>
                </c:pt>
                <c:pt idx="53">
                  <c:v>35.424087856897714</c:v>
                </c:pt>
                <c:pt idx="54">
                  <c:v>35.424087856897714</c:v>
                </c:pt>
                <c:pt idx="55">
                  <c:v>35.424087856897714</c:v>
                </c:pt>
                <c:pt idx="56">
                  <c:v>35.424087856897714</c:v>
                </c:pt>
                <c:pt idx="57">
                  <c:v>35.424087856897714</c:v>
                </c:pt>
                <c:pt idx="58">
                  <c:v>35.424087856897714</c:v>
                </c:pt>
                <c:pt idx="59">
                  <c:v>35.424087856897714</c:v>
                </c:pt>
                <c:pt idx="60">
                  <c:v>35.424087856897714</c:v>
                </c:pt>
                <c:pt idx="61">
                  <c:v>35.424087856897714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640"/>
        <c:axId val="132375296"/>
      </c:lineChart>
      <c:lineChart>
        <c:grouping val="standard"/>
        <c:varyColors val="0"/>
        <c:ser>
          <c:idx val="1"/>
          <c:order val="0"/>
          <c:tx>
            <c:strRef>
              <c:f>ﾃﾞｰﾀｰ!$AH$5</c:f>
              <c:strCache>
                <c:ptCount val="1"/>
                <c:pt idx="0">
                  <c:v>感度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76832"/>
        <c:axId val="132378624"/>
      </c:lineChart>
      <c:catAx>
        <c:axId val="132352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2375296"/>
        <c:crossesAt val="30"/>
        <c:auto val="1"/>
        <c:lblAlgn val="ctr"/>
        <c:lblOffset val="100"/>
        <c:tickLblSkip val="1"/>
        <c:tickMarkSkip val="1"/>
        <c:noMultiLvlLbl val="0"/>
      </c:catAx>
      <c:valAx>
        <c:axId val="132375296"/>
        <c:scaling>
          <c:orientation val="minMax"/>
          <c:max val="46"/>
          <c:min val="3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2352640"/>
        <c:crosses val="autoZero"/>
        <c:crossBetween val="between"/>
        <c:majorUnit val="2"/>
        <c:minorUnit val="0.5"/>
      </c:valAx>
      <c:catAx>
        <c:axId val="13237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32378624"/>
        <c:crossesAt val="-5"/>
        <c:auto val="1"/>
        <c:lblAlgn val="ctr"/>
        <c:lblOffset val="100"/>
        <c:noMultiLvlLbl val="0"/>
      </c:catAx>
      <c:valAx>
        <c:axId val="132378624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2376832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601996158811123E-3"/>
          <c:y val="1.1673187236099331E-2"/>
          <c:w val="0.98495639306067184"/>
          <c:h val="7.0039123416595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altLang="en-US"/>
              <a:t>冷却時間</a:t>
            </a:r>
          </a:p>
        </c:rich>
      </c:tx>
      <c:layout>
        <c:manualLayout>
          <c:xMode val="edge"/>
          <c:yMode val="edge"/>
          <c:x val="0.45880452342487882"/>
          <c:y val="3.5830618892508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7011308562198"/>
          <c:y val="0.19543973941368079"/>
          <c:w val="0.68659127625201943"/>
          <c:h val="0.48859934853420195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ﾃﾞｰﾀｰ!$Z$5</c:f>
              <c:strCache>
                <c:ptCount val="1"/>
                <c:pt idx="0">
                  <c:v>冷却
時間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ﾃﾞｰﾀｰ!$Z$6:$Z$67</c:f>
              <c:numCache>
                <c:formatCode>h:mm;@</c:formatCode>
                <c:ptCount val="62"/>
                <c:pt idx="0">
                  <c:v>1.2499999999999956E-2</c:v>
                </c:pt>
                <c:pt idx="1">
                  <c:v>1.2499999999999956E-2</c:v>
                </c:pt>
                <c:pt idx="2">
                  <c:v>1.2499999999999956E-2</c:v>
                </c:pt>
                <c:pt idx="3">
                  <c:v>1.3194444444444398E-2</c:v>
                </c:pt>
                <c:pt idx="4">
                  <c:v>1.3194444444444398E-2</c:v>
                </c:pt>
                <c:pt idx="5">
                  <c:v>1.3194444444444398E-2</c:v>
                </c:pt>
                <c:pt idx="6">
                  <c:v>1.3194444444444398E-2</c:v>
                </c:pt>
                <c:pt idx="7">
                  <c:v>1.3194444444444398E-2</c:v>
                </c:pt>
                <c:pt idx="8">
                  <c:v>1.2499999999999956E-2</c:v>
                </c:pt>
                <c:pt idx="9">
                  <c:v>1.3194444444444398E-2</c:v>
                </c:pt>
                <c:pt idx="10">
                  <c:v>1.2499999999999956E-2</c:v>
                </c:pt>
                <c:pt idx="11">
                  <c:v>1.2499999999999956E-2</c:v>
                </c:pt>
                <c:pt idx="12">
                  <c:v>1.2499999999999956E-2</c:v>
                </c:pt>
                <c:pt idx="13">
                  <c:v>1.3194444444444398E-2</c:v>
                </c:pt>
                <c:pt idx="14">
                  <c:v>1.3194444444444398E-2</c:v>
                </c:pt>
                <c:pt idx="15">
                  <c:v>1.3194444444444398E-2</c:v>
                </c:pt>
                <c:pt idx="16">
                  <c:v>1.3194444444444398E-2</c:v>
                </c:pt>
                <c:pt idx="17">
                  <c:v>1.3194444444444398E-2</c:v>
                </c:pt>
                <c:pt idx="18">
                  <c:v>1.3194444444444398E-2</c:v>
                </c:pt>
                <c:pt idx="19">
                  <c:v>1.3194444444444398E-2</c:v>
                </c:pt>
                <c:pt idx="20">
                  <c:v>1.3194444444444398E-2</c:v>
                </c:pt>
                <c:pt idx="21">
                  <c:v>1.3194444444444398E-2</c:v>
                </c:pt>
                <c:pt idx="22">
                  <c:v>1.3194444444444398E-2</c:v>
                </c:pt>
                <c:pt idx="23">
                  <c:v>1.3194444444444509E-2</c:v>
                </c:pt>
                <c:pt idx="24">
                  <c:v>1.3194444444444398E-2</c:v>
                </c:pt>
                <c:pt idx="25">
                  <c:v>1.3194444444444398E-2</c:v>
                </c:pt>
                <c:pt idx="26">
                  <c:v>1.3194444444444398E-2</c:v>
                </c:pt>
                <c:pt idx="27">
                  <c:v>1.3194444444444398E-2</c:v>
                </c:pt>
                <c:pt idx="28">
                  <c:v>1.2499999999999956E-2</c:v>
                </c:pt>
                <c:pt idx="29">
                  <c:v>1.2499999999999956E-2</c:v>
                </c:pt>
                <c:pt idx="30">
                  <c:v>1.2499999999999956E-2</c:v>
                </c:pt>
                <c:pt idx="31">
                  <c:v>1.2499999999999956E-2</c:v>
                </c:pt>
              </c:numCache>
            </c:numRef>
          </c:val>
          <c:smooth val="0"/>
        </c:ser>
        <c:ser>
          <c:idx val="1"/>
          <c:order val="1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ﾃﾞｰﾀｰ!$CC$6:$CC$67</c:f>
              <c:numCache>
                <c:formatCode>0.0_);[Red]\(0.0\)</c:formatCode>
                <c:ptCount val="62"/>
                <c:pt idx="0">
                  <c:v>1.1625982470516784E-2</c:v>
                </c:pt>
                <c:pt idx="1">
                  <c:v>1.1625982470516784E-2</c:v>
                </c:pt>
                <c:pt idx="2">
                  <c:v>1.1625982470516784E-2</c:v>
                </c:pt>
                <c:pt idx="3">
                  <c:v>1.1625982470516784E-2</c:v>
                </c:pt>
                <c:pt idx="4">
                  <c:v>1.1625982470516784E-2</c:v>
                </c:pt>
                <c:pt idx="5">
                  <c:v>1.1625982470516784E-2</c:v>
                </c:pt>
                <c:pt idx="6">
                  <c:v>1.1625982470516784E-2</c:v>
                </c:pt>
                <c:pt idx="7">
                  <c:v>1.1625982470516784E-2</c:v>
                </c:pt>
                <c:pt idx="8">
                  <c:v>1.1625982470516784E-2</c:v>
                </c:pt>
                <c:pt idx="9">
                  <c:v>1.1625982470516784E-2</c:v>
                </c:pt>
                <c:pt idx="10">
                  <c:v>1.1625982470516784E-2</c:v>
                </c:pt>
                <c:pt idx="11">
                  <c:v>1.1625982470516784E-2</c:v>
                </c:pt>
                <c:pt idx="12">
                  <c:v>1.1625982470516784E-2</c:v>
                </c:pt>
                <c:pt idx="13">
                  <c:v>1.1625982470516784E-2</c:v>
                </c:pt>
                <c:pt idx="14">
                  <c:v>1.1625982470516784E-2</c:v>
                </c:pt>
                <c:pt idx="15">
                  <c:v>1.1625982470516784E-2</c:v>
                </c:pt>
                <c:pt idx="16">
                  <c:v>1.1625982470516784E-2</c:v>
                </c:pt>
                <c:pt idx="17">
                  <c:v>1.1625982470516784E-2</c:v>
                </c:pt>
                <c:pt idx="18">
                  <c:v>1.1625982470516784E-2</c:v>
                </c:pt>
                <c:pt idx="19">
                  <c:v>1.1625982470516784E-2</c:v>
                </c:pt>
                <c:pt idx="20">
                  <c:v>1.1625982470516784E-2</c:v>
                </c:pt>
                <c:pt idx="21">
                  <c:v>1.1625982470516784E-2</c:v>
                </c:pt>
                <c:pt idx="22">
                  <c:v>1.1625982470516784E-2</c:v>
                </c:pt>
                <c:pt idx="23">
                  <c:v>1.1625982470516784E-2</c:v>
                </c:pt>
                <c:pt idx="24">
                  <c:v>1.1625982470516784E-2</c:v>
                </c:pt>
                <c:pt idx="25">
                  <c:v>1.1625982470516784E-2</c:v>
                </c:pt>
                <c:pt idx="26">
                  <c:v>1.1625982470516784E-2</c:v>
                </c:pt>
                <c:pt idx="27">
                  <c:v>1.1625982470516784E-2</c:v>
                </c:pt>
                <c:pt idx="28">
                  <c:v>1.1625982470516784E-2</c:v>
                </c:pt>
                <c:pt idx="29">
                  <c:v>1.1625982470516784E-2</c:v>
                </c:pt>
                <c:pt idx="30">
                  <c:v>1.1625982470516784E-2</c:v>
                </c:pt>
                <c:pt idx="31">
                  <c:v>1.1625982470516784E-2</c:v>
                </c:pt>
                <c:pt idx="32">
                  <c:v>1.1625982470516784E-2</c:v>
                </c:pt>
                <c:pt idx="33">
                  <c:v>1.1625982470516784E-2</c:v>
                </c:pt>
                <c:pt idx="34">
                  <c:v>1.1625982470516784E-2</c:v>
                </c:pt>
                <c:pt idx="35">
                  <c:v>1.1625982470516784E-2</c:v>
                </c:pt>
                <c:pt idx="36">
                  <c:v>1.1625982470516784E-2</c:v>
                </c:pt>
                <c:pt idx="37">
                  <c:v>1.1625982470516784E-2</c:v>
                </c:pt>
                <c:pt idx="38">
                  <c:v>1.1625982470516784E-2</c:v>
                </c:pt>
                <c:pt idx="39">
                  <c:v>1.1625982470516784E-2</c:v>
                </c:pt>
                <c:pt idx="40">
                  <c:v>1.1625982470516784E-2</c:v>
                </c:pt>
                <c:pt idx="41">
                  <c:v>1.1625982470516784E-2</c:v>
                </c:pt>
                <c:pt idx="42">
                  <c:v>1.1625982470516784E-2</c:v>
                </c:pt>
                <c:pt idx="43">
                  <c:v>1.1625982470516784E-2</c:v>
                </c:pt>
                <c:pt idx="44">
                  <c:v>1.1625982470516784E-2</c:v>
                </c:pt>
                <c:pt idx="45">
                  <c:v>1.1625982470516784E-2</c:v>
                </c:pt>
                <c:pt idx="46">
                  <c:v>1.1625982470516784E-2</c:v>
                </c:pt>
                <c:pt idx="47">
                  <c:v>1.1625982470516784E-2</c:v>
                </c:pt>
                <c:pt idx="48">
                  <c:v>1.1625982470516784E-2</c:v>
                </c:pt>
                <c:pt idx="49">
                  <c:v>1.1625982470516784E-2</c:v>
                </c:pt>
                <c:pt idx="50">
                  <c:v>1.1625982470516784E-2</c:v>
                </c:pt>
                <c:pt idx="51">
                  <c:v>1.1625982470516784E-2</c:v>
                </c:pt>
                <c:pt idx="52">
                  <c:v>1.1625982470516784E-2</c:v>
                </c:pt>
                <c:pt idx="53">
                  <c:v>1.1625982470516784E-2</c:v>
                </c:pt>
                <c:pt idx="54">
                  <c:v>1.1625982470516784E-2</c:v>
                </c:pt>
                <c:pt idx="55">
                  <c:v>1.1625982470516784E-2</c:v>
                </c:pt>
                <c:pt idx="56">
                  <c:v>1.1625982470516784E-2</c:v>
                </c:pt>
                <c:pt idx="57">
                  <c:v>1.1625982470516784E-2</c:v>
                </c:pt>
                <c:pt idx="58">
                  <c:v>1.1625982470516784E-2</c:v>
                </c:pt>
                <c:pt idx="59">
                  <c:v>1.1625982470516784E-2</c:v>
                </c:pt>
                <c:pt idx="60">
                  <c:v>1.1625982470516784E-2</c:v>
                </c:pt>
                <c:pt idx="61">
                  <c:v>1.1625982470516784E-2</c:v>
                </c:pt>
              </c:numCache>
            </c:numRef>
          </c:val>
          <c:smooth val="0"/>
        </c:ser>
        <c:ser>
          <c:idx val="2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ﾃﾞｰﾀｰ!$CD$6:$CD$67</c:f>
              <c:numCache>
                <c:formatCode>0.0_);[Red]\(0.0\)</c:formatCode>
                <c:ptCount val="62"/>
                <c:pt idx="0">
                  <c:v>1.4691067337912261E-2</c:v>
                </c:pt>
                <c:pt idx="1">
                  <c:v>1.4691067337912261E-2</c:v>
                </c:pt>
                <c:pt idx="2">
                  <c:v>1.4691067337912261E-2</c:v>
                </c:pt>
                <c:pt idx="3">
                  <c:v>1.4691067337912261E-2</c:v>
                </c:pt>
                <c:pt idx="4">
                  <c:v>1.4691067337912261E-2</c:v>
                </c:pt>
                <c:pt idx="5">
                  <c:v>1.4691067337912261E-2</c:v>
                </c:pt>
                <c:pt idx="6">
                  <c:v>1.4691067337912261E-2</c:v>
                </c:pt>
                <c:pt idx="7">
                  <c:v>1.4691067337912261E-2</c:v>
                </c:pt>
                <c:pt idx="8">
                  <c:v>1.4691067337912261E-2</c:v>
                </c:pt>
                <c:pt idx="9">
                  <c:v>1.4691067337912261E-2</c:v>
                </c:pt>
                <c:pt idx="10">
                  <c:v>1.4691067337912261E-2</c:v>
                </c:pt>
                <c:pt idx="11">
                  <c:v>1.4691067337912261E-2</c:v>
                </c:pt>
                <c:pt idx="12">
                  <c:v>1.4691067337912261E-2</c:v>
                </c:pt>
                <c:pt idx="13">
                  <c:v>1.4691067337912261E-2</c:v>
                </c:pt>
                <c:pt idx="14">
                  <c:v>1.4691067337912261E-2</c:v>
                </c:pt>
                <c:pt idx="15">
                  <c:v>1.4691067337912261E-2</c:v>
                </c:pt>
                <c:pt idx="16">
                  <c:v>1.4691067337912261E-2</c:v>
                </c:pt>
                <c:pt idx="17">
                  <c:v>1.4691067337912261E-2</c:v>
                </c:pt>
                <c:pt idx="18">
                  <c:v>1.4691067337912261E-2</c:v>
                </c:pt>
                <c:pt idx="19">
                  <c:v>1.4691067337912261E-2</c:v>
                </c:pt>
                <c:pt idx="20">
                  <c:v>1.4691067337912261E-2</c:v>
                </c:pt>
                <c:pt idx="21">
                  <c:v>1.4691067337912261E-2</c:v>
                </c:pt>
                <c:pt idx="22">
                  <c:v>1.4691067337912261E-2</c:v>
                </c:pt>
                <c:pt idx="23">
                  <c:v>1.4691067337912261E-2</c:v>
                </c:pt>
                <c:pt idx="24">
                  <c:v>1.4691067337912261E-2</c:v>
                </c:pt>
                <c:pt idx="25">
                  <c:v>1.4691067337912261E-2</c:v>
                </c:pt>
                <c:pt idx="26">
                  <c:v>1.4691067337912261E-2</c:v>
                </c:pt>
                <c:pt idx="27">
                  <c:v>1.4691067337912261E-2</c:v>
                </c:pt>
                <c:pt idx="28">
                  <c:v>1.4691067337912261E-2</c:v>
                </c:pt>
                <c:pt idx="29">
                  <c:v>1.4691067337912261E-2</c:v>
                </c:pt>
                <c:pt idx="30">
                  <c:v>1.4691067337912261E-2</c:v>
                </c:pt>
                <c:pt idx="31">
                  <c:v>1.4691067337912261E-2</c:v>
                </c:pt>
                <c:pt idx="32">
                  <c:v>1.4691067337912261E-2</c:v>
                </c:pt>
                <c:pt idx="33">
                  <c:v>1.4691067337912261E-2</c:v>
                </c:pt>
                <c:pt idx="34">
                  <c:v>1.4691067337912261E-2</c:v>
                </c:pt>
                <c:pt idx="35">
                  <c:v>1.4691067337912261E-2</c:v>
                </c:pt>
                <c:pt idx="36">
                  <c:v>1.4691067337912261E-2</c:v>
                </c:pt>
                <c:pt idx="37">
                  <c:v>1.4691067337912261E-2</c:v>
                </c:pt>
                <c:pt idx="38">
                  <c:v>1.4691067337912261E-2</c:v>
                </c:pt>
                <c:pt idx="39">
                  <c:v>1.4691067337912261E-2</c:v>
                </c:pt>
                <c:pt idx="40">
                  <c:v>1.4691067337912261E-2</c:v>
                </c:pt>
                <c:pt idx="41">
                  <c:v>1.4691067337912261E-2</c:v>
                </c:pt>
                <c:pt idx="42">
                  <c:v>1.4691067337912261E-2</c:v>
                </c:pt>
                <c:pt idx="43">
                  <c:v>1.4691067337912261E-2</c:v>
                </c:pt>
                <c:pt idx="44">
                  <c:v>1.4691067337912261E-2</c:v>
                </c:pt>
                <c:pt idx="45">
                  <c:v>1.4691067337912261E-2</c:v>
                </c:pt>
                <c:pt idx="46">
                  <c:v>1.4691067337912261E-2</c:v>
                </c:pt>
                <c:pt idx="47">
                  <c:v>1.4691067337912261E-2</c:v>
                </c:pt>
                <c:pt idx="48">
                  <c:v>1.4691067337912261E-2</c:v>
                </c:pt>
                <c:pt idx="49">
                  <c:v>1.4691067337912261E-2</c:v>
                </c:pt>
                <c:pt idx="50">
                  <c:v>1.4691067337912261E-2</c:v>
                </c:pt>
                <c:pt idx="51">
                  <c:v>1.4691067337912261E-2</c:v>
                </c:pt>
                <c:pt idx="52">
                  <c:v>1.4691067337912261E-2</c:v>
                </c:pt>
                <c:pt idx="53">
                  <c:v>1.4691067337912261E-2</c:v>
                </c:pt>
                <c:pt idx="54">
                  <c:v>1.4691067337912261E-2</c:v>
                </c:pt>
                <c:pt idx="55">
                  <c:v>1.4691067337912261E-2</c:v>
                </c:pt>
                <c:pt idx="56">
                  <c:v>1.4691067337912261E-2</c:v>
                </c:pt>
                <c:pt idx="57">
                  <c:v>1.4691067337912261E-2</c:v>
                </c:pt>
                <c:pt idx="58">
                  <c:v>1.4691067337912261E-2</c:v>
                </c:pt>
                <c:pt idx="59">
                  <c:v>1.4691067337912261E-2</c:v>
                </c:pt>
                <c:pt idx="60">
                  <c:v>1.4691067337912261E-2</c:v>
                </c:pt>
                <c:pt idx="61">
                  <c:v>1.4691067337912261E-2</c:v>
                </c:pt>
              </c:numCache>
            </c:numRef>
          </c:val>
          <c:smooth val="0"/>
        </c:ser>
        <c:ser>
          <c:idx val="3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ﾃﾞｰﾀｰ!$DS$6:$DS$67</c:f>
              <c:numCache>
                <c:formatCode>0.0_);[Red]\(0.0\)</c:formatCode>
                <c:ptCount val="62"/>
                <c:pt idx="0">
                  <c:v>1.3158524904214522E-2</c:v>
                </c:pt>
                <c:pt idx="1">
                  <c:v>1.3158524904214522E-2</c:v>
                </c:pt>
                <c:pt idx="2">
                  <c:v>1.3158524904214522E-2</c:v>
                </c:pt>
                <c:pt idx="3">
                  <c:v>1.3158524904214522E-2</c:v>
                </c:pt>
                <c:pt idx="4">
                  <c:v>1.3158524904214522E-2</c:v>
                </c:pt>
                <c:pt idx="5">
                  <c:v>1.3158524904214522E-2</c:v>
                </c:pt>
                <c:pt idx="6">
                  <c:v>1.3158524904214522E-2</c:v>
                </c:pt>
                <c:pt idx="7">
                  <c:v>1.3158524904214522E-2</c:v>
                </c:pt>
                <c:pt idx="8">
                  <c:v>1.3158524904214522E-2</c:v>
                </c:pt>
                <c:pt idx="9">
                  <c:v>1.3158524904214522E-2</c:v>
                </c:pt>
                <c:pt idx="10">
                  <c:v>1.3158524904214522E-2</c:v>
                </c:pt>
                <c:pt idx="11">
                  <c:v>1.3158524904214522E-2</c:v>
                </c:pt>
                <c:pt idx="12">
                  <c:v>1.3158524904214522E-2</c:v>
                </c:pt>
                <c:pt idx="13">
                  <c:v>1.3158524904214522E-2</c:v>
                </c:pt>
                <c:pt idx="14">
                  <c:v>1.3158524904214522E-2</c:v>
                </c:pt>
                <c:pt idx="15">
                  <c:v>1.3158524904214522E-2</c:v>
                </c:pt>
                <c:pt idx="16">
                  <c:v>1.3158524904214522E-2</c:v>
                </c:pt>
                <c:pt idx="17">
                  <c:v>1.3158524904214522E-2</c:v>
                </c:pt>
                <c:pt idx="18">
                  <c:v>1.3158524904214522E-2</c:v>
                </c:pt>
                <c:pt idx="19">
                  <c:v>1.3158524904214522E-2</c:v>
                </c:pt>
                <c:pt idx="20">
                  <c:v>1.3158524904214522E-2</c:v>
                </c:pt>
                <c:pt idx="21">
                  <c:v>1.3158524904214522E-2</c:v>
                </c:pt>
                <c:pt idx="22">
                  <c:v>1.3158524904214522E-2</c:v>
                </c:pt>
                <c:pt idx="23">
                  <c:v>1.3158524904214522E-2</c:v>
                </c:pt>
                <c:pt idx="24">
                  <c:v>1.3158524904214522E-2</c:v>
                </c:pt>
                <c:pt idx="25">
                  <c:v>1.3158524904214522E-2</c:v>
                </c:pt>
                <c:pt idx="26">
                  <c:v>1.3158524904214522E-2</c:v>
                </c:pt>
                <c:pt idx="27">
                  <c:v>1.3158524904214522E-2</c:v>
                </c:pt>
                <c:pt idx="28">
                  <c:v>1.3158524904214522E-2</c:v>
                </c:pt>
                <c:pt idx="29">
                  <c:v>1.3158524904214522E-2</c:v>
                </c:pt>
                <c:pt idx="30">
                  <c:v>1.3158524904214522E-2</c:v>
                </c:pt>
                <c:pt idx="31">
                  <c:v>1.3158524904214522E-2</c:v>
                </c:pt>
                <c:pt idx="32">
                  <c:v>1.3158524904214522E-2</c:v>
                </c:pt>
                <c:pt idx="33">
                  <c:v>1.3158524904214522E-2</c:v>
                </c:pt>
                <c:pt idx="34">
                  <c:v>1.3158524904214522E-2</c:v>
                </c:pt>
                <c:pt idx="35">
                  <c:v>1.3158524904214522E-2</c:v>
                </c:pt>
                <c:pt idx="36">
                  <c:v>1.3158524904214522E-2</c:v>
                </c:pt>
                <c:pt idx="37">
                  <c:v>1.3158524904214522E-2</c:v>
                </c:pt>
                <c:pt idx="38">
                  <c:v>1.3158524904214522E-2</c:v>
                </c:pt>
                <c:pt idx="39">
                  <c:v>1.3158524904214522E-2</c:v>
                </c:pt>
                <c:pt idx="40">
                  <c:v>1.3158524904214522E-2</c:v>
                </c:pt>
                <c:pt idx="41">
                  <c:v>1.3158524904214522E-2</c:v>
                </c:pt>
                <c:pt idx="42">
                  <c:v>1.3158524904214522E-2</c:v>
                </c:pt>
                <c:pt idx="43">
                  <c:v>1.3158524904214522E-2</c:v>
                </c:pt>
                <c:pt idx="44">
                  <c:v>1.3158524904214522E-2</c:v>
                </c:pt>
                <c:pt idx="45">
                  <c:v>1.3158524904214522E-2</c:v>
                </c:pt>
                <c:pt idx="46">
                  <c:v>1.3158524904214522E-2</c:v>
                </c:pt>
                <c:pt idx="47">
                  <c:v>1.3158524904214522E-2</c:v>
                </c:pt>
                <c:pt idx="48">
                  <c:v>1.3158524904214522E-2</c:v>
                </c:pt>
                <c:pt idx="49">
                  <c:v>1.3158524904214522E-2</c:v>
                </c:pt>
                <c:pt idx="50">
                  <c:v>1.3158524904214522E-2</c:v>
                </c:pt>
                <c:pt idx="51">
                  <c:v>1.3158524904214522E-2</c:v>
                </c:pt>
                <c:pt idx="52">
                  <c:v>1.3158524904214522E-2</c:v>
                </c:pt>
                <c:pt idx="53">
                  <c:v>1.3158524904214522E-2</c:v>
                </c:pt>
                <c:pt idx="54">
                  <c:v>1.3158524904214522E-2</c:v>
                </c:pt>
                <c:pt idx="55">
                  <c:v>1.3158524904214522E-2</c:v>
                </c:pt>
                <c:pt idx="56">
                  <c:v>1.3158524904214522E-2</c:v>
                </c:pt>
                <c:pt idx="57">
                  <c:v>1.3158524904214522E-2</c:v>
                </c:pt>
                <c:pt idx="58">
                  <c:v>1.3158524904214522E-2</c:v>
                </c:pt>
                <c:pt idx="59">
                  <c:v>1.3158524904214522E-2</c:v>
                </c:pt>
                <c:pt idx="60">
                  <c:v>1.3158524904214522E-2</c:v>
                </c:pt>
                <c:pt idx="61">
                  <c:v>1.3158524904214522E-2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2272"/>
        <c:axId val="139144192"/>
      </c:lineChart>
      <c:catAx>
        <c:axId val="1391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  <a:cs typeface="ＭＳ ゴシック"/>
                  </a:defRPr>
                </a:pPr>
                <a:r>
                  <a:rPr altLang="en-US"/>
                  <a:t>Lot.No</a:t>
                </a:r>
              </a:p>
            </c:rich>
          </c:tx>
          <c:layout>
            <c:manualLayout>
              <c:xMode val="edge"/>
              <c:yMode val="edge"/>
              <c:x val="0.42164781906300486"/>
              <c:y val="0.88599348534201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144192"/>
        <c:crossesAt val="6.9444444444444441E-3"/>
        <c:auto val="1"/>
        <c:lblAlgn val="ctr"/>
        <c:lblOffset val="100"/>
        <c:tickLblSkip val="1"/>
        <c:tickMarkSkip val="1"/>
        <c:noMultiLvlLbl val="0"/>
      </c:catAx>
      <c:valAx>
        <c:axId val="139144192"/>
        <c:scaling>
          <c:orientation val="minMax"/>
          <c:max val="2.0833333333333332E-2"/>
          <c:min val="6.944444444444444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142272"/>
        <c:crosses val="autoZero"/>
        <c:crossBetween val="between"/>
        <c:majorUnit val="1.3888888888888889E-3"/>
        <c:minorUnit val="1.3888888888888889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83360258481421"/>
          <c:y val="0.16938110749185667"/>
          <c:w val="0.1421647819063005"/>
          <c:h val="0.42019543973941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altLang="en-US"/>
              <a:t>冷却温度</a:t>
            </a:r>
          </a:p>
        </c:rich>
      </c:tx>
      <c:layout>
        <c:manualLayout>
          <c:xMode val="edge"/>
          <c:yMode val="edge"/>
          <c:x val="0.45867098865478118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1069692058347"/>
          <c:y val="0.19480519480519481"/>
          <c:w val="0.68719611021069693"/>
          <c:h val="0.49025974025974028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ﾃﾞｰﾀｰ!$AA$5</c:f>
              <c:strCache>
                <c:ptCount val="1"/>
                <c:pt idx="0">
                  <c:v>冷却温度
(抜出開始時)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ﾃﾞｰﾀｰ!$AA$6:$AA$67</c:f>
              <c:numCache>
                <c:formatCode>0.0_ </c:formatCode>
                <c:ptCount val="62"/>
                <c:pt idx="0">
                  <c:v>28.9</c:v>
                </c:pt>
                <c:pt idx="1">
                  <c:v>29.3</c:v>
                </c:pt>
                <c:pt idx="2">
                  <c:v>29.2</c:v>
                </c:pt>
                <c:pt idx="3">
                  <c:v>28.9</c:v>
                </c:pt>
                <c:pt idx="4">
                  <c:v>29.5</c:v>
                </c:pt>
                <c:pt idx="5">
                  <c:v>29.4</c:v>
                </c:pt>
                <c:pt idx="6">
                  <c:v>29.4</c:v>
                </c:pt>
                <c:pt idx="7">
                  <c:v>29.2</c:v>
                </c:pt>
                <c:pt idx="8">
                  <c:v>29.4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28.9</c:v>
                </c:pt>
                <c:pt idx="13">
                  <c:v>29.4</c:v>
                </c:pt>
                <c:pt idx="14">
                  <c:v>29</c:v>
                </c:pt>
                <c:pt idx="15">
                  <c:v>29.1</c:v>
                </c:pt>
                <c:pt idx="16">
                  <c:v>29.2</c:v>
                </c:pt>
                <c:pt idx="17">
                  <c:v>29.4</c:v>
                </c:pt>
                <c:pt idx="18">
                  <c:v>28.9</c:v>
                </c:pt>
                <c:pt idx="19">
                  <c:v>29</c:v>
                </c:pt>
                <c:pt idx="20">
                  <c:v>29.1</c:v>
                </c:pt>
                <c:pt idx="21">
                  <c:v>29.3</c:v>
                </c:pt>
                <c:pt idx="22">
                  <c:v>29.2</c:v>
                </c:pt>
                <c:pt idx="23">
                  <c:v>29.2</c:v>
                </c:pt>
                <c:pt idx="24">
                  <c:v>27.5</c:v>
                </c:pt>
                <c:pt idx="25">
                  <c:v>29.1</c:v>
                </c:pt>
                <c:pt idx="26">
                  <c:v>29.1</c:v>
                </c:pt>
                <c:pt idx="27">
                  <c:v>29</c:v>
                </c:pt>
                <c:pt idx="28">
                  <c:v>28.8</c:v>
                </c:pt>
                <c:pt idx="29">
                  <c:v>29</c:v>
                </c:pt>
                <c:pt idx="30">
                  <c:v>29.1</c:v>
                </c:pt>
                <c:pt idx="31">
                  <c:v>29.3</c:v>
                </c:pt>
              </c:numCache>
            </c:numRef>
          </c:val>
          <c:smooth val="0"/>
        </c:ser>
        <c:ser>
          <c:idx val="1"/>
          <c:order val="1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ﾃﾞｰﾀｰ!$CE$6:$CE$67</c:f>
              <c:numCache>
                <c:formatCode>0.0_);[Red]\(0.0\)</c:formatCode>
                <c:ptCount val="62"/>
                <c:pt idx="0">
                  <c:v>28.696690452912026</c:v>
                </c:pt>
                <c:pt idx="1">
                  <c:v>28.696690452912026</c:v>
                </c:pt>
                <c:pt idx="2">
                  <c:v>28.696690452912026</c:v>
                </c:pt>
                <c:pt idx="3">
                  <c:v>28.696690452912026</c:v>
                </c:pt>
                <c:pt idx="4">
                  <c:v>28.696690452912026</c:v>
                </c:pt>
                <c:pt idx="5">
                  <c:v>28.696690452912026</c:v>
                </c:pt>
                <c:pt idx="6">
                  <c:v>28.696690452912026</c:v>
                </c:pt>
                <c:pt idx="7">
                  <c:v>28.696690452912026</c:v>
                </c:pt>
                <c:pt idx="8">
                  <c:v>28.696690452912026</c:v>
                </c:pt>
                <c:pt idx="9">
                  <c:v>28.696690452912026</c:v>
                </c:pt>
                <c:pt idx="10">
                  <c:v>28.696690452912026</c:v>
                </c:pt>
                <c:pt idx="11">
                  <c:v>28.696690452912026</c:v>
                </c:pt>
                <c:pt idx="12">
                  <c:v>28.696690452912026</c:v>
                </c:pt>
                <c:pt idx="13">
                  <c:v>28.696690452912026</c:v>
                </c:pt>
                <c:pt idx="14">
                  <c:v>28.696690452912026</c:v>
                </c:pt>
                <c:pt idx="15">
                  <c:v>28.696690452912026</c:v>
                </c:pt>
                <c:pt idx="16">
                  <c:v>28.696690452912026</c:v>
                </c:pt>
                <c:pt idx="17">
                  <c:v>28.696690452912026</c:v>
                </c:pt>
                <c:pt idx="18">
                  <c:v>28.696690452912026</c:v>
                </c:pt>
                <c:pt idx="19">
                  <c:v>28.696690452912026</c:v>
                </c:pt>
                <c:pt idx="20">
                  <c:v>28.696690452912026</c:v>
                </c:pt>
                <c:pt idx="21">
                  <c:v>28.696690452912026</c:v>
                </c:pt>
                <c:pt idx="22">
                  <c:v>28.696690452912026</c:v>
                </c:pt>
                <c:pt idx="23">
                  <c:v>28.696690452912026</c:v>
                </c:pt>
                <c:pt idx="24">
                  <c:v>28.696690452912026</c:v>
                </c:pt>
                <c:pt idx="25">
                  <c:v>28.696690452912026</c:v>
                </c:pt>
                <c:pt idx="26">
                  <c:v>28.696690452912026</c:v>
                </c:pt>
                <c:pt idx="27">
                  <c:v>28.696690452912026</c:v>
                </c:pt>
                <c:pt idx="28">
                  <c:v>28.696690452912026</c:v>
                </c:pt>
                <c:pt idx="29">
                  <c:v>28.696690452912026</c:v>
                </c:pt>
                <c:pt idx="30">
                  <c:v>28.696690452912026</c:v>
                </c:pt>
                <c:pt idx="31">
                  <c:v>28.696690452912026</c:v>
                </c:pt>
                <c:pt idx="32">
                  <c:v>28.696690452912026</c:v>
                </c:pt>
                <c:pt idx="33">
                  <c:v>28.696690452912026</c:v>
                </c:pt>
                <c:pt idx="34">
                  <c:v>28.696690452912026</c:v>
                </c:pt>
                <c:pt idx="35">
                  <c:v>28.696690452912026</c:v>
                </c:pt>
                <c:pt idx="36">
                  <c:v>28.696690452912026</c:v>
                </c:pt>
                <c:pt idx="37">
                  <c:v>28.696690452912026</c:v>
                </c:pt>
                <c:pt idx="38">
                  <c:v>28.696690452912026</c:v>
                </c:pt>
                <c:pt idx="39">
                  <c:v>28.696690452912026</c:v>
                </c:pt>
                <c:pt idx="40">
                  <c:v>28.696690452912026</c:v>
                </c:pt>
                <c:pt idx="41">
                  <c:v>28.696690452912026</c:v>
                </c:pt>
                <c:pt idx="42">
                  <c:v>28.696690452912026</c:v>
                </c:pt>
                <c:pt idx="43">
                  <c:v>28.696690452912026</c:v>
                </c:pt>
                <c:pt idx="44">
                  <c:v>28.696690452912026</c:v>
                </c:pt>
                <c:pt idx="45">
                  <c:v>28.696690452912026</c:v>
                </c:pt>
                <c:pt idx="46">
                  <c:v>28.696690452912026</c:v>
                </c:pt>
                <c:pt idx="47">
                  <c:v>28.696690452912026</c:v>
                </c:pt>
                <c:pt idx="48">
                  <c:v>28.696690452912026</c:v>
                </c:pt>
                <c:pt idx="49">
                  <c:v>28.696690452912026</c:v>
                </c:pt>
                <c:pt idx="50">
                  <c:v>28.696690452912026</c:v>
                </c:pt>
                <c:pt idx="51">
                  <c:v>28.696690452912026</c:v>
                </c:pt>
                <c:pt idx="52">
                  <c:v>28.696690452912026</c:v>
                </c:pt>
                <c:pt idx="53">
                  <c:v>28.696690452912026</c:v>
                </c:pt>
                <c:pt idx="54">
                  <c:v>28.696690452912026</c:v>
                </c:pt>
                <c:pt idx="55">
                  <c:v>28.696690452912026</c:v>
                </c:pt>
                <c:pt idx="56">
                  <c:v>28.696690452912026</c:v>
                </c:pt>
                <c:pt idx="57">
                  <c:v>28.696690452912026</c:v>
                </c:pt>
                <c:pt idx="58">
                  <c:v>28.696690452912026</c:v>
                </c:pt>
                <c:pt idx="59">
                  <c:v>28.696690452912026</c:v>
                </c:pt>
                <c:pt idx="60">
                  <c:v>28.696690452912026</c:v>
                </c:pt>
                <c:pt idx="61">
                  <c:v>28.696690452912026</c:v>
                </c:pt>
              </c:numCache>
            </c:numRef>
          </c:val>
          <c:smooth val="0"/>
        </c:ser>
        <c:ser>
          <c:idx val="2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ﾃﾞｰﾀｰ!$CF$6:$CF$67</c:f>
              <c:numCache>
                <c:formatCode>0.0_);[Red]\(0.0\)</c:formatCode>
                <c:ptCount val="62"/>
                <c:pt idx="0">
                  <c:v>29.661930236743164</c:v>
                </c:pt>
                <c:pt idx="1">
                  <c:v>29.661930236743164</c:v>
                </c:pt>
                <c:pt idx="2">
                  <c:v>29.661930236743164</c:v>
                </c:pt>
                <c:pt idx="3">
                  <c:v>29.661930236743164</c:v>
                </c:pt>
                <c:pt idx="4">
                  <c:v>29.661930236743164</c:v>
                </c:pt>
                <c:pt idx="5">
                  <c:v>29.661930236743164</c:v>
                </c:pt>
                <c:pt idx="6">
                  <c:v>29.661930236743164</c:v>
                </c:pt>
                <c:pt idx="7">
                  <c:v>29.661930236743164</c:v>
                </c:pt>
                <c:pt idx="8">
                  <c:v>29.661930236743164</c:v>
                </c:pt>
                <c:pt idx="9">
                  <c:v>29.661930236743164</c:v>
                </c:pt>
                <c:pt idx="10">
                  <c:v>29.661930236743164</c:v>
                </c:pt>
                <c:pt idx="11">
                  <c:v>29.661930236743164</c:v>
                </c:pt>
                <c:pt idx="12">
                  <c:v>29.661930236743164</c:v>
                </c:pt>
                <c:pt idx="13">
                  <c:v>29.661930236743164</c:v>
                </c:pt>
                <c:pt idx="14">
                  <c:v>29.661930236743164</c:v>
                </c:pt>
                <c:pt idx="15">
                  <c:v>29.661930236743164</c:v>
                </c:pt>
                <c:pt idx="16">
                  <c:v>29.661930236743164</c:v>
                </c:pt>
                <c:pt idx="17">
                  <c:v>29.661930236743164</c:v>
                </c:pt>
                <c:pt idx="18">
                  <c:v>29.661930236743164</c:v>
                </c:pt>
                <c:pt idx="19">
                  <c:v>29.661930236743164</c:v>
                </c:pt>
                <c:pt idx="20">
                  <c:v>29.661930236743164</c:v>
                </c:pt>
                <c:pt idx="21">
                  <c:v>29.661930236743164</c:v>
                </c:pt>
                <c:pt idx="22">
                  <c:v>29.661930236743164</c:v>
                </c:pt>
                <c:pt idx="23">
                  <c:v>29.661930236743164</c:v>
                </c:pt>
                <c:pt idx="24">
                  <c:v>29.661930236743164</c:v>
                </c:pt>
                <c:pt idx="25">
                  <c:v>29.661930236743164</c:v>
                </c:pt>
                <c:pt idx="26">
                  <c:v>29.661930236743164</c:v>
                </c:pt>
                <c:pt idx="27">
                  <c:v>29.661930236743164</c:v>
                </c:pt>
                <c:pt idx="28">
                  <c:v>29.661930236743164</c:v>
                </c:pt>
                <c:pt idx="29">
                  <c:v>29.661930236743164</c:v>
                </c:pt>
                <c:pt idx="30">
                  <c:v>29.661930236743164</c:v>
                </c:pt>
                <c:pt idx="31">
                  <c:v>29.661930236743164</c:v>
                </c:pt>
                <c:pt idx="32">
                  <c:v>29.661930236743164</c:v>
                </c:pt>
                <c:pt idx="33">
                  <c:v>29.661930236743164</c:v>
                </c:pt>
                <c:pt idx="34">
                  <c:v>29.661930236743164</c:v>
                </c:pt>
                <c:pt idx="35">
                  <c:v>29.661930236743164</c:v>
                </c:pt>
                <c:pt idx="36">
                  <c:v>29.661930236743164</c:v>
                </c:pt>
                <c:pt idx="37">
                  <c:v>29.661930236743164</c:v>
                </c:pt>
                <c:pt idx="38">
                  <c:v>29.661930236743164</c:v>
                </c:pt>
                <c:pt idx="39">
                  <c:v>29.661930236743164</c:v>
                </c:pt>
                <c:pt idx="40">
                  <c:v>29.661930236743164</c:v>
                </c:pt>
                <c:pt idx="41">
                  <c:v>29.661930236743164</c:v>
                </c:pt>
                <c:pt idx="42">
                  <c:v>29.661930236743164</c:v>
                </c:pt>
                <c:pt idx="43">
                  <c:v>29.661930236743164</c:v>
                </c:pt>
                <c:pt idx="44">
                  <c:v>29.661930236743164</c:v>
                </c:pt>
                <c:pt idx="45">
                  <c:v>29.661930236743164</c:v>
                </c:pt>
                <c:pt idx="46">
                  <c:v>29.661930236743164</c:v>
                </c:pt>
                <c:pt idx="47">
                  <c:v>29.661930236743164</c:v>
                </c:pt>
                <c:pt idx="48">
                  <c:v>29.661930236743164</c:v>
                </c:pt>
                <c:pt idx="49">
                  <c:v>29.661930236743164</c:v>
                </c:pt>
                <c:pt idx="50">
                  <c:v>29.661930236743164</c:v>
                </c:pt>
                <c:pt idx="51">
                  <c:v>29.661930236743164</c:v>
                </c:pt>
                <c:pt idx="52">
                  <c:v>29.661930236743164</c:v>
                </c:pt>
                <c:pt idx="53">
                  <c:v>29.661930236743164</c:v>
                </c:pt>
                <c:pt idx="54">
                  <c:v>29.661930236743164</c:v>
                </c:pt>
                <c:pt idx="55">
                  <c:v>29.661930236743164</c:v>
                </c:pt>
                <c:pt idx="56">
                  <c:v>29.661930236743164</c:v>
                </c:pt>
                <c:pt idx="57">
                  <c:v>29.661930236743164</c:v>
                </c:pt>
                <c:pt idx="58">
                  <c:v>29.661930236743164</c:v>
                </c:pt>
                <c:pt idx="59">
                  <c:v>29.661930236743164</c:v>
                </c:pt>
                <c:pt idx="60">
                  <c:v>29.661930236743164</c:v>
                </c:pt>
                <c:pt idx="61">
                  <c:v>29.661930236743164</c:v>
                </c:pt>
              </c:numCache>
            </c:numRef>
          </c:val>
          <c:smooth val="0"/>
        </c:ser>
        <c:ser>
          <c:idx val="3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ﾃﾞｰﾀｰ!$DT$6:$DT$67</c:f>
              <c:numCache>
                <c:formatCode>0.0_);[Red]\(0.0\)</c:formatCode>
                <c:ptCount val="62"/>
                <c:pt idx="0">
                  <c:v>29.179310344827595</c:v>
                </c:pt>
                <c:pt idx="1">
                  <c:v>29.179310344827595</c:v>
                </c:pt>
                <c:pt idx="2">
                  <c:v>29.179310344827595</c:v>
                </c:pt>
                <c:pt idx="3">
                  <c:v>29.179310344827595</c:v>
                </c:pt>
                <c:pt idx="4">
                  <c:v>29.179310344827595</c:v>
                </c:pt>
                <c:pt idx="5">
                  <c:v>29.179310344827595</c:v>
                </c:pt>
                <c:pt idx="6">
                  <c:v>29.179310344827595</c:v>
                </c:pt>
                <c:pt idx="7">
                  <c:v>29.179310344827595</c:v>
                </c:pt>
                <c:pt idx="8">
                  <c:v>29.179310344827595</c:v>
                </c:pt>
                <c:pt idx="9">
                  <c:v>29.179310344827595</c:v>
                </c:pt>
                <c:pt idx="10">
                  <c:v>29.179310344827595</c:v>
                </c:pt>
                <c:pt idx="11">
                  <c:v>29.179310344827595</c:v>
                </c:pt>
                <c:pt idx="12">
                  <c:v>29.179310344827595</c:v>
                </c:pt>
                <c:pt idx="13">
                  <c:v>29.179310344827595</c:v>
                </c:pt>
                <c:pt idx="14">
                  <c:v>29.179310344827595</c:v>
                </c:pt>
                <c:pt idx="15">
                  <c:v>29.179310344827595</c:v>
                </c:pt>
                <c:pt idx="16">
                  <c:v>29.179310344827595</c:v>
                </c:pt>
                <c:pt idx="17">
                  <c:v>29.179310344827595</c:v>
                </c:pt>
                <c:pt idx="18">
                  <c:v>29.179310344827595</c:v>
                </c:pt>
                <c:pt idx="19">
                  <c:v>29.179310344827595</c:v>
                </c:pt>
                <c:pt idx="20">
                  <c:v>29.179310344827595</c:v>
                </c:pt>
                <c:pt idx="21">
                  <c:v>29.179310344827595</c:v>
                </c:pt>
                <c:pt idx="22">
                  <c:v>29.179310344827595</c:v>
                </c:pt>
                <c:pt idx="23">
                  <c:v>29.179310344827595</c:v>
                </c:pt>
                <c:pt idx="24">
                  <c:v>29.179310344827595</c:v>
                </c:pt>
                <c:pt idx="25">
                  <c:v>29.179310344827595</c:v>
                </c:pt>
                <c:pt idx="26">
                  <c:v>29.179310344827595</c:v>
                </c:pt>
                <c:pt idx="27">
                  <c:v>29.179310344827595</c:v>
                </c:pt>
                <c:pt idx="28">
                  <c:v>29.179310344827595</c:v>
                </c:pt>
                <c:pt idx="29">
                  <c:v>29.179310344827595</c:v>
                </c:pt>
                <c:pt idx="30">
                  <c:v>29.179310344827595</c:v>
                </c:pt>
                <c:pt idx="31">
                  <c:v>29.179310344827595</c:v>
                </c:pt>
                <c:pt idx="32">
                  <c:v>29.179310344827595</c:v>
                </c:pt>
                <c:pt idx="33">
                  <c:v>29.179310344827595</c:v>
                </c:pt>
                <c:pt idx="34">
                  <c:v>29.179310344827595</c:v>
                </c:pt>
                <c:pt idx="35">
                  <c:v>29.179310344827595</c:v>
                </c:pt>
                <c:pt idx="36">
                  <c:v>29.179310344827595</c:v>
                </c:pt>
                <c:pt idx="37">
                  <c:v>29.179310344827595</c:v>
                </c:pt>
                <c:pt idx="38">
                  <c:v>29.179310344827595</c:v>
                </c:pt>
                <c:pt idx="39">
                  <c:v>29.179310344827595</c:v>
                </c:pt>
                <c:pt idx="40">
                  <c:v>29.179310344827595</c:v>
                </c:pt>
                <c:pt idx="41">
                  <c:v>29.179310344827595</c:v>
                </c:pt>
                <c:pt idx="42">
                  <c:v>29.179310344827595</c:v>
                </c:pt>
                <c:pt idx="43">
                  <c:v>29.179310344827595</c:v>
                </c:pt>
                <c:pt idx="44">
                  <c:v>29.179310344827595</c:v>
                </c:pt>
                <c:pt idx="45">
                  <c:v>29.179310344827595</c:v>
                </c:pt>
                <c:pt idx="46">
                  <c:v>29.179310344827595</c:v>
                </c:pt>
                <c:pt idx="47">
                  <c:v>29.179310344827595</c:v>
                </c:pt>
                <c:pt idx="48">
                  <c:v>29.179310344827595</c:v>
                </c:pt>
                <c:pt idx="49">
                  <c:v>29.179310344827595</c:v>
                </c:pt>
                <c:pt idx="50">
                  <c:v>29.179310344827595</c:v>
                </c:pt>
                <c:pt idx="51">
                  <c:v>29.179310344827595</c:v>
                </c:pt>
                <c:pt idx="52">
                  <c:v>29.179310344827595</c:v>
                </c:pt>
                <c:pt idx="53">
                  <c:v>29.179310344827595</c:v>
                </c:pt>
                <c:pt idx="54">
                  <c:v>29.179310344827595</c:v>
                </c:pt>
                <c:pt idx="55">
                  <c:v>29.179310344827595</c:v>
                </c:pt>
                <c:pt idx="56">
                  <c:v>29.179310344827595</c:v>
                </c:pt>
                <c:pt idx="57">
                  <c:v>29.179310344827595</c:v>
                </c:pt>
                <c:pt idx="58">
                  <c:v>29.179310344827595</c:v>
                </c:pt>
                <c:pt idx="59">
                  <c:v>29.179310344827595</c:v>
                </c:pt>
                <c:pt idx="60">
                  <c:v>29.179310344827595</c:v>
                </c:pt>
                <c:pt idx="61">
                  <c:v>29.179310344827595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2288"/>
        <c:axId val="139214208"/>
      </c:lineChart>
      <c:catAx>
        <c:axId val="1392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  <a:cs typeface="ＭＳ ゴシック"/>
                  </a:defRPr>
                </a:pPr>
                <a:r>
                  <a:rPr altLang="en-US"/>
                  <a:t>Lot.No</a:t>
                </a:r>
              </a:p>
            </c:rich>
          </c:tx>
          <c:layout>
            <c:manualLayout>
              <c:xMode val="edge"/>
              <c:yMode val="edge"/>
              <c:x val="0.42139384116693679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214208"/>
        <c:crossesAt val="28"/>
        <c:auto val="1"/>
        <c:lblAlgn val="ctr"/>
        <c:lblOffset val="100"/>
        <c:tickLblSkip val="1"/>
        <c:tickMarkSkip val="1"/>
        <c:noMultiLvlLbl val="0"/>
      </c:catAx>
      <c:valAx>
        <c:axId val="139214208"/>
        <c:scaling>
          <c:orientation val="minMax"/>
          <c:max val="32"/>
          <c:min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21228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30470016207459"/>
          <c:y val="0.16883116883116883"/>
          <c:w val="0.14262560777957861"/>
          <c:h val="0.41883116883116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altLang="en-US"/>
              <a:t>移送時間</a:t>
            </a:r>
          </a:p>
        </c:rich>
      </c:tx>
      <c:layout>
        <c:manualLayout>
          <c:xMode val="edge"/>
          <c:yMode val="edge"/>
          <c:x val="0.45792952620841898"/>
          <c:y val="3.5598818007995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5066186707036"/>
          <c:y val="0.19417537095270451"/>
          <c:w val="0.68608522654547577"/>
          <c:h val="0.49191093974685146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ﾃﾞｰﾀｰ!$AN$5</c:f>
              <c:strCache>
                <c:ptCount val="1"/>
                <c:pt idx="0">
                  <c:v>移送時間（充填後⇒保管庫）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ﾃﾞｰﾀｰ!$AN$6:$AN$67</c:f>
              <c:numCache>
                <c:formatCode>h:mm;@</c:formatCode>
                <c:ptCount val="62"/>
                <c:pt idx="0">
                  <c:v>6.9444444444444198E-3</c:v>
                </c:pt>
                <c:pt idx="1">
                  <c:v>8.3333333333333037E-3</c:v>
                </c:pt>
                <c:pt idx="2">
                  <c:v>9.7222222222222987E-3</c:v>
                </c:pt>
                <c:pt idx="3">
                  <c:v>6.2500000000000888E-3</c:v>
                </c:pt>
                <c:pt idx="4">
                  <c:v>7.6388888888888618E-3</c:v>
                </c:pt>
                <c:pt idx="5">
                  <c:v>9.7222222222222987E-3</c:v>
                </c:pt>
                <c:pt idx="6">
                  <c:v>6.9444444444444198E-3</c:v>
                </c:pt>
                <c:pt idx="7">
                  <c:v>6.2499999999999778E-3</c:v>
                </c:pt>
                <c:pt idx="8">
                  <c:v>4.8611111111110938E-3</c:v>
                </c:pt>
                <c:pt idx="9">
                  <c:v>6.9444444444445308E-3</c:v>
                </c:pt>
                <c:pt idx="10">
                  <c:v>6.2499999999999778E-3</c:v>
                </c:pt>
                <c:pt idx="11">
                  <c:v>6.9444444444444198E-3</c:v>
                </c:pt>
                <c:pt idx="12">
                  <c:v>7.6388888888888618E-3</c:v>
                </c:pt>
                <c:pt idx="13">
                  <c:v>7.6388888888888618E-3</c:v>
                </c:pt>
                <c:pt idx="14">
                  <c:v>1.1805555555555514E-2</c:v>
                </c:pt>
                <c:pt idx="15">
                  <c:v>7.6388888888888618E-3</c:v>
                </c:pt>
                <c:pt idx="16">
                  <c:v>7.6388888888888618E-3</c:v>
                </c:pt>
                <c:pt idx="17">
                  <c:v>9.0277777777777457E-3</c:v>
                </c:pt>
                <c:pt idx="18">
                  <c:v>5.5555555555555358E-3</c:v>
                </c:pt>
                <c:pt idx="19">
                  <c:v>6.9444444444445308E-3</c:v>
                </c:pt>
                <c:pt idx="20">
                  <c:v>9.0277777777778567E-3</c:v>
                </c:pt>
                <c:pt idx="21">
                  <c:v>5.5555555555555358E-3</c:v>
                </c:pt>
                <c:pt idx="22">
                  <c:v>5.5555555555555358E-3</c:v>
                </c:pt>
                <c:pt idx="23">
                  <c:v>6.2499999999999778E-3</c:v>
                </c:pt>
                <c:pt idx="24">
                  <c:v>6.9444444444445308E-3</c:v>
                </c:pt>
                <c:pt idx="25">
                  <c:v>7.6388888888888618E-3</c:v>
                </c:pt>
                <c:pt idx="26">
                  <c:v>4.1666666666665408E-3</c:v>
                </c:pt>
                <c:pt idx="27">
                  <c:v>9.0277777777777457E-3</c:v>
                </c:pt>
                <c:pt idx="28">
                  <c:v>8.3333333333333037E-3</c:v>
                </c:pt>
                <c:pt idx="29">
                  <c:v>8.3333333333333037E-3</c:v>
                </c:pt>
                <c:pt idx="30">
                  <c:v>8.3333333333333037E-3</c:v>
                </c:pt>
                <c:pt idx="31">
                  <c:v>1.2499999999999956E-2</c:v>
                </c:pt>
              </c:numCache>
            </c:numRef>
          </c:val>
          <c:smooth val="0"/>
        </c:ser>
        <c:ser>
          <c:idx val="1"/>
          <c:order val="1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ﾃﾞｰﾀｰ!$CW$6:$CW$67</c:f>
              <c:numCache>
                <c:formatCode>0.0_);[Red]\(0.0\)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ﾃﾞｰﾀｰ!$CX$6:$CX$67</c:f>
              <c:numCache>
                <c:formatCode>0.0_);[Red]\(0.0\)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ﾃﾞｰﾀｰ!$EC$6:$EC$67</c:f>
              <c:numCache>
                <c:formatCode>0.0_);[Red]\(0.0\)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57728"/>
        <c:axId val="139268096"/>
      </c:lineChart>
      <c:catAx>
        <c:axId val="1392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  <a:cs typeface="ＭＳ ゴシック"/>
                  </a:defRPr>
                </a:pPr>
                <a:r>
                  <a:rPr altLang="en-US"/>
                  <a:t>Lot.No</a:t>
                </a:r>
              </a:p>
            </c:rich>
          </c:tx>
          <c:layout>
            <c:manualLayout>
              <c:xMode val="edge"/>
              <c:yMode val="edge"/>
              <c:x val="0.42233076445370094"/>
              <c:y val="0.886734194017350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2680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9268096"/>
        <c:scaling>
          <c:orientation val="minMax"/>
          <c:max val="1.24999999999999E-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257728"/>
        <c:crosses val="autoZero"/>
        <c:crossBetween val="between"/>
        <c:majorUnit val="1.38888888888889E-3"/>
        <c:minorUnit val="1.38888888888889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95277570156956"/>
          <c:y val="0.1682853214923439"/>
          <c:w val="0.14239504701887234"/>
          <c:h val="0.41747704754831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altLang="en-US"/>
              <a:t>ｽﾄﾚｰﾅ異物量</a:t>
            </a:r>
          </a:p>
        </c:rich>
      </c:tx>
      <c:layout>
        <c:manualLayout>
          <c:xMode val="edge"/>
          <c:yMode val="edge"/>
          <c:x val="0.44318216947653194"/>
          <c:y val="3.5598818007995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8969789159038"/>
          <c:y val="0.19417537095270451"/>
          <c:w val="0.68668885600209895"/>
          <c:h val="0.49191093974685146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ﾃﾞｰﾀｰ!$S$5</c:f>
              <c:strCache>
                <c:ptCount val="1"/>
                <c:pt idx="0">
                  <c:v>ストレーナ内異物量(g)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ﾃﾞｰﾀｰ!$S$6:$S$67</c:f>
              <c:numCache>
                <c:formatCode>0_ ;[Red]\-0\ </c:formatCode>
                <c:ptCount val="62"/>
                <c:pt idx="0">
                  <c:v>96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92</c:v>
                </c:pt>
                <c:pt idx="5">
                  <c:v>91</c:v>
                </c:pt>
                <c:pt idx="6">
                  <c:v>92</c:v>
                </c:pt>
                <c:pt idx="7">
                  <c:v>95</c:v>
                </c:pt>
                <c:pt idx="8">
                  <c:v>97</c:v>
                </c:pt>
                <c:pt idx="9">
                  <c:v>97</c:v>
                </c:pt>
                <c:pt idx="10">
                  <c:v>99</c:v>
                </c:pt>
                <c:pt idx="11">
                  <c:v>94</c:v>
                </c:pt>
                <c:pt idx="12">
                  <c:v>93</c:v>
                </c:pt>
                <c:pt idx="13">
                  <c:v>103</c:v>
                </c:pt>
                <c:pt idx="14">
                  <c:v>83</c:v>
                </c:pt>
                <c:pt idx="15">
                  <c:v>82</c:v>
                </c:pt>
                <c:pt idx="16">
                  <c:v>91</c:v>
                </c:pt>
                <c:pt idx="17">
                  <c:v>92</c:v>
                </c:pt>
                <c:pt idx="18">
                  <c:v>108</c:v>
                </c:pt>
                <c:pt idx="19">
                  <c:v>95</c:v>
                </c:pt>
                <c:pt idx="20">
                  <c:v>59</c:v>
                </c:pt>
                <c:pt idx="21">
                  <c:v>62</c:v>
                </c:pt>
                <c:pt idx="22">
                  <c:v>94</c:v>
                </c:pt>
                <c:pt idx="23">
                  <c:v>101</c:v>
                </c:pt>
                <c:pt idx="24">
                  <c:v>99</c:v>
                </c:pt>
                <c:pt idx="25">
                  <c:v>97</c:v>
                </c:pt>
                <c:pt idx="27">
                  <c:v>47</c:v>
                </c:pt>
                <c:pt idx="29">
                  <c:v>100</c:v>
                </c:pt>
                <c:pt idx="30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ﾃﾞｰﾀｰ!$BS$6:$BS$67</c:f>
              <c:numCache>
                <c:formatCode>0.0_);[Red]\(0.0\)</c:formatCode>
                <c:ptCount val="62"/>
                <c:pt idx="0">
                  <c:v>56.437095452304185</c:v>
                </c:pt>
                <c:pt idx="1">
                  <c:v>56.437095452304185</c:v>
                </c:pt>
                <c:pt idx="2">
                  <c:v>56.437095452304185</c:v>
                </c:pt>
                <c:pt idx="3">
                  <c:v>56.437095452304185</c:v>
                </c:pt>
                <c:pt idx="4">
                  <c:v>56.437095452304185</c:v>
                </c:pt>
                <c:pt idx="5">
                  <c:v>56.437095452304185</c:v>
                </c:pt>
                <c:pt idx="6">
                  <c:v>56.437095452304185</c:v>
                </c:pt>
                <c:pt idx="7">
                  <c:v>56.437095452304185</c:v>
                </c:pt>
                <c:pt idx="8">
                  <c:v>56.437095452304185</c:v>
                </c:pt>
                <c:pt idx="9">
                  <c:v>56.437095452304185</c:v>
                </c:pt>
                <c:pt idx="10">
                  <c:v>56.437095452304185</c:v>
                </c:pt>
                <c:pt idx="11">
                  <c:v>56.437095452304185</c:v>
                </c:pt>
                <c:pt idx="12">
                  <c:v>56.437095452304185</c:v>
                </c:pt>
                <c:pt idx="13">
                  <c:v>56.437095452304185</c:v>
                </c:pt>
                <c:pt idx="14">
                  <c:v>56.437095452304185</c:v>
                </c:pt>
                <c:pt idx="15">
                  <c:v>56.437095452304185</c:v>
                </c:pt>
                <c:pt idx="16">
                  <c:v>56.437095452304185</c:v>
                </c:pt>
                <c:pt idx="17">
                  <c:v>56.437095452304185</c:v>
                </c:pt>
                <c:pt idx="18">
                  <c:v>56.437095452304185</c:v>
                </c:pt>
                <c:pt idx="19">
                  <c:v>56.437095452304185</c:v>
                </c:pt>
                <c:pt idx="20">
                  <c:v>56.437095452304185</c:v>
                </c:pt>
                <c:pt idx="21">
                  <c:v>56.437095452304185</c:v>
                </c:pt>
                <c:pt idx="22">
                  <c:v>56.437095452304185</c:v>
                </c:pt>
                <c:pt idx="23">
                  <c:v>56.437095452304185</c:v>
                </c:pt>
                <c:pt idx="24">
                  <c:v>56.437095452304185</c:v>
                </c:pt>
                <c:pt idx="25">
                  <c:v>56.437095452304185</c:v>
                </c:pt>
                <c:pt idx="26">
                  <c:v>56.437095452304185</c:v>
                </c:pt>
                <c:pt idx="27">
                  <c:v>56.437095452304185</c:v>
                </c:pt>
                <c:pt idx="28">
                  <c:v>56.437095452304185</c:v>
                </c:pt>
                <c:pt idx="29">
                  <c:v>56.437095452304185</c:v>
                </c:pt>
                <c:pt idx="30">
                  <c:v>56.437095452304185</c:v>
                </c:pt>
                <c:pt idx="31">
                  <c:v>56.437095452304185</c:v>
                </c:pt>
                <c:pt idx="32">
                  <c:v>56.437095452304185</c:v>
                </c:pt>
                <c:pt idx="33">
                  <c:v>56.437095452304185</c:v>
                </c:pt>
                <c:pt idx="34">
                  <c:v>56.437095452304185</c:v>
                </c:pt>
                <c:pt idx="35">
                  <c:v>56.437095452304185</c:v>
                </c:pt>
                <c:pt idx="36">
                  <c:v>56.437095452304185</c:v>
                </c:pt>
                <c:pt idx="37">
                  <c:v>56.437095452304185</c:v>
                </c:pt>
                <c:pt idx="38">
                  <c:v>56.437095452304185</c:v>
                </c:pt>
                <c:pt idx="39">
                  <c:v>56.437095452304185</c:v>
                </c:pt>
                <c:pt idx="40">
                  <c:v>56.437095452304185</c:v>
                </c:pt>
                <c:pt idx="41">
                  <c:v>56.437095452304185</c:v>
                </c:pt>
                <c:pt idx="42">
                  <c:v>56.437095452304185</c:v>
                </c:pt>
                <c:pt idx="43">
                  <c:v>56.437095452304185</c:v>
                </c:pt>
                <c:pt idx="44">
                  <c:v>56.437095452304185</c:v>
                </c:pt>
                <c:pt idx="45">
                  <c:v>56.437095452304185</c:v>
                </c:pt>
                <c:pt idx="46">
                  <c:v>56.437095452304185</c:v>
                </c:pt>
                <c:pt idx="47">
                  <c:v>56.437095452304185</c:v>
                </c:pt>
                <c:pt idx="48">
                  <c:v>56.437095452304185</c:v>
                </c:pt>
                <c:pt idx="49">
                  <c:v>56.437095452304185</c:v>
                </c:pt>
                <c:pt idx="50">
                  <c:v>56.437095452304185</c:v>
                </c:pt>
                <c:pt idx="51">
                  <c:v>56.437095452304185</c:v>
                </c:pt>
                <c:pt idx="52">
                  <c:v>56.437095452304185</c:v>
                </c:pt>
                <c:pt idx="53">
                  <c:v>56.437095452304185</c:v>
                </c:pt>
                <c:pt idx="54">
                  <c:v>56.437095452304185</c:v>
                </c:pt>
                <c:pt idx="55">
                  <c:v>56.437095452304185</c:v>
                </c:pt>
                <c:pt idx="56">
                  <c:v>56.437095452304185</c:v>
                </c:pt>
                <c:pt idx="57">
                  <c:v>56.437095452304185</c:v>
                </c:pt>
                <c:pt idx="58">
                  <c:v>56.437095452304185</c:v>
                </c:pt>
                <c:pt idx="59">
                  <c:v>56.437095452304185</c:v>
                </c:pt>
                <c:pt idx="60">
                  <c:v>56.437095452304185</c:v>
                </c:pt>
                <c:pt idx="61">
                  <c:v>56.437095452304185</c:v>
                </c:pt>
              </c:numCache>
            </c:numRef>
          </c:val>
          <c:smooth val="0"/>
        </c:ser>
        <c:ser>
          <c:idx val="2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ﾃﾞｰﾀｰ!$BT$6:$BT$67</c:f>
              <c:numCache>
                <c:formatCode>0.0_);[Red]\(0.0\)</c:formatCode>
                <c:ptCount val="62"/>
                <c:pt idx="0">
                  <c:v>134.01118040976476</c:v>
                </c:pt>
                <c:pt idx="1">
                  <c:v>134.01118040976476</c:v>
                </c:pt>
                <c:pt idx="2">
                  <c:v>134.01118040976476</c:v>
                </c:pt>
                <c:pt idx="3">
                  <c:v>134.01118040976476</c:v>
                </c:pt>
                <c:pt idx="4">
                  <c:v>134.01118040976476</c:v>
                </c:pt>
                <c:pt idx="5">
                  <c:v>134.01118040976476</c:v>
                </c:pt>
                <c:pt idx="6">
                  <c:v>134.01118040976476</c:v>
                </c:pt>
                <c:pt idx="7">
                  <c:v>134.01118040976476</c:v>
                </c:pt>
                <c:pt idx="8">
                  <c:v>134.01118040976476</c:v>
                </c:pt>
                <c:pt idx="9">
                  <c:v>134.01118040976476</c:v>
                </c:pt>
                <c:pt idx="10">
                  <c:v>134.01118040976476</c:v>
                </c:pt>
                <c:pt idx="11">
                  <c:v>134.01118040976476</c:v>
                </c:pt>
                <c:pt idx="12">
                  <c:v>134.01118040976476</c:v>
                </c:pt>
                <c:pt idx="13">
                  <c:v>134.01118040976476</c:v>
                </c:pt>
                <c:pt idx="14">
                  <c:v>134.01118040976476</c:v>
                </c:pt>
                <c:pt idx="15">
                  <c:v>134.01118040976476</c:v>
                </c:pt>
                <c:pt idx="16">
                  <c:v>134.01118040976476</c:v>
                </c:pt>
                <c:pt idx="17">
                  <c:v>134.01118040976476</c:v>
                </c:pt>
                <c:pt idx="18">
                  <c:v>134.01118040976476</c:v>
                </c:pt>
                <c:pt idx="19">
                  <c:v>134.01118040976476</c:v>
                </c:pt>
                <c:pt idx="20">
                  <c:v>134.01118040976476</c:v>
                </c:pt>
                <c:pt idx="21">
                  <c:v>134.01118040976476</c:v>
                </c:pt>
                <c:pt idx="22">
                  <c:v>134.01118040976476</c:v>
                </c:pt>
                <c:pt idx="23">
                  <c:v>134.01118040976476</c:v>
                </c:pt>
                <c:pt idx="24">
                  <c:v>134.01118040976476</c:v>
                </c:pt>
                <c:pt idx="25">
                  <c:v>134.01118040976476</c:v>
                </c:pt>
                <c:pt idx="26">
                  <c:v>134.01118040976476</c:v>
                </c:pt>
                <c:pt idx="27">
                  <c:v>134.01118040976476</c:v>
                </c:pt>
                <c:pt idx="28">
                  <c:v>134.01118040976476</c:v>
                </c:pt>
                <c:pt idx="29">
                  <c:v>134.01118040976476</c:v>
                </c:pt>
                <c:pt idx="30">
                  <c:v>134.01118040976476</c:v>
                </c:pt>
                <c:pt idx="31">
                  <c:v>134.01118040976476</c:v>
                </c:pt>
                <c:pt idx="32">
                  <c:v>134.01118040976476</c:v>
                </c:pt>
                <c:pt idx="33">
                  <c:v>134.01118040976476</c:v>
                </c:pt>
                <c:pt idx="34">
                  <c:v>134.01118040976476</c:v>
                </c:pt>
                <c:pt idx="35">
                  <c:v>134.01118040976476</c:v>
                </c:pt>
                <c:pt idx="36">
                  <c:v>134.01118040976476</c:v>
                </c:pt>
                <c:pt idx="37">
                  <c:v>134.01118040976476</c:v>
                </c:pt>
                <c:pt idx="38">
                  <c:v>134.01118040976476</c:v>
                </c:pt>
                <c:pt idx="39">
                  <c:v>134.01118040976476</c:v>
                </c:pt>
                <c:pt idx="40">
                  <c:v>134.01118040976476</c:v>
                </c:pt>
                <c:pt idx="41">
                  <c:v>134.01118040976476</c:v>
                </c:pt>
                <c:pt idx="42">
                  <c:v>134.01118040976476</c:v>
                </c:pt>
                <c:pt idx="43">
                  <c:v>134.01118040976476</c:v>
                </c:pt>
                <c:pt idx="44">
                  <c:v>134.01118040976476</c:v>
                </c:pt>
                <c:pt idx="45">
                  <c:v>134.01118040976476</c:v>
                </c:pt>
                <c:pt idx="46">
                  <c:v>134.01118040976476</c:v>
                </c:pt>
                <c:pt idx="47">
                  <c:v>134.01118040976476</c:v>
                </c:pt>
                <c:pt idx="48">
                  <c:v>134.01118040976476</c:v>
                </c:pt>
                <c:pt idx="49">
                  <c:v>134.01118040976476</c:v>
                </c:pt>
                <c:pt idx="50">
                  <c:v>134.01118040976476</c:v>
                </c:pt>
                <c:pt idx="51">
                  <c:v>134.01118040976476</c:v>
                </c:pt>
                <c:pt idx="52">
                  <c:v>134.01118040976476</c:v>
                </c:pt>
                <c:pt idx="53">
                  <c:v>134.01118040976476</c:v>
                </c:pt>
                <c:pt idx="54">
                  <c:v>134.01118040976476</c:v>
                </c:pt>
                <c:pt idx="55">
                  <c:v>134.01118040976476</c:v>
                </c:pt>
                <c:pt idx="56">
                  <c:v>134.01118040976476</c:v>
                </c:pt>
                <c:pt idx="57">
                  <c:v>134.01118040976476</c:v>
                </c:pt>
                <c:pt idx="58">
                  <c:v>134.01118040976476</c:v>
                </c:pt>
                <c:pt idx="59">
                  <c:v>134.01118040976476</c:v>
                </c:pt>
                <c:pt idx="60">
                  <c:v>134.01118040976476</c:v>
                </c:pt>
                <c:pt idx="61">
                  <c:v>134.01118040976476</c:v>
                </c:pt>
              </c:numCache>
            </c:numRef>
          </c:val>
          <c:smooth val="0"/>
        </c:ser>
        <c:ser>
          <c:idx val="3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ﾃﾞｰﾀｰ!$DN$6:$DN$67</c:f>
              <c:numCache>
                <c:formatCode>0.0_);[Red]\(0.0\)</c:formatCode>
                <c:ptCount val="62"/>
                <c:pt idx="0">
                  <c:v>95.224137931034477</c:v>
                </c:pt>
                <c:pt idx="1">
                  <c:v>95.224137931034477</c:v>
                </c:pt>
                <c:pt idx="2">
                  <c:v>95.224137931034477</c:v>
                </c:pt>
                <c:pt idx="3">
                  <c:v>95.224137931034477</c:v>
                </c:pt>
                <c:pt idx="4">
                  <c:v>95.224137931034477</c:v>
                </c:pt>
                <c:pt idx="5">
                  <c:v>95.224137931034477</c:v>
                </c:pt>
                <c:pt idx="6">
                  <c:v>95.224137931034477</c:v>
                </c:pt>
                <c:pt idx="7">
                  <c:v>95.224137931034477</c:v>
                </c:pt>
                <c:pt idx="8">
                  <c:v>95.224137931034477</c:v>
                </c:pt>
                <c:pt idx="9">
                  <c:v>95.224137931034477</c:v>
                </c:pt>
                <c:pt idx="10">
                  <c:v>95.224137931034477</c:v>
                </c:pt>
                <c:pt idx="11">
                  <c:v>95.224137931034477</c:v>
                </c:pt>
                <c:pt idx="12">
                  <c:v>95.224137931034477</c:v>
                </c:pt>
                <c:pt idx="13">
                  <c:v>95.224137931034477</c:v>
                </c:pt>
                <c:pt idx="14">
                  <c:v>95.224137931034477</c:v>
                </c:pt>
                <c:pt idx="15">
                  <c:v>95.224137931034477</c:v>
                </c:pt>
                <c:pt idx="16">
                  <c:v>95.224137931034477</c:v>
                </c:pt>
                <c:pt idx="17">
                  <c:v>95.224137931034477</c:v>
                </c:pt>
                <c:pt idx="18">
                  <c:v>95.224137931034477</c:v>
                </c:pt>
                <c:pt idx="19">
                  <c:v>95.224137931034477</c:v>
                </c:pt>
                <c:pt idx="20">
                  <c:v>95.224137931034477</c:v>
                </c:pt>
                <c:pt idx="21">
                  <c:v>95.224137931034477</c:v>
                </c:pt>
                <c:pt idx="22">
                  <c:v>95.224137931034477</c:v>
                </c:pt>
                <c:pt idx="23">
                  <c:v>95.224137931034477</c:v>
                </c:pt>
                <c:pt idx="24">
                  <c:v>95.224137931034477</c:v>
                </c:pt>
                <c:pt idx="25">
                  <c:v>95.224137931034477</c:v>
                </c:pt>
                <c:pt idx="26">
                  <c:v>95.224137931034477</c:v>
                </c:pt>
                <c:pt idx="27">
                  <c:v>95.224137931034477</c:v>
                </c:pt>
                <c:pt idx="28">
                  <c:v>95.224137931034477</c:v>
                </c:pt>
                <c:pt idx="29">
                  <c:v>95.224137931034477</c:v>
                </c:pt>
                <c:pt idx="30">
                  <c:v>95.224137931034477</c:v>
                </c:pt>
                <c:pt idx="31">
                  <c:v>95.224137931034477</c:v>
                </c:pt>
                <c:pt idx="32">
                  <c:v>95.224137931034477</c:v>
                </c:pt>
                <c:pt idx="33">
                  <c:v>95.224137931034477</c:v>
                </c:pt>
                <c:pt idx="34">
                  <c:v>95.224137931034477</c:v>
                </c:pt>
                <c:pt idx="35">
                  <c:v>95.224137931034477</c:v>
                </c:pt>
                <c:pt idx="36">
                  <c:v>95.224137931034477</c:v>
                </c:pt>
                <c:pt idx="37">
                  <c:v>95.224137931034477</c:v>
                </c:pt>
                <c:pt idx="38">
                  <c:v>95.224137931034477</c:v>
                </c:pt>
                <c:pt idx="39">
                  <c:v>95.224137931034477</c:v>
                </c:pt>
                <c:pt idx="40">
                  <c:v>95.224137931034477</c:v>
                </c:pt>
                <c:pt idx="41">
                  <c:v>95.224137931034477</c:v>
                </c:pt>
                <c:pt idx="42">
                  <c:v>95.224137931034477</c:v>
                </c:pt>
                <c:pt idx="43">
                  <c:v>95.224137931034477</c:v>
                </c:pt>
                <c:pt idx="44">
                  <c:v>95.224137931034477</c:v>
                </c:pt>
                <c:pt idx="45">
                  <c:v>95.224137931034477</c:v>
                </c:pt>
                <c:pt idx="46">
                  <c:v>95.224137931034477</c:v>
                </c:pt>
                <c:pt idx="47">
                  <c:v>95.224137931034477</c:v>
                </c:pt>
                <c:pt idx="48">
                  <c:v>95.224137931034477</c:v>
                </c:pt>
                <c:pt idx="49">
                  <c:v>95.224137931034477</c:v>
                </c:pt>
                <c:pt idx="50">
                  <c:v>95.224137931034477</c:v>
                </c:pt>
                <c:pt idx="51">
                  <c:v>95.224137931034477</c:v>
                </c:pt>
                <c:pt idx="52">
                  <c:v>95.224137931034477</c:v>
                </c:pt>
                <c:pt idx="53">
                  <c:v>95.224137931034477</c:v>
                </c:pt>
                <c:pt idx="54">
                  <c:v>95.224137931034477</c:v>
                </c:pt>
                <c:pt idx="55">
                  <c:v>95.224137931034477</c:v>
                </c:pt>
                <c:pt idx="56">
                  <c:v>95.224137931034477</c:v>
                </c:pt>
                <c:pt idx="57">
                  <c:v>95.224137931034477</c:v>
                </c:pt>
                <c:pt idx="58">
                  <c:v>95.224137931034477</c:v>
                </c:pt>
                <c:pt idx="59">
                  <c:v>95.224137931034477</c:v>
                </c:pt>
                <c:pt idx="60">
                  <c:v>95.224137931034477</c:v>
                </c:pt>
                <c:pt idx="61">
                  <c:v>95.224137931034477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94976"/>
        <c:axId val="139301248"/>
      </c:lineChart>
      <c:catAx>
        <c:axId val="1392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  <a:cs typeface="ＭＳ ゴシック"/>
                  </a:defRPr>
                </a:pPr>
                <a:r>
                  <a:rPr altLang="en-US"/>
                  <a:t>Lot.No</a:t>
                </a:r>
              </a:p>
            </c:rich>
          </c:tx>
          <c:layout>
            <c:manualLayout>
              <c:xMode val="edge"/>
              <c:yMode val="edge"/>
              <c:x val="0.42045487873414572"/>
              <c:y val="0.886734194017350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30124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930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_ ;[Red]\-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294976"/>
        <c:crosses val="autoZero"/>
        <c:crossBetween val="between"/>
        <c:minorUnit val="0.281423478860506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03962373778007"/>
          <c:y val="0.1682853214923439"/>
          <c:w val="0.1428572560949993"/>
          <c:h val="0.41747704754831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ﾃﾞｰﾀｰ!$D$5</c:f>
              <c:strCache>
                <c:ptCount val="1"/>
                <c:pt idx="0">
                  <c:v>追添槽　滴下時間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ﾃﾞｰﾀｰ!$D$6:$D$67</c:f>
              <c:numCache>
                <c:formatCode>General</c:formatCode>
                <c:ptCount val="62"/>
                <c:pt idx="0">
                  <c:v>113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111</c:v>
                </c:pt>
                <c:pt idx="10">
                  <c:v>113</c:v>
                </c:pt>
                <c:pt idx="11">
                  <c:v>112</c:v>
                </c:pt>
                <c:pt idx="12">
                  <c:v>112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109</c:v>
                </c:pt>
                <c:pt idx="17">
                  <c:v>110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114</c:v>
                </c:pt>
                <c:pt idx="22">
                  <c:v>113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ﾃﾞｰﾀｰ!$AT$6:$AT$67</c:f>
              <c:numCache>
                <c:formatCode>h:mm;@</c:formatCode>
                <c:ptCount val="62"/>
                <c:pt idx="0">
                  <c:v>114.8176609223738</c:v>
                </c:pt>
                <c:pt idx="1">
                  <c:v>114.8176609223738</c:v>
                </c:pt>
                <c:pt idx="2">
                  <c:v>114.8176609223738</c:v>
                </c:pt>
                <c:pt idx="3">
                  <c:v>114.8176609223738</c:v>
                </c:pt>
                <c:pt idx="4">
                  <c:v>114.8176609223738</c:v>
                </c:pt>
                <c:pt idx="5">
                  <c:v>114.8176609223738</c:v>
                </c:pt>
                <c:pt idx="6">
                  <c:v>114.8176609223738</c:v>
                </c:pt>
                <c:pt idx="7">
                  <c:v>114.8176609223738</c:v>
                </c:pt>
                <c:pt idx="8">
                  <c:v>114.8176609223738</c:v>
                </c:pt>
                <c:pt idx="9">
                  <c:v>114.8176609223738</c:v>
                </c:pt>
                <c:pt idx="10">
                  <c:v>114.8176609223738</c:v>
                </c:pt>
                <c:pt idx="11">
                  <c:v>114.8176609223738</c:v>
                </c:pt>
                <c:pt idx="12">
                  <c:v>114.8176609223738</c:v>
                </c:pt>
                <c:pt idx="13">
                  <c:v>114.8176609223738</c:v>
                </c:pt>
                <c:pt idx="14">
                  <c:v>114.8176609223738</c:v>
                </c:pt>
                <c:pt idx="15">
                  <c:v>114.8176609223738</c:v>
                </c:pt>
                <c:pt idx="16">
                  <c:v>114.8176609223738</c:v>
                </c:pt>
                <c:pt idx="17">
                  <c:v>114.8176609223738</c:v>
                </c:pt>
                <c:pt idx="18">
                  <c:v>114.8176609223738</c:v>
                </c:pt>
                <c:pt idx="19">
                  <c:v>114.8176609223738</c:v>
                </c:pt>
                <c:pt idx="20">
                  <c:v>114.8176609223738</c:v>
                </c:pt>
                <c:pt idx="21">
                  <c:v>114.8176609223738</c:v>
                </c:pt>
                <c:pt idx="22">
                  <c:v>114.8176609223738</c:v>
                </c:pt>
                <c:pt idx="23">
                  <c:v>114.8176609223738</c:v>
                </c:pt>
                <c:pt idx="24">
                  <c:v>114.8176609223738</c:v>
                </c:pt>
                <c:pt idx="25">
                  <c:v>114.8176609223738</c:v>
                </c:pt>
                <c:pt idx="26">
                  <c:v>114.8176609223738</c:v>
                </c:pt>
                <c:pt idx="27">
                  <c:v>114.8176609223738</c:v>
                </c:pt>
                <c:pt idx="28">
                  <c:v>114.8176609223738</c:v>
                </c:pt>
                <c:pt idx="29">
                  <c:v>114.8176609223738</c:v>
                </c:pt>
                <c:pt idx="30">
                  <c:v>114.8176609223738</c:v>
                </c:pt>
                <c:pt idx="31">
                  <c:v>114.8176609223738</c:v>
                </c:pt>
                <c:pt idx="32">
                  <c:v>114.8176609223738</c:v>
                </c:pt>
                <c:pt idx="33">
                  <c:v>114.8176609223738</c:v>
                </c:pt>
                <c:pt idx="34">
                  <c:v>114.8176609223738</c:v>
                </c:pt>
                <c:pt idx="35">
                  <c:v>114.8176609223738</c:v>
                </c:pt>
                <c:pt idx="36">
                  <c:v>114.8176609223738</c:v>
                </c:pt>
                <c:pt idx="37">
                  <c:v>114.8176609223738</c:v>
                </c:pt>
                <c:pt idx="38">
                  <c:v>114.8176609223738</c:v>
                </c:pt>
                <c:pt idx="39">
                  <c:v>114.8176609223738</c:v>
                </c:pt>
                <c:pt idx="40">
                  <c:v>114.8176609223738</c:v>
                </c:pt>
                <c:pt idx="41">
                  <c:v>114.8176609223738</c:v>
                </c:pt>
                <c:pt idx="42">
                  <c:v>114.8176609223738</c:v>
                </c:pt>
                <c:pt idx="43">
                  <c:v>114.8176609223738</c:v>
                </c:pt>
                <c:pt idx="44">
                  <c:v>114.8176609223738</c:v>
                </c:pt>
                <c:pt idx="45">
                  <c:v>114.8176609223738</c:v>
                </c:pt>
                <c:pt idx="46">
                  <c:v>114.8176609223738</c:v>
                </c:pt>
                <c:pt idx="47">
                  <c:v>114.8176609223738</c:v>
                </c:pt>
                <c:pt idx="48">
                  <c:v>114.8176609223738</c:v>
                </c:pt>
                <c:pt idx="49">
                  <c:v>114.8176609223738</c:v>
                </c:pt>
                <c:pt idx="50">
                  <c:v>114.8176609223738</c:v>
                </c:pt>
                <c:pt idx="51">
                  <c:v>114.8176609223738</c:v>
                </c:pt>
                <c:pt idx="52">
                  <c:v>114.8176609223738</c:v>
                </c:pt>
                <c:pt idx="53">
                  <c:v>114.8176609223738</c:v>
                </c:pt>
                <c:pt idx="54">
                  <c:v>114.8176609223738</c:v>
                </c:pt>
                <c:pt idx="55">
                  <c:v>114.8176609223738</c:v>
                </c:pt>
                <c:pt idx="56">
                  <c:v>114.8176609223738</c:v>
                </c:pt>
                <c:pt idx="57">
                  <c:v>114.8176609223738</c:v>
                </c:pt>
                <c:pt idx="58">
                  <c:v>114.8176609223738</c:v>
                </c:pt>
                <c:pt idx="59">
                  <c:v>114.8176609223738</c:v>
                </c:pt>
                <c:pt idx="60">
                  <c:v>114.8176609223738</c:v>
                </c:pt>
                <c:pt idx="61">
                  <c:v>114.8176609223738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ﾃﾞｰﾀｰ!$DA$6:$DA$67</c:f>
              <c:numCache>
                <c:formatCode>0.0_);[Red]\(0.0\)</c:formatCode>
                <c:ptCount val="62"/>
                <c:pt idx="0">
                  <c:v>112.37931034482759</c:v>
                </c:pt>
                <c:pt idx="1">
                  <c:v>112.37931034482759</c:v>
                </c:pt>
                <c:pt idx="2">
                  <c:v>112.37931034482759</c:v>
                </c:pt>
                <c:pt idx="3">
                  <c:v>112.37931034482759</c:v>
                </c:pt>
                <c:pt idx="4">
                  <c:v>112.37931034482759</c:v>
                </c:pt>
                <c:pt idx="5">
                  <c:v>112.37931034482759</c:v>
                </c:pt>
                <c:pt idx="6">
                  <c:v>112.37931034482759</c:v>
                </c:pt>
                <c:pt idx="7">
                  <c:v>112.37931034482759</c:v>
                </c:pt>
                <c:pt idx="8">
                  <c:v>112.37931034482759</c:v>
                </c:pt>
                <c:pt idx="9">
                  <c:v>112.37931034482759</c:v>
                </c:pt>
                <c:pt idx="10">
                  <c:v>112.37931034482759</c:v>
                </c:pt>
                <c:pt idx="11">
                  <c:v>112.37931034482759</c:v>
                </c:pt>
                <c:pt idx="12">
                  <c:v>112.37931034482759</c:v>
                </c:pt>
                <c:pt idx="13">
                  <c:v>112.37931034482759</c:v>
                </c:pt>
                <c:pt idx="14">
                  <c:v>112.37931034482759</c:v>
                </c:pt>
                <c:pt idx="15">
                  <c:v>112.37931034482759</c:v>
                </c:pt>
                <c:pt idx="16">
                  <c:v>112.37931034482759</c:v>
                </c:pt>
                <c:pt idx="17">
                  <c:v>112.37931034482759</c:v>
                </c:pt>
                <c:pt idx="18">
                  <c:v>112.37931034482759</c:v>
                </c:pt>
                <c:pt idx="19">
                  <c:v>112.37931034482759</c:v>
                </c:pt>
                <c:pt idx="20">
                  <c:v>112.37931034482759</c:v>
                </c:pt>
                <c:pt idx="21">
                  <c:v>112.37931034482759</c:v>
                </c:pt>
                <c:pt idx="22">
                  <c:v>112.37931034482759</c:v>
                </c:pt>
                <c:pt idx="23">
                  <c:v>112.37931034482759</c:v>
                </c:pt>
                <c:pt idx="24">
                  <c:v>112.37931034482759</c:v>
                </c:pt>
                <c:pt idx="25">
                  <c:v>112.37931034482759</c:v>
                </c:pt>
                <c:pt idx="26">
                  <c:v>112.37931034482759</c:v>
                </c:pt>
                <c:pt idx="27">
                  <c:v>112.37931034482759</c:v>
                </c:pt>
                <c:pt idx="28">
                  <c:v>112.37931034482759</c:v>
                </c:pt>
                <c:pt idx="29">
                  <c:v>112.37931034482759</c:v>
                </c:pt>
                <c:pt idx="30">
                  <c:v>112.37931034482759</c:v>
                </c:pt>
                <c:pt idx="31">
                  <c:v>112.37931034482759</c:v>
                </c:pt>
                <c:pt idx="32">
                  <c:v>112.37931034482759</c:v>
                </c:pt>
                <c:pt idx="33">
                  <c:v>112.37931034482759</c:v>
                </c:pt>
                <c:pt idx="34">
                  <c:v>112.37931034482759</c:v>
                </c:pt>
                <c:pt idx="35">
                  <c:v>112.37931034482759</c:v>
                </c:pt>
                <c:pt idx="36">
                  <c:v>112.37931034482759</c:v>
                </c:pt>
                <c:pt idx="37">
                  <c:v>112.37931034482759</c:v>
                </c:pt>
                <c:pt idx="38">
                  <c:v>112.37931034482759</c:v>
                </c:pt>
                <c:pt idx="39">
                  <c:v>112.37931034482759</c:v>
                </c:pt>
                <c:pt idx="40">
                  <c:v>112.37931034482759</c:v>
                </c:pt>
                <c:pt idx="41">
                  <c:v>112.37931034482759</c:v>
                </c:pt>
                <c:pt idx="42">
                  <c:v>112.37931034482759</c:v>
                </c:pt>
                <c:pt idx="43">
                  <c:v>112.37931034482759</c:v>
                </c:pt>
                <c:pt idx="44">
                  <c:v>112.37931034482759</c:v>
                </c:pt>
                <c:pt idx="45">
                  <c:v>112.37931034482759</c:v>
                </c:pt>
                <c:pt idx="46">
                  <c:v>112.37931034482759</c:v>
                </c:pt>
                <c:pt idx="47">
                  <c:v>112.37931034482759</c:v>
                </c:pt>
                <c:pt idx="48">
                  <c:v>112.37931034482759</c:v>
                </c:pt>
                <c:pt idx="49">
                  <c:v>112.37931034482759</c:v>
                </c:pt>
                <c:pt idx="50">
                  <c:v>112.37931034482759</c:v>
                </c:pt>
                <c:pt idx="51">
                  <c:v>112.37931034482759</c:v>
                </c:pt>
                <c:pt idx="52">
                  <c:v>112.37931034482759</c:v>
                </c:pt>
                <c:pt idx="53">
                  <c:v>112.37931034482759</c:v>
                </c:pt>
                <c:pt idx="54">
                  <c:v>112.37931034482759</c:v>
                </c:pt>
                <c:pt idx="55">
                  <c:v>112.37931034482759</c:v>
                </c:pt>
                <c:pt idx="56">
                  <c:v>112.37931034482759</c:v>
                </c:pt>
                <c:pt idx="57">
                  <c:v>112.37931034482759</c:v>
                </c:pt>
                <c:pt idx="58">
                  <c:v>112.37931034482759</c:v>
                </c:pt>
                <c:pt idx="59">
                  <c:v>112.37931034482759</c:v>
                </c:pt>
                <c:pt idx="60">
                  <c:v>112.37931034482759</c:v>
                </c:pt>
                <c:pt idx="61">
                  <c:v>112.37931034482759</c:v>
                </c:pt>
              </c:numCache>
            </c:numRef>
          </c:val>
          <c:smooth val="0"/>
        </c:ser>
        <c:ser>
          <c:idx val="1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ﾃﾞｰﾀｰ!$AS$6:$AS$67</c:f>
              <c:numCache>
                <c:formatCode>h:mm;@</c:formatCode>
                <c:ptCount val="62"/>
                <c:pt idx="0">
                  <c:v>109.94095976728137</c:v>
                </c:pt>
                <c:pt idx="1">
                  <c:v>109.94095976728137</c:v>
                </c:pt>
                <c:pt idx="2">
                  <c:v>109.94095976728137</c:v>
                </c:pt>
                <c:pt idx="3">
                  <c:v>109.94095976728137</c:v>
                </c:pt>
                <c:pt idx="4">
                  <c:v>109.94095976728137</c:v>
                </c:pt>
                <c:pt idx="5">
                  <c:v>109.94095976728137</c:v>
                </c:pt>
                <c:pt idx="6">
                  <c:v>109.94095976728137</c:v>
                </c:pt>
                <c:pt idx="7">
                  <c:v>109.94095976728137</c:v>
                </c:pt>
                <c:pt idx="8">
                  <c:v>109.94095976728137</c:v>
                </c:pt>
                <c:pt idx="9">
                  <c:v>109.94095976728137</c:v>
                </c:pt>
                <c:pt idx="10">
                  <c:v>109.94095976728137</c:v>
                </c:pt>
                <c:pt idx="11">
                  <c:v>109.94095976728137</c:v>
                </c:pt>
                <c:pt idx="12">
                  <c:v>109.94095976728137</c:v>
                </c:pt>
                <c:pt idx="13">
                  <c:v>109.94095976728137</c:v>
                </c:pt>
                <c:pt idx="14">
                  <c:v>109.94095976728137</c:v>
                </c:pt>
                <c:pt idx="15">
                  <c:v>109.94095976728137</c:v>
                </c:pt>
                <c:pt idx="16">
                  <c:v>109.94095976728137</c:v>
                </c:pt>
                <c:pt idx="17">
                  <c:v>109.94095976728137</c:v>
                </c:pt>
                <c:pt idx="18">
                  <c:v>109.94095976728137</c:v>
                </c:pt>
                <c:pt idx="19">
                  <c:v>109.94095976728137</c:v>
                </c:pt>
                <c:pt idx="20">
                  <c:v>109.94095976728137</c:v>
                </c:pt>
                <c:pt idx="21">
                  <c:v>109.94095976728137</c:v>
                </c:pt>
                <c:pt idx="22">
                  <c:v>109.94095976728137</c:v>
                </c:pt>
                <c:pt idx="23">
                  <c:v>109.94095976728137</c:v>
                </c:pt>
                <c:pt idx="24">
                  <c:v>109.94095976728137</c:v>
                </c:pt>
                <c:pt idx="25">
                  <c:v>109.94095976728137</c:v>
                </c:pt>
                <c:pt idx="26">
                  <c:v>109.94095976728137</c:v>
                </c:pt>
                <c:pt idx="27">
                  <c:v>109.94095976728137</c:v>
                </c:pt>
                <c:pt idx="28">
                  <c:v>109.94095976728137</c:v>
                </c:pt>
                <c:pt idx="29">
                  <c:v>109.94095976728137</c:v>
                </c:pt>
                <c:pt idx="30">
                  <c:v>109.94095976728137</c:v>
                </c:pt>
                <c:pt idx="31">
                  <c:v>109.94095976728137</c:v>
                </c:pt>
                <c:pt idx="32">
                  <c:v>109.94095976728137</c:v>
                </c:pt>
                <c:pt idx="33">
                  <c:v>109.94095976728137</c:v>
                </c:pt>
                <c:pt idx="34">
                  <c:v>109.94095976728137</c:v>
                </c:pt>
                <c:pt idx="35">
                  <c:v>109.94095976728137</c:v>
                </c:pt>
                <c:pt idx="36">
                  <c:v>109.94095976728137</c:v>
                </c:pt>
                <c:pt idx="37">
                  <c:v>109.94095976728137</c:v>
                </c:pt>
                <c:pt idx="38">
                  <c:v>109.94095976728137</c:v>
                </c:pt>
                <c:pt idx="39">
                  <c:v>109.94095976728137</c:v>
                </c:pt>
                <c:pt idx="40">
                  <c:v>109.94095976728137</c:v>
                </c:pt>
                <c:pt idx="41">
                  <c:v>109.94095976728137</c:v>
                </c:pt>
                <c:pt idx="42">
                  <c:v>109.94095976728137</c:v>
                </c:pt>
                <c:pt idx="43">
                  <c:v>109.94095976728137</c:v>
                </c:pt>
                <c:pt idx="44">
                  <c:v>109.94095976728137</c:v>
                </c:pt>
                <c:pt idx="45">
                  <c:v>109.94095976728137</c:v>
                </c:pt>
                <c:pt idx="46">
                  <c:v>109.94095976728137</c:v>
                </c:pt>
                <c:pt idx="47">
                  <c:v>109.94095976728137</c:v>
                </c:pt>
                <c:pt idx="48">
                  <c:v>109.94095976728137</c:v>
                </c:pt>
                <c:pt idx="49">
                  <c:v>109.94095976728137</c:v>
                </c:pt>
                <c:pt idx="50">
                  <c:v>109.94095976728137</c:v>
                </c:pt>
                <c:pt idx="51">
                  <c:v>109.94095976728137</c:v>
                </c:pt>
                <c:pt idx="52">
                  <c:v>109.94095976728137</c:v>
                </c:pt>
                <c:pt idx="53">
                  <c:v>109.94095976728137</c:v>
                </c:pt>
                <c:pt idx="54">
                  <c:v>109.94095976728137</c:v>
                </c:pt>
                <c:pt idx="55">
                  <c:v>109.94095976728137</c:v>
                </c:pt>
                <c:pt idx="56">
                  <c:v>109.94095976728137</c:v>
                </c:pt>
                <c:pt idx="57">
                  <c:v>109.94095976728137</c:v>
                </c:pt>
                <c:pt idx="58">
                  <c:v>109.94095976728137</c:v>
                </c:pt>
                <c:pt idx="59">
                  <c:v>109.94095976728137</c:v>
                </c:pt>
                <c:pt idx="60">
                  <c:v>109.94095976728137</c:v>
                </c:pt>
                <c:pt idx="61">
                  <c:v>109.94095976728137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ﾃﾞｰﾀｰ!$ED$4</c:f>
              <c:strCache>
                <c:ptCount val="1"/>
                <c:pt idx="0">
                  <c:v>上限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ﾃﾞｰﾀｰ!$ED$6:$ED$67</c:f>
              <c:numCache>
                <c:formatCode>0.0_);[Red]\(0.0\)</c:formatCode>
                <c:ptCount val="6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ﾃﾞｰﾀｰ!$EE$4</c:f>
              <c:strCache>
                <c:ptCount val="1"/>
                <c:pt idx="0">
                  <c:v>下限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ﾃﾞｰﾀｰ!$EE$6:$EE$67</c:f>
              <c:numCache>
                <c:formatCode>0.0_);[Red]\(0.0\)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13376"/>
        <c:axId val="139415552"/>
      </c:lineChart>
      <c:lineChart>
        <c:grouping val="standard"/>
        <c:varyColors val="0"/>
        <c:ser>
          <c:idx val="4"/>
          <c:order val="4"/>
          <c:tx>
            <c:strRef>
              <c:f>ﾃﾞｰﾀｰ!$AH$5</c:f>
              <c:strCache>
                <c:ptCount val="1"/>
                <c:pt idx="0">
                  <c:v>感度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17088"/>
        <c:axId val="139418624"/>
      </c:lineChart>
      <c:catAx>
        <c:axId val="139413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415552"/>
        <c:crossesAt val="95"/>
        <c:auto val="1"/>
        <c:lblAlgn val="ctr"/>
        <c:lblOffset val="100"/>
        <c:tickLblSkip val="1"/>
        <c:tickMarkSkip val="1"/>
        <c:noMultiLvlLbl val="0"/>
      </c:catAx>
      <c:valAx>
        <c:axId val="139415552"/>
        <c:scaling>
          <c:orientation val="minMax"/>
          <c:max val="125"/>
          <c:min val="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413376"/>
        <c:crosses val="autoZero"/>
        <c:crossBetween val="between"/>
        <c:majorUnit val="10"/>
        <c:minorUnit val="5"/>
      </c:valAx>
      <c:catAx>
        <c:axId val="13941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9418624"/>
        <c:crossesAt val="-5"/>
        <c:auto val="1"/>
        <c:lblAlgn val="ctr"/>
        <c:lblOffset val="100"/>
        <c:noMultiLvlLbl val="0"/>
      </c:catAx>
      <c:valAx>
        <c:axId val="139418624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417088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ﾃﾞｰﾀｰ!$B$5</c:f>
              <c:strCache>
                <c:ptCount val="1"/>
                <c:pt idx="0">
                  <c:v>仕込み
時間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ﾃﾞｰﾀｰ!$B$6:$B$67</c:f>
              <c:numCache>
                <c:formatCode>General</c:formatCode>
                <c:ptCount val="62"/>
                <c:pt idx="0">
                  <c:v>44</c:v>
                </c:pt>
                <c:pt idx="1">
                  <c:v>36</c:v>
                </c:pt>
                <c:pt idx="2">
                  <c:v>33</c:v>
                </c:pt>
                <c:pt idx="3">
                  <c:v>38</c:v>
                </c:pt>
                <c:pt idx="4">
                  <c:v>40</c:v>
                </c:pt>
                <c:pt idx="5">
                  <c:v>37</c:v>
                </c:pt>
                <c:pt idx="6">
                  <c:v>36</c:v>
                </c:pt>
                <c:pt idx="7">
                  <c:v>42</c:v>
                </c:pt>
                <c:pt idx="8">
                  <c:v>41</c:v>
                </c:pt>
                <c:pt idx="9">
                  <c:v>38</c:v>
                </c:pt>
                <c:pt idx="10">
                  <c:v>34</c:v>
                </c:pt>
                <c:pt idx="11">
                  <c:v>36</c:v>
                </c:pt>
                <c:pt idx="12">
                  <c:v>36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35</c:v>
                </c:pt>
                <c:pt idx="17">
                  <c:v>33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32</c:v>
                </c:pt>
                <c:pt idx="22">
                  <c:v>38</c:v>
                </c:pt>
                <c:pt idx="23">
                  <c:v>32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37</c:v>
                </c:pt>
                <c:pt idx="31">
                  <c:v>42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ﾃﾞｰﾀｰ!$AP$6:$AP$67</c:f>
              <c:numCache>
                <c:formatCode>h:mm;@</c:formatCode>
                <c:ptCount val="62"/>
                <c:pt idx="0">
                  <c:v>47.910122416791303</c:v>
                </c:pt>
                <c:pt idx="1">
                  <c:v>47.910122416791303</c:v>
                </c:pt>
                <c:pt idx="2">
                  <c:v>47.910122416791303</c:v>
                </c:pt>
                <c:pt idx="3">
                  <c:v>47.910122416791303</c:v>
                </c:pt>
                <c:pt idx="4">
                  <c:v>47.910122416791303</c:v>
                </c:pt>
                <c:pt idx="5">
                  <c:v>47.910122416791303</c:v>
                </c:pt>
                <c:pt idx="6">
                  <c:v>47.910122416791303</c:v>
                </c:pt>
                <c:pt idx="7">
                  <c:v>47.910122416791303</c:v>
                </c:pt>
                <c:pt idx="8">
                  <c:v>47.910122416791303</c:v>
                </c:pt>
                <c:pt idx="9">
                  <c:v>47.910122416791303</c:v>
                </c:pt>
                <c:pt idx="10">
                  <c:v>47.910122416791303</c:v>
                </c:pt>
                <c:pt idx="11">
                  <c:v>47.910122416791303</c:v>
                </c:pt>
                <c:pt idx="12">
                  <c:v>47.910122416791303</c:v>
                </c:pt>
                <c:pt idx="13">
                  <c:v>47.910122416791303</c:v>
                </c:pt>
                <c:pt idx="14">
                  <c:v>47.910122416791303</c:v>
                </c:pt>
                <c:pt idx="15">
                  <c:v>47.910122416791303</c:v>
                </c:pt>
                <c:pt idx="16">
                  <c:v>47.910122416791303</c:v>
                </c:pt>
                <c:pt idx="17">
                  <c:v>47.910122416791303</c:v>
                </c:pt>
                <c:pt idx="18">
                  <c:v>47.910122416791303</c:v>
                </c:pt>
                <c:pt idx="19">
                  <c:v>47.910122416791303</c:v>
                </c:pt>
                <c:pt idx="20">
                  <c:v>47.910122416791303</c:v>
                </c:pt>
                <c:pt idx="21">
                  <c:v>47.910122416791303</c:v>
                </c:pt>
                <c:pt idx="22">
                  <c:v>47.910122416791303</c:v>
                </c:pt>
                <c:pt idx="23">
                  <c:v>47.910122416791303</c:v>
                </c:pt>
                <c:pt idx="24">
                  <c:v>47.910122416791303</c:v>
                </c:pt>
                <c:pt idx="25">
                  <c:v>47.910122416791303</c:v>
                </c:pt>
                <c:pt idx="26">
                  <c:v>47.910122416791303</c:v>
                </c:pt>
                <c:pt idx="27">
                  <c:v>47.910122416791303</c:v>
                </c:pt>
                <c:pt idx="28">
                  <c:v>47.910122416791303</c:v>
                </c:pt>
                <c:pt idx="29">
                  <c:v>47.910122416791303</c:v>
                </c:pt>
                <c:pt idx="30">
                  <c:v>47.910122416791303</c:v>
                </c:pt>
                <c:pt idx="31">
                  <c:v>47.910122416791303</c:v>
                </c:pt>
                <c:pt idx="32">
                  <c:v>47.910122416791303</c:v>
                </c:pt>
                <c:pt idx="33">
                  <c:v>47.910122416791303</c:v>
                </c:pt>
                <c:pt idx="34">
                  <c:v>47.910122416791303</c:v>
                </c:pt>
                <c:pt idx="35">
                  <c:v>47.910122416791303</c:v>
                </c:pt>
                <c:pt idx="36">
                  <c:v>47.910122416791303</c:v>
                </c:pt>
                <c:pt idx="37">
                  <c:v>47.910122416791303</c:v>
                </c:pt>
                <c:pt idx="38">
                  <c:v>47.910122416791303</c:v>
                </c:pt>
                <c:pt idx="39">
                  <c:v>47.910122416791303</c:v>
                </c:pt>
                <c:pt idx="40">
                  <c:v>47.910122416791303</c:v>
                </c:pt>
                <c:pt idx="41">
                  <c:v>47.910122416791303</c:v>
                </c:pt>
                <c:pt idx="42">
                  <c:v>47.910122416791303</c:v>
                </c:pt>
                <c:pt idx="43">
                  <c:v>47.910122416791303</c:v>
                </c:pt>
                <c:pt idx="44">
                  <c:v>47.910122416791303</c:v>
                </c:pt>
                <c:pt idx="45">
                  <c:v>47.910122416791303</c:v>
                </c:pt>
                <c:pt idx="46">
                  <c:v>47.910122416791303</c:v>
                </c:pt>
                <c:pt idx="47">
                  <c:v>47.910122416791303</c:v>
                </c:pt>
                <c:pt idx="48">
                  <c:v>47.910122416791303</c:v>
                </c:pt>
                <c:pt idx="49">
                  <c:v>47.910122416791303</c:v>
                </c:pt>
                <c:pt idx="50">
                  <c:v>47.910122416791303</c:v>
                </c:pt>
                <c:pt idx="51">
                  <c:v>47.910122416791303</c:v>
                </c:pt>
                <c:pt idx="52">
                  <c:v>47.910122416791303</c:v>
                </c:pt>
                <c:pt idx="53">
                  <c:v>47.910122416791303</c:v>
                </c:pt>
                <c:pt idx="54">
                  <c:v>47.910122416791303</c:v>
                </c:pt>
                <c:pt idx="55">
                  <c:v>47.910122416791303</c:v>
                </c:pt>
                <c:pt idx="56">
                  <c:v>47.910122416791303</c:v>
                </c:pt>
                <c:pt idx="57">
                  <c:v>47.910122416791303</c:v>
                </c:pt>
                <c:pt idx="58">
                  <c:v>47.910122416791303</c:v>
                </c:pt>
                <c:pt idx="59">
                  <c:v>47.910122416791303</c:v>
                </c:pt>
                <c:pt idx="60">
                  <c:v>47.910122416791303</c:v>
                </c:pt>
                <c:pt idx="61">
                  <c:v>47.910122416791303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ﾃﾞｰﾀｰ!$CY$6:$CY$67</c:f>
              <c:numCache>
                <c:formatCode>0.0_);[Red]\(0.0\)</c:formatCode>
                <c:ptCount val="62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</c:numCache>
            </c:numRef>
          </c:val>
          <c:smooth val="0"/>
        </c:ser>
        <c:ser>
          <c:idx val="1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ﾃﾞｰﾀｰ!$AO$6:$AO$67</c:f>
              <c:numCache>
                <c:formatCode>h:mm;@</c:formatCode>
                <c:ptCount val="62"/>
                <c:pt idx="0">
                  <c:v>28.089877583208697</c:v>
                </c:pt>
                <c:pt idx="1">
                  <c:v>28.089877583208697</c:v>
                </c:pt>
                <c:pt idx="2">
                  <c:v>28.089877583208697</c:v>
                </c:pt>
                <c:pt idx="3">
                  <c:v>28.089877583208697</c:v>
                </c:pt>
                <c:pt idx="4">
                  <c:v>28.089877583208697</c:v>
                </c:pt>
                <c:pt idx="5">
                  <c:v>28.089877583208697</c:v>
                </c:pt>
                <c:pt idx="6">
                  <c:v>28.089877583208697</c:v>
                </c:pt>
                <c:pt idx="7">
                  <c:v>28.089877583208697</c:v>
                </c:pt>
                <c:pt idx="8">
                  <c:v>28.089877583208697</c:v>
                </c:pt>
                <c:pt idx="9">
                  <c:v>28.089877583208697</c:v>
                </c:pt>
                <c:pt idx="10">
                  <c:v>28.089877583208697</c:v>
                </c:pt>
                <c:pt idx="11">
                  <c:v>28.089877583208697</c:v>
                </c:pt>
                <c:pt idx="12">
                  <c:v>28.089877583208697</c:v>
                </c:pt>
                <c:pt idx="13">
                  <c:v>28.089877583208697</c:v>
                </c:pt>
                <c:pt idx="14">
                  <c:v>28.089877583208697</c:v>
                </c:pt>
                <c:pt idx="15">
                  <c:v>28.089877583208697</c:v>
                </c:pt>
                <c:pt idx="16">
                  <c:v>28.089877583208697</c:v>
                </c:pt>
                <c:pt idx="17">
                  <c:v>28.089877583208697</c:v>
                </c:pt>
                <c:pt idx="18">
                  <c:v>28.089877583208697</c:v>
                </c:pt>
                <c:pt idx="19">
                  <c:v>28.089877583208697</c:v>
                </c:pt>
                <c:pt idx="20">
                  <c:v>28.089877583208697</c:v>
                </c:pt>
                <c:pt idx="21">
                  <c:v>28.089877583208697</c:v>
                </c:pt>
                <c:pt idx="22">
                  <c:v>28.089877583208697</c:v>
                </c:pt>
                <c:pt idx="23">
                  <c:v>28.089877583208697</c:v>
                </c:pt>
                <c:pt idx="24">
                  <c:v>28.089877583208697</c:v>
                </c:pt>
                <c:pt idx="25">
                  <c:v>28.089877583208697</c:v>
                </c:pt>
                <c:pt idx="26">
                  <c:v>28.089877583208697</c:v>
                </c:pt>
                <c:pt idx="27">
                  <c:v>28.089877583208697</c:v>
                </c:pt>
                <c:pt idx="28">
                  <c:v>28.089877583208697</c:v>
                </c:pt>
                <c:pt idx="29">
                  <c:v>28.089877583208697</c:v>
                </c:pt>
                <c:pt idx="30">
                  <c:v>28.089877583208697</c:v>
                </c:pt>
                <c:pt idx="31">
                  <c:v>28.089877583208697</c:v>
                </c:pt>
                <c:pt idx="32">
                  <c:v>28.089877583208697</c:v>
                </c:pt>
                <c:pt idx="33">
                  <c:v>28.089877583208697</c:v>
                </c:pt>
                <c:pt idx="34">
                  <c:v>28.089877583208697</c:v>
                </c:pt>
                <c:pt idx="35">
                  <c:v>28.089877583208697</c:v>
                </c:pt>
                <c:pt idx="36">
                  <c:v>28.089877583208697</c:v>
                </c:pt>
                <c:pt idx="37">
                  <c:v>28.089877583208697</c:v>
                </c:pt>
                <c:pt idx="38">
                  <c:v>28.089877583208697</c:v>
                </c:pt>
                <c:pt idx="39">
                  <c:v>28.089877583208697</c:v>
                </c:pt>
                <c:pt idx="40">
                  <c:v>28.089877583208697</c:v>
                </c:pt>
                <c:pt idx="41">
                  <c:v>28.089877583208697</c:v>
                </c:pt>
                <c:pt idx="42">
                  <c:v>28.089877583208697</c:v>
                </c:pt>
                <c:pt idx="43">
                  <c:v>28.089877583208697</c:v>
                </c:pt>
                <c:pt idx="44">
                  <c:v>28.089877583208697</c:v>
                </c:pt>
                <c:pt idx="45">
                  <c:v>28.089877583208697</c:v>
                </c:pt>
                <c:pt idx="46">
                  <c:v>28.089877583208697</c:v>
                </c:pt>
                <c:pt idx="47">
                  <c:v>28.089877583208697</c:v>
                </c:pt>
                <c:pt idx="48">
                  <c:v>28.089877583208697</c:v>
                </c:pt>
                <c:pt idx="49">
                  <c:v>28.089877583208697</c:v>
                </c:pt>
                <c:pt idx="50">
                  <c:v>28.089877583208697</c:v>
                </c:pt>
                <c:pt idx="51">
                  <c:v>28.089877583208697</c:v>
                </c:pt>
                <c:pt idx="52">
                  <c:v>28.089877583208697</c:v>
                </c:pt>
                <c:pt idx="53">
                  <c:v>28.089877583208697</c:v>
                </c:pt>
                <c:pt idx="54">
                  <c:v>28.089877583208697</c:v>
                </c:pt>
                <c:pt idx="55">
                  <c:v>28.089877583208697</c:v>
                </c:pt>
                <c:pt idx="56">
                  <c:v>28.089877583208697</c:v>
                </c:pt>
                <c:pt idx="57">
                  <c:v>28.089877583208697</c:v>
                </c:pt>
                <c:pt idx="58">
                  <c:v>28.089877583208697</c:v>
                </c:pt>
                <c:pt idx="59">
                  <c:v>28.089877583208697</c:v>
                </c:pt>
                <c:pt idx="60">
                  <c:v>28.089877583208697</c:v>
                </c:pt>
                <c:pt idx="61">
                  <c:v>28.089877583208697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8928"/>
        <c:axId val="139555200"/>
      </c:lineChart>
      <c:lineChart>
        <c:grouping val="standard"/>
        <c:varyColors val="0"/>
        <c:ser>
          <c:idx val="4"/>
          <c:order val="4"/>
          <c:tx>
            <c:strRef>
              <c:f>ﾃﾞｰﾀｰ!$AH$5</c:f>
              <c:strCache>
                <c:ptCount val="1"/>
                <c:pt idx="0">
                  <c:v>感度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6736"/>
        <c:axId val="139558272"/>
      </c:lineChart>
      <c:catAx>
        <c:axId val="139548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555200"/>
        <c:crossesAt val="1E-4"/>
        <c:auto val="1"/>
        <c:lblAlgn val="ctr"/>
        <c:lblOffset val="100"/>
        <c:tickLblSkip val="1"/>
        <c:tickMarkSkip val="1"/>
        <c:noMultiLvlLbl val="0"/>
      </c:catAx>
      <c:valAx>
        <c:axId val="139555200"/>
        <c:scaling>
          <c:orientation val="minMax"/>
          <c:max val="7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548928"/>
        <c:crosses val="autoZero"/>
        <c:crossBetween val="between"/>
        <c:majorUnit val="10"/>
        <c:minorUnit val="5"/>
      </c:valAx>
      <c:catAx>
        <c:axId val="13955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39558272"/>
        <c:crossesAt val="-5"/>
        <c:auto val="1"/>
        <c:lblAlgn val="ctr"/>
        <c:lblOffset val="100"/>
        <c:noMultiLvlLbl val="0"/>
      </c:catAx>
      <c:valAx>
        <c:axId val="139558272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556736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altLang="en-US"/>
              <a:t>抜出時間1本目</a:t>
            </a:r>
          </a:p>
        </c:rich>
      </c:tx>
      <c:layout>
        <c:manualLayout>
          <c:xMode val="edge"/>
          <c:yMode val="edge"/>
          <c:x val="0.43406390579932302"/>
          <c:y val="3.6144732957681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164044072102"/>
          <c:y val="0.14786481664506027"/>
          <c:w val="0.69033779852217059"/>
          <c:h val="0.53559922473655164"/>
        </c:manualLayout>
      </c:layout>
      <c:lineChart>
        <c:grouping val="standard"/>
        <c:varyColors val="0"/>
        <c:ser>
          <c:idx val="4"/>
          <c:order val="0"/>
          <c:tx>
            <c:strRef>
              <c:f>ﾃﾞｰﾀｰ!$AB$5</c:f>
              <c:strCache>
                <c:ptCount val="1"/>
                <c:pt idx="0">
                  <c:v>抜出時間
1本目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ﾃﾞｰﾀｰ!$A$6:$A$63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ﾃﾞｰﾀｰ!$AB$6:$AB$67</c:f>
              <c:numCache>
                <c:formatCode>mm:ss</c:formatCode>
                <c:ptCount val="62"/>
                <c:pt idx="0">
                  <c:v>5.1041666666666666E-3</c:v>
                </c:pt>
                <c:pt idx="1">
                  <c:v>5.0578703703703706E-3</c:v>
                </c:pt>
                <c:pt idx="2">
                  <c:v>5.1041666666666666E-3</c:v>
                </c:pt>
                <c:pt idx="3">
                  <c:v>5.0000000000000001E-3</c:v>
                </c:pt>
                <c:pt idx="4">
                  <c:v>4.8263888888888887E-3</c:v>
                </c:pt>
                <c:pt idx="5">
                  <c:v>5.0347222222222225E-3</c:v>
                </c:pt>
                <c:pt idx="6">
                  <c:v>4.9652777777777777E-3</c:v>
                </c:pt>
                <c:pt idx="7">
                  <c:v>4.9305555555555552E-3</c:v>
                </c:pt>
                <c:pt idx="8">
                  <c:v>5.0578703703703706E-3</c:v>
                </c:pt>
                <c:pt idx="9">
                  <c:v>5.1273148148148146E-3</c:v>
                </c:pt>
                <c:pt idx="10">
                  <c:v>5.1273148148148146E-3</c:v>
                </c:pt>
                <c:pt idx="11">
                  <c:v>5.0115740740740737E-3</c:v>
                </c:pt>
                <c:pt idx="12">
                  <c:v>5.1273148148148146E-3</c:v>
                </c:pt>
                <c:pt idx="13">
                  <c:v>5.208333333333333E-3</c:v>
                </c:pt>
                <c:pt idx="14">
                  <c:v>5.1967592592592595E-3</c:v>
                </c:pt>
                <c:pt idx="15">
                  <c:v>5.162037037037037E-3</c:v>
                </c:pt>
                <c:pt idx="16">
                  <c:v>5.2777777777777771E-3</c:v>
                </c:pt>
                <c:pt idx="17">
                  <c:v>5.2199074074074066E-3</c:v>
                </c:pt>
                <c:pt idx="18">
                  <c:v>5.0231481481481481E-3</c:v>
                </c:pt>
                <c:pt idx="19">
                  <c:v>5.1041666666666666E-3</c:v>
                </c:pt>
                <c:pt idx="20">
                  <c:v>5.2546296296296299E-3</c:v>
                </c:pt>
                <c:pt idx="21">
                  <c:v>5.115740740740741E-3</c:v>
                </c:pt>
                <c:pt idx="22">
                  <c:v>5.208333333333333E-3</c:v>
                </c:pt>
                <c:pt idx="23">
                  <c:v>5.3009259259259251E-3</c:v>
                </c:pt>
                <c:pt idx="24">
                  <c:v>5.1041666666666666E-3</c:v>
                </c:pt>
                <c:pt idx="25">
                  <c:v>4.9305555555555552E-3</c:v>
                </c:pt>
                <c:pt idx="26">
                  <c:v>4.8611111111111112E-3</c:v>
                </c:pt>
                <c:pt idx="27">
                  <c:v>4.9652777777777777E-3</c:v>
                </c:pt>
                <c:pt idx="28">
                  <c:v>5.115740740740741E-3</c:v>
                </c:pt>
                <c:pt idx="29">
                  <c:v>5.0115740740740737E-3</c:v>
                </c:pt>
                <c:pt idx="30">
                  <c:v>5.0694444444444441E-3</c:v>
                </c:pt>
                <c:pt idx="31">
                  <c:v>5.0115740740740737E-3</c:v>
                </c:pt>
              </c:numCache>
            </c:numRef>
          </c:val>
          <c:smooth val="0"/>
        </c:ser>
        <c:ser>
          <c:idx val="0"/>
          <c:order val="1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ﾃﾞｰﾀｰ!$A$6:$A$63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ﾃﾞｰﾀｰ!$CG$6:$CG$67</c:f>
              <c:numCache>
                <c:formatCode>mm:ss</c:formatCode>
                <c:ptCount val="62"/>
                <c:pt idx="0">
                  <c:v>4.6579973341037062E-3</c:v>
                </c:pt>
                <c:pt idx="1">
                  <c:v>4.6579973341037062E-3</c:v>
                </c:pt>
                <c:pt idx="2">
                  <c:v>4.6579973341037062E-3</c:v>
                </c:pt>
                <c:pt idx="3">
                  <c:v>4.6579973341037062E-3</c:v>
                </c:pt>
                <c:pt idx="4">
                  <c:v>4.6579973341037062E-3</c:v>
                </c:pt>
                <c:pt idx="5">
                  <c:v>4.6579973341037062E-3</c:v>
                </c:pt>
                <c:pt idx="6">
                  <c:v>4.6579973341037062E-3</c:v>
                </c:pt>
                <c:pt idx="7">
                  <c:v>4.6579973341037062E-3</c:v>
                </c:pt>
                <c:pt idx="8">
                  <c:v>4.6579973341037062E-3</c:v>
                </c:pt>
                <c:pt idx="9">
                  <c:v>4.6579973341037062E-3</c:v>
                </c:pt>
                <c:pt idx="10">
                  <c:v>4.6579973341037062E-3</c:v>
                </c:pt>
                <c:pt idx="11">
                  <c:v>4.6579973341037062E-3</c:v>
                </c:pt>
                <c:pt idx="12">
                  <c:v>4.6579973341037062E-3</c:v>
                </c:pt>
                <c:pt idx="13">
                  <c:v>4.6579973341037062E-3</c:v>
                </c:pt>
                <c:pt idx="14">
                  <c:v>4.6579973341037062E-3</c:v>
                </c:pt>
                <c:pt idx="15">
                  <c:v>4.6579973341037062E-3</c:v>
                </c:pt>
                <c:pt idx="16">
                  <c:v>4.6579973341037062E-3</c:v>
                </c:pt>
                <c:pt idx="17">
                  <c:v>4.6579973341037062E-3</c:v>
                </c:pt>
                <c:pt idx="18">
                  <c:v>4.6579973341037062E-3</c:v>
                </c:pt>
                <c:pt idx="19">
                  <c:v>4.6579973341037062E-3</c:v>
                </c:pt>
                <c:pt idx="20">
                  <c:v>4.6579973341037062E-3</c:v>
                </c:pt>
                <c:pt idx="21">
                  <c:v>4.6579973341037062E-3</c:v>
                </c:pt>
                <c:pt idx="22">
                  <c:v>4.6579973341037062E-3</c:v>
                </c:pt>
                <c:pt idx="23">
                  <c:v>4.6579973341037062E-3</c:v>
                </c:pt>
                <c:pt idx="24">
                  <c:v>4.6579973341037062E-3</c:v>
                </c:pt>
                <c:pt idx="25">
                  <c:v>4.6579973341037062E-3</c:v>
                </c:pt>
                <c:pt idx="26">
                  <c:v>4.6579973341037062E-3</c:v>
                </c:pt>
                <c:pt idx="27">
                  <c:v>4.6579973341037062E-3</c:v>
                </c:pt>
                <c:pt idx="28">
                  <c:v>4.6579973341037062E-3</c:v>
                </c:pt>
                <c:pt idx="29">
                  <c:v>4.6579973341037062E-3</c:v>
                </c:pt>
                <c:pt idx="30">
                  <c:v>4.6579973341037062E-3</c:v>
                </c:pt>
                <c:pt idx="31">
                  <c:v>4.6579973341037062E-3</c:v>
                </c:pt>
                <c:pt idx="32">
                  <c:v>4.6579973341037062E-3</c:v>
                </c:pt>
                <c:pt idx="33">
                  <c:v>4.6579973341037062E-3</c:v>
                </c:pt>
                <c:pt idx="34">
                  <c:v>4.6579973341037062E-3</c:v>
                </c:pt>
                <c:pt idx="35">
                  <c:v>4.6579973341037062E-3</c:v>
                </c:pt>
                <c:pt idx="36">
                  <c:v>4.6579973341037062E-3</c:v>
                </c:pt>
                <c:pt idx="37">
                  <c:v>4.6579973341037062E-3</c:v>
                </c:pt>
                <c:pt idx="38">
                  <c:v>4.6579973341037062E-3</c:v>
                </c:pt>
                <c:pt idx="39">
                  <c:v>4.6579973341037062E-3</c:v>
                </c:pt>
                <c:pt idx="40">
                  <c:v>4.6579973341037062E-3</c:v>
                </c:pt>
                <c:pt idx="41">
                  <c:v>4.6579973341037062E-3</c:v>
                </c:pt>
                <c:pt idx="42">
                  <c:v>4.6579973341037062E-3</c:v>
                </c:pt>
                <c:pt idx="43">
                  <c:v>4.6579973341037062E-3</c:v>
                </c:pt>
                <c:pt idx="44">
                  <c:v>4.6579973341037062E-3</c:v>
                </c:pt>
                <c:pt idx="45">
                  <c:v>4.6579973341037062E-3</c:v>
                </c:pt>
                <c:pt idx="46">
                  <c:v>4.6579973341037062E-3</c:v>
                </c:pt>
                <c:pt idx="47">
                  <c:v>4.6579973341037062E-3</c:v>
                </c:pt>
                <c:pt idx="48">
                  <c:v>4.6579973341037062E-3</c:v>
                </c:pt>
                <c:pt idx="49">
                  <c:v>4.6579973341037062E-3</c:v>
                </c:pt>
                <c:pt idx="50">
                  <c:v>4.6579973341037062E-3</c:v>
                </c:pt>
                <c:pt idx="51">
                  <c:v>4.6579973341037062E-3</c:v>
                </c:pt>
                <c:pt idx="52">
                  <c:v>4.6579973341037062E-3</c:v>
                </c:pt>
                <c:pt idx="53">
                  <c:v>4.6579973341037062E-3</c:v>
                </c:pt>
                <c:pt idx="54">
                  <c:v>4.6579973341037062E-3</c:v>
                </c:pt>
                <c:pt idx="55">
                  <c:v>4.6579973341037062E-3</c:v>
                </c:pt>
                <c:pt idx="56">
                  <c:v>4.6579973341037062E-3</c:v>
                </c:pt>
                <c:pt idx="57">
                  <c:v>4.6579973341037062E-3</c:v>
                </c:pt>
                <c:pt idx="58">
                  <c:v>4.6579973341037062E-3</c:v>
                </c:pt>
                <c:pt idx="59">
                  <c:v>4.6579973341037062E-3</c:v>
                </c:pt>
                <c:pt idx="60">
                  <c:v>4.6579973341037062E-3</c:v>
                </c:pt>
                <c:pt idx="61">
                  <c:v>4.6579973341037062E-3</c:v>
                </c:pt>
              </c:numCache>
            </c:numRef>
          </c:val>
          <c:smooth val="0"/>
        </c:ser>
        <c:ser>
          <c:idx val="1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ﾃﾞｰﾀｰ!$A$6:$A$63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ﾃﾞｰﾀｰ!$CH$6:$CH$67</c:f>
              <c:numCache>
                <c:formatCode>mm:ss</c:formatCode>
                <c:ptCount val="62"/>
                <c:pt idx="0">
                  <c:v>5.3410578435228997E-3</c:v>
                </c:pt>
                <c:pt idx="1">
                  <c:v>5.3410578435228997E-3</c:v>
                </c:pt>
                <c:pt idx="2">
                  <c:v>5.3410578435228997E-3</c:v>
                </c:pt>
                <c:pt idx="3">
                  <c:v>5.3410578435228997E-3</c:v>
                </c:pt>
                <c:pt idx="4">
                  <c:v>5.3410578435228997E-3</c:v>
                </c:pt>
                <c:pt idx="5">
                  <c:v>5.3410578435228997E-3</c:v>
                </c:pt>
                <c:pt idx="6">
                  <c:v>5.3410578435228997E-3</c:v>
                </c:pt>
                <c:pt idx="7">
                  <c:v>5.3410578435228997E-3</c:v>
                </c:pt>
                <c:pt idx="8">
                  <c:v>5.3410578435228997E-3</c:v>
                </c:pt>
                <c:pt idx="9">
                  <c:v>5.3410578435228997E-3</c:v>
                </c:pt>
                <c:pt idx="10">
                  <c:v>5.3410578435228997E-3</c:v>
                </c:pt>
                <c:pt idx="11">
                  <c:v>5.3410578435228997E-3</c:v>
                </c:pt>
                <c:pt idx="12">
                  <c:v>5.3410578435228997E-3</c:v>
                </c:pt>
                <c:pt idx="13">
                  <c:v>5.3410578435228997E-3</c:v>
                </c:pt>
                <c:pt idx="14">
                  <c:v>5.3410578435228997E-3</c:v>
                </c:pt>
                <c:pt idx="15">
                  <c:v>5.3410578435228997E-3</c:v>
                </c:pt>
                <c:pt idx="16">
                  <c:v>5.3410578435228997E-3</c:v>
                </c:pt>
                <c:pt idx="17">
                  <c:v>5.3410578435228997E-3</c:v>
                </c:pt>
                <c:pt idx="18">
                  <c:v>5.3410578435228997E-3</c:v>
                </c:pt>
                <c:pt idx="19">
                  <c:v>5.3410578435228997E-3</c:v>
                </c:pt>
                <c:pt idx="20">
                  <c:v>5.3410578435228997E-3</c:v>
                </c:pt>
                <c:pt idx="21">
                  <c:v>5.3410578435228997E-3</c:v>
                </c:pt>
                <c:pt idx="22">
                  <c:v>5.3410578435228997E-3</c:v>
                </c:pt>
                <c:pt idx="23">
                  <c:v>5.3410578435228997E-3</c:v>
                </c:pt>
                <c:pt idx="24">
                  <c:v>5.3410578435228997E-3</c:v>
                </c:pt>
                <c:pt idx="25">
                  <c:v>5.3410578435228997E-3</c:v>
                </c:pt>
                <c:pt idx="26">
                  <c:v>5.3410578435228997E-3</c:v>
                </c:pt>
                <c:pt idx="27">
                  <c:v>5.3410578435228997E-3</c:v>
                </c:pt>
                <c:pt idx="28">
                  <c:v>5.3410578435228997E-3</c:v>
                </c:pt>
                <c:pt idx="29">
                  <c:v>5.3410578435228997E-3</c:v>
                </c:pt>
                <c:pt idx="30">
                  <c:v>5.3410578435228997E-3</c:v>
                </c:pt>
                <c:pt idx="31">
                  <c:v>5.3410578435228997E-3</c:v>
                </c:pt>
                <c:pt idx="32">
                  <c:v>5.3410578435228997E-3</c:v>
                </c:pt>
                <c:pt idx="33">
                  <c:v>5.3410578435228997E-3</c:v>
                </c:pt>
                <c:pt idx="34">
                  <c:v>5.3410578435228997E-3</c:v>
                </c:pt>
                <c:pt idx="35">
                  <c:v>5.3410578435228997E-3</c:v>
                </c:pt>
                <c:pt idx="36">
                  <c:v>5.3410578435228997E-3</c:v>
                </c:pt>
                <c:pt idx="37">
                  <c:v>5.3410578435228997E-3</c:v>
                </c:pt>
                <c:pt idx="38">
                  <c:v>5.3410578435228997E-3</c:v>
                </c:pt>
                <c:pt idx="39">
                  <c:v>5.3410578435228997E-3</c:v>
                </c:pt>
                <c:pt idx="40">
                  <c:v>5.3410578435228997E-3</c:v>
                </c:pt>
                <c:pt idx="41">
                  <c:v>5.3410578435228997E-3</c:v>
                </c:pt>
                <c:pt idx="42">
                  <c:v>5.3410578435228997E-3</c:v>
                </c:pt>
                <c:pt idx="43">
                  <c:v>5.3410578435228997E-3</c:v>
                </c:pt>
                <c:pt idx="44">
                  <c:v>5.3410578435228997E-3</c:v>
                </c:pt>
                <c:pt idx="45">
                  <c:v>5.3410578435228997E-3</c:v>
                </c:pt>
                <c:pt idx="46">
                  <c:v>5.3410578435228997E-3</c:v>
                </c:pt>
                <c:pt idx="47">
                  <c:v>5.3410578435228997E-3</c:v>
                </c:pt>
                <c:pt idx="48">
                  <c:v>5.3410578435228997E-3</c:v>
                </c:pt>
                <c:pt idx="49">
                  <c:v>5.3410578435228997E-3</c:v>
                </c:pt>
                <c:pt idx="50">
                  <c:v>5.3410578435228997E-3</c:v>
                </c:pt>
                <c:pt idx="51">
                  <c:v>5.3410578435228997E-3</c:v>
                </c:pt>
                <c:pt idx="52">
                  <c:v>5.3410578435228997E-3</c:v>
                </c:pt>
                <c:pt idx="53">
                  <c:v>5.3410578435228997E-3</c:v>
                </c:pt>
                <c:pt idx="54">
                  <c:v>5.3410578435228997E-3</c:v>
                </c:pt>
                <c:pt idx="55">
                  <c:v>5.3410578435228997E-3</c:v>
                </c:pt>
                <c:pt idx="56">
                  <c:v>5.3410578435228997E-3</c:v>
                </c:pt>
                <c:pt idx="57">
                  <c:v>5.3410578435228997E-3</c:v>
                </c:pt>
                <c:pt idx="58">
                  <c:v>5.3410578435228997E-3</c:v>
                </c:pt>
                <c:pt idx="59">
                  <c:v>5.3410578435228997E-3</c:v>
                </c:pt>
                <c:pt idx="60">
                  <c:v>5.3410578435228997E-3</c:v>
                </c:pt>
                <c:pt idx="61">
                  <c:v>5.3410578435228997E-3</c:v>
                </c:pt>
              </c:numCache>
            </c:numRef>
          </c:val>
          <c:smooth val="0"/>
        </c:ser>
        <c:ser>
          <c:idx val="2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ﾃﾞｰﾀｰ!$A$6:$A$63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ﾃﾞｰﾀｰ!$DU$6:$DU$67</c:f>
              <c:numCache>
                <c:formatCode>mm:ss</c:formatCode>
                <c:ptCount val="62"/>
                <c:pt idx="0">
                  <c:v>4.9995275888133029E-3</c:v>
                </c:pt>
                <c:pt idx="1">
                  <c:v>4.9995275888133029E-3</c:v>
                </c:pt>
                <c:pt idx="2">
                  <c:v>4.9995275888133029E-3</c:v>
                </c:pt>
                <c:pt idx="3">
                  <c:v>4.9995275888133029E-3</c:v>
                </c:pt>
                <c:pt idx="4">
                  <c:v>4.9995275888133029E-3</c:v>
                </c:pt>
                <c:pt idx="5">
                  <c:v>4.9995275888133029E-3</c:v>
                </c:pt>
                <c:pt idx="6">
                  <c:v>4.9995275888133029E-3</c:v>
                </c:pt>
                <c:pt idx="7">
                  <c:v>4.9995275888133029E-3</c:v>
                </c:pt>
                <c:pt idx="8">
                  <c:v>4.9995275888133029E-3</c:v>
                </c:pt>
                <c:pt idx="9">
                  <c:v>4.9995275888133029E-3</c:v>
                </c:pt>
                <c:pt idx="10">
                  <c:v>4.9995275888133029E-3</c:v>
                </c:pt>
                <c:pt idx="11">
                  <c:v>4.9995275888133029E-3</c:v>
                </c:pt>
                <c:pt idx="12">
                  <c:v>4.9995275888133029E-3</c:v>
                </c:pt>
                <c:pt idx="13">
                  <c:v>4.9995275888133029E-3</c:v>
                </c:pt>
                <c:pt idx="14">
                  <c:v>4.9995275888133029E-3</c:v>
                </c:pt>
                <c:pt idx="15">
                  <c:v>4.9995275888133029E-3</c:v>
                </c:pt>
                <c:pt idx="16">
                  <c:v>4.9995275888133029E-3</c:v>
                </c:pt>
                <c:pt idx="17">
                  <c:v>4.9995275888133029E-3</c:v>
                </c:pt>
                <c:pt idx="18">
                  <c:v>4.9995275888133029E-3</c:v>
                </c:pt>
                <c:pt idx="19">
                  <c:v>4.9995275888133029E-3</c:v>
                </c:pt>
                <c:pt idx="20">
                  <c:v>4.9995275888133029E-3</c:v>
                </c:pt>
                <c:pt idx="21">
                  <c:v>4.9995275888133029E-3</c:v>
                </c:pt>
                <c:pt idx="22">
                  <c:v>4.9995275888133029E-3</c:v>
                </c:pt>
                <c:pt idx="23">
                  <c:v>4.9995275888133029E-3</c:v>
                </c:pt>
                <c:pt idx="24">
                  <c:v>4.9995275888133029E-3</c:v>
                </c:pt>
                <c:pt idx="25">
                  <c:v>4.9995275888133029E-3</c:v>
                </c:pt>
                <c:pt idx="26">
                  <c:v>4.9995275888133029E-3</c:v>
                </c:pt>
                <c:pt idx="27">
                  <c:v>4.9995275888133029E-3</c:v>
                </c:pt>
                <c:pt idx="28">
                  <c:v>4.9995275888133029E-3</c:v>
                </c:pt>
                <c:pt idx="29">
                  <c:v>4.9995275888133029E-3</c:v>
                </c:pt>
                <c:pt idx="30">
                  <c:v>4.9995275888133029E-3</c:v>
                </c:pt>
                <c:pt idx="31">
                  <c:v>4.9995275888133029E-3</c:v>
                </c:pt>
                <c:pt idx="32">
                  <c:v>4.9995275888133029E-3</c:v>
                </c:pt>
                <c:pt idx="33">
                  <c:v>4.9995275888133029E-3</c:v>
                </c:pt>
                <c:pt idx="34">
                  <c:v>4.9995275888133029E-3</c:v>
                </c:pt>
                <c:pt idx="35">
                  <c:v>4.9995275888133029E-3</c:v>
                </c:pt>
                <c:pt idx="36">
                  <c:v>4.9995275888133029E-3</c:v>
                </c:pt>
                <c:pt idx="37">
                  <c:v>4.9995275888133029E-3</c:v>
                </c:pt>
                <c:pt idx="38">
                  <c:v>4.9995275888133029E-3</c:v>
                </c:pt>
                <c:pt idx="39">
                  <c:v>4.9995275888133029E-3</c:v>
                </c:pt>
                <c:pt idx="40">
                  <c:v>4.9995275888133029E-3</c:v>
                </c:pt>
                <c:pt idx="41">
                  <c:v>4.9995275888133029E-3</c:v>
                </c:pt>
                <c:pt idx="42">
                  <c:v>4.9995275888133029E-3</c:v>
                </c:pt>
                <c:pt idx="43">
                  <c:v>4.9995275888133029E-3</c:v>
                </c:pt>
                <c:pt idx="44">
                  <c:v>4.9995275888133029E-3</c:v>
                </c:pt>
                <c:pt idx="45">
                  <c:v>4.9995275888133029E-3</c:v>
                </c:pt>
                <c:pt idx="46">
                  <c:v>4.9995275888133029E-3</c:v>
                </c:pt>
                <c:pt idx="47">
                  <c:v>4.9995275888133029E-3</c:v>
                </c:pt>
                <c:pt idx="48">
                  <c:v>4.9995275888133029E-3</c:v>
                </c:pt>
                <c:pt idx="49">
                  <c:v>4.9995275888133029E-3</c:v>
                </c:pt>
                <c:pt idx="50">
                  <c:v>4.9995275888133029E-3</c:v>
                </c:pt>
                <c:pt idx="51">
                  <c:v>4.9995275888133029E-3</c:v>
                </c:pt>
                <c:pt idx="52">
                  <c:v>4.9995275888133029E-3</c:v>
                </c:pt>
                <c:pt idx="53">
                  <c:v>4.9995275888133029E-3</c:v>
                </c:pt>
                <c:pt idx="54">
                  <c:v>4.9995275888133029E-3</c:v>
                </c:pt>
                <c:pt idx="55">
                  <c:v>4.9995275888133029E-3</c:v>
                </c:pt>
                <c:pt idx="56">
                  <c:v>4.9995275888133029E-3</c:v>
                </c:pt>
                <c:pt idx="57">
                  <c:v>4.9995275888133029E-3</c:v>
                </c:pt>
                <c:pt idx="58">
                  <c:v>4.9995275888133029E-3</c:v>
                </c:pt>
                <c:pt idx="59">
                  <c:v>4.9995275888133029E-3</c:v>
                </c:pt>
                <c:pt idx="60">
                  <c:v>4.9995275888133029E-3</c:v>
                </c:pt>
                <c:pt idx="61">
                  <c:v>4.9995275888133029E-3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05120"/>
        <c:axId val="139607040"/>
      </c:lineChart>
      <c:catAx>
        <c:axId val="1396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  <a:cs typeface="ＭＳ ゴシック"/>
                  </a:defRPr>
                </a:pPr>
                <a:r>
                  <a:rPr altLang="en-US"/>
                  <a:t>Lot.No</a:t>
                </a:r>
              </a:p>
            </c:rich>
          </c:tx>
          <c:layout>
            <c:manualLayout>
              <c:xMode val="edge"/>
              <c:yMode val="edge"/>
              <c:x val="0.42125021116318068"/>
              <c:y val="0.887188899870361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60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60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F400]h:mm:ss\ AM/PM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605120"/>
        <c:crosses val="autoZero"/>
        <c:crossBetween val="between"/>
        <c:majorUnit val="3.4709999999999998E-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816854262998"/>
          <c:y val="0.14457893183072559"/>
          <c:w val="0.17138316575840429"/>
          <c:h val="0.58488749695157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altLang="en-US"/>
              <a:t>抜出時間7本目</a:t>
            </a:r>
          </a:p>
        </c:rich>
      </c:tx>
      <c:layout>
        <c:manualLayout>
          <c:xMode val="edge"/>
          <c:yMode val="edge"/>
          <c:x val="0.434991974317817"/>
          <c:y val="3.61842686450655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4927768860354"/>
          <c:y val="0.1480265535479954"/>
          <c:w val="0.6902086677367576"/>
          <c:h val="0.53618507174051666"/>
        </c:manualLayout>
      </c:layout>
      <c:lineChart>
        <c:grouping val="standard"/>
        <c:varyColors val="0"/>
        <c:ser>
          <c:idx val="4"/>
          <c:order val="0"/>
          <c:tx>
            <c:strRef>
              <c:f>ﾃﾞｰﾀｰ!$AC$5</c:f>
              <c:strCache>
                <c:ptCount val="1"/>
                <c:pt idx="0">
                  <c:v>抜出時間
7本目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ﾃﾞｰﾀｰ!$AC$6:$AC$67</c:f>
              <c:numCache>
                <c:formatCode>mm:ss</c:formatCode>
                <c:ptCount val="62"/>
                <c:pt idx="0">
                  <c:v>4.8611111111111112E-3</c:v>
                </c:pt>
                <c:pt idx="1">
                  <c:v>5.0578703703703706E-3</c:v>
                </c:pt>
                <c:pt idx="2">
                  <c:v>5.0347222222222225E-3</c:v>
                </c:pt>
                <c:pt idx="3">
                  <c:v>4.9421296296296288E-3</c:v>
                </c:pt>
                <c:pt idx="4">
                  <c:v>4.9074074074074072E-3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4.8148148148148152E-3</c:v>
                </c:pt>
                <c:pt idx="8">
                  <c:v>5.0231481481481481E-3</c:v>
                </c:pt>
                <c:pt idx="9">
                  <c:v>5.1041666666666666E-3</c:v>
                </c:pt>
                <c:pt idx="10">
                  <c:v>4.9537037037037041E-3</c:v>
                </c:pt>
                <c:pt idx="11">
                  <c:v>5.0810185185185186E-3</c:v>
                </c:pt>
                <c:pt idx="12">
                  <c:v>5.0231481481481481E-3</c:v>
                </c:pt>
                <c:pt idx="13">
                  <c:v>5.1736111111111115E-3</c:v>
                </c:pt>
                <c:pt idx="14">
                  <c:v>5.2546296296296299E-3</c:v>
                </c:pt>
                <c:pt idx="15">
                  <c:v>5.0231481481481481E-3</c:v>
                </c:pt>
                <c:pt idx="16">
                  <c:v>5.2430555555555555E-3</c:v>
                </c:pt>
                <c:pt idx="17">
                  <c:v>5.1504629629629635E-3</c:v>
                </c:pt>
                <c:pt idx="18">
                  <c:v>5.0000000000000001E-3</c:v>
                </c:pt>
                <c:pt idx="19">
                  <c:v>5.0694444444444441E-3</c:v>
                </c:pt>
                <c:pt idx="20">
                  <c:v>5.1041666666666666E-3</c:v>
                </c:pt>
                <c:pt idx="21">
                  <c:v>5.1504629629629635E-3</c:v>
                </c:pt>
                <c:pt idx="22">
                  <c:v>5.162037037037037E-3</c:v>
                </c:pt>
                <c:pt idx="23">
                  <c:v>5.162037037037037E-3</c:v>
                </c:pt>
                <c:pt idx="24">
                  <c:v>5.138888888888889E-3</c:v>
                </c:pt>
                <c:pt idx="25">
                  <c:v>4.9768518518518521E-3</c:v>
                </c:pt>
                <c:pt idx="26">
                  <c:v>4.7685185185185183E-3</c:v>
                </c:pt>
                <c:pt idx="27">
                  <c:v>4.8611111111111112E-3</c:v>
                </c:pt>
                <c:pt idx="28">
                  <c:v>5.2314814814814819E-3</c:v>
                </c:pt>
                <c:pt idx="29">
                  <c:v>5.208333333333333E-3</c:v>
                </c:pt>
                <c:pt idx="30">
                  <c:v>5.115740740740741E-3</c:v>
                </c:pt>
                <c:pt idx="31">
                  <c:v>5.115740740740741E-3</c:v>
                </c:pt>
              </c:numCache>
            </c:numRef>
          </c:val>
          <c:smooth val="0"/>
        </c:ser>
        <c:ser>
          <c:idx val="0"/>
          <c:order val="1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ﾃﾞｰﾀｰ!$CI$6:$CI$67</c:f>
              <c:numCache>
                <c:formatCode>mm:ss</c:formatCode>
                <c:ptCount val="62"/>
                <c:pt idx="0">
                  <c:v>4.6322196240640304E-3</c:v>
                </c:pt>
                <c:pt idx="1">
                  <c:v>4.6322196240640304E-3</c:v>
                </c:pt>
                <c:pt idx="2">
                  <c:v>4.6322196240640304E-3</c:v>
                </c:pt>
                <c:pt idx="3">
                  <c:v>4.6322196240640304E-3</c:v>
                </c:pt>
                <c:pt idx="4">
                  <c:v>4.6322196240640304E-3</c:v>
                </c:pt>
                <c:pt idx="5">
                  <c:v>4.6322196240640304E-3</c:v>
                </c:pt>
                <c:pt idx="6">
                  <c:v>4.6322196240640304E-3</c:v>
                </c:pt>
                <c:pt idx="7">
                  <c:v>4.6322196240640304E-3</c:v>
                </c:pt>
                <c:pt idx="8">
                  <c:v>4.6322196240640304E-3</c:v>
                </c:pt>
                <c:pt idx="9">
                  <c:v>4.6322196240640304E-3</c:v>
                </c:pt>
                <c:pt idx="10">
                  <c:v>4.6322196240640304E-3</c:v>
                </c:pt>
                <c:pt idx="11">
                  <c:v>4.6322196240640304E-3</c:v>
                </c:pt>
                <c:pt idx="12">
                  <c:v>4.6322196240640304E-3</c:v>
                </c:pt>
                <c:pt idx="13">
                  <c:v>4.6322196240640304E-3</c:v>
                </c:pt>
                <c:pt idx="14">
                  <c:v>4.6322196240640304E-3</c:v>
                </c:pt>
                <c:pt idx="15">
                  <c:v>4.6322196240640304E-3</c:v>
                </c:pt>
                <c:pt idx="16">
                  <c:v>4.6322196240640304E-3</c:v>
                </c:pt>
                <c:pt idx="17">
                  <c:v>4.6322196240640304E-3</c:v>
                </c:pt>
                <c:pt idx="18">
                  <c:v>4.6322196240640304E-3</c:v>
                </c:pt>
                <c:pt idx="19">
                  <c:v>4.6322196240640304E-3</c:v>
                </c:pt>
                <c:pt idx="20">
                  <c:v>4.6322196240640304E-3</c:v>
                </c:pt>
                <c:pt idx="21">
                  <c:v>4.6322196240640304E-3</c:v>
                </c:pt>
                <c:pt idx="22">
                  <c:v>4.6322196240640304E-3</c:v>
                </c:pt>
                <c:pt idx="23">
                  <c:v>4.6322196240640304E-3</c:v>
                </c:pt>
                <c:pt idx="24">
                  <c:v>4.6322196240640304E-3</c:v>
                </c:pt>
                <c:pt idx="25">
                  <c:v>4.6322196240640304E-3</c:v>
                </c:pt>
                <c:pt idx="26">
                  <c:v>4.6322196240640304E-3</c:v>
                </c:pt>
                <c:pt idx="27">
                  <c:v>4.6322196240640304E-3</c:v>
                </c:pt>
                <c:pt idx="28">
                  <c:v>4.6322196240640304E-3</c:v>
                </c:pt>
                <c:pt idx="29">
                  <c:v>4.6322196240640304E-3</c:v>
                </c:pt>
                <c:pt idx="30">
                  <c:v>4.6322196240640304E-3</c:v>
                </c:pt>
                <c:pt idx="31">
                  <c:v>4.6322196240640304E-3</c:v>
                </c:pt>
                <c:pt idx="32">
                  <c:v>4.6322196240640304E-3</c:v>
                </c:pt>
                <c:pt idx="33">
                  <c:v>4.6322196240640304E-3</c:v>
                </c:pt>
                <c:pt idx="34">
                  <c:v>4.6322196240640304E-3</c:v>
                </c:pt>
                <c:pt idx="35">
                  <c:v>4.6322196240640304E-3</c:v>
                </c:pt>
                <c:pt idx="36">
                  <c:v>4.6322196240640304E-3</c:v>
                </c:pt>
                <c:pt idx="37">
                  <c:v>4.6322196240640304E-3</c:v>
                </c:pt>
                <c:pt idx="38">
                  <c:v>4.6322196240640304E-3</c:v>
                </c:pt>
                <c:pt idx="39">
                  <c:v>4.6322196240640304E-3</c:v>
                </c:pt>
                <c:pt idx="40">
                  <c:v>4.6322196240640304E-3</c:v>
                </c:pt>
                <c:pt idx="41">
                  <c:v>4.6322196240640304E-3</c:v>
                </c:pt>
                <c:pt idx="42">
                  <c:v>4.6322196240640304E-3</c:v>
                </c:pt>
                <c:pt idx="43">
                  <c:v>4.6322196240640304E-3</c:v>
                </c:pt>
                <c:pt idx="44">
                  <c:v>4.6322196240640304E-3</c:v>
                </c:pt>
                <c:pt idx="45">
                  <c:v>4.6322196240640304E-3</c:v>
                </c:pt>
                <c:pt idx="46">
                  <c:v>4.6322196240640304E-3</c:v>
                </c:pt>
                <c:pt idx="47">
                  <c:v>4.6322196240640304E-3</c:v>
                </c:pt>
                <c:pt idx="48">
                  <c:v>4.6322196240640304E-3</c:v>
                </c:pt>
                <c:pt idx="49">
                  <c:v>4.6322196240640304E-3</c:v>
                </c:pt>
                <c:pt idx="50">
                  <c:v>4.6322196240640304E-3</c:v>
                </c:pt>
                <c:pt idx="51">
                  <c:v>4.6322196240640304E-3</c:v>
                </c:pt>
                <c:pt idx="52">
                  <c:v>4.6322196240640304E-3</c:v>
                </c:pt>
                <c:pt idx="53">
                  <c:v>4.6322196240640304E-3</c:v>
                </c:pt>
                <c:pt idx="54">
                  <c:v>4.6322196240640304E-3</c:v>
                </c:pt>
                <c:pt idx="55">
                  <c:v>4.6322196240640304E-3</c:v>
                </c:pt>
                <c:pt idx="56">
                  <c:v>4.6322196240640304E-3</c:v>
                </c:pt>
                <c:pt idx="57">
                  <c:v>4.6322196240640304E-3</c:v>
                </c:pt>
                <c:pt idx="58">
                  <c:v>4.6322196240640304E-3</c:v>
                </c:pt>
                <c:pt idx="59">
                  <c:v>4.6322196240640304E-3</c:v>
                </c:pt>
                <c:pt idx="60">
                  <c:v>4.6322196240640304E-3</c:v>
                </c:pt>
                <c:pt idx="61">
                  <c:v>4.6322196240640304E-3</c:v>
                </c:pt>
              </c:numCache>
            </c:numRef>
          </c:val>
          <c:smooth val="0"/>
        </c:ser>
        <c:ser>
          <c:idx val="1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ﾃﾞｰﾀｰ!$CJ$6:$CJ$67</c:f>
              <c:numCache>
                <c:formatCode>mm:ss</c:formatCode>
                <c:ptCount val="62"/>
                <c:pt idx="0">
                  <c:v>5.2936118196245515E-3</c:v>
                </c:pt>
                <c:pt idx="1">
                  <c:v>5.2936118196245515E-3</c:v>
                </c:pt>
                <c:pt idx="2">
                  <c:v>5.2936118196245515E-3</c:v>
                </c:pt>
                <c:pt idx="3">
                  <c:v>5.2936118196245515E-3</c:v>
                </c:pt>
                <c:pt idx="4">
                  <c:v>5.2936118196245515E-3</c:v>
                </c:pt>
                <c:pt idx="5">
                  <c:v>5.2936118196245515E-3</c:v>
                </c:pt>
                <c:pt idx="6">
                  <c:v>5.2936118196245515E-3</c:v>
                </c:pt>
                <c:pt idx="7">
                  <c:v>5.2936118196245515E-3</c:v>
                </c:pt>
                <c:pt idx="8">
                  <c:v>5.2936118196245515E-3</c:v>
                </c:pt>
                <c:pt idx="9">
                  <c:v>5.2936118196245515E-3</c:v>
                </c:pt>
                <c:pt idx="10">
                  <c:v>5.2936118196245515E-3</c:v>
                </c:pt>
                <c:pt idx="11">
                  <c:v>5.2936118196245515E-3</c:v>
                </c:pt>
                <c:pt idx="12">
                  <c:v>5.2936118196245515E-3</c:v>
                </c:pt>
                <c:pt idx="13">
                  <c:v>5.2936118196245515E-3</c:v>
                </c:pt>
                <c:pt idx="14">
                  <c:v>5.2936118196245515E-3</c:v>
                </c:pt>
                <c:pt idx="15">
                  <c:v>5.2936118196245515E-3</c:v>
                </c:pt>
                <c:pt idx="16">
                  <c:v>5.2936118196245515E-3</c:v>
                </c:pt>
                <c:pt idx="17">
                  <c:v>5.2936118196245515E-3</c:v>
                </c:pt>
                <c:pt idx="18">
                  <c:v>5.2936118196245515E-3</c:v>
                </c:pt>
                <c:pt idx="19">
                  <c:v>5.2936118196245515E-3</c:v>
                </c:pt>
                <c:pt idx="20">
                  <c:v>5.2936118196245515E-3</c:v>
                </c:pt>
                <c:pt idx="21">
                  <c:v>5.2936118196245515E-3</c:v>
                </c:pt>
                <c:pt idx="22">
                  <c:v>5.2936118196245515E-3</c:v>
                </c:pt>
                <c:pt idx="23">
                  <c:v>5.2936118196245515E-3</c:v>
                </c:pt>
                <c:pt idx="24">
                  <c:v>5.2936118196245515E-3</c:v>
                </c:pt>
                <c:pt idx="25">
                  <c:v>5.2936118196245515E-3</c:v>
                </c:pt>
                <c:pt idx="26">
                  <c:v>5.2936118196245515E-3</c:v>
                </c:pt>
                <c:pt idx="27">
                  <c:v>5.2936118196245515E-3</c:v>
                </c:pt>
                <c:pt idx="28">
                  <c:v>5.2936118196245515E-3</c:v>
                </c:pt>
                <c:pt idx="29">
                  <c:v>5.2936118196245515E-3</c:v>
                </c:pt>
                <c:pt idx="30">
                  <c:v>5.2936118196245515E-3</c:v>
                </c:pt>
                <c:pt idx="31">
                  <c:v>5.2936118196245515E-3</c:v>
                </c:pt>
                <c:pt idx="32">
                  <c:v>5.2936118196245515E-3</c:v>
                </c:pt>
                <c:pt idx="33">
                  <c:v>5.2936118196245515E-3</c:v>
                </c:pt>
                <c:pt idx="34">
                  <c:v>5.2936118196245515E-3</c:v>
                </c:pt>
                <c:pt idx="35">
                  <c:v>5.2936118196245515E-3</c:v>
                </c:pt>
                <c:pt idx="36">
                  <c:v>5.2936118196245515E-3</c:v>
                </c:pt>
                <c:pt idx="37">
                  <c:v>5.2936118196245515E-3</c:v>
                </c:pt>
                <c:pt idx="38">
                  <c:v>5.2936118196245515E-3</c:v>
                </c:pt>
                <c:pt idx="39">
                  <c:v>5.2936118196245515E-3</c:v>
                </c:pt>
                <c:pt idx="40">
                  <c:v>5.2936118196245515E-3</c:v>
                </c:pt>
                <c:pt idx="41">
                  <c:v>5.2936118196245515E-3</c:v>
                </c:pt>
                <c:pt idx="42">
                  <c:v>5.2936118196245515E-3</c:v>
                </c:pt>
                <c:pt idx="43">
                  <c:v>5.2936118196245515E-3</c:v>
                </c:pt>
                <c:pt idx="44">
                  <c:v>5.2936118196245515E-3</c:v>
                </c:pt>
                <c:pt idx="45">
                  <c:v>5.2936118196245515E-3</c:v>
                </c:pt>
                <c:pt idx="46">
                  <c:v>5.2936118196245515E-3</c:v>
                </c:pt>
                <c:pt idx="47">
                  <c:v>5.2936118196245515E-3</c:v>
                </c:pt>
                <c:pt idx="48">
                  <c:v>5.2936118196245515E-3</c:v>
                </c:pt>
                <c:pt idx="49">
                  <c:v>5.2936118196245515E-3</c:v>
                </c:pt>
                <c:pt idx="50">
                  <c:v>5.2936118196245515E-3</c:v>
                </c:pt>
                <c:pt idx="51">
                  <c:v>5.2936118196245515E-3</c:v>
                </c:pt>
                <c:pt idx="52">
                  <c:v>5.2936118196245515E-3</c:v>
                </c:pt>
                <c:pt idx="53">
                  <c:v>5.2936118196245515E-3</c:v>
                </c:pt>
                <c:pt idx="54">
                  <c:v>5.2936118196245515E-3</c:v>
                </c:pt>
                <c:pt idx="55">
                  <c:v>5.2936118196245515E-3</c:v>
                </c:pt>
                <c:pt idx="56">
                  <c:v>5.2936118196245515E-3</c:v>
                </c:pt>
                <c:pt idx="57">
                  <c:v>5.2936118196245515E-3</c:v>
                </c:pt>
                <c:pt idx="58">
                  <c:v>5.2936118196245515E-3</c:v>
                </c:pt>
                <c:pt idx="59">
                  <c:v>5.2936118196245515E-3</c:v>
                </c:pt>
                <c:pt idx="60">
                  <c:v>5.2936118196245515E-3</c:v>
                </c:pt>
                <c:pt idx="61">
                  <c:v>5.2936118196245515E-3</c:v>
                </c:pt>
              </c:numCache>
            </c:numRef>
          </c:val>
          <c:smooth val="0"/>
        </c:ser>
        <c:ser>
          <c:idx val="2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ﾃﾞｰﾀｰ!$DV$6:$DV$67</c:f>
              <c:numCache>
                <c:formatCode>mm:ss</c:formatCode>
                <c:ptCount val="62"/>
                <c:pt idx="0">
                  <c:v>4.962915721844291E-3</c:v>
                </c:pt>
                <c:pt idx="1">
                  <c:v>4.962915721844291E-3</c:v>
                </c:pt>
                <c:pt idx="2">
                  <c:v>4.962915721844291E-3</c:v>
                </c:pt>
                <c:pt idx="3">
                  <c:v>4.962915721844291E-3</c:v>
                </c:pt>
                <c:pt idx="4">
                  <c:v>4.962915721844291E-3</c:v>
                </c:pt>
                <c:pt idx="5">
                  <c:v>4.962915721844291E-3</c:v>
                </c:pt>
                <c:pt idx="6">
                  <c:v>4.962915721844291E-3</c:v>
                </c:pt>
                <c:pt idx="7">
                  <c:v>4.962915721844291E-3</c:v>
                </c:pt>
                <c:pt idx="8">
                  <c:v>4.962915721844291E-3</c:v>
                </c:pt>
                <c:pt idx="9">
                  <c:v>4.962915721844291E-3</c:v>
                </c:pt>
                <c:pt idx="10">
                  <c:v>4.962915721844291E-3</c:v>
                </c:pt>
                <c:pt idx="11">
                  <c:v>4.962915721844291E-3</c:v>
                </c:pt>
                <c:pt idx="12">
                  <c:v>4.962915721844291E-3</c:v>
                </c:pt>
                <c:pt idx="13">
                  <c:v>4.962915721844291E-3</c:v>
                </c:pt>
                <c:pt idx="14">
                  <c:v>4.962915721844291E-3</c:v>
                </c:pt>
                <c:pt idx="15">
                  <c:v>4.962915721844291E-3</c:v>
                </c:pt>
                <c:pt idx="16">
                  <c:v>4.962915721844291E-3</c:v>
                </c:pt>
                <c:pt idx="17">
                  <c:v>4.962915721844291E-3</c:v>
                </c:pt>
                <c:pt idx="18">
                  <c:v>4.962915721844291E-3</c:v>
                </c:pt>
                <c:pt idx="19">
                  <c:v>4.962915721844291E-3</c:v>
                </c:pt>
                <c:pt idx="20">
                  <c:v>4.962915721844291E-3</c:v>
                </c:pt>
                <c:pt idx="21">
                  <c:v>4.962915721844291E-3</c:v>
                </c:pt>
                <c:pt idx="22">
                  <c:v>4.962915721844291E-3</c:v>
                </c:pt>
                <c:pt idx="23">
                  <c:v>4.962915721844291E-3</c:v>
                </c:pt>
                <c:pt idx="24">
                  <c:v>4.962915721844291E-3</c:v>
                </c:pt>
                <c:pt idx="25">
                  <c:v>4.962915721844291E-3</c:v>
                </c:pt>
                <c:pt idx="26">
                  <c:v>4.962915721844291E-3</c:v>
                </c:pt>
                <c:pt idx="27">
                  <c:v>4.962915721844291E-3</c:v>
                </c:pt>
                <c:pt idx="28">
                  <c:v>4.962915721844291E-3</c:v>
                </c:pt>
                <c:pt idx="29">
                  <c:v>4.962915721844291E-3</c:v>
                </c:pt>
                <c:pt idx="30">
                  <c:v>4.962915721844291E-3</c:v>
                </c:pt>
                <c:pt idx="31">
                  <c:v>4.962915721844291E-3</c:v>
                </c:pt>
                <c:pt idx="32">
                  <c:v>4.962915721844291E-3</c:v>
                </c:pt>
                <c:pt idx="33">
                  <c:v>4.962915721844291E-3</c:v>
                </c:pt>
                <c:pt idx="34">
                  <c:v>4.962915721844291E-3</c:v>
                </c:pt>
                <c:pt idx="35">
                  <c:v>4.962915721844291E-3</c:v>
                </c:pt>
                <c:pt idx="36">
                  <c:v>4.962915721844291E-3</c:v>
                </c:pt>
                <c:pt idx="37">
                  <c:v>4.962915721844291E-3</c:v>
                </c:pt>
                <c:pt idx="38">
                  <c:v>4.962915721844291E-3</c:v>
                </c:pt>
                <c:pt idx="39">
                  <c:v>4.962915721844291E-3</c:v>
                </c:pt>
                <c:pt idx="40">
                  <c:v>4.962915721844291E-3</c:v>
                </c:pt>
                <c:pt idx="41">
                  <c:v>4.962915721844291E-3</c:v>
                </c:pt>
                <c:pt idx="42">
                  <c:v>4.962915721844291E-3</c:v>
                </c:pt>
                <c:pt idx="43">
                  <c:v>4.962915721844291E-3</c:v>
                </c:pt>
                <c:pt idx="44">
                  <c:v>4.962915721844291E-3</c:v>
                </c:pt>
                <c:pt idx="45">
                  <c:v>4.962915721844291E-3</c:v>
                </c:pt>
                <c:pt idx="46">
                  <c:v>4.962915721844291E-3</c:v>
                </c:pt>
                <c:pt idx="47">
                  <c:v>4.962915721844291E-3</c:v>
                </c:pt>
                <c:pt idx="48">
                  <c:v>4.962915721844291E-3</c:v>
                </c:pt>
                <c:pt idx="49">
                  <c:v>4.962915721844291E-3</c:v>
                </c:pt>
                <c:pt idx="50">
                  <c:v>4.962915721844291E-3</c:v>
                </c:pt>
                <c:pt idx="51">
                  <c:v>4.962915721844291E-3</c:v>
                </c:pt>
                <c:pt idx="52">
                  <c:v>4.962915721844291E-3</c:v>
                </c:pt>
                <c:pt idx="53">
                  <c:v>4.962915721844291E-3</c:v>
                </c:pt>
                <c:pt idx="54">
                  <c:v>4.962915721844291E-3</c:v>
                </c:pt>
                <c:pt idx="55">
                  <c:v>4.962915721844291E-3</c:v>
                </c:pt>
                <c:pt idx="56">
                  <c:v>4.962915721844291E-3</c:v>
                </c:pt>
                <c:pt idx="57">
                  <c:v>4.962915721844291E-3</c:v>
                </c:pt>
                <c:pt idx="58">
                  <c:v>4.962915721844291E-3</c:v>
                </c:pt>
                <c:pt idx="59">
                  <c:v>4.962915721844291E-3</c:v>
                </c:pt>
                <c:pt idx="60">
                  <c:v>4.962915721844291E-3</c:v>
                </c:pt>
                <c:pt idx="61">
                  <c:v>4.962915721844291E-3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54656"/>
        <c:axId val="139656576"/>
      </c:lineChart>
      <c:catAx>
        <c:axId val="13965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  <a:cs typeface="ＭＳ ゴシック"/>
                  </a:defRPr>
                </a:pPr>
                <a:r>
                  <a:rPr altLang="en-US"/>
                  <a:t>Lot.No</a:t>
                </a:r>
              </a:p>
            </c:rich>
          </c:tx>
          <c:layout>
            <c:manualLayout>
              <c:xMode val="edge"/>
              <c:yMode val="edge"/>
              <c:x val="0.42215088282504015"/>
              <c:y val="0.88815932128797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65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6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F400]h:mm:ss\ AM/PM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654656"/>
        <c:crosses val="autoZero"/>
        <c:crossBetween val="between"/>
        <c:majorUnit val="3.4709999999999998E-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8298555377207"/>
          <c:y val="0.14473707458026216"/>
          <c:w val="0.17174959871589085"/>
          <c:h val="0.585527256256515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altLang="en-US"/>
              <a:t>抜出時間差</a:t>
            </a:r>
          </a:p>
        </c:rich>
      </c:tx>
      <c:layout>
        <c:manualLayout>
          <c:xMode val="edge"/>
          <c:yMode val="edge"/>
          <c:x val="0.44771313271218327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8841032286"/>
          <c:y val="0.1485153301468716"/>
          <c:w val="0.68464161535184231"/>
          <c:h val="0.53465518852873783"/>
        </c:manualLayout>
      </c:layout>
      <c:lineChart>
        <c:grouping val="standard"/>
        <c:varyColors val="0"/>
        <c:ser>
          <c:idx val="4"/>
          <c:order val="0"/>
          <c:tx>
            <c:strRef>
              <c:f>ﾃﾞｰﾀｰ!$AD$5</c:f>
              <c:strCache>
                <c:ptCount val="1"/>
                <c:pt idx="0">
                  <c:v>抜出時間
差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ﾃﾞｰﾀｰ!$AD$6:$AD$67</c:f>
              <c:numCache>
                <c:formatCode>mm:ss</c:formatCode>
                <c:ptCount val="62"/>
                <c:pt idx="0">
                  <c:v>-2.4305555555555539E-4</c:v>
                </c:pt>
                <c:pt idx="1">
                  <c:v>0</c:v>
                </c:pt>
                <c:pt idx="2">
                  <c:v>-6.9444444444444024E-5</c:v>
                </c:pt>
                <c:pt idx="3">
                  <c:v>-5.7870370370371321E-5</c:v>
                </c:pt>
                <c:pt idx="4">
                  <c:v>8.1018518518518462E-5</c:v>
                </c:pt>
                <c:pt idx="5">
                  <c:v>-3.4722222222222446E-5</c:v>
                </c:pt>
                <c:pt idx="6">
                  <c:v>3.4722222222222446E-5</c:v>
                </c:pt>
                <c:pt idx="7">
                  <c:v>-1.1574074074074004E-4</c:v>
                </c:pt>
                <c:pt idx="8">
                  <c:v>-3.4722222222222446E-5</c:v>
                </c:pt>
                <c:pt idx="9">
                  <c:v>-2.3148148148148008E-5</c:v>
                </c:pt>
                <c:pt idx="10">
                  <c:v>-1.7361111111111049E-4</c:v>
                </c:pt>
                <c:pt idx="11">
                  <c:v>6.9444444444444892E-5</c:v>
                </c:pt>
                <c:pt idx="12">
                  <c:v>-1.0416666666666647E-4</c:v>
                </c:pt>
                <c:pt idx="13">
                  <c:v>-3.4722222222221578E-5</c:v>
                </c:pt>
                <c:pt idx="14">
                  <c:v>5.7870370370370454E-5</c:v>
                </c:pt>
                <c:pt idx="15">
                  <c:v>-1.3888888888888892E-4</c:v>
                </c:pt>
                <c:pt idx="16">
                  <c:v>-3.4722222222221578E-5</c:v>
                </c:pt>
                <c:pt idx="17">
                  <c:v>-6.9444444444443157E-5</c:v>
                </c:pt>
                <c:pt idx="18">
                  <c:v>-2.3148148148148008E-5</c:v>
                </c:pt>
                <c:pt idx="19">
                  <c:v>-3.4722222222222446E-5</c:v>
                </c:pt>
                <c:pt idx="20">
                  <c:v>-1.5046296296296335E-4</c:v>
                </c:pt>
                <c:pt idx="21">
                  <c:v>3.4722222222222446E-5</c:v>
                </c:pt>
                <c:pt idx="22">
                  <c:v>-4.6296296296296016E-5</c:v>
                </c:pt>
                <c:pt idx="23">
                  <c:v>-1.3888888888888805E-4</c:v>
                </c:pt>
                <c:pt idx="24">
                  <c:v>3.4722222222222446E-5</c:v>
                </c:pt>
                <c:pt idx="25">
                  <c:v>4.6296296296296884E-5</c:v>
                </c:pt>
                <c:pt idx="26">
                  <c:v>-9.25925925925929E-5</c:v>
                </c:pt>
                <c:pt idx="27">
                  <c:v>-1.0416666666666647E-4</c:v>
                </c:pt>
                <c:pt idx="28">
                  <c:v>1.1574074074074091E-4</c:v>
                </c:pt>
                <c:pt idx="29">
                  <c:v>1.9675925925925937E-4</c:v>
                </c:pt>
                <c:pt idx="30">
                  <c:v>4.6296296296296884E-5</c:v>
                </c:pt>
                <c:pt idx="31">
                  <c:v>1.0416666666666734E-4</c:v>
                </c:pt>
              </c:numCache>
            </c:numRef>
          </c:val>
          <c:smooth val="0"/>
        </c:ser>
        <c:ser>
          <c:idx val="0"/>
          <c:order val="1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ﾃﾞｰﾀｰ!$CK$6:$CK$67</c:f>
              <c:numCache>
                <c:formatCode>mm:ss</c:formatCode>
                <c:ptCount val="62"/>
                <c:pt idx="0">
                  <c:v>-2.62020899613848E-4</c:v>
                </c:pt>
                <c:pt idx="1">
                  <c:v>-2.62020899613848E-4</c:v>
                </c:pt>
                <c:pt idx="2">
                  <c:v>-2.62020899613848E-4</c:v>
                </c:pt>
                <c:pt idx="3">
                  <c:v>-2.62020899613848E-4</c:v>
                </c:pt>
                <c:pt idx="4">
                  <c:v>-2.62020899613848E-4</c:v>
                </c:pt>
                <c:pt idx="5">
                  <c:v>-2.62020899613848E-4</c:v>
                </c:pt>
                <c:pt idx="6">
                  <c:v>-2.62020899613848E-4</c:v>
                </c:pt>
                <c:pt idx="7">
                  <c:v>-2.62020899613848E-4</c:v>
                </c:pt>
                <c:pt idx="8">
                  <c:v>-2.62020899613848E-4</c:v>
                </c:pt>
                <c:pt idx="9">
                  <c:v>-2.62020899613848E-4</c:v>
                </c:pt>
                <c:pt idx="10">
                  <c:v>-2.62020899613848E-4</c:v>
                </c:pt>
                <c:pt idx="11">
                  <c:v>-2.62020899613848E-4</c:v>
                </c:pt>
                <c:pt idx="12">
                  <c:v>-2.62020899613848E-4</c:v>
                </c:pt>
                <c:pt idx="13">
                  <c:v>-2.62020899613848E-4</c:v>
                </c:pt>
                <c:pt idx="14">
                  <c:v>-2.62020899613848E-4</c:v>
                </c:pt>
                <c:pt idx="15">
                  <c:v>-2.62020899613848E-4</c:v>
                </c:pt>
                <c:pt idx="16">
                  <c:v>-2.62020899613848E-4</c:v>
                </c:pt>
                <c:pt idx="17">
                  <c:v>-2.62020899613848E-4</c:v>
                </c:pt>
                <c:pt idx="18">
                  <c:v>-2.62020899613848E-4</c:v>
                </c:pt>
                <c:pt idx="19">
                  <c:v>-2.62020899613848E-4</c:v>
                </c:pt>
                <c:pt idx="20">
                  <c:v>-2.62020899613848E-4</c:v>
                </c:pt>
                <c:pt idx="21">
                  <c:v>-2.62020899613848E-4</c:v>
                </c:pt>
                <c:pt idx="22">
                  <c:v>-2.62020899613848E-4</c:v>
                </c:pt>
                <c:pt idx="23">
                  <c:v>-2.62020899613848E-4</c:v>
                </c:pt>
                <c:pt idx="24">
                  <c:v>-2.62020899613848E-4</c:v>
                </c:pt>
                <c:pt idx="25">
                  <c:v>-2.62020899613848E-4</c:v>
                </c:pt>
                <c:pt idx="26">
                  <c:v>-2.62020899613848E-4</c:v>
                </c:pt>
                <c:pt idx="27">
                  <c:v>-2.62020899613848E-4</c:v>
                </c:pt>
                <c:pt idx="28">
                  <c:v>-2.62020899613848E-4</c:v>
                </c:pt>
                <c:pt idx="29">
                  <c:v>-2.62020899613848E-4</c:v>
                </c:pt>
                <c:pt idx="30">
                  <c:v>-2.62020899613848E-4</c:v>
                </c:pt>
                <c:pt idx="31">
                  <c:v>-2.62020899613848E-4</c:v>
                </c:pt>
                <c:pt idx="32">
                  <c:v>-2.62020899613848E-4</c:v>
                </c:pt>
                <c:pt idx="33">
                  <c:v>-2.62020899613848E-4</c:v>
                </c:pt>
                <c:pt idx="34">
                  <c:v>-2.62020899613848E-4</c:v>
                </c:pt>
                <c:pt idx="35">
                  <c:v>-2.62020899613848E-4</c:v>
                </c:pt>
                <c:pt idx="36">
                  <c:v>-2.62020899613848E-4</c:v>
                </c:pt>
                <c:pt idx="37">
                  <c:v>-2.62020899613848E-4</c:v>
                </c:pt>
                <c:pt idx="38">
                  <c:v>-2.62020899613848E-4</c:v>
                </c:pt>
                <c:pt idx="39">
                  <c:v>-2.62020899613848E-4</c:v>
                </c:pt>
                <c:pt idx="40">
                  <c:v>-2.62020899613848E-4</c:v>
                </c:pt>
                <c:pt idx="41">
                  <c:v>-2.62020899613848E-4</c:v>
                </c:pt>
                <c:pt idx="42">
                  <c:v>-2.62020899613848E-4</c:v>
                </c:pt>
                <c:pt idx="43">
                  <c:v>-2.62020899613848E-4</c:v>
                </c:pt>
                <c:pt idx="44">
                  <c:v>-2.62020899613848E-4</c:v>
                </c:pt>
                <c:pt idx="45">
                  <c:v>-2.62020899613848E-4</c:v>
                </c:pt>
                <c:pt idx="46">
                  <c:v>-2.62020899613848E-4</c:v>
                </c:pt>
                <c:pt idx="47">
                  <c:v>-2.62020899613848E-4</c:v>
                </c:pt>
                <c:pt idx="48">
                  <c:v>-2.62020899613848E-4</c:v>
                </c:pt>
                <c:pt idx="49">
                  <c:v>-2.62020899613848E-4</c:v>
                </c:pt>
                <c:pt idx="50">
                  <c:v>-2.62020899613848E-4</c:v>
                </c:pt>
                <c:pt idx="51">
                  <c:v>-2.62020899613848E-4</c:v>
                </c:pt>
                <c:pt idx="52">
                  <c:v>-2.62020899613848E-4</c:v>
                </c:pt>
                <c:pt idx="53">
                  <c:v>-2.62020899613848E-4</c:v>
                </c:pt>
                <c:pt idx="54">
                  <c:v>-2.62020899613848E-4</c:v>
                </c:pt>
                <c:pt idx="55">
                  <c:v>-2.62020899613848E-4</c:v>
                </c:pt>
                <c:pt idx="56">
                  <c:v>-2.62020899613848E-4</c:v>
                </c:pt>
                <c:pt idx="57">
                  <c:v>-2.62020899613848E-4</c:v>
                </c:pt>
                <c:pt idx="58">
                  <c:v>-2.62020899613848E-4</c:v>
                </c:pt>
                <c:pt idx="59">
                  <c:v>-2.62020899613848E-4</c:v>
                </c:pt>
                <c:pt idx="60">
                  <c:v>-2.62020899613848E-4</c:v>
                </c:pt>
                <c:pt idx="61">
                  <c:v>-2.62020899613848E-4</c:v>
                </c:pt>
              </c:numCache>
            </c:numRef>
          </c:val>
          <c:smooth val="0"/>
        </c:ser>
        <c:ser>
          <c:idx val="1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ﾃﾞｰﾀｰ!$CL$6:$CL$67</c:f>
              <c:numCache>
                <c:formatCode>mm:ss</c:formatCode>
                <c:ptCount val="62"/>
                <c:pt idx="0">
                  <c:v>2.0015946921793468E-4</c:v>
                </c:pt>
                <c:pt idx="1">
                  <c:v>2.0015946921793468E-4</c:v>
                </c:pt>
                <c:pt idx="2">
                  <c:v>2.0015946921793468E-4</c:v>
                </c:pt>
                <c:pt idx="3">
                  <c:v>2.0015946921793468E-4</c:v>
                </c:pt>
                <c:pt idx="4">
                  <c:v>2.0015946921793468E-4</c:v>
                </c:pt>
                <c:pt idx="5">
                  <c:v>2.0015946921793468E-4</c:v>
                </c:pt>
                <c:pt idx="6">
                  <c:v>2.0015946921793468E-4</c:v>
                </c:pt>
                <c:pt idx="7">
                  <c:v>2.0015946921793468E-4</c:v>
                </c:pt>
                <c:pt idx="8">
                  <c:v>2.0015946921793468E-4</c:v>
                </c:pt>
                <c:pt idx="9">
                  <c:v>2.0015946921793468E-4</c:v>
                </c:pt>
                <c:pt idx="10">
                  <c:v>2.0015946921793468E-4</c:v>
                </c:pt>
                <c:pt idx="11">
                  <c:v>2.0015946921793468E-4</c:v>
                </c:pt>
                <c:pt idx="12">
                  <c:v>2.0015946921793468E-4</c:v>
                </c:pt>
                <c:pt idx="13">
                  <c:v>2.0015946921793468E-4</c:v>
                </c:pt>
                <c:pt idx="14">
                  <c:v>2.0015946921793468E-4</c:v>
                </c:pt>
                <c:pt idx="15">
                  <c:v>2.0015946921793468E-4</c:v>
                </c:pt>
                <c:pt idx="16">
                  <c:v>2.0015946921793468E-4</c:v>
                </c:pt>
                <c:pt idx="17">
                  <c:v>2.0015946921793468E-4</c:v>
                </c:pt>
                <c:pt idx="18">
                  <c:v>2.0015946921793468E-4</c:v>
                </c:pt>
                <c:pt idx="19">
                  <c:v>2.0015946921793468E-4</c:v>
                </c:pt>
                <c:pt idx="20">
                  <c:v>2.0015946921793468E-4</c:v>
                </c:pt>
                <c:pt idx="21">
                  <c:v>2.0015946921793468E-4</c:v>
                </c:pt>
                <c:pt idx="22">
                  <c:v>2.0015946921793468E-4</c:v>
                </c:pt>
                <c:pt idx="23">
                  <c:v>2.0015946921793468E-4</c:v>
                </c:pt>
                <c:pt idx="24">
                  <c:v>2.0015946921793468E-4</c:v>
                </c:pt>
                <c:pt idx="25">
                  <c:v>2.0015946921793468E-4</c:v>
                </c:pt>
                <c:pt idx="26">
                  <c:v>2.0015946921793468E-4</c:v>
                </c:pt>
                <c:pt idx="27">
                  <c:v>2.0015946921793468E-4</c:v>
                </c:pt>
                <c:pt idx="28">
                  <c:v>2.0015946921793468E-4</c:v>
                </c:pt>
                <c:pt idx="29">
                  <c:v>2.0015946921793468E-4</c:v>
                </c:pt>
                <c:pt idx="30">
                  <c:v>2.0015946921793468E-4</c:v>
                </c:pt>
                <c:pt idx="31">
                  <c:v>2.0015946921793468E-4</c:v>
                </c:pt>
                <c:pt idx="32">
                  <c:v>2.0015946921793468E-4</c:v>
                </c:pt>
                <c:pt idx="33">
                  <c:v>2.0015946921793468E-4</c:v>
                </c:pt>
                <c:pt idx="34">
                  <c:v>2.0015946921793468E-4</c:v>
                </c:pt>
                <c:pt idx="35">
                  <c:v>2.0015946921793468E-4</c:v>
                </c:pt>
                <c:pt idx="36">
                  <c:v>2.0015946921793468E-4</c:v>
                </c:pt>
                <c:pt idx="37">
                  <c:v>2.0015946921793468E-4</c:v>
                </c:pt>
                <c:pt idx="38">
                  <c:v>2.0015946921793468E-4</c:v>
                </c:pt>
                <c:pt idx="39">
                  <c:v>2.0015946921793468E-4</c:v>
                </c:pt>
                <c:pt idx="40">
                  <c:v>2.0015946921793468E-4</c:v>
                </c:pt>
                <c:pt idx="41">
                  <c:v>2.0015946921793468E-4</c:v>
                </c:pt>
                <c:pt idx="42">
                  <c:v>2.0015946921793468E-4</c:v>
                </c:pt>
                <c:pt idx="43">
                  <c:v>2.0015946921793468E-4</c:v>
                </c:pt>
                <c:pt idx="44">
                  <c:v>2.0015946921793468E-4</c:v>
                </c:pt>
                <c:pt idx="45">
                  <c:v>2.0015946921793468E-4</c:v>
                </c:pt>
                <c:pt idx="46">
                  <c:v>2.0015946921793468E-4</c:v>
                </c:pt>
                <c:pt idx="47">
                  <c:v>2.0015946921793468E-4</c:v>
                </c:pt>
                <c:pt idx="48">
                  <c:v>2.0015946921793468E-4</c:v>
                </c:pt>
                <c:pt idx="49">
                  <c:v>2.0015946921793468E-4</c:v>
                </c:pt>
                <c:pt idx="50">
                  <c:v>2.0015946921793468E-4</c:v>
                </c:pt>
                <c:pt idx="51">
                  <c:v>2.0015946921793468E-4</c:v>
                </c:pt>
                <c:pt idx="52">
                  <c:v>2.0015946921793468E-4</c:v>
                </c:pt>
                <c:pt idx="53">
                  <c:v>2.0015946921793468E-4</c:v>
                </c:pt>
                <c:pt idx="54">
                  <c:v>2.0015946921793468E-4</c:v>
                </c:pt>
                <c:pt idx="55">
                  <c:v>2.0015946921793468E-4</c:v>
                </c:pt>
                <c:pt idx="56">
                  <c:v>2.0015946921793468E-4</c:v>
                </c:pt>
                <c:pt idx="57">
                  <c:v>2.0015946921793468E-4</c:v>
                </c:pt>
                <c:pt idx="58">
                  <c:v>2.0015946921793468E-4</c:v>
                </c:pt>
                <c:pt idx="59">
                  <c:v>2.0015946921793468E-4</c:v>
                </c:pt>
                <c:pt idx="60">
                  <c:v>2.0015946921793468E-4</c:v>
                </c:pt>
                <c:pt idx="61">
                  <c:v>2.0015946921793468E-4</c:v>
                </c:pt>
              </c:numCache>
            </c:numRef>
          </c:val>
          <c:smooth val="0"/>
        </c:ser>
        <c:ser>
          <c:idx val="2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ﾃﾞｰﾀｰ!$DW$6:$DW$67</c:f>
              <c:numCache>
                <c:formatCode>mm:ss</c:formatCode>
                <c:ptCount val="62"/>
                <c:pt idx="0">
                  <c:v>-3.0930715197956654E-5</c:v>
                </c:pt>
                <c:pt idx="1">
                  <c:v>-3.0930715197956654E-5</c:v>
                </c:pt>
                <c:pt idx="2">
                  <c:v>-3.0930715197956654E-5</c:v>
                </c:pt>
                <c:pt idx="3">
                  <c:v>-3.0930715197956654E-5</c:v>
                </c:pt>
                <c:pt idx="4">
                  <c:v>-3.0930715197956654E-5</c:v>
                </c:pt>
                <c:pt idx="5">
                  <c:v>-3.0930715197956654E-5</c:v>
                </c:pt>
                <c:pt idx="6">
                  <c:v>-3.0930715197956654E-5</c:v>
                </c:pt>
                <c:pt idx="7">
                  <c:v>-3.0930715197956654E-5</c:v>
                </c:pt>
                <c:pt idx="8">
                  <c:v>-3.0930715197956654E-5</c:v>
                </c:pt>
                <c:pt idx="9">
                  <c:v>-3.0930715197956654E-5</c:v>
                </c:pt>
                <c:pt idx="10">
                  <c:v>-3.0930715197956654E-5</c:v>
                </c:pt>
                <c:pt idx="11">
                  <c:v>-3.0930715197956654E-5</c:v>
                </c:pt>
                <c:pt idx="12">
                  <c:v>-3.0930715197956654E-5</c:v>
                </c:pt>
                <c:pt idx="13">
                  <c:v>-3.0930715197956654E-5</c:v>
                </c:pt>
                <c:pt idx="14">
                  <c:v>-3.0930715197956654E-5</c:v>
                </c:pt>
                <c:pt idx="15">
                  <c:v>-3.0930715197956654E-5</c:v>
                </c:pt>
                <c:pt idx="16">
                  <c:v>-3.0930715197956654E-5</c:v>
                </c:pt>
                <c:pt idx="17">
                  <c:v>-3.0930715197956654E-5</c:v>
                </c:pt>
                <c:pt idx="18">
                  <c:v>-3.0930715197956654E-5</c:v>
                </c:pt>
                <c:pt idx="19">
                  <c:v>-3.0930715197956654E-5</c:v>
                </c:pt>
                <c:pt idx="20">
                  <c:v>-3.0930715197956654E-5</c:v>
                </c:pt>
                <c:pt idx="21">
                  <c:v>-3.0930715197956654E-5</c:v>
                </c:pt>
                <c:pt idx="22">
                  <c:v>-3.0930715197956654E-5</c:v>
                </c:pt>
                <c:pt idx="23">
                  <c:v>-3.0930715197956654E-5</c:v>
                </c:pt>
                <c:pt idx="24">
                  <c:v>-3.0930715197956654E-5</c:v>
                </c:pt>
                <c:pt idx="25">
                  <c:v>-3.0930715197956654E-5</c:v>
                </c:pt>
                <c:pt idx="26">
                  <c:v>-3.0930715197956654E-5</c:v>
                </c:pt>
                <c:pt idx="27">
                  <c:v>-3.0930715197956654E-5</c:v>
                </c:pt>
                <c:pt idx="28">
                  <c:v>-3.0930715197956654E-5</c:v>
                </c:pt>
                <c:pt idx="29">
                  <c:v>-3.0930715197956654E-5</c:v>
                </c:pt>
                <c:pt idx="30">
                  <c:v>-3.0930715197956654E-5</c:v>
                </c:pt>
                <c:pt idx="31">
                  <c:v>-3.0930715197956654E-5</c:v>
                </c:pt>
                <c:pt idx="32">
                  <c:v>-3.0930715197956654E-5</c:v>
                </c:pt>
                <c:pt idx="33">
                  <c:v>-3.0930715197956654E-5</c:v>
                </c:pt>
                <c:pt idx="34">
                  <c:v>-3.0930715197956654E-5</c:v>
                </c:pt>
                <c:pt idx="35">
                  <c:v>-3.0930715197956654E-5</c:v>
                </c:pt>
                <c:pt idx="36">
                  <c:v>-3.0930715197956654E-5</c:v>
                </c:pt>
                <c:pt idx="37">
                  <c:v>-3.0930715197956654E-5</c:v>
                </c:pt>
                <c:pt idx="38">
                  <c:v>-3.0930715197956654E-5</c:v>
                </c:pt>
                <c:pt idx="39">
                  <c:v>-3.0930715197956654E-5</c:v>
                </c:pt>
                <c:pt idx="40">
                  <c:v>-3.0930715197956654E-5</c:v>
                </c:pt>
                <c:pt idx="41">
                  <c:v>-3.0930715197956654E-5</c:v>
                </c:pt>
                <c:pt idx="42">
                  <c:v>-3.0930715197956654E-5</c:v>
                </c:pt>
                <c:pt idx="43">
                  <c:v>-3.0930715197956654E-5</c:v>
                </c:pt>
                <c:pt idx="44">
                  <c:v>-3.0930715197956654E-5</c:v>
                </c:pt>
                <c:pt idx="45">
                  <c:v>-3.0930715197956654E-5</c:v>
                </c:pt>
                <c:pt idx="46">
                  <c:v>-3.0930715197956654E-5</c:v>
                </c:pt>
                <c:pt idx="47">
                  <c:v>-3.0930715197956654E-5</c:v>
                </c:pt>
                <c:pt idx="48">
                  <c:v>-3.0930715197956654E-5</c:v>
                </c:pt>
                <c:pt idx="49">
                  <c:v>-3.0930715197956654E-5</c:v>
                </c:pt>
                <c:pt idx="50">
                  <c:v>-3.0930715197956654E-5</c:v>
                </c:pt>
                <c:pt idx="51">
                  <c:v>-3.0930715197956654E-5</c:v>
                </c:pt>
                <c:pt idx="52">
                  <c:v>-3.0930715197956654E-5</c:v>
                </c:pt>
                <c:pt idx="53">
                  <c:v>-3.0930715197956654E-5</c:v>
                </c:pt>
                <c:pt idx="54">
                  <c:v>-3.0930715197956654E-5</c:v>
                </c:pt>
                <c:pt idx="55">
                  <c:v>-3.0930715197956654E-5</c:v>
                </c:pt>
                <c:pt idx="56">
                  <c:v>-3.0930715197956654E-5</c:v>
                </c:pt>
                <c:pt idx="57">
                  <c:v>-3.0930715197956654E-5</c:v>
                </c:pt>
                <c:pt idx="58">
                  <c:v>-3.0930715197956654E-5</c:v>
                </c:pt>
                <c:pt idx="59">
                  <c:v>-3.0930715197956654E-5</c:v>
                </c:pt>
                <c:pt idx="60">
                  <c:v>-3.0930715197956654E-5</c:v>
                </c:pt>
                <c:pt idx="61">
                  <c:v>-3.0930715197956654E-5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1056"/>
        <c:axId val="139759616"/>
      </c:lineChart>
      <c:catAx>
        <c:axId val="1397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  <a:cs typeface="ＭＳ ゴシック"/>
                  </a:defRPr>
                </a:pPr>
                <a:r>
                  <a:rPr altLang="en-US"/>
                  <a:t>Lot.No</a:t>
                </a:r>
              </a:p>
            </c:rich>
          </c:tx>
          <c:layout>
            <c:manualLayout>
              <c:xMode val="edge"/>
              <c:yMode val="edge"/>
              <c:x val="0.41993531060960254"/>
              <c:y val="0.887791640211299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75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75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[$-F400]h:mm:ss\ AM/PM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741056"/>
        <c:crosses val="autoZero"/>
        <c:crossBetween val="between"/>
        <c:majorUnit val="3.4729999999999999E-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62875725840811"/>
          <c:y val="0.14191464880701066"/>
          <c:w val="0.17483688029271391"/>
          <c:h val="0.58746063924762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74235697868452E-2"/>
          <c:y val="0.11845533280355688"/>
          <c:w val="0.82858852051257836"/>
          <c:h val="0.71073199682134125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ﾃﾞｰﾀｰ!$C$5</c:f>
              <c:strCache>
                <c:ptCount val="1"/>
                <c:pt idx="0">
                  <c:v>MEDIC
仕込み量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ﾃﾞｰﾀｰ!$C$6:$C$67</c:f>
              <c:numCache>
                <c:formatCode>0.00_ </c:formatCode>
                <c:ptCount val="62"/>
                <c:pt idx="0">
                  <c:v>61.8</c:v>
                </c:pt>
                <c:pt idx="1">
                  <c:v>61.83</c:v>
                </c:pt>
                <c:pt idx="2">
                  <c:v>61.79</c:v>
                </c:pt>
                <c:pt idx="3">
                  <c:v>61.73</c:v>
                </c:pt>
                <c:pt idx="4">
                  <c:v>61.8</c:v>
                </c:pt>
                <c:pt idx="5">
                  <c:v>61.75</c:v>
                </c:pt>
                <c:pt idx="6">
                  <c:v>61.75</c:v>
                </c:pt>
                <c:pt idx="7">
                  <c:v>61.77</c:v>
                </c:pt>
                <c:pt idx="8">
                  <c:v>61.81</c:v>
                </c:pt>
                <c:pt idx="9">
                  <c:v>61.78</c:v>
                </c:pt>
                <c:pt idx="10">
                  <c:v>61.82</c:v>
                </c:pt>
                <c:pt idx="11">
                  <c:v>61.81</c:v>
                </c:pt>
                <c:pt idx="12">
                  <c:v>61.77</c:v>
                </c:pt>
                <c:pt idx="13">
                  <c:v>61.7</c:v>
                </c:pt>
                <c:pt idx="14">
                  <c:v>61.81</c:v>
                </c:pt>
                <c:pt idx="15">
                  <c:v>61.78</c:v>
                </c:pt>
                <c:pt idx="16">
                  <c:v>61.8</c:v>
                </c:pt>
                <c:pt idx="17">
                  <c:v>61.76</c:v>
                </c:pt>
                <c:pt idx="18">
                  <c:v>61.8</c:v>
                </c:pt>
                <c:pt idx="19">
                  <c:v>61.77</c:v>
                </c:pt>
                <c:pt idx="20">
                  <c:v>61.81</c:v>
                </c:pt>
                <c:pt idx="21">
                  <c:v>61.78</c:v>
                </c:pt>
                <c:pt idx="22">
                  <c:v>61.82</c:v>
                </c:pt>
                <c:pt idx="23">
                  <c:v>61.78</c:v>
                </c:pt>
                <c:pt idx="24">
                  <c:v>61.95</c:v>
                </c:pt>
                <c:pt idx="25">
                  <c:v>61.8</c:v>
                </c:pt>
                <c:pt idx="26">
                  <c:v>61.82</c:v>
                </c:pt>
                <c:pt idx="27">
                  <c:v>61.82</c:v>
                </c:pt>
                <c:pt idx="28">
                  <c:v>61.75</c:v>
                </c:pt>
                <c:pt idx="29">
                  <c:v>61.78</c:v>
                </c:pt>
                <c:pt idx="30">
                  <c:v>61.8</c:v>
                </c:pt>
                <c:pt idx="31">
                  <c:v>61.75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ﾃﾞｰﾀｰ!$AR$6:$AR$67</c:f>
              <c:numCache>
                <c:formatCode>h:mm;@</c:formatCode>
                <c:ptCount val="62"/>
                <c:pt idx="0">
                  <c:v>61.857105378269807</c:v>
                </c:pt>
                <c:pt idx="1">
                  <c:v>61.857105378269807</c:v>
                </c:pt>
                <c:pt idx="2">
                  <c:v>61.857105378269807</c:v>
                </c:pt>
                <c:pt idx="3">
                  <c:v>61.857105378269807</c:v>
                </c:pt>
                <c:pt idx="4">
                  <c:v>61.857105378269807</c:v>
                </c:pt>
                <c:pt idx="5">
                  <c:v>61.857105378269807</c:v>
                </c:pt>
                <c:pt idx="6">
                  <c:v>61.857105378269807</c:v>
                </c:pt>
                <c:pt idx="7">
                  <c:v>61.857105378269807</c:v>
                </c:pt>
                <c:pt idx="8">
                  <c:v>61.857105378269807</c:v>
                </c:pt>
                <c:pt idx="9">
                  <c:v>61.857105378269807</c:v>
                </c:pt>
                <c:pt idx="10">
                  <c:v>61.857105378269807</c:v>
                </c:pt>
                <c:pt idx="11">
                  <c:v>61.857105378269807</c:v>
                </c:pt>
                <c:pt idx="12">
                  <c:v>61.857105378269807</c:v>
                </c:pt>
                <c:pt idx="13">
                  <c:v>61.857105378269807</c:v>
                </c:pt>
                <c:pt idx="14">
                  <c:v>61.857105378269807</c:v>
                </c:pt>
                <c:pt idx="15">
                  <c:v>61.857105378269807</c:v>
                </c:pt>
                <c:pt idx="16">
                  <c:v>61.857105378269807</c:v>
                </c:pt>
                <c:pt idx="17">
                  <c:v>61.857105378269807</c:v>
                </c:pt>
                <c:pt idx="18">
                  <c:v>61.857105378269807</c:v>
                </c:pt>
                <c:pt idx="19">
                  <c:v>61.857105378269807</c:v>
                </c:pt>
                <c:pt idx="20">
                  <c:v>61.857105378269807</c:v>
                </c:pt>
                <c:pt idx="21">
                  <c:v>61.857105378269807</c:v>
                </c:pt>
                <c:pt idx="22">
                  <c:v>61.857105378269807</c:v>
                </c:pt>
                <c:pt idx="23">
                  <c:v>61.857105378269807</c:v>
                </c:pt>
                <c:pt idx="24">
                  <c:v>61.857105378269807</c:v>
                </c:pt>
                <c:pt idx="25">
                  <c:v>61.857105378269807</c:v>
                </c:pt>
                <c:pt idx="26">
                  <c:v>61.857105378269807</c:v>
                </c:pt>
                <c:pt idx="27">
                  <c:v>61.857105378269807</c:v>
                </c:pt>
                <c:pt idx="28">
                  <c:v>61.857105378269807</c:v>
                </c:pt>
                <c:pt idx="29">
                  <c:v>61.857105378269807</c:v>
                </c:pt>
                <c:pt idx="30">
                  <c:v>61.857105378269807</c:v>
                </c:pt>
                <c:pt idx="31">
                  <c:v>61.857105378269807</c:v>
                </c:pt>
                <c:pt idx="32">
                  <c:v>61.857105378269807</c:v>
                </c:pt>
                <c:pt idx="33">
                  <c:v>61.857105378269807</c:v>
                </c:pt>
                <c:pt idx="34">
                  <c:v>61.857105378269807</c:v>
                </c:pt>
                <c:pt idx="35">
                  <c:v>61.857105378269807</c:v>
                </c:pt>
                <c:pt idx="36">
                  <c:v>61.857105378269807</c:v>
                </c:pt>
                <c:pt idx="37">
                  <c:v>61.857105378269807</c:v>
                </c:pt>
                <c:pt idx="38">
                  <c:v>61.857105378269807</c:v>
                </c:pt>
                <c:pt idx="39">
                  <c:v>61.857105378269807</c:v>
                </c:pt>
                <c:pt idx="40">
                  <c:v>61.857105378269807</c:v>
                </c:pt>
                <c:pt idx="41">
                  <c:v>61.857105378269807</c:v>
                </c:pt>
                <c:pt idx="42">
                  <c:v>61.857105378269807</c:v>
                </c:pt>
                <c:pt idx="43">
                  <c:v>61.857105378269807</c:v>
                </c:pt>
                <c:pt idx="44">
                  <c:v>61.857105378269807</c:v>
                </c:pt>
                <c:pt idx="45">
                  <c:v>61.857105378269807</c:v>
                </c:pt>
                <c:pt idx="46">
                  <c:v>61.857105378269807</c:v>
                </c:pt>
                <c:pt idx="47">
                  <c:v>61.857105378269807</c:v>
                </c:pt>
                <c:pt idx="48">
                  <c:v>61.857105378269807</c:v>
                </c:pt>
                <c:pt idx="49">
                  <c:v>61.857105378269807</c:v>
                </c:pt>
                <c:pt idx="50">
                  <c:v>61.857105378269807</c:v>
                </c:pt>
                <c:pt idx="51">
                  <c:v>61.857105378269807</c:v>
                </c:pt>
                <c:pt idx="52">
                  <c:v>61.857105378269807</c:v>
                </c:pt>
                <c:pt idx="53">
                  <c:v>61.857105378269807</c:v>
                </c:pt>
                <c:pt idx="54">
                  <c:v>61.857105378269807</c:v>
                </c:pt>
                <c:pt idx="55">
                  <c:v>61.857105378269807</c:v>
                </c:pt>
                <c:pt idx="56">
                  <c:v>61.857105378269807</c:v>
                </c:pt>
                <c:pt idx="57">
                  <c:v>61.857105378269807</c:v>
                </c:pt>
                <c:pt idx="58">
                  <c:v>61.857105378269807</c:v>
                </c:pt>
                <c:pt idx="59">
                  <c:v>61.857105378269807</c:v>
                </c:pt>
                <c:pt idx="60">
                  <c:v>61.857105378269807</c:v>
                </c:pt>
                <c:pt idx="61">
                  <c:v>61.857105378269807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ﾃﾞｰﾀｰ!$CZ$6:$CZ$67</c:f>
              <c:numCache>
                <c:formatCode>0.00_);[Red]\(0.00\)</c:formatCode>
                <c:ptCount val="62"/>
                <c:pt idx="0">
                  <c:v>61.774482758620721</c:v>
                </c:pt>
                <c:pt idx="1">
                  <c:v>61.774482758620721</c:v>
                </c:pt>
                <c:pt idx="2">
                  <c:v>61.774482758620721</c:v>
                </c:pt>
                <c:pt idx="3">
                  <c:v>61.774482758620721</c:v>
                </c:pt>
                <c:pt idx="4">
                  <c:v>61.774482758620721</c:v>
                </c:pt>
                <c:pt idx="5">
                  <c:v>61.774482758620721</c:v>
                </c:pt>
                <c:pt idx="6">
                  <c:v>61.774482758620721</c:v>
                </c:pt>
                <c:pt idx="7">
                  <c:v>61.774482758620721</c:v>
                </c:pt>
                <c:pt idx="8">
                  <c:v>61.774482758620721</c:v>
                </c:pt>
                <c:pt idx="9">
                  <c:v>61.774482758620721</c:v>
                </c:pt>
                <c:pt idx="10">
                  <c:v>61.774482758620721</c:v>
                </c:pt>
                <c:pt idx="11">
                  <c:v>61.774482758620721</c:v>
                </c:pt>
                <c:pt idx="12">
                  <c:v>61.774482758620721</c:v>
                </c:pt>
                <c:pt idx="13">
                  <c:v>61.774482758620721</c:v>
                </c:pt>
                <c:pt idx="14">
                  <c:v>61.774482758620721</c:v>
                </c:pt>
                <c:pt idx="15">
                  <c:v>61.774482758620721</c:v>
                </c:pt>
                <c:pt idx="16">
                  <c:v>61.774482758620721</c:v>
                </c:pt>
                <c:pt idx="17">
                  <c:v>61.774482758620721</c:v>
                </c:pt>
                <c:pt idx="18">
                  <c:v>61.774482758620721</c:v>
                </c:pt>
                <c:pt idx="19">
                  <c:v>61.774482758620721</c:v>
                </c:pt>
                <c:pt idx="20">
                  <c:v>61.774482758620721</c:v>
                </c:pt>
                <c:pt idx="21">
                  <c:v>61.774482758620721</c:v>
                </c:pt>
                <c:pt idx="22">
                  <c:v>61.774482758620721</c:v>
                </c:pt>
                <c:pt idx="23">
                  <c:v>61.774482758620721</c:v>
                </c:pt>
                <c:pt idx="24">
                  <c:v>61.774482758620721</c:v>
                </c:pt>
                <c:pt idx="25">
                  <c:v>61.774482758620721</c:v>
                </c:pt>
                <c:pt idx="26">
                  <c:v>61.774482758620721</c:v>
                </c:pt>
                <c:pt idx="27">
                  <c:v>61.774482758620721</c:v>
                </c:pt>
                <c:pt idx="28">
                  <c:v>61.774482758620721</c:v>
                </c:pt>
                <c:pt idx="29">
                  <c:v>61.774482758620721</c:v>
                </c:pt>
                <c:pt idx="30">
                  <c:v>61.774482758620721</c:v>
                </c:pt>
                <c:pt idx="31">
                  <c:v>61.774482758620721</c:v>
                </c:pt>
                <c:pt idx="32">
                  <c:v>61.774482758620721</c:v>
                </c:pt>
                <c:pt idx="33">
                  <c:v>61.774482758620721</c:v>
                </c:pt>
                <c:pt idx="34">
                  <c:v>61.774482758620721</c:v>
                </c:pt>
                <c:pt idx="35">
                  <c:v>61.774482758620721</c:v>
                </c:pt>
                <c:pt idx="36">
                  <c:v>61.774482758620721</c:v>
                </c:pt>
                <c:pt idx="37">
                  <c:v>61.774482758620721</c:v>
                </c:pt>
                <c:pt idx="38">
                  <c:v>61.774482758620721</c:v>
                </c:pt>
                <c:pt idx="39">
                  <c:v>61.774482758620721</c:v>
                </c:pt>
                <c:pt idx="40">
                  <c:v>61.774482758620721</c:v>
                </c:pt>
                <c:pt idx="41">
                  <c:v>61.774482758620721</c:v>
                </c:pt>
                <c:pt idx="42">
                  <c:v>61.774482758620721</c:v>
                </c:pt>
                <c:pt idx="43">
                  <c:v>61.774482758620721</c:v>
                </c:pt>
                <c:pt idx="44">
                  <c:v>61.774482758620721</c:v>
                </c:pt>
                <c:pt idx="45">
                  <c:v>61.774482758620721</c:v>
                </c:pt>
                <c:pt idx="46">
                  <c:v>61.774482758620721</c:v>
                </c:pt>
                <c:pt idx="47">
                  <c:v>61.774482758620721</c:v>
                </c:pt>
                <c:pt idx="48">
                  <c:v>61.774482758620721</c:v>
                </c:pt>
                <c:pt idx="49">
                  <c:v>61.774482758620721</c:v>
                </c:pt>
                <c:pt idx="50">
                  <c:v>61.774482758620721</c:v>
                </c:pt>
                <c:pt idx="51">
                  <c:v>61.774482758620721</c:v>
                </c:pt>
                <c:pt idx="52">
                  <c:v>61.774482758620721</c:v>
                </c:pt>
                <c:pt idx="53">
                  <c:v>61.774482758620721</c:v>
                </c:pt>
                <c:pt idx="54">
                  <c:v>61.774482758620721</c:v>
                </c:pt>
                <c:pt idx="55">
                  <c:v>61.774482758620721</c:v>
                </c:pt>
                <c:pt idx="56">
                  <c:v>61.774482758620721</c:v>
                </c:pt>
                <c:pt idx="57">
                  <c:v>61.774482758620721</c:v>
                </c:pt>
                <c:pt idx="58">
                  <c:v>61.774482758620721</c:v>
                </c:pt>
                <c:pt idx="59">
                  <c:v>61.774482758620721</c:v>
                </c:pt>
                <c:pt idx="60">
                  <c:v>61.774482758620721</c:v>
                </c:pt>
                <c:pt idx="61">
                  <c:v>61.774482758620721</c:v>
                </c:pt>
              </c:numCache>
            </c:numRef>
          </c:val>
          <c:smooth val="0"/>
        </c:ser>
        <c:ser>
          <c:idx val="1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ﾃﾞｰﾀｰ!$AQ$6:$AQ$67</c:f>
              <c:numCache>
                <c:formatCode>h:mm;@</c:formatCode>
                <c:ptCount val="62"/>
                <c:pt idx="0">
                  <c:v>61.691860138971634</c:v>
                </c:pt>
                <c:pt idx="1">
                  <c:v>61.691860138971634</c:v>
                </c:pt>
                <c:pt idx="2">
                  <c:v>61.691860138971634</c:v>
                </c:pt>
                <c:pt idx="3">
                  <c:v>61.691860138971634</c:v>
                </c:pt>
                <c:pt idx="4">
                  <c:v>61.691860138971634</c:v>
                </c:pt>
                <c:pt idx="5">
                  <c:v>61.691860138971634</c:v>
                </c:pt>
                <c:pt idx="6">
                  <c:v>61.691860138971634</c:v>
                </c:pt>
                <c:pt idx="7">
                  <c:v>61.691860138971634</c:v>
                </c:pt>
                <c:pt idx="8">
                  <c:v>61.691860138971634</c:v>
                </c:pt>
                <c:pt idx="9">
                  <c:v>61.691860138971634</c:v>
                </c:pt>
                <c:pt idx="10">
                  <c:v>61.691860138971634</c:v>
                </c:pt>
                <c:pt idx="11">
                  <c:v>61.691860138971634</c:v>
                </c:pt>
                <c:pt idx="12">
                  <c:v>61.691860138971634</c:v>
                </c:pt>
                <c:pt idx="13">
                  <c:v>61.691860138971634</c:v>
                </c:pt>
                <c:pt idx="14">
                  <c:v>61.691860138971634</c:v>
                </c:pt>
                <c:pt idx="15">
                  <c:v>61.691860138971634</c:v>
                </c:pt>
                <c:pt idx="16">
                  <c:v>61.691860138971634</c:v>
                </c:pt>
                <c:pt idx="17">
                  <c:v>61.691860138971634</c:v>
                </c:pt>
                <c:pt idx="18">
                  <c:v>61.691860138971634</c:v>
                </c:pt>
                <c:pt idx="19">
                  <c:v>61.691860138971634</c:v>
                </c:pt>
                <c:pt idx="20">
                  <c:v>61.691860138971634</c:v>
                </c:pt>
                <c:pt idx="21">
                  <c:v>61.691860138971634</c:v>
                </c:pt>
                <c:pt idx="22">
                  <c:v>61.691860138971634</c:v>
                </c:pt>
                <c:pt idx="23">
                  <c:v>61.691860138971634</c:v>
                </c:pt>
                <c:pt idx="24">
                  <c:v>61.691860138971634</c:v>
                </c:pt>
                <c:pt idx="25">
                  <c:v>61.691860138971634</c:v>
                </c:pt>
                <c:pt idx="26">
                  <c:v>61.691860138971634</c:v>
                </c:pt>
                <c:pt idx="27">
                  <c:v>61.691860138971634</c:v>
                </c:pt>
                <c:pt idx="28">
                  <c:v>61.691860138971634</c:v>
                </c:pt>
                <c:pt idx="29">
                  <c:v>61.691860138971634</c:v>
                </c:pt>
                <c:pt idx="30">
                  <c:v>61.691860138971634</c:v>
                </c:pt>
                <c:pt idx="31">
                  <c:v>61.691860138971634</c:v>
                </c:pt>
                <c:pt idx="32">
                  <c:v>61.691860138971634</c:v>
                </c:pt>
                <c:pt idx="33">
                  <c:v>61.691860138971634</c:v>
                </c:pt>
                <c:pt idx="34">
                  <c:v>61.691860138971634</c:v>
                </c:pt>
                <c:pt idx="35">
                  <c:v>61.691860138971634</c:v>
                </c:pt>
                <c:pt idx="36">
                  <c:v>61.691860138971634</c:v>
                </c:pt>
                <c:pt idx="37">
                  <c:v>61.691860138971634</c:v>
                </c:pt>
                <c:pt idx="38">
                  <c:v>61.691860138971634</c:v>
                </c:pt>
                <c:pt idx="39">
                  <c:v>61.691860138971634</c:v>
                </c:pt>
                <c:pt idx="40">
                  <c:v>61.691860138971634</c:v>
                </c:pt>
                <c:pt idx="41">
                  <c:v>61.691860138971634</c:v>
                </c:pt>
                <c:pt idx="42">
                  <c:v>61.691860138971634</c:v>
                </c:pt>
                <c:pt idx="43">
                  <c:v>61.691860138971634</c:v>
                </c:pt>
                <c:pt idx="44">
                  <c:v>61.691860138971634</c:v>
                </c:pt>
                <c:pt idx="45">
                  <c:v>61.691860138971634</c:v>
                </c:pt>
                <c:pt idx="46">
                  <c:v>61.691860138971634</c:v>
                </c:pt>
                <c:pt idx="47">
                  <c:v>61.691860138971634</c:v>
                </c:pt>
                <c:pt idx="48">
                  <c:v>61.691860138971634</c:v>
                </c:pt>
                <c:pt idx="49">
                  <c:v>61.691860138971634</c:v>
                </c:pt>
                <c:pt idx="50">
                  <c:v>61.691860138971634</c:v>
                </c:pt>
                <c:pt idx="51">
                  <c:v>61.691860138971634</c:v>
                </c:pt>
                <c:pt idx="52">
                  <c:v>61.691860138971634</c:v>
                </c:pt>
                <c:pt idx="53">
                  <c:v>61.691860138971634</c:v>
                </c:pt>
                <c:pt idx="54">
                  <c:v>61.691860138971634</c:v>
                </c:pt>
                <c:pt idx="55">
                  <c:v>61.691860138971634</c:v>
                </c:pt>
                <c:pt idx="56">
                  <c:v>61.691860138971634</c:v>
                </c:pt>
                <c:pt idx="57">
                  <c:v>61.691860138971634</c:v>
                </c:pt>
                <c:pt idx="58">
                  <c:v>61.691860138971634</c:v>
                </c:pt>
                <c:pt idx="59">
                  <c:v>61.691860138971634</c:v>
                </c:pt>
                <c:pt idx="60">
                  <c:v>61.691860138971634</c:v>
                </c:pt>
                <c:pt idx="61">
                  <c:v>61.691860138971634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1056"/>
        <c:axId val="139822976"/>
      </c:lineChart>
      <c:lineChart>
        <c:grouping val="standard"/>
        <c:varyColors val="0"/>
        <c:ser>
          <c:idx val="4"/>
          <c:order val="4"/>
          <c:tx>
            <c:strRef>
              <c:f>ﾃﾞｰﾀｰ!$AH$5</c:f>
              <c:strCache>
                <c:ptCount val="1"/>
                <c:pt idx="0">
                  <c:v>感度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4512"/>
        <c:axId val="139830400"/>
      </c:lineChart>
      <c:catAx>
        <c:axId val="139821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822976"/>
        <c:crossesAt val="1E-4"/>
        <c:auto val="1"/>
        <c:lblAlgn val="ctr"/>
        <c:lblOffset val="100"/>
        <c:tickLblSkip val="1"/>
        <c:tickMarkSkip val="1"/>
        <c:noMultiLvlLbl val="0"/>
      </c:catAx>
      <c:valAx>
        <c:axId val="13982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821056"/>
        <c:crosses val="autoZero"/>
        <c:crossBetween val="between"/>
        <c:majorUnit val="0.1"/>
        <c:minorUnit val="0.1"/>
      </c:valAx>
      <c:catAx>
        <c:axId val="13982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830400"/>
        <c:crossesAt val="-5"/>
        <c:auto val="1"/>
        <c:lblAlgn val="ctr"/>
        <c:lblOffset val="100"/>
        <c:noMultiLvlLbl val="0"/>
      </c:catAx>
      <c:valAx>
        <c:axId val="139830400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9824512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0601996158811123E-3"/>
          <c:y val="1.287557965256053E-2"/>
          <c:w val="0.98656843298384811"/>
          <c:h val="6.43778982628026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0940805664695"/>
          <c:y val="9.1764705882352943E-2"/>
          <c:w val="0.8006437153365179"/>
          <c:h val="0.72705882352941176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ﾃﾞｰﾀｰ!$U$5</c:f>
              <c:strCache>
                <c:ptCount val="1"/>
                <c:pt idx="0">
                  <c:v>3.00Hr
粘度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ﾃﾞｰﾀｰ!$U$6:$U$67</c:f>
              <c:numCache>
                <c:formatCode>0.0_ </c:formatCode>
                <c:ptCount val="62"/>
                <c:pt idx="0">
                  <c:v>73.3</c:v>
                </c:pt>
                <c:pt idx="1">
                  <c:v>75</c:v>
                </c:pt>
                <c:pt idx="2">
                  <c:v>73.599999999999994</c:v>
                </c:pt>
                <c:pt idx="3">
                  <c:v>73.900000000000006</c:v>
                </c:pt>
                <c:pt idx="4">
                  <c:v>72.400000000000006</c:v>
                </c:pt>
                <c:pt idx="5">
                  <c:v>73.8</c:v>
                </c:pt>
                <c:pt idx="6">
                  <c:v>73.400000000000006</c:v>
                </c:pt>
                <c:pt idx="7">
                  <c:v>74.7</c:v>
                </c:pt>
                <c:pt idx="8">
                  <c:v>74</c:v>
                </c:pt>
                <c:pt idx="9">
                  <c:v>73.8</c:v>
                </c:pt>
                <c:pt idx="10">
                  <c:v>71.7</c:v>
                </c:pt>
                <c:pt idx="11">
                  <c:v>74.400000000000006</c:v>
                </c:pt>
                <c:pt idx="12">
                  <c:v>74.099999999999994</c:v>
                </c:pt>
                <c:pt idx="13">
                  <c:v>77.7</c:v>
                </c:pt>
                <c:pt idx="14">
                  <c:v>76.400000000000006</c:v>
                </c:pt>
                <c:pt idx="15">
                  <c:v>78</c:v>
                </c:pt>
                <c:pt idx="16">
                  <c:v>76.599999999999994</c:v>
                </c:pt>
                <c:pt idx="17">
                  <c:v>76.2</c:v>
                </c:pt>
                <c:pt idx="18">
                  <c:v>72.900000000000006</c:v>
                </c:pt>
                <c:pt idx="19">
                  <c:v>71.2</c:v>
                </c:pt>
                <c:pt idx="20">
                  <c:v>70.5</c:v>
                </c:pt>
                <c:pt idx="21">
                  <c:v>72.7</c:v>
                </c:pt>
                <c:pt idx="22">
                  <c:v>71.7</c:v>
                </c:pt>
                <c:pt idx="23">
                  <c:v>71.400000000000006</c:v>
                </c:pt>
                <c:pt idx="24">
                  <c:v>72.900000000000006</c:v>
                </c:pt>
                <c:pt idx="25">
                  <c:v>72.2</c:v>
                </c:pt>
                <c:pt idx="26">
                  <c:v>72.8</c:v>
                </c:pt>
                <c:pt idx="27">
                  <c:v>72.8</c:v>
                </c:pt>
                <c:pt idx="28">
                  <c:v>73.099999999999994</c:v>
                </c:pt>
                <c:pt idx="29">
                  <c:v>73.7</c:v>
                </c:pt>
                <c:pt idx="30">
                  <c:v>74.2</c:v>
                </c:pt>
                <c:pt idx="31">
                  <c:v>74.5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ﾃﾞｰﾀｰ!$BX$6:$BX$67</c:f>
              <c:numCache>
                <c:formatCode>0.0_);[Red]\(0.0\)</c:formatCode>
                <c:ptCount val="62"/>
                <c:pt idx="0">
                  <c:v>78.252753184397989</c:v>
                </c:pt>
                <c:pt idx="1">
                  <c:v>78.252753184397989</c:v>
                </c:pt>
                <c:pt idx="2">
                  <c:v>78.252753184397989</c:v>
                </c:pt>
                <c:pt idx="3">
                  <c:v>78.252753184397989</c:v>
                </c:pt>
                <c:pt idx="4">
                  <c:v>78.252753184397989</c:v>
                </c:pt>
                <c:pt idx="5">
                  <c:v>78.252753184397989</c:v>
                </c:pt>
                <c:pt idx="6">
                  <c:v>78.252753184397989</c:v>
                </c:pt>
                <c:pt idx="7">
                  <c:v>78.252753184397989</c:v>
                </c:pt>
                <c:pt idx="8">
                  <c:v>78.252753184397989</c:v>
                </c:pt>
                <c:pt idx="9">
                  <c:v>78.252753184397989</c:v>
                </c:pt>
                <c:pt idx="10">
                  <c:v>78.252753184397989</c:v>
                </c:pt>
                <c:pt idx="11">
                  <c:v>78.252753184397989</c:v>
                </c:pt>
                <c:pt idx="12">
                  <c:v>78.252753184397989</c:v>
                </c:pt>
                <c:pt idx="13">
                  <c:v>78.252753184397989</c:v>
                </c:pt>
                <c:pt idx="14">
                  <c:v>78.252753184397989</c:v>
                </c:pt>
                <c:pt idx="15">
                  <c:v>78.252753184397989</c:v>
                </c:pt>
                <c:pt idx="16">
                  <c:v>78.252753184397989</c:v>
                </c:pt>
                <c:pt idx="17">
                  <c:v>78.252753184397989</c:v>
                </c:pt>
                <c:pt idx="18">
                  <c:v>78.252753184397989</c:v>
                </c:pt>
                <c:pt idx="19">
                  <c:v>78.252753184397989</c:v>
                </c:pt>
                <c:pt idx="20">
                  <c:v>78.252753184397989</c:v>
                </c:pt>
                <c:pt idx="21">
                  <c:v>78.252753184397989</c:v>
                </c:pt>
                <c:pt idx="22">
                  <c:v>78.252753184397989</c:v>
                </c:pt>
                <c:pt idx="23">
                  <c:v>78.252753184397989</c:v>
                </c:pt>
                <c:pt idx="24">
                  <c:v>78.252753184397989</c:v>
                </c:pt>
                <c:pt idx="25">
                  <c:v>78.252753184397989</c:v>
                </c:pt>
                <c:pt idx="26">
                  <c:v>78.252753184397989</c:v>
                </c:pt>
                <c:pt idx="27">
                  <c:v>78.252753184397989</c:v>
                </c:pt>
                <c:pt idx="28">
                  <c:v>78.252753184397989</c:v>
                </c:pt>
                <c:pt idx="29">
                  <c:v>78.252753184397989</c:v>
                </c:pt>
                <c:pt idx="30">
                  <c:v>78.252753184397989</c:v>
                </c:pt>
                <c:pt idx="31">
                  <c:v>78.252753184397989</c:v>
                </c:pt>
                <c:pt idx="32">
                  <c:v>78.252753184397989</c:v>
                </c:pt>
                <c:pt idx="33">
                  <c:v>78.252753184397989</c:v>
                </c:pt>
                <c:pt idx="34">
                  <c:v>78.252753184397989</c:v>
                </c:pt>
                <c:pt idx="35">
                  <c:v>78.252753184397989</c:v>
                </c:pt>
                <c:pt idx="36">
                  <c:v>78.252753184397989</c:v>
                </c:pt>
                <c:pt idx="37">
                  <c:v>78.252753184397989</c:v>
                </c:pt>
                <c:pt idx="38">
                  <c:v>78.252753184397989</c:v>
                </c:pt>
                <c:pt idx="39">
                  <c:v>78.252753184397989</c:v>
                </c:pt>
                <c:pt idx="40">
                  <c:v>78.252753184397989</c:v>
                </c:pt>
                <c:pt idx="41">
                  <c:v>78.252753184397989</c:v>
                </c:pt>
                <c:pt idx="42">
                  <c:v>78.252753184397989</c:v>
                </c:pt>
                <c:pt idx="43">
                  <c:v>78.252753184397989</c:v>
                </c:pt>
                <c:pt idx="44">
                  <c:v>78.252753184397989</c:v>
                </c:pt>
                <c:pt idx="45">
                  <c:v>78.252753184397989</c:v>
                </c:pt>
                <c:pt idx="46">
                  <c:v>78.252753184397989</c:v>
                </c:pt>
                <c:pt idx="47">
                  <c:v>78.252753184397989</c:v>
                </c:pt>
                <c:pt idx="48">
                  <c:v>78.252753184397989</c:v>
                </c:pt>
                <c:pt idx="49">
                  <c:v>78.252753184397989</c:v>
                </c:pt>
                <c:pt idx="50">
                  <c:v>78.252753184397989</c:v>
                </c:pt>
                <c:pt idx="51">
                  <c:v>78.252753184397989</c:v>
                </c:pt>
                <c:pt idx="52">
                  <c:v>78.252753184397989</c:v>
                </c:pt>
                <c:pt idx="53">
                  <c:v>78.252753184397989</c:v>
                </c:pt>
                <c:pt idx="54">
                  <c:v>78.252753184397989</c:v>
                </c:pt>
                <c:pt idx="55">
                  <c:v>78.252753184397989</c:v>
                </c:pt>
                <c:pt idx="56">
                  <c:v>78.252753184397989</c:v>
                </c:pt>
                <c:pt idx="57">
                  <c:v>78.252753184397989</c:v>
                </c:pt>
                <c:pt idx="58">
                  <c:v>78.252753184397989</c:v>
                </c:pt>
                <c:pt idx="59">
                  <c:v>78.252753184397989</c:v>
                </c:pt>
                <c:pt idx="60">
                  <c:v>78.252753184397989</c:v>
                </c:pt>
                <c:pt idx="61">
                  <c:v>78.252753184397989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ﾃﾞｰﾀｰ!$DP$6:$DP$67</c:f>
              <c:numCache>
                <c:formatCode>0.0_);[Red]\(0.0\)</c:formatCode>
                <c:ptCount val="62"/>
                <c:pt idx="0">
                  <c:v>73.460344827586226</c:v>
                </c:pt>
                <c:pt idx="1">
                  <c:v>73.460344827586226</c:v>
                </c:pt>
                <c:pt idx="2">
                  <c:v>73.460344827586226</c:v>
                </c:pt>
                <c:pt idx="3">
                  <c:v>73.460344827586226</c:v>
                </c:pt>
                <c:pt idx="4">
                  <c:v>73.460344827586226</c:v>
                </c:pt>
                <c:pt idx="5">
                  <c:v>73.460344827586226</c:v>
                </c:pt>
                <c:pt idx="6">
                  <c:v>73.460344827586226</c:v>
                </c:pt>
                <c:pt idx="7">
                  <c:v>73.460344827586226</c:v>
                </c:pt>
                <c:pt idx="8">
                  <c:v>73.460344827586226</c:v>
                </c:pt>
                <c:pt idx="9">
                  <c:v>73.460344827586226</c:v>
                </c:pt>
                <c:pt idx="10">
                  <c:v>73.460344827586226</c:v>
                </c:pt>
                <c:pt idx="11">
                  <c:v>73.460344827586226</c:v>
                </c:pt>
                <c:pt idx="12">
                  <c:v>73.460344827586226</c:v>
                </c:pt>
                <c:pt idx="13">
                  <c:v>73.460344827586226</c:v>
                </c:pt>
                <c:pt idx="14">
                  <c:v>73.460344827586226</c:v>
                </c:pt>
                <c:pt idx="15">
                  <c:v>73.460344827586226</c:v>
                </c:pt>
                <c:pt idx="16">
                  <c:v>73.460344827586226</c:v>
                </c:pt>
                <c:pt idx="17">
                  <c:v>73.460344827586226</c:v>
                </c:pt>
                <c:pt idx="18">
                  <c:v>73.460344827586226</c:v>
                </c:pt>
                <c:pt idx="19">
                  <c:v>73.460344827586226</c:v>
                </c:pt>
                <c:pt idx="20">
                  <c:v>73.460344827586226</c:v>
                </c:pt>
                <c:pt idx="21">
                  <c:v>73.460344827586226</c:v>
                </c:pt>
                <c:pt idx="22">
                  <c:v>73.460344827586226</c:v>
                </c:pt>
                <c:pt idx="23">
                  <c:v>73.460344827586226</c:v>
                </c:pt>
                <c:pt idx="24">
                  <c:v>73.460344827586226</c:v>
                </c:pt>
                <c:pt idx="25">
                  <c:v>73.460344827586226</c:v>
                </c:pt>
                <c:pt idx="26">
                  <c:v>73.460344827586226</c:v>
                </c:pt>
                <c:pt idx="27">
                  <c:v>73.460344827586226</c:v>
                </c:pt>
                <c:pt idx="28">
                  <c:v>73.460344827586226</c:v>
                </c:pt>
                <c:pt idx="29">
                  <c:v>73.460344827586226</c:v>
                </c:pt>
                <c:pt idx="30">
                  <c:v>73.460344827586226</c:v>
                </c:pt>
                <c:pt idx="31">
                  <c:v>73.460344827586226</c:v>
                </c:pt>
                <c:pt idx="32">
                  <c:v>73.460344827586226</c:v>
                </c:pt>
                <c:pt idx="33">
                  <c:v>73.460344827586226</c:v>
                </c:pt>
                <c:pt idx="34">
                  <c:v>73.460344827586226</c:v>
                </c:pt>
                <c:pt idx="35">
                  <c:v>73.460344827586226</c:v>
                </c:pt>
                <c:pt idx="36">
                  <c:v>73.460344827586226</c:v>
                </c:pt>
                <c:pt idx="37">
                  <c:v>73.460344827586226</c:v>
                </c:pt>
                <c:pt idx="38">
                  <c:v>73.460344827586226</c:v>
                </c:pt>
                <c:pt idx="39">
                  <c:v>73.460344827586226</c:v>
                </c:pt>
                <c:pt idx="40">
                  <c:v>73.460344827586226</c:v>
                </c:pt>
                <c:pt idx="41">
                  <c:v>73.460344827586226</c:v>
                </c:pt>
                <c:pt idx="42">
                  <c:v>73.460344827586226</c:v>
                </c:pt>
                <c:pt idx="43">
                  <c:v>73.460344827586226</c:v>
                </c:pt>
                <c:pt idx="44">
                  <c:v>73.460344827586226</c:v>
                </c:pt>
                <c:pt idx="45">
                  <c:v>73.460344827586226</c:v>
                </c:pt>
                <c:pt idx="46">
                  <c:v>73.460344827586226</c:v>
                </c:pt>
                <c:pt idx="47">
                  <c:v>73.460344827586226</c:v>
                </c:pt>
                <c:pt idx="48">
                  <c:v>73.460344827586226</c:v>
                </c:pt>
                <c:pt idx="49">
                  <c:v>73.460344827586226</c:v>
                </c:pt>
                <c:pt idx="50">
                  <c:v>73.460344827586226</c:v>
                </c:pt>
                <c:pt idx="51">
                  <c:v>73.460344827586226</c:v>
                </c:pt>
                <c:pt idx="52">
                  <c:v>73.460344827586226</c:v>
                </c:pt>
                <c:pt idx="53">
                  <c:v>73.460344827586226</c:v>
                </c:pt>
                <c:pt idx="54">
                  <c:v>73.460344827586226</c:v>
                </c:pt>
                <c:pt idx="55">
                  <c:v>73.460344827586226</c:v>
                </c:pt>
                <c:pt idx="56">
                  <c:v>73.460344827586226</c:v>
                </c:pt>
                <c:pt idx="57">
                  <c:v>73.460344827586226</c:v>
                </c:pt>
                <c:pt idx="58">
                  <c:v>73.460344827586226</c:v>
                </c:pt>
                <c:pt idx="59">
                  <c:v>73.460344827586226</c:v>
                </c:pt>
                <c:pt idx="60">
                  <c:v>73.460344827586226</c:v>
                </c:pt>
                <c:pt idx="61">
                  <c:v>73.460344827586226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ﾃﾞｰﾀｰ!$BW$6:$BW$67</c:f>
              <c:numCache>
                <c:formatCode>0.0_);[Red]\(0.0\)</c:formatCode>
                <c:ptCount val="62"/>
                <c:pt idx="0">
                  <c:v>68.667936470774464</c:v>
                </c:pt>
                <c:pt idx="1">
                  <c:v>68.667936470774464</c:v>
                </c:pt>
                <c:pt idx="2">
                  <c:v>68.667936470774464</c:v>
                </c:pt>
                <c:pt idx="3">
                  <c:v>68.667936470774464</c:v>
                </c:pt>
                <c:pt idx="4">
                  <c:v>68.667936470774464</c:v>
                </c:pt>
                <c:pt idx="5">
                  <c:v>68.667936470774464</c:v>
                </c:pt>
                <c:pt idx="6">
                  <c:v>68.667936470774464</c:v>
                </c:pt>
                <c:pt idx="7">
                  <c:v>68.667936470774464</c:v>
                </c:pt>
                <c:pt idx="8">
                  <c:v>68.667936470774464</c:v>
                </c:pt>
                <c:pt idx="9">
                  <c:v>68.667936470774464</c:v>
                </c:pt>
                <c:pt idx="10">
                  <c:v>68.667936470774464</c:v>
                </c:pt>
                <c:pt idx="11">
                  <c:v>68.667936470774464</c:v>
                </c:pt>
                <c:pt idx="12">
                  <c:v>68.667936470774464</c:v>
                </c:pt>
                <c:pt idx="13">
                  <c:v>68.667936470774464</c:v>
                </c:pt>
                <c:pt idx="14">
                  <c:v>68.667936470774464</c:v>
                </c:pt>
                <c:pt idx="15">
                  <c:v>68.667936470774464</c:v>
                </c:pt>
                <c:pt idx="16">
                  <c:v>68.667936470774464</c:v>
                </c:pt>
                <c:pt idx="17">
                  <c:v>68.667936470774464</c:v>
                </c:pt>
                <c:pt idx="18">
                  <c:v>68.667936470774464</c:v>
                </c:pt>
                <c:pt idx="19">
                  <c:v>68.667936470774464</c:v>
                </c:pt>
                <c:pt idx="20">
                  <c:v>68.667936470774464</c:v>
                </c:pt>
                <c:pt idx="21">
                  <c:v>68.667936470774464</c:v>
                </c:pt>
                <c:pt idx="22">
                  <c:v>68.667936470774464</c:v>
                </c:pt>
                <c:pt idx="23">
                  <c:v>68.667936470774464</c:v>
                </c:pt>
                <c:pt idx="24">
                  <c:v>68.667936470774464</c:v>
                </c:pt>
                <c:pt idx="25">
                  <c:v>68.667936470774464</c:v>
                </c:pt>
                <c:pt idx="26">
                  <c:v>68.667936470774464</c:v>
                </c:pt>
                <c:pt idx="27">
                  <c:v>68.667936470774464</c:v>
                </c:pt>
                <c:pt idx="28">
                  <c:v>68.667936470774464</c:v>
                </c:pt>
                <c:pt idx="29">
                  <c:v>68.667936470774464</c:v>
                </c:pt>
                <c:pt idx="30">
                  <c:v>68.667936470774464</c:v>
                </c:pt>
                <c:pt idx="31">
                  <c:v>68.667936470774464</c:v>
                </c:pt>
                <c:pt idx="32">
                  <c:v>68.667936470774464</c:v>
                </c:pt>
                <c:pt idx="33">
                  <c:v>68.667936470774464</c:v>
                </c:pt>
                <c:pt idx="34">
                  <c:v>68.667936470774464</c:v>
                </c:pt>
                <c:pt idx="35">
                  <c:v>68.667936470774464</c:v>
                </c:pt>
                <c:pt idx="36">
                  <c:v>68.667936470774464</c:v>
                </c:pt>
                <c:pt idx="37">
                  <c:v>68.667936470774464</c:v>
                </c:pt>
                <c:pt idx="38">
                  <c:v>68.667936470774464</c:v>
                </c:pt>
                <c:pt idx="39">
                  <c:v>68.667936470774464</c:v>
                </c:pt>
                <c:pt idx="40">
                  <c:v>68.667936470774464</c:v>
                </c:pt>
                <c:pt idx="41">
                  <c:v>68.667936470774464</c:v>
                </c:pt>
                <c:pt idx="42">
                  <c:v>68.667936470774464</c:v>
                </c:pt>
                <c:pt idx="43">
                  <c:v>68.667936470774464</c:v>
                </c:pt>
                <c:pt idx="44">
                  <c:v>68.667936470774464</c:v>
                </c:pt>
                <c:pt idx="45">
                  <c:v>68.667936470774464</c:v>
                </c:pt>
                <c:pt idx="46">
                  <c:v>68.667936470774464</c:v>
                </c:pt>
                <c:pt idx="47">
                  <c:v>68.667936470774464</c:v>
                </c:pt>
                <c:pt idx="48">
                  <c:v>68.667936470774464</c:v>
                </c:pt>
                <c:pt idx="49">
                  <c:v>68.667936470774464</c:v>
                </c:pt>
                <c:pt idx="50">
                  <c:v>68.667936470774464</c:v>
                </c:pt>
                <c:pt idx="51">
                  <c:v>68.667936470774464</c:v>
                </c:pt>
                <c:pt idx="52">
                  <c:v>68.667936470774464</c:v>
                </c:pt>
                <c:pt idx="53">
                  <c:v>68.667936470774464</c:v>
                </c:pt>
                <c:pt idx="54">
                  <c:v>68.667936470774464</c:v>
                </c:pt>
                <c:pt idx="55">
                  <c:v>68.667936470774464</c:v>
                </c:pt>
                <c:pt idx="56">
                  <c:v>68.667936470774464</c:v>
                </c:pt>
                <c:pt idx="57">
                  <c:v>68.667936470774464</c:v>
                </c:pt>
                <c:pt idx="58">
                  <c:v>68.667936470774464</c:v>
                </c:pt>
                <c:pt idx="59">
                  <c:v>68.667936470774464</c:v>
                </c:pt>
                <c:pt idx="60">
                  <c:v>68.667936470774464</c:v>
                </c:pt>
                <c:pt idx="61">
                  <c:v>68.667936470774464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18944"/>
        <c:axId val="132437504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39040"/>
        <c:axId val="132440832"/>
      </c:lineChart>
      <c:catAx>
        <c:axId val="132418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2437504"/>
        <c:crossesAt val="35"/>
        <c:auto val="1"/>
        <c:lblAlgn val="ctr"/>
        <c:lblOffset val="100"/>
        <c:tickLblSkip val="1"/>
        <c:tickMarkSkip val="1"/>
        <c:noMultiLvlLbl val="0"/>
      </c:catAx>
      <c:valAx>
        <c:axId val="132437504"/>
        <c:scaling>
          <c:orientation val="minMax"/>
          <c:max val="8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2418944"/>
        <c:crosses val="autoZero"/>
        <c:crossBetween val="between"/>
        <c:majorUnit val="5"/>
        <c:minorUnit val="1"/>
      </c:valAx>
      <c:catAx>
        <c:axId val="13243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2440832"/>
        <c:crossesAt val="-5"/>
        <c:auto val="1"/>
        <c:lblAlgn val="ctr"/>
        <c:lblOffset val="100"/>
        <c:noMultiLvlLbl val="0"/>
      </c:catAx>
      <c:valAx>
        <c:axId val="132440832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2439040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385915194429499E-3"/>
          <c:y val="1.1764705882352941E-2"/>
          <c:w val="0.98553132028370571"/>
          <c:h val="7.5294117647058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516129032258"/>
          <c:y val="0.10396039603960396"/>
          <c:w val="0.8"/>
          <c:h val="0.70544554455445541"/>
        </c:manualLayout>
      </c:layout>
      <c:lineChart>
        <c:grouping val="standard"/>
        <c:varyColors val="0"/>
        <c:ser>
          <c:idx val="0"/>
          <c:order val="1"/>
          <c:tx>
            <c:strRef>
              <c:f>ﾃﾞｰﾀｰ!$V$5</c:f>
              <c:strCache>
                <c:ptCount val="1"/>
                <c:pt idx="0">
                  <c:v>3.50Hr
粘度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ﾃﾞｰﾀｰ!$V$6:$V$67</c:f>
              <c:numCache>
                <c:formatCode>0.0_ </c:formatCode>
                <c:ptCount val="62"/>
                <c:pt idx="0">
                  <c:v>100.8</c:v>
                </c:pt>
                <c:pt idx="1">
                  <c:v>102.8</c:v>
                </c:pt>
                <c:pt idx="2">
                  <c:v>100.8</c:v>
                </c:pt>
                <c:pt idx="3">
                  <c:v>100.3</c:v>
                </c:pt>
                <c:pt idx="4">
                  <c:v>100.1</c:v>
                </c:pt>
                <c:pt idx="5">
                  <c:v>101.3</c:v>
                </c:pt>
                <c:pt idx="6">
                  <c:v>100.9</c:v>
                </c:pt>
                <c:pt idx="7">
                  <c:v>102.1</c:v>
                </c:pt>
                <c:pt idx="8">
                  <c:v>101.5</c:v>
                </c:pt>
                <c:pt idx="9">
                  <c:v>99.6</c:v>
                </c:pt>
                <c:pt idx="10">
                  <c:v>98.1</c:v>
                </c:pt>
                <c:pt idx="11">
                  <c:v>101.1</c:v>
                </c:pt>
                <c:pt idx="12">
                  <c:v>101.5</c:v>
                </c:pt>
                <c:pt idx="13">
                  <c:v>104.3</c:v>
                </c:pt>
                <c:pt idx="14">
                  <c:v>103.2</c:v>
                </c:pt>
                <c:pt idx="15">
                  <c:v>104.3</c:v>
                </c:pt>
                <c:pt idx="16">
                  <c:v>102.7</c:v>
                </c:pt>
                <c:pt idx="17">
                  <c:v>103.1</c:v>
                </c:pt>
                <c:pt idx="18">
                  <c:v>99.7</c:v>
                </c:pt>
                <c:pt idx="19">
                  <c:v>97.1</c:v>
                </c:pt>
                <c:pt idx="20">
                  <c:v>96.7</c:v>
                </c:pt>
                <c:pt idx="21">
                  <c:v>98</c:v>
                </c:pt>
                <c:pt idx="22">
                  <c:v>98.7</c:v>
                </c:pt>
                <c:pt idx="23">
                  <c:v>97.9</c:v>
                </c:pt>
                <c:pt idx="24">
                  <c:v>100.5</c:v>
                </c:pt>
                <c:pt idx="25">
                  <c:v>99.9</c:v>
                </c:pt>
                <c:pt idx="26">
                  <c:v>100.5</c:v>
                </c:pt>
                <c:pt idx="27">
                  <c:v>100</c:v>
                </c:pt>
                <c:pt idx="28">
                  <c:v>101</c:v>
                </c:pt>
                <c:pt idx="29">
                  <c:v>101.9</c:v>
                </c:pt>
                <c:pt idx="30">
                  <c:v>100</c:v>
                </c:pt>
                <c:pt idx="31">
                  <c:v>102.3</c:v>
                </c:pt>
              </c:numCache>
            </c:numRef>
          </c:val>
          <c:smooth val="0"/>
        </c:ser>
        <c:ser>
          <c:idx val="3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ﾃﾞｰﾀｰ!$BZ$6:$BZ$67</c:f>
              <c:numCache>
                <c:formatCode>0.0_);[Red]\(0.0\)</c:formatCode>
                <c:ptCount val="62"/>
                <c:pt idx="0">
                  <c:v>106.39415111316158</c:v>
                </c:pt>
                <c:pt idx="1">
                  <c:v>106.39415111316158</c:v>
                </c:pt>
                <c:pt idx="2">
                  <c:v>106.39415111316158</c:v>
                </c:pt>
                <c:pt idx="3">
                  <c:v>106.39415111316158</c:v>
                </c:pt>
                <c:pt idx="4">
                  <c:v>106.39415111316158</c:v>
                </c:pt>
                <c:pt idx="5">
                  <c:v>106.39415111316158</c:v>
                </c:pt>
                <c:pt idx="6">
                  <c:v>106.39415111316158</c:v>
                </c:pt>
                <c:pt idx="7">
                  <c:v>106.39415111316158</c:v>
                </c:pt>
                <c:pt idx="8">
                  <c:v>106.39415111316158</c:v>
                </c:pt>
                <c:pt idx="9">
                  <c:v>106.39415111316158</c:v>
                </c:pt>
                <c:pt idx="10">
                  <c:v>106.39415111316158</c:v>
                </c:pt>
                <c:pt idx="11">
                  <c:v>106.39415111316158</c:v>
                </c:pt>
                <c:pt idx="12">
                  <c:v>106.39415111316158</c:v>
                </c:pt>
                <c:pt idx="13">
                  <c:v>106.39415111316158</c:v>
                </c:pt>
                <c:pt idx="14">
                  <c:v>106.39415111316158</c:v>
                </c:pt>
                <c:pt idx="15">
                  <c:v>106.39415111316158</c:v>
                </c:pt>
                <c:pt idx="16">
                  <c:v>106.39415111316158</c:v>
                </c:pt>
                <c:pt idx="17">
                  <c:v>106.39415111316158</c:v>
                </c:pt>
                <c:pt idx="18">
                  <c:v>106.39415111316158</c:v>
                </c:pt>
                <c:pt idx="19">
                  <c:v>106.39415111316158</c:v>
                </c:pt>
                <c:pt idx="20">
                  <c:v>106.39415111316158</c:v>
                </c:pt>
                <c:pt idx="21">
                  <c:v>106.39415111316158</c:v>
                </c:pt>
                <c:pt idx="22">
                  <c:v>106.39415111316158</c:v>
                </c:pt>
                <c:pt idx="23">
                  <c:v>106.39415111316158</c:v>
                </c:pt>
                <c:pt idx="24">
                  <c:v>106.39415111316158</c:v>
                </c:pt>
                <c:pt idx="25">
                  <c:v>106.39415111316158</c:v>
                </c:pt>
                <c:pt idx="26">
                  <c:v>106.39415111316158</c:v>
                </c:pt>
                <c:pt idx="27">
                  <c:v>106.39415111316158</c:v>
                </c:pt>
                <c:pt idx="28">
                  <c:v>106.39415111316158</c:v>
                </c:pt>
                <c:pt idx="29">
                  <c:v>106.39415111316158</c:v>
                </c:pt>
                <c:pt idx="30">
                  <c:v>106.39415111316158</c:v>
                </c:pt>
                <c:pt idx="31">
                  <c:v>106.39415111316158</c:v>
                </c:pt>
                <c:pt idx="32">
                  <c:v>106.39415111316158</c:v>
                </c:pt>
                <c:pt idx="33">
                  <c:v>106.39415111316158</c:v>
                </c:pt>
                <c:pt idx="34">
                  <c:v>106.39415111316158</c:v>
                </c:pt>
                <c:pt idx="35">
                  <c:v>106.39415111316158</c:v>
                </c:pt>
                <c:pt idx="36">
                  <c:v>106.39415111316158</c:v>
                </c:pt>
                <c:pt idx="37">
                  <c:v>106.39415111316158</c:v>
                </c:pt>
                <c:pt idx="38">
                  <c:v>106.39415111316158</c:v>
                </c:pt>
                <c:pt idx="39">
                  <c:v>106.39415111316158</c:v>
                </c:pt>
                <c:pt idx="40">
                  <c:v>106.39415111316158</c:v>
                </c:pt>
                <c:pt idx="41">
                  <c:v>106.39415111316158</c:v>
                </c:pt>
                <c:pt idx="42">
                  <c:v>106.39415111316158</c:v>
                </c:pt>
                <c:pt idx="43">
                  <c:v>106.39415111316158</c:v>
                </c:pt>
                <c:pt idx="44">
                  <c:v>106.39415111316158</c:v>
                </c:pt>
                <c:pt idx="45">
                  <c:v>106.39415111316158</c:v>
                </c:pt>
                <c:pt idx="46">
                  <c:v>106.39415111316158</c:v>
                </c:pt>
                <c:pt idx="47">
                  <c:v>106.39415111316158</c:v>
                </c:pt>
                <c:pt idx="48">
                  <c:v>106.39415111316158</c:v>
                </c:pt>
                <c:pt idx="49">
                  <c:v>106.39415111316158</c:v>
                </c:pt>
                <c:pt idx="50">
                  <c:v>106.39415111316158</c:v>
                </c:pt>
                <c:pt idx="51">
                  <c:v>106.39415111316158</c:v>
                </c:pt>
                <c:pt idx="52">
                  <c:v>106.39415111316158</c:v>
                </c:pt>
                <c:pt idx="53">
                  <c:v>106.39415111316158</c:v>
                </c:pt>
                <c:pt idx="54">
                  <c:v>106.39415111316158</c:v>
                </c:pt>
                <c:pt idx="55">
                  <c:v>106.39415111316158</c:v>
                </c:pt>
                <c:pt idx="56">
                  <c:v>106.39415111316158</c:v>
                </c:pt>
                <c:pt idx="57">
                  <c:v>106.39415111316158</c:v>
                </c:pt>
                <c:pt idx="58">
                  <c:v>106.39415111316158</c:v>
                </c:pt>
                <c:pt idx="59">
                  <c:v>106.39415111316158</c:v>
                </c:pt>
                <c:pt idx="60">
                  <c:v>106.39415111316158</c:v>
                </c:pt>
                <c:pt idx="61">
                  <c:v>106.39415111316158</c:v>
                </c:pt>
              </c:numCache>
            </c:numRef>
          </c:val>
          <c:smooth val="0"/>
        </c:ser>
        <c:ser>
          <c:idx val="4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ﾃﾞｰﾀｰ!$DQ$6:$DQ$67</c:f>
              <c:numCache>
                <c:formatCode>0.0_);[Red]\(0.0\)</c:formatCode>
                <c:ptCount val="62"/>
                <c:pt idx="0">
                  <c:v>100.47068965517242</c:v>
                </c:pt>
                <c:pt idx="1">
                  <c:v>100.47068965517242</c:v>
                </c:pt>
                <c:pt idx="2">
                  <c:v>100.47068965517242</c:v>
                </c:pt>
                <c:pt idx="3">
                  <c:v>100.47068965517242</c:v>
                </c:pt>
                <c:pt idx="4">
                  <c:v>100.47068965517242</c:v>
                </c:pt>
                <c:pt idx="5">
                  <c:v>100.47068965517242</c:v>
                </c:pt>
                <c:pt idx="6">
                  <c:v>100.47068965517242</c:v>
                </c:pt>
                <c:pt idx="7">
                  <c:v>100.47068965517242</c:v>
                </c:pt>
                <c:pt idx="8">
                  <c:v>100.47068965517242</c:v>
                </c:pt>
                <c:pt idx="9">
                  <c:v>100.47068965517242</c:v>
                </c:pt>
                <c:pt idx="10">
                  <c:v>100.47068965517242</c:v>
                </c:pt>
                <c:pt idx="11">
                  <c:v>100.47068965517242</c:v>
                </c:pt>
                <c:pt idx="12">
                  <c:v>100.47068965517242</c:v>
                </c:pt>
                <c:pt idx="13">
                  <c:v>100.47068965517242</c:v>
                </c:pt>
                <c:pt idx="14">
                  <c:v>100.47068965517242</c:v>
                </c:pt>
                <c:pt idx="15">
                  <c:v>100.47068965517242</c:v>
                </c:pt>
                <c:pt idx="16">
                  <c:v>100.47068965517242</c:v>
                </c:pt>
                <c:pt idx="17">
                  <c:v>100.47068965517242</c:v>
                </c:pt>
                <c:pt idx="18">
                  <c:v>100.47068965517242</c:v>
                </c:pt>
                <c:pt idx="19">
                  <c:v>100.47068965517242</c:v>
                </c:pt>
                <c:pt idx="20">
                  <c:v>100.47068965517242</c:v>
                </c:pt>
                <c:pt idx="21">
                  <c:v>100.47068965517242</c:v>
                </c:pt>
                <c:pt idx="22">
                  <c:v>100.47068965517242</c:v>
                </c:pt>
                <c:pt idx="23">
                  <c:v>100.47068965517242</c:v>
                </c:pt>
                <c:pt idx="24">
                  <c:v>100.47068965517242</c:v>
                </c:pt>
                <c:pt idx="25">
                  <c:v>100.47068965517242</c:v>
                </c:pt>
                <c:pt idx="26">
                  <c:v>100.47068965517242</c:v>
                </c:pt>
                <c:pt idx="27">
                  <c:v>100.47068965517242</c:v>
                </c:pt>
                <c:pt idx="28">
                  <c:v>100.47068965517242</c:v>
                </c:pt>
                <c:pt idx="29">
                  <c:v>100.47068965517242</c:v>
                </c:pt>
                <c:pt idx="30">
                  <c:v>100.47068965517242</c:v>
                </c:pt>
                <c:pt idx="31">
                  <c:v>100.47068965517242</c:v>
                </c:pt>
                <c:pt idx="32">
                  <c:v>100.47068965517242</c:v>
                </c:pt>
                <c:pt idx="33">
                  <c:v>100.47068965517242</c:v>
                </c:pt>
                <c:pt idx="34">
                  <c:v>100.47068965517242</c:v>
                </c:pt>
                <c:pt idx="35">
                  <c:v>100.47068965517242</c:v>
                </c:pt>
                <c:pt idx="36">
                  <c:v>100.47068965517242</c:v>
                </c:pt>
                <c:pt idx="37">
                  <c:v>100.47068965517242</c:v>
                </c:pt>
                <c:pt idx="38">
                  <c:v>100.47068965517242</c:v>
                </c:pt>
                <c:pt idx="39">
                  <c:v>100.47068965517242</c:v>
                </c:pt>
                <c:pt idx="40">
                  <c:v>100.47068965517242</c:v>
                </c:pt>
                <c:pt idx="41">
                  <c:v>100.47068965517242</c:v>
                </c:pt>
                <c:pt idx="42">
                  <c:v>100.47068965517242</c:v>
                </c:pt>
                <c:pt idx="43">
                  <c:v>100.47068965517242</c:v>
                </c:pt>
                <c:pt idx="44">
                  <c:v>100.47068965517242</c:v>
                </c:pt>
                <c:pt idx="45">
                  <c:v>100.47068965517242</c:v>
                </c:pt>
                <c:pt idx="46">
                  <c:v>100.47068965517242</c:v>
                </c:pt>
                <c:pt idx="47">
                  <c:v>100.47068965517242</c:v>
                </c:pt>
                <c:pt idx="48">
                  <c:v>100.47068965517242</c:v>
                </c:pt>
                <c:pt idx="49">
                  <c:v>100.47068965517242</c:v>
                </c:pt>
                <c:pt idx="50">
                  <c:v>100.47068965517242</c:v>
                </c:pt>
                <c:pt idx="51">
                  <c:v>100.47068965517242</c:v>
                </c:pt>
                <c:pt idx="52">
                  <c:v>100.47068965517242</c:v>
                </c:pt>
                <c:pt idx="53">
                  <c:v>100.47068965517242</c:v>
                </c:pt>
                <c:pt idx="54">
                  <c:v>100.47068965517242</c:v>
                </c:pt>
                <c:pt idx="55">
                  <c:v>100.47068965517242</c:v>
                </c:pt>
                <c:pt idx="56">
                  <c:v>100.47068965517242</c:v>
                </c:pt>
                <c:pt idx="57">
                  <c:v>100.47068965517242</c:v>
                </c:pt>
                <c:pt idx="58">
                  <c:v>100.47068965517242</c:v>
                </c:pt>
                <c:pt idx="59">
                  <c:v>100.47068965517242</c:v>
                </c:pt>
                <c:pt idx="60">
                  <c:v>100.47068965517242</c:v>
                </c:pt>
                <c:pt idx="61">
                  <c:v>100.47068965517242</c:v>
                </c:pt>
              </c:numCache>
            </c:numRef>
          </c:val>
          <c:smooth val="0"/>
        </c:ser>
        <c:ser>
          <c:idx val="2"/>
          <c:order val="4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ﾃﾞｰﾀｰ!$BY$6:$BY$67</c:f>
              <c:numCache>
                <c:formatCode>0.0_);[Red]\(0.0\)</c:formatCode>
                <c:ptCount val="62"/>
                <c:pt idx="0">
                  <c:v>94.547228197183259</c:v>
                </c:pt>
                <c:pt idx="1">
                  <c:v>94.547228197183259</c:v>
                </c:pt>
                <c:pt idx="2">
                  <c:v>94.547228197183259</c:v>
                </c:pt>
                <c:pt idx="3">
                  <c:v>94.547228197183259</c:v>
                </c:pt>
                <c:pt idx="4">
                  <c:v>94.547228197183259</c:v>
                </c:pt>
                <c:pt idx="5">
                  <c:v>94.547228197183259</c:v>
                </c:pt>
                <c:pt idx="6">
                  <c:v>94.547228197183259</c:v>
                </c:pt>
                <c:pt idx="7">
                  <c:v>94.547228197183259</c:v>
                </c:pt>
                <c:pt idx="8">
                  <c:v>94.547228197183259</c:v>
                </c:pt>
                <c:pt idx="9">
                  <c:v>94.547228197183259</c:v>
                </c:pt>
                <c:pt idx="10">
                  <c:v>94.547228197183259</c:v>
                </c:pt>
                <c:pt idx="11">
                  <c:v>94.547228197183259</c:v>
                </c:pt>
                <c:pt idx="12">
                  <c:v>94.547228197183259</c:v>
                </c:pt>
                <c:pt idx="13">
                  <c:v>94.547228197183259</c:v>
                </c:pt>
                <c:pt idx="14">
                  <c:v>94.547228197183259</c:v>
                </c:pt>
                <c:pt idx="15">
                  <c:v>94.547228197183259</c:v>
                </c:pt>
                <c:pt idx="16">
                  <c:v>94.547228197183259</c:v>
                </c:pt>
                <c:pt idx="17">
                  <c:v>94.547228197183259</c:v>
                </c:pt>
                <c:pt idx="18">
                  <c:v>94.547228197183259</c:v>
                </c:pt>
                <c:pt idx="19">
                  <c:v>94.547228197183259</c:v>
                </c:pt>
                <c:pt idx="20">
                  <c:v>94.547228197183259</c:v>
                </c:pt>
                <c:pt idx="21">
                  <c:v>94.547228197183259</c:v>
                </c:pt>
                <c:pt idx="22">
                  <c:v>94.547228197183259</c:v>
                </c:pt>
                <c:pt idx="23">
                  <c:v>94.547228197183259</c:v>
                </c:pt>
                <c:pt idx="24">
                  <c:v>94.547228197183259</c:v>
                </c:pt>
                <c:pt idx="25">
                  <c:v>94.547228197183259</c:v>
                </c:pt>
                <c:pt idx="26">
                  <c:v>94.547228197183259</c:v>
                </c:pt>
                <c:pt idx="27">
                  <c:v>94.547228197183259</c:v>
                </c:pt>
                <c:pt idx="28">
                  <c:v>94.547228197183259</c:v>
                </c:pt>
                <c:pt idx="29">
                  <c:v>94.547228197183259</c:v>
                </c:pt>
                <c:pt idx="30">
                  <c:v>94.547228197183259</c:v>
                </c:pt>
                <c:pt idx="31">
                  <c:v>94.547228197183259</c:v>
                </c:pt>
                <c:pt idx="32">
                  <c:v>94.547228197183259</c:v>
                </c:pt>
                <c:pt idx="33">
                  <c:v>94.547228197183259</c:v>
                </c:pt>
                <c:pt idx="34">
                  <c:v>94.547228197183259</c:v>
                </c:pt>
                <c:pt idx="35">
                  <c:v>94.547228197183259</c:v>
                </c:pt>
                <c:pt idx="36">
                  <c:v>94.547228197183259</c:v>
                </c:pt>
                <c:pt idx="37">
                  <c:v>94.547228197183259</c:v>
                </c:pt>
                <c:pt idx="38">
                  <c:v>94.547228197183259</c:v>
                </c:pt>
                <c:pt idx="39">
                  <c:v>94.547228197183259</c:v>
                </c:pt>
                <c:pt idx="40">
                  <c:v>94.547228197183259</c:v>
                </c:pt>
                <c:pt idx="41">
                  <c:v>94.547228197183259</c:v>
                </c:pt>
                <c:pt idx="42">
                  <c:v>94.547228197183259</c:v>
                </c:pt>
                <c:pt idx="43">
                  <c:v>94.547228197183259</c:v>
                </c:pt>
                <c:pt idx="44">
                  <c:v>94.547228197183259</c:v>
                </c:pt>
                <c:pt idx="45">
                  <c:v>94.547228197183259</c:v>
                </c:pt>
                <c:pt idx="46">
                  <c:v>94.547228197183259</c:v>
                </c:pt>
                <c:pt idx="47">
                  <c:v>94.547228197183259</c:v>
                </c:pt>
                <c:pt idx="48">
                  <c:v>94.547228197183259</c:v>
                </c:pt>
                <c:pt idx="49">
                  <c:v>94.547228197183259</c:v>
                </c:pt>
                <c:pt idx="50">
                  <c:v>94.547228197183259</c:v>
                </c:pt>
                <c:pt idx="51">
                  <c:v>94.547228197183259</c:v>
                </c:pt>
                <c:pt idx="52">
                  <c:v>94.547228197183259</c:v>
                </c:pt>
                <c:pt idx="53">
                  <c:v>94.547228197183259</c:v>
                </c:pt>
                <c:pt idx="54">
                  <c:v>94.547228197183259</c:v>
                </c:pt>
                <c:pt idx="55">
                  <c:v>94.547228197183259</c:v>
                </c:pt>
                <c:pt idx="56">
                  <c:v>94.547228197183259</c:v>
                </c:pt>
                <c:pt idx="57">
                  <c:v>94.547228197183259</c:v>
                </c:pt>
                <c:pt idx="58">
                  <c:v>94.547228197183259</c:v>
                </c:pt>
                <c:pt idx="59">
                  <c:v>94.547228197183259</c:v>
                </c:pt>
                <c:pt idx="60">
                  <c:v>94.547228197183259</c:v>
                </c:pt>
                <c:pt idx="61">
                  <c:v>94.547228197183259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2880"/>
        <c:axId val="133724800"/>
      </c:lineChart>
      <c:lineChart>
        <c:grouping val="standard"/>
        <c:varyColors val="0"/>
        <c:ser>
          <c:idx val="1"/>
          <c:order val="0"/>
          <c:tx>
            <c:strRef>
              <c:f>ﾃﾞｰﾀｰ!$AH$5</c:f>
              <c:strCache>
                <c:ptCount val="1"/>
                <c:pt idx="0">
                  <c:v>感度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38880"/>
        <c:axId val="133740416"/>
      </c:lineChart>
      <c:catAx>
        <c:axId val="133722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724800"/>
        <c:crossesAt val="80"/>
        <c:auto val="1"/>
        <c:lblAlgn val="ctr"/>
        <c:lblOffset val="100"/>
        <c:tickLblSkip val="1"/>
        <c:tickMarkSkip val="1"/>
        <c:noMultiLvlLbl val="0"/>
      </c:catAx>
      <c:valAx>
        <c:axId val="133724800"/>
        <c:scaling>
          <c:orientation val="minMax"/>
          <c:max val="11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722880"/>
        <c:crosses val="autoZero"/>
        <c:crossBetween val="between"/>
        <c:majorUnit val="10"/>
        <c:minorUnit val="5"/>
      </c:valAx>
      <c:catAx>
        <c:axId val="13373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3740416"/>
        <c:crossesAt val="-5"/>
        <c:auto val="1"/>
        <c:lblAlgn val="ctr"/>
        <c:lblOffset val="100"/>
        <c:noMultiLvlLbl val="0"/>
      </c:catAx>
      <c:valAx>
        <c:axId val="133740416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738880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645161290322578E-3"/>
          <c:y val="1.2376237623762377E-2"/>
          <c:w val="0.98548387096774193"/>
          <c:h val="7.17821782178217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0940805664695"/>
          <c:y val="0.10098534312623048"/>
          <c:w val="0.8006437153365179"/>
          <c:h val="0.68965600183767151"/>
        </c:manualLayout>
      </c:layout>
      <c:lineChart>
        <c:grouping val="standard"/>
        <c:varyColors val="0"/>
        <c:ser>
          <c:idx val="1"/>
          <c:order val="0"/>
          <c:tx>
            <c:strRef>
              <c:f>ﾃﾞｰﾀｰ!$W$5</c:f>
              <c:strCache>
                <c:ptCount val="1"/>
                <c:pt idx="0">
                  <c:v>4.00Hr
粘度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ﾃﾞｰﾀｰ!$W$6:$W$67</c:f>
              <c:numCache>
                <c:formatCode>0.0_ </c:formatCode>
                <c:ptCount val="62"/>
                <c:pt idx="0">
                  <c:v>121.4</c:v>
                </c:pt>
                <c:pt idx="1">
                  <c:v>122.9</c:v>
                </c:pt>
                <c:pt idx="2">
                  <c:v>121.8</c:v>
                </c:pt>
                <c:pt idx="3">
                  <c:v>120</c:v>
                </c:pt>
                <c:pt idx="4">
                  <c:v>120.9</c:v>
                </c:pt>
                <c:pt idx="5">
                  <c:v>121.5</c:v>
                </c:pt>
                <c:pt idx="6">
                  <c:v>121.9</c:v>
                </c:pt>
                <c:pt idx="7">
                  <c:v>123</c:v>
                </c:pt>
                <c:pt idx="8">
                  <c:v>122.6</c:v>
                </c:pt>
                <c:pt idx="9">
                  <c:v>120.1</c:v>
                </c:pt>
                <c:pt idx="10">
                  <c:v>118.7</c:v>
                </c:pt>
                <c:pt idx="11">
                  <c:v>121.5</c:v>
                </c:pt>
                <c:pt idx="12">
                  <c:v>121.6</c:v>
                </c:pt>
                <c:pt idx="13">
                  <c:v>124.1</c:v>
                </c:pt>
                <c:pt idx="14">
                  <c:v>123.4</c:v>
                </c:pt>
                <c:pt idx="15">
                  <c:v>124.3</c:v>
                </c:pt>
                <c:pt idx="16">
                  <c:v>122.5</c:v>
                </c:pt>
                <c:pt idx="17">
                  <c:v>123.6</c:v>
                </c:pt>
                <c:pt idx="18">
                  <c:v>119.6</c:v>
                </c:pt>
                <c:pt idx="19">
                  <c:v>117.5</c:v>
                </c:pt>
                <c:pt idx="20">
                  <c:v>117.4</c:v>
                </c:pt>
                <c:pt idx="21">
                  <c:v>119.9</c:v>
                </c:pt>
                <c:pt idx="22">
                  <c:v>119.3</c:v>
                </c:pt>
                <c:pt idx="23">
                  <c:v>117.6</c:v>
                </c:pt>
                <c:pt idx="24">
                  <c:v>121.9</c:v>
                </c:pt>
                <c:pt idx="25">
                  <c:v>120.6</c:v>
                </c:pt>
                <c:pt idx="26">
                  <c:v>121.1</c:v>
                </c:pt>
                <c:pt idx="27">
                  <c:v>120.5</c:v>
                </c:pt>
                <c:pt idx="28">
                  <c:v>122.2</c:v>
                </c:pt>
                <c:pt idx="29">
                  <c:v>122.8</c:v>
                </c:pt>
                <c:pt idx="30">
                  <c:v>123</c:v>
                </c:pt>
                <c:pt idx="31">
                  <c:v>123.8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ﾃﾞｰﾀｰ!$CB$6:$CB$67</c:f>
              <c:numCache>
                <c:formatCode>0.0_);[Red]\(0.0\)</c:formatCode>
                <c:ptCount val="62"/>
                <c:pt idx="0">
                  <c:v>127.60610331637088</c:v>
                </c:pt>
                <c:pt idx="1">
                  <c:v>127.60610331637088</c:v>
                </c:pt>
                <c:pt idx="2">
                  <c:v>127.60610331637088</c:v>
                </c:pt>
                <c:pt idx="3">
                  <c:v>127.60610331637088</c:v>
                </c:pt>
                <c:pt idx="4">
                  <c:v>127.60610331637088</c:v>
                </c:pt>
                <c:pt idx="5">
                  <c:v>127.60610331637088</c:v>
                </c:pt>
                <c:pt idx="6">
                  <c:v>127.60610331637088</c:v>
                </c:pt>
                <c:pt idx="7">
                  <c:v>127.60610331637088</c:v>
                </c:pt>
                <c:pt idx="8">
                  <c:v>127.60610331637088</c:v>
                </c:pt>
                <c:pt idx="9">
                  <c:v>127.60610331637088</c:v>
                </c:pt>
                <c:pt idx="10">
                  <c:v>127.60610331637088</c:v>
                </c:pt>
                <c:pt idx="11">
                  <c:v>127.60610331637088</c:v>
                </c:pt>
                <c:pt idx="12">
                  <c:v>127.60610331637088</c:v>
                </c:pt>
                <c:pt idx="13">
                  <c:v>127.60610331637088</c:v>
                </c:pt>
                <c:pt idx="14">
                  <c:v>127.60610331637088</c:v>
                </c:pt>
                <c:pt idx="15">
                  <c:v>127.60610331637088</c:v>
                </c:pt>
                <c:pt idx="16">
                  <c:v>127.60610331637088</c:v>
                </c:pt>
                <c:pt idx="17">
                  <c:v>127.60610331637088</c:v>
                </c:pt>
                <c:pt idx="18">
                  <c:v>127.60610331637088</c:v>
                </c:pt>
                <c:pt idx="19">
                  <c:v>127.60610331637088</c:v>
                </c:pt>
                <c:pt idx="20">
                  <c:v>127.60610331637088</c:v>
                </c:pt>
                <c:pt idx="21">
                  <c:v>127.60610331637088</c:v>
                </c:pt>
                <c:pt idx="22">
                  <c:v>127.60610331637088</c:v>
                </c:pt>
                <c:pt idx="23">
                  <c:v>127.60610331637088</c:v>
                </c:pt>
                <c:pt idx="24">
                  <c:v>127.60610331637088</c:v>
                </c:pt>
                <c:pt idx="25">
                  <c:v>127.60610331637088</c:v>
                </c:pt>
                <c:pt idx="26">
                  <c:v>127.60610331637088</c:v>
                </c:pt>
                <c:pt idx="27">
                  <c:v>127.60610331637088</c:v>
                </c:pt>
                <c:pt idx="28">
                  <c:v>127.60610331637088</c:v>
                </c:pt>
                <c:pt idx="29">
                  <c:v>127.60610331637088</c:v>
                </c:pt>
                <c:pt idx="30">
                  <c:v>127.60610331637088</c:v>
                </c:pt>
                <c:pt idx="31">
                  <c:v>127.60610331637088</c:v>
                </c:pt>
                <c:pt idx="32">
                  <c:v>127.60610331637088</c:v>
                </c:pt>
                <c:pt idx="33">
                  <c:v>127.60610331637088</c:v>
                </c:pt>
                <c:pt idx="34">
                  <c:v>127.60610331637088</c:v>
                </c:pt>
                <c:pt idx="35">
                  <c:v>127.60610331637088</c:v>
                </c:pt>
                <c:pt idx="36">
                  <c:v>127.60610331637088</c:v>
                </c:pt>
                <c:pt idx="37">
                  <c:v>127.60610331637088</c:v>
                </c:pt>
                <c:pt idx="38">
                  <c:v>127.60610331637088</c:v>
                </c:pt>
                <c:pt idx="39">
                  <c:v>127.60610331637088</c:v>
                </c:pt>
                <c:pt idx="40">
                  <c:v>127.60610331637088</c:v>
                </c:pt>
                <c:pt idx="41">
                  <c:v>127.60610331637088</c:v>
                </c:pt>
                <c:pt idx="42">
                  <c:v>127.60610331637088</c:v>
                </c:pt>
                <c:pt idx="43">
                  <c:v>127.60610331637088</c:v>
                </c:pt>
                <c:pt idx="44">
                  <c:v>127.60610331637088</c:v>
                </c:pt>
                <c:pt idx="45">
                  <c:v>127.60610331637088</c:v>
                </c:pt>
                <c:pt idx="46">
                  <c:v>127.60610331637088</c:v>
                </c:pt>
                <c:pt idx="47">
                  <c:v>127.60610331637088</c:v>
                </c:pt>
                <c:pt idx="48">
                  <c:v>127.60610331637088</c:v>
                </c:pt>
                <c:pt idx="49">
                  <c:v>127.60610331637088</c:v>
                </c:pt>
                <c:pt idx="50">
                  <c:v>127.60610331637088</c:v>
                </c:pt>
                <c:pt idx="51">
                  <c:v>127.60610331637088</c:v>
                </c:pt>
                <c:pt idx="52">
                  <c:v>127.60610331637088</c:v>
                </c:pt>
                <c:pt idx="53">
                  <c:v>127.60610331637088</c:v>
                </c:pt>
                <c:pt idx="54">
                  <c:v>127.60610331637088</c:v>
                </c:pt>
                <c:pt idx="55">
                  <c:v>127.60610331637088</c:v>
                </c:pt>
                <c:pt idx="56">
                  <c:v>127.60610331637088</c:v>
                </c:pt>
                <c:pt idx="57">
                  <c:v>127.60610331637088</c:v>
                </c:pt>
                <c:pt idx="58">
                  <c:v>127.60610331637088</c:v>
                </c:pt>
                <c:pt idx="59">
                  <c:v>127.60610331637088</c:v>
                </c:pt>
                <c:pt idx="60">
                  <c:v>127.60610331637088</c:v>
                </c:pt>
                <c:pt idx="61">
                  <c:v>127.60610331637088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ﾃﾞｰﾀｰ!$DR$6:$DR$67</c:f>
              <c:numCache>
                <c:formatCode>0.0_);[Red]\(0.0\)</c:formatCode>
                <c:ptCount val="62"/>
                <c:pt idx="0">
                  <c:v>120.95172413793104</c:v>
                </c:pt>
                <c:pt idx="1">
                  <c:v>120.95172413793104</c:v>
                </c:pt>
                <c:pt idx="2">
                  <c:v>120.95172413793104</c:v>
                </c:pt>
                <c:pt idx="3">
                  <c:v>120.95172413793104</c:v>
                </c:pt>
                <c:pt idx="4">
                  <c:v>120.95172413793104</c:v>
                </c:pt>
                <c:pt idx="5">
                  <c:v>120.95172413793104</c:v>
                </c:pt>
                <c:pt idx="6">
                  <c:v>120.95172413793104</c:v>
                </c:pt>
                <c:pt idx="7">
                  <c:v>120.95172413793104</c:v>
                </c:pt>
                <c:pt idx="8">
                  <c:v>120.95172413793104</c:v>
                </c:pt>
                <c:pt idx="9">
                  <c:v>120.95172413793104</c:v>
                </c:pt>
                <c:pt idx="10">
                  <c:v>120.95172413793104</c:v>
                </c:pt>
                <c:pt idx="11">
                  <c:v>120.95172413793104</c:v>
                </c:pt>
                <c:pt idx="12">
                  <c:v>120.95172413793104</c:v>
                </c:pt>
                <c:pt idx="13">
                  <c:v>120.95172413793104</c:v>
                </c:pt>
                <c:pt idx="14">
                  <c:v>120.95172413793104</c:v>
                </c:pt>
                <c:pt idx="15">
                  <c:v>120.95172413793104</c:v>
                </c:pt>
                <c:pt idx="16">
                  <c:v>120.95172413793104</c:v>
                </c:pt>
                <c:pt idx="17">
                  <c:v>120.95172413793104</c:v>
                </c:pt>
                <c:pt idx="18">
                  <c:v>120.95172413793104</c:v>
                </c:pt>
                <c:pt idx="19">
                  <c:v>120.95172413793104</c:v>
                </c:pt>
                <c:pt idx="20">
                  <c:v>120.95172413793104</c:v>
                </c:pt>
                <c:pt idx="21">
                  <c:v>120.95172413793104</c:v>
                </c:pt>
                <c:pt idx="22">
                  <c:v>120.95172413793104</c:v>
                </c:pt>
                <c:pt idx="23">
                  <c:v>120.95172413793104</c:v>
                </c:pt>
                <c:pt idx="24">
                  <c:v>120.95172413793104</c:v>
                </c:pt>
                <c:pt idx="25">
                  <c:v>120.95172413793104</c:v>
                </c:pt>
                <c:pt idx="26">
                  <c:v>120.95172413793104</c:v>
                </c:pt>
                <c:pt idx="27">
                  <c:v>120.95172413793104</c:v>
                </c:pt>
                <c:pt idx="28">
                  <c:v>120.95172413793104</c:v>
                </c:pt>
                <c:pt idx="29">
                  <c:v>120.95172413793104</c:v>
                </c:pt>
                <c:pt idx="30">
                  <c:v>120.95172413793104</c:v>
                </c:pt>
                <c:pt idx="31">
                  <c:v>120.95172413793104</c:v>
                </c:pt>
                <c:pt idx="32">
                  <c:v>120.95172413793104</c:v>
                </c:pt>
                <c:pt idx="33">
                  <c:v>120.95172413793104</c:v>
                </c:pt>
                <c:pt idx="34">
                  <c:v>120.95172413793104</c:v>
                </c:pt>
                <c:pt idx="35">
                  <c:v>120.95172413793104</c:v>
                </c:pt>
                <c:pt idx="36">
                  <c:v>120.95172413793104</c:v>
                </c:pt>
                <c:pt idx="37">
                  <c:v>120.95172413793104</c:v>
                </c:pt>
                <c:pt idx="38">
                  <c:v>120.95172413793104</c:v>
                </c:pt>
                <c:pt idx="39">
                  <c:v>120.95172413793104</c:v>
                </c:pt>
                <c:pt idx="40">
                  <c:v>120.95172413793104</c:v>
                </c:pt>
                <c:pt idx="41">
                  <c:v>120.95172413793104</c:v>
                </c:pt>
                <c:pt idx="42">
                  <c:v>120.95172413793104</c:v>
                </c:pt>
                <c:pt idx="43">
                  <c:v>120.95172413793104</c:v>
                </c:pt>
                <c:pt idx="44">
                  <c:v>120.95172413793104</c:v>
                </c:pt>
                <c:pt idx="45">
                  <c:v>120.95172413793104</c:v>
                </c:pt>
                <c:pt idx="46">
                  <c:v>120.95172413793104</c:v>
                </c:pt>
                <c:pt idx="47">
                  <c:v>120.95172413793104</c:v>
                </c:pt>
                <c:pt idx="48">
                  <c:v>120.95172413793104</c:v>
                </c:pt>
                <c:pt idx="49">
                  <c:v>120.95172413793104</c:v>
                </c:pt>
                <c:pt idx="50">
                  <c:v>120.95172413793104</c:v>
                </c:pt>
                <c:pt idx="51">
                  <c:v>120.95172413793104</c:v>
                </c:pt>
                <c:pt idx="52">
                  <c:v>120.95172413793104</c:v>
                </c:pt>
                <c:pt idx="53">
                  <c:v>120.95172413793104</c:v>
                </c:pt>
                <c:pt idx="54">
                  <c:v>120.95172413793104</c:v>
                </c:pt>
                <c:pt idx="55">
                  <c:v>120.95172413793104</c:v>
                </c:pt>
                <c:pt idx="56">
                  <c:v>120.95172413793104</c:v>
                </c:pt>
                <c:pt idx="57">
                  <c:v>120.95172413793104</c:v>
                </c:pt>
                <c:pt idx="58">
                  <c:v>120.95172413793104</c:v>
                </c:pt>
                <c:pt idx="59">
                  <c:v>120.95172413793104</c:v>
                </c:pt>
                <c:pt idx="60">
                  <c:v>120.95172413793104</c:v>
                </c:pt>
                <c:pt idx="61">
                  <c:v>120.95172413793104</c:v>
                </c:pt>
              </c:numCache>
            </c:numRef>
          </c:val>
          <c:smooth val="0"/>
        </c:ser>
        <c:ser>
          <c:idx val="0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ﾃﾞｰﾀｰ!$CA$6:$CA$67</c:f>
              <c:numCache>
                <c:formatCode>0.0_);[Red]\(0.0\)</c:formatCode>
                <c:ptCount val="62"/>
                <c:pt idx="0">
                  <c:v>114.2973449594912</c:v>
                </c:pt>
                <c:pt idx="1">
                  <c:v>114.2973449594912</c:v>
                </c:pt>
                <c:pt idx="2">
                  <c:v>114.2973449594912</c:v>
                </c:pt>
                <c:pt idx="3">
                  <c:v>114.2973449594912</c:v>
                </c:pt>
                <c:pt idx="4">
                  <c:v>114.2973449594912</c:v>
                </c:pt>
                <c:pt idx="5">
                  <c:v>114.2973449594912</c:v>
                </c:pt>
                <c:pt idx="6">
                  <c:v>114.2973449594912</c:v>
                </c:pt>
                <c:pt idx="7">
                  <c:v>114.2973449594912</c:v>
                </c:pt>
                <c:pt idx="8">
                  <c:v>114.2973449594912</c:v>
                </c:pt>
                <c:pt idx="9">
                  <c:v>114.2973449594912</c:v>
                </c:pt>
                <c:pt idx="10">
                  <c:v>114.2973449594912</c:v>
                </c:pt>
                <c:pt idx="11">
                  <c:v>114.2973449594912</c:v>
                </c:pt>
                <c:pt idx="12">
                  <c:v>114.2973449594912</c:v>
                </c:pt>
                <c:pt idx="13">
                  <c:v>114.2973449594912</c:v>
                </c:pt>
                <c:pt idx="14">
                  <c:v>114.2973449594912</c:v>
                </c:pt>
                <c:pt idx="15">
                  <c:v>114.2973449594912</c:v>
                </c:pt>
                <c:pt idx="16">
                  <c:v>114.2973449594912</c:v>
                </c:pt>
                <c:pt idx="17">
                  <c:v>114.2973449594912</c:v>
                </c:pt>
                <c:pt idx="18">
                  <c:v>114.2973449594912</c:v>
                </c:pt>
                <c:pt idx="19">
                  <c:v>114.2973449594912</c:v>
                </c:pt>
                <c:pt idx="20">
                  <c:v>114.2973449594912</c:v>
                </c:pt>
                <c:pt idx="21">
                  <c:v>114.2973449594912</c:v>
                </c:pt>
                <c:pt idx="22">
                  <c:v>114.2973449594912</c:v>
                </c:pt>
                <c:pt idx="23">
                  <c:v>114.2973449594912</c:v>
                </c:pt>
                <c:pt idx="24">
                  <c:v>114.2973449594912</c:v>
                </c:pt>
                <c:pt idx="25">
                  <c:v>114.2973449594912</c:v>
                </c:pt>
                <c:pt idx="26">
                  <c:v>114.2973449594912</c:v>
                </c:pt>
                <c:pt idx="27">
                  <c:v>114.2973449594912</c:v>
                </c:pt>
                <c:pt idx="28">
                  <c:v>114.2973449594912</c:v>
                </c:pt>
                <c:pt idx="29">
                  <c:v>114.2973449594912</c:v>
                </c:pt>
                <c:pt idx="30">
                  <c:v>114.2973449594912</c:v>
                </c:pt>
                <c:pt idx="31">
                  <c:v>114.2973449594912</c:v>
                </c:pt>
                <c:pt idx="32">
                  <c:v>114.2973449594912</c:v>
                </c:pt>
                <c:pt idx="33">
                  <c:v>114.2973449594912</c:v>
                </c:pt>
                <c:pt idx="34">
                  <c:v>114.2973449594912</c:v>
                </c:pt>
                <c:pt idx="35">
                  <c:v>114.2973449594912</c:v>
                </c:pt>
                <c:pt idx="36">
                  <c:v>114.2973449594912</c:v>
                </c:pt>
                <c:pt idx="37">
                  <c:v>114.2973449594912</c:v>
                </c:pt>
                <c:pt idx="38">
                  <c:v>114.2973449594912</c:v>
                </c:pt>
                <c:pt idx="39">
                  <c:v>114.2973449594912</c:v>
                </c:pt>
                <c:pt idx="40">
                  <c:v>114.2973449594912</c:v>
                </c:pt>
                <c:pt idx="41">
                  <c:v>114.2973449594912</c:v>
                </c:pt>
                <c:pt idx="42">
                  <c:v>114.2973449594912</c:v>
                </c:pt>
                <c:pt idx="43">
                  <c:v>114.2973449594912</c:v>
                </c:pt>
                <c:pt idx="44">
                  <c:v>114.2973449594912</c:v>
                </c:pt>
                <c:pt idx="45">
                  <c:v>114.2973449594912</c:v>
                </c:pt>
                <c:pt idx="46">
                  <c:v>114.2973449594912</c:v>
                </c:pt>
                <c:pt idx="47">
                  <c:v>114.2973449594912</c:v>
                </c:pt>
                <c:pt idx="48">
                  <c:v>114.2973449594912</c:v>
                </c:pt>
                <c:pt idx="49">
                  <c:v>114.2973449594912</c:v>
                </c:pt>
                <c:pt idx="50">
                  <c:v>114.2973449594912</c:v>
                </c:pt>
                <c:pt idx="51">
                  <c:v>114.2973449594912</c:v>
                </c:pt>
                <c:pt idx="52">
                  <c:v>114.2973449594912</c:v>
                </c:pt>
                <c:pt idx="53">
                  <c:v>114.2973449594912</c:v>
                </c:pt>
                <c:pt idx="54">
                  <c:v>114.2973449594912</c:v>
                </c:pt>
                <c:pt idx="55">
                  <c:v>114.2973449594912</c:v>
                </c:pt>
                <c:pt idx="56">
                  <c:v>114.2973449594912</c:v>
                </c:pt>
                <c:pt idx="57">
                  <c:v>114.2973449594912</c:v>
                </c:pt>
                <c:pt idx="58">
                  <c:v>114.2973449594912</c:v>
                </c:pt>
                <c:pt idx="59">
                  <c:v>114.2973449594912</c:v>
                </c:pt>
                <c:pt idx="60">
                  <c:v>114.2973449594912</c:v>
                </c:pt>
                <c:pt idx="61">
                  <c:v>114.2973449594912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89184"/>
        <c:axId val="133791104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376"/>
        <c:axId val="133814912"/>
      </c:lineChart>
      <c:catAx>
        <c:axId val="133789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791104"/>
        <c:crossesAt val="100"/>
        <c:auto val="1"/>
        <c:lblAlgn val="ctr"/>
        <c:lblOffset val="100"/>
        <c:tickLblSkip val="1"/>
        <c:tickMarkSkip val="1"/>
        <c:noMultiLvlLbl val="0"/>
      </c:catAx>
      <c:valAx>
        <c:axId val="133791104"/>
        <c:scaling>
          <c:orientation val="minMax"/>
          <c:max val="13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789184"/>
        <c:crosses val="autoZero"/>
        <c:crossBetween val="between"/>
        <c:majorUnit val="10"/>
        <c:minorUnit val="5"/>
      </c:valAx>
      <c:catAx>
        <c:axId val="13381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3814912"/>
        <c:crossesAt val="-5"/>
        <c:auto val="1"/>
        <c:lblAlgn val="ctr"/>
        <c:lblOffset val="100"/>
        <c:noMultiLvlLbl val="0"/>
      </c:catAx>
      <c:valAx>
        <c:axId val="133814912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813376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385915194429499E-3"/>
          <c:y val="1.2315285747101277E-2"/>
          <c:w val="0.98553132028370571"/>
          <c:h val="7.38917144826076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177275464968717E-2"/>
          <c:y val="0.11855685022960574"/>
          <c:w val="0.82930887257962305"/>
          <c:h val="0.7113411013776344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ﾃﾞｰﾀｰ!$D$5</c:f>
              <c:strCache>
                <c:ptCount val="1"/>
                <c:pt idx="0">
                  <c:v>追添槽　滴下時間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ﾃﾞｰﾀｰ!$D$6:$D$67</c:f>
              <c:numCache>
                <c:formatCode>General</c:formatCode>
                <c:ptCount val="62"/>
                <c:pt idx="0">
                  <c:v>113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111</c:v>
                </c:pt>
                <c:pt idx="10">
                  <c:v>113</c:v>
                </c:pt>
                <c:pt idx="11">
                  <c:v>112</c:v>
                </c:pt>
                <c:pt idx="12">
                  <c:v>112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109</c:v>
                </c:pt>
                <c:pt idx="17">
                  <c:v>110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114</c:v>
                </c:pt>
                <c:pt idx="22">
                  <c:v>113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ﾃﾞｰﾀｰ!$AT$6:$AT$67</c:f>
              <c:numCache>
                <c:formatCode>h:mm;@</c:formatCode>
                <c:ptCount val="62"/>
                <c:pt idx="0">
                  <c:v>114.8176609223738</c:v>
                </c:pt>
                <c:pt idx="1">
                  <c:v>114.8176609223738</c:v>
                </c:pt>
                <c:pt idx="2">
                  <c:v>114.8176609223738</c:v>
                </c:pt>
                <c:pt idx="3">
                  <c:v>114.8176609223738</c:v>
                </c:pt>
                <c:pt idx="4">
                  <c:v>114.8176609223738</c:v>
                </c:pt>
                <c:pt idx="5">
                  <c:v>114.8176609223738</c:v>
                </c:pt>
                <c:pt idx="6">
                  <c:v>114.8176609223738</c:v>
                </c:pt>
                <c:pt idx="7">
                  <c:v>114.8176609223738</c:v>
                </c:pt>
                <c:pt idx="8">
                  <c:v>114.8176609223738</c:v>
                </c:pt>
                <c:pt idx="9">
                  <c:v>114.8176609223738</c:v>
                </c:pt>
                <c:pt idx="10">
                  <c:v>114.8176609223738</c:v>
                </c:pt>
                <c:pt idx="11">
                  <c:v>114.8176609223738</c:v>
                </c:pt>
                <c:pt idx="12">
                  <c:v>114.8176609223738</c:v>
                </c:pt>
                <c:pt idx="13">
                  <c:v>114.8176609223738</c:v>
                </c:pt>
                <c:pt idx="14">
                  <c:v>114.8176609223738</c:v>
                </c:pt>
                <c:pt idx="15">
                  <c:v>114.8176609223738</c:v>
                </c:pt>
                <c:pt idx="16">
                  <c:v>114.8176609223738</c:v>
                </c:pt>
                <c:pt idx="17">
                  <c:v>114.8176609223738</c:v>
                </c:pt>
                <c:pt idx="18">
                  <c:v>114.8176609223738</c:v>
                </c:pt>
                <c:pt idx="19">
                  <c:v>114.8176609223738</c:v>
                </c:pt>
                <c:pt idx="20">
                  <c:v>114.8176609223738</c:v>
                </c:pt>
                <c:pt idx="21">
                  <c:v>114.8176609223738</c:v>
                </c:pt>
                <c:pt idx="22">
                  <c:v>114.8176609223738</c:v>
                </c:pt>
                <c:pt idx="23">
                  <c:v>114.8176609223738</c:v>
                </c:pt>
                <c:pt idx="24">
                  <c:v>114.8176609223738</c:v>
                </c:pt>
                <c:pt idx="25">
                  <c:v>114.8176609223738</c:v>
                </c:pt>
                <c:pt idx="26">
                  <c:v>114.8176609223738</c:v>
                </c:pt>
                <c:pt idx="27">
                  <c:v>114.8176609223738</c:v>
                </c:pt>
                <c:pt idx="28">
                  <c:v>114.8176609223738</c:v>
                </c:pt>
                <c:pt idx="29">
                  <c:v>114.8176609223738</c:v>
                </c:pt>
                <c:pt idx="30">
                  <c:v>114.8176609223738</c:v>
                </c:pt>
                <c:pt idx="31">
                  <c:v>114.8176609223738</c:v>
                </c:pt>
                <c:pt idx="32">
                  <c:v>114.8176609223738</c:v>
                </c:pt>
                <c:pt idx="33">
                  <c:v>114.8176609223738</c:v>
                </c:pt>
                <c:pt idx="34">
                  <c:v>114.8176609223738</c:v>
                </c:pt>
                <c:pt idx="35">
                  <c:v>114.8176609223738</c:v>
                </c:pt>
                <c:pt idx="36">
                  <c:v>114.8176609223738</c:v>
                </c:pt>
                <c:pt idx="37">
                  <c:v>114.8176609223738</c:v>
                </c:pt>
                <c:pt idx="38">
                  <c:v>114.8176609223738</c:v>
                </c:pt>
                <c:pt idx="39">
                  <c:v>114.8176609223738</c:v>
                </c:pt>
                <c:pt idx="40">
                  <c:v>114.8176609223738</c:v>
                </c:pt>
                <c:pt idx="41">
                  <c:v>114.8176609223738</c:v>
                </c:pt>
                <c:pt idx="42">
                  <c:v>114.8176609223738</c:v>
                </c:pt>
                <c:pt idx="43">
                  <c:v>114.8176609223738</c:v>
                </c:pt>
                <c:pt idx="44">
                  <c:v>114.8176609223738</c:v>
                </c:pt>
                <c:pt idx="45">
                  <c:v>114.8176609223738</c:v>
                </c:pt>
                <c:pt idx="46">
                  <c:v>114.8176609223738</c:v>
                </c:pt>
                <c:pt idx="47">
                  <c:v>114.8176609223738</c:v>
                </c:pt>
                <c:pt idx="48">
                  <c:v>114.8176609223738</c:v>
                </c:pt>
                <c:pt idx="49">
                  <c:v>114.8176609223738</c:v>
                </c:pt>
                <c:pt idx="50">
                  <c:v>114.8176609223738</c:v>
                </c:pt>
                <c:pt idx="51">
                  <c:v>114.8176609223738</c:v>
                </c:pt>
                <c:pt idx="52">
                  <c:v>114.8176609223738</c:v>
                </c:pt>
                <c:pt idx="53">
                  <c:v>114.8176609223738</c:v>
                </c:pt>
                <c:pt idx="54">
                  <c:v>114.8176609223738</c:v>
                </c:pt>
                <c:pt idx="55">
                  <c:v>114.8176609223738</c:v>
                </c:pt>
                <c:pt idx="56">
                  <c:v>114.8176609223738</c:v>
                </c:pt>
                <c:pt idx="57">
                  <c:v>114.8176609223738</c:v>
                </c:pt>
                <c:pt idx="58">
                  <c:v>114.8176609223738</c:v>
                </c:pt>
                <c:pt idx="59">
                  <c:v>114.8176609223738</c:v>
                </c:pt>
                <c:pt idx="60">
                  <c:v>114.8176609223738</c:v>
                </c:pt>
                <c:pt idx="61">
                  <c:v>114.8176609223738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ﾃﾞｰﾀｰ!$DA$6:$DA$67</c:f>
              <c:numCache>
                <c:formatCode>0.0_);[Red]\(0.0\)</c:formatCode>
                <c:ptCount val="62"/>
                <c:pt idx="0">
                  <c:v>112.37931034482759</c:v>
                </c:pt>
                <c:pt idx="1">
                  <c:v>112.37931034482759</c:v>
                </c:pt>
                <c:pt idx="2">
                  <c:v>112.37931034482759</c:v>
                </c:pt>
                <c:pt idx="3">
                  <c:v>112.37931034482759</c:v>
                </c:pt>
                <c:pt idx="4">
                  <c:v>112.37931034482759</c:v>
                </c:pt>
                <c:pt idx="5">
                  <c:v>112.37931034482759</c:v>
                </c:pt>
                <c:pt idx="6">
                  <c:v>112.37931034482759</c:v>
                </c:pt>
                <c:pt idx="7">
                  <c:v>112.37931034482759</c:v>
                </c:pt>
                <c:pt idx="8">
                  <c:v>112.37931034482759</c:v>
                </c:pt>
                <c:pt idx="9">
                  <c:v>112.37931034482759</c:v>
                </c:pt>
                <c:pt idx="10">
                  <c:v>112.37931034482759</c:v>
                </c:pt>
                <c:pt idx="11">
                  <c:v>112.37931034482759</c:v>
                </c:pt>
                <c:pt idx="12">
                  <c:v>112.37931034482759</c:v>
                </c:pt>
                <c:pt idx="13">
                  <c:v>112.37931034482759</c:v>
                </c:pt>
                <c:pt idx="14">
                  <c:v>112.37931034482759</c:v>
                </c:pt>
                <c:pt idx="15">
                  <c:v>112.37931034482759</c:v>
                </c:pt>
                <c:pt idx="16">
                  <c:v>112.37931034482759</c:v>
                </c:pt>
                <c:pt idx="17">
                  <c:v>112.37931034482759</c:v>
                </c:pt>
                <c:pt idx="18">
                  <c:v>112.37931034482759</c:v>
                </c:pt>
                <c:pt idx="19">
                  <c:v>112.37931034482759</c:v>
                </c:pt>
                <c:pt idx="20">
                  <c:v>112.37931034482759</c:v>
                </c:pt>
                <c:pt idx="21">
                  <c:v>112.37931034482759</c:v>
                </c:pt>
                <c:pt idx="22">
                  <c:v>112.37931034482759</c:v>
                </c:pt>
                <c:pt idx="23">
                  <c:v>112.37931034482759</c:v>
                </c:pt>
                <c:pt idx="24">
                  <c:v>112.37931034482759</c:v>
                </c:pt>
                <c:pt idx="25">
                  <c:v>112.37931034482759</c:v>
                </c:pt>
                <c:pt idx="26">
                  <c:v>112.37931034482759</c:v>
                </c:pt>
                <c:pt idx="27">
                  <c:v>112.37931034482759</c:v>
                </c:pt>
                <c:pt idx="28">
                  <c:v>112.37931034482759</c:v>
                </c:pt>
                <c:pt idx="29">
                  <c:v>112.37931034482759</c:v>
                </c:pt>
                <c:pt idx="30">
                  <c:v>112.37931034482759</c:v>
                </c:pt>
                <c:pt idx="31">
                  <c:v>112.37931034482759</c:v>
                </c:pt>
                <c:pt idx="32">
                  <c:v>112.37931034482759</c:v>
                </c:pt>
                <c:pt idx="33">
                  <c:v>112.37931034482759</c:v>
                </c:pt>
                <c:pt idx="34">
                  <c:v>112.37931034482759</c:v>
                </c:pt>
                <c:pt idx="35">
                  <c:v>112.37931034482759</c:v>
                </c:pt>
                <c:pt idx="36">
                  <c:v>112.37931034482759</c:v>
                </c:pt>
                <c:pt idx="37">
                  <c:v>112.37931034482759</c:v>
                </c:pt>
                <c:pt idx="38">
                  <c:v>112.37931034482759</c:v>
                </c:pt>
                <c:pt idx="39">
                  <c:v>112.37931034482759</c:v>
                </c:pt>
                <c:pt idx="40">
                  <c:v>112.37931034482759</c:v>
                </c:pt>
                <c:pt idx="41">
                  <c:v>112.37931034482759</c:v>
                </c:pt>
                <c:pt idx="42">
                  <c:v>112.37931034482759</c:v>
                </c:pt>
                <c:pt idx="43">
                  <c:v>112.37931034482759</c:v>
                </c:pt>
                <c:pt idx="44">
                  <c:v>112.37931034482759</c:v>
                </c:pt>
                <c:pt idx="45">
                  <c:v>112.37931034482759</c:v>
                </c:pt>
                <c:pt idx="46">
                  <c:v>112.37931034482759</c:v>
                </c:pt>
                <c:pt idx="47">
                  <c:v>112.37931034482759</c:v>
                </c:pt>
                <c:pt idx="48">
                  <c:v>112.37931034482759</c:v>
                </c:pt>
                <c:pt idx="49">
                  <c:v>112.37931034482759</c:v>
                </c:pt>
                <c:pt idx="50">
                  <c:v>112.37931034482759</c:v>
                </c:pt>
                <c:pt idx="51">
                  <c:v>112.37931034482759</c:v>
                </c:pt>
                <c:pt idx="52">
                  <c:v>112.37931034482759</c:v>
                </c:pt>
                <c:pt idx="53">
                  <c:v>112.37931034482759</c:v>
                </c:pt>
                <c:pt idx="54">
                  <c:v>112.37931034482759</c:v>
                </c:pt>
                <c:pt idx="55">
                  <c:v>112.37931034482759</c:v>
                </c:pt>
                <c:pt idx="56">
                  <c:v>112.37931034482759</c:v>
                </c:pt>
                <c:pt idx="57">
                  <c:v>112.37931034482759</c:v>
                </c:pt>
                <c:pt idx="58">
                  <c:v>112.37931034482759</c:v>
                </c:pt>
                <c:pt idx="59">
                  <c:v>112.37931034482759</c:v>
                </c:pt>
                <c:pt idx="60">
                  <c:v>112.37931034482759</c:v>
                </c:pt>
                <c:pt idx="61">
                  <c:v>112.37931034482759</c:v>
                </c:pt>
              </c:numCache>
            </c:numRef>
          </c:val>
          <c:smooth val="0"/>
        </c:ser>
        <c:ser>
          <c:idx val="1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ﾃﾞｰﾀｰ!$AS$6:$AS$67</c:f>
              <c:numCache>
                <c:formatCode>h:mm;@</c:formatCode>
                <c:ptCount val="62"/>
                <c:pt idx="0">
                  <c:v>109.94095976728137</c:v>
                </c:pt>
                <c:pt idx="1">
                  <c:v>109.94095976728137</c:v>
                </c:pt>
                <c:pt idx="2">
                  <c:v>109.94095976728137</c:v>
                </c:pt>
                <c:pt idx="3">
                  <c:v>109.94095976728137</c:v>
                </c:pt>
                <c:pt idx="4">
                  <c:v>109.94095976728137</c:v>
                </c:pt>
                <c:pt idx="5">
                  <c:v>109.94095976728137</c:v>
                </c:pt>
                <c:pt idx="6">
                  <c:v>109.94095976728137</c:v>
                </c:pt>
                <c:pt idx="7">
                  <c:v>109.94095976728137</c:v>
                </c:pt>
                <c:pt idx="8">
                  <c:v>109.94095976728137</c:v>
                </c:pt>
                <c:pt idx="9">
                  <c:v>109.94095976728137</c:v>
                </c:pt>
                <c:pt idx="10">
                  <c:v>109.94095976728137</c:v>
                </c:pt>
                <c:pt idx="11">
                  <c:v>109.94095976728137</c:v>
                </c:pt>
                <c:pt idx="12">
                  <c:v>109.94095976728137</c:v>
                </c:pt>
                <c:pt idx="13">
                  <c:v>109.94095976728137</c:v>
                </c:pt>
                <c:pt idx="14">
                  <c:v>109.94095976728137</c:v>
                </c:pt>
                <c:pt idx="15">
                  <c:v>109.94095976728137</c:v>
                </c:pt>
                <c:pt idx="16">
                  <c:v>109.94095976728137</c:v>
                </c:pt>
                <c:pt idx="17">
                  <c:v>109.94095976728137</c:v>
                </c:pt>
                <c:pt idx="18">
                  <c:v>109.94095976728137</c:v>
                </c:pt>
                <c:pt idx="19">
                  <c:v>109.94095976728137</c:v>
                </c:pt>
                <c:pt idx="20">
                  <c:v>109.94095976728137</c:v>
                </c:pt>
                <c:pt idx="21">
                  <c:v>109.94095976728137</c:v>
                </c:pt>
                <c:pt idx="22">
                  <c:v>109.94095976728137</c:v>
                </c:pt>
                <c:pt idx="23">
                  <c:v>109.94095976728137</c:v>
                </c:pt>
                <c:pt idx="24">
                  <c:v>109.94095976728137</c:v>
                </c:pt>
                <c:pt idx="25">
                  <c:v>109.94095976728137</c:v>
                </c:pt>
                <c:pt idx="26">
                  <c:v>109.94095976728137</c:v>
                </c:pt>
                <c:pt idx="27">
                  <c:v>109.94095976728137</c:v>
                </c:pt>
                <c:pt idx="28">
                  <c:v>109.94095976728137</c:v>
                </c:pt>
                <c:pt idx="29">
                  <c:v>109.94095976728137</c:v>
                </c:pt>
                <c:pt idx="30">
                  <c:v>109.94095976728137</c:v>
                </c:pt>
                <c:pt idx="31">
                  <c:v>109.94095976728137</c:v>
                </c:pt>
                <c:pt idx="32">
                  <c:v>109.94095976728137</c:v>
                </c:pt>
                <c:pt idx="33">
                  <c:v>109.94095976728137</c:v>
                </c:pt>
                <c:pt idx="34">
                  <c:v>109.94095976728137</c:v>
                </c:pt>
                <c:pt idx="35">
                  <c:v>109.94095976728137</c:v>
                </c:pt>
                <c:pt idx="36">
                  <c:v>109.94095976728137</c:v>
                </c:pt>
                <c:pt idx="37">
                  <c:v>109.94095976728137</c:v>
                </c:pt>
                <c:pt idx="38">
                  <c:v>109.94095976728137</c:v>
                </c:pt>
                <c:pt idx="39">
                  <c:v>109.94095976728137</c:v>
                </c:pt>
                <c:pt idx="40">
                  <c:v>109.94095976728137</c:v>
                </c:pt>
                <c:pt idx="41">
                  <c:v>109.94095976728137</c:v>
                </c:pt>
                <c:pt idx="42">
                  <c:v>109.94095976728137</c:v>
                </c:pt>
                <c:pt idx="43">
                  <c:v>109.94095976728137</c:v>
                </c:pt>
                <c:pt idx="44">
                  <c:v>109.94095976728137</c:v>
                </c:pt>
                <c:pt idx="45">
                  <c:v>109.94095976728137</c:v>
                </c:pt>
                <c:pt idx="46">
                  <c:v>109.94095976728137</c:v>
                </c:pt>
                <c:pt idx="47">
                  <c:v>109.94095976728137</c:v>
                </c:pt>
                <c:pt idx="48">
                  <c:v>109.94095976728137</c:v>
                </c:pt>
                <c:pt idx="49">
                  <c:v>109.94095976728137</c:v>
                </c:pt>
                <c:pt idx="50">
                  <c:v>109.94095976728137</c:v>
                </c:pt>
                <c:pt idx="51">
                  <c:v>109.94095976728137</c:v>
                </c:pt>
                <c:pt idx="52">
                  <c:v>109.94095976728137</c:v>
                </c:pt>
                <c:pt idx="53">
                  <c:v>109.94095976728137</c:v>
                </c:pt>
                <c:pt idx="54">
                  <c:v>109.94095976728137</c:v>
                </c:pt>
                <c:pt idx="55">
                  <c:v>109.94095976728137</c:v>
                </c:pt>
                <c:pt idx="56">
                  <c:v>109.94095976728137</c:v>
                </c:pt>
                <c:pt idx="57">
                  <c:v>109.94095976728137</c:v>
                </c:pt>
                <c:pt idx="58">
                  <c:v>109.94095976728137</c:v>
                </c:pt>
                <c:pt idx="59">
                  <c:v>109.94095976728137</c:v>
                </c:pt>
                <c:pt idx="60">
                  <c:v>109.94095976728137</c:v>
                </c:pt>
                <c:pt idx="61">
                  <c:v>109.94095976728137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ﾃﾞｰﾀｰ!$ED$4</c:f>
              <c:strCache>
                <c:ptCount val="1"/>
                <c:pt idx="0">
                  <c:v>上限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ﾃﾞｰﾀｰ!$ED$6:$ED$67</c:f>
              <c:numCache>
                <c:formatCode>0.0_);[Red]\(0.0\)</c:formatCode>
                <c:ptCount val="6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ﾃﾞｰﾀｰ!$EE$4</c:f>
              <c:strCache>
                <c:ptCount val="1"/>
                <c:pt idx="0">
                  <c:v>下限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ﾃﾞｰﾀｰ!$EE$6:$EE$67</c:f>
              <c:numCache>
                <c:formatCode>0.0_);[Red]\(0.0\)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63296"/>
        <c:axId val="133869568"/>
      </c:lineChart>
      <c:lineChart>
        <c:grouping val="standard"/>
        <c:varyColors val="0"/>
        <c:ser>
          <c:idx val="4"/>
          <c:order val="4"/>
          <c:tx>
            <c:strRef>
              <c:f>ﾃﾞｰﾀｰ!$AH$5</c:f>
              <c:strCache>
                <c:ptCount val="1"/>
                <c:pt idx="0">
                  <c:v>感度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71104"/>
        <c:axId val="133872640"/>
      </c:lineChart>
      <c:catAx>
        <c:axId val="133863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869568"/>
        <c:crossesAt val="95"/>
        <c:auto val="1"/>
        <c:lblAlgn val="ctr"/>
        <c:lblOffset val="100"/>
        <c:tickLblSkip val="1"/>
        <c:tickMarkSkip val="1"/>
        <c:noMultiLvlLbl val="0"/>
      </c:catAx>
      <c:valAx>
        <c:axId val="133869568"/>
        <c:scaling>
          <c:orientation val="minMax"/>
          <c:max val="125"/>
          <c:min val="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863296"/>
        <c:crosses val="autoZero"/>
        <c:crossBetween val="between"/>
        <c:majorUnit val="10"/>
        <c:minorUnit val="5"/>
      </c:valAx>
      <c:catAx>
        <c:axId val="13387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3872640"/>
        <c:crossesAt val="-5"/>
        <c:auto val="1"/>
        <c:lblAlgn val="ctr"/>
        <c:lblOffset val="100"/>
        <c:noMultiLvlLbl val="0"/>
      </c:catAx>
      <c:valAx>
        <c:axId val="133872640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871104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0515424522293495E-3"/>
          <c:y val="1.2886614155391928E-2"/>
          <c:w val="0.98550879615287235"/>
          <c:h val="6.44330707769596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177275464968717E-2"/>
          <c:y val="0.11855685022960574"/>
          <c:w val="0.82930887257962305"/>
          <c:h val="0.7113411013776344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ﾃﾞｰﾀｰ!$E$5</c:f>
              <c:strCache>
                <c:ptCount val="1"/>
                <c:pt idx="0">
                  <c:v>触媒槽滴下時間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ﾃﾞｰﾀｰ!$E$6:$E$67</c:f>
              <c:numCache>
                <c:formatCode>General</c:formatCode>
                <c:ptCount val="62"/>
                <c:pt idx="0">
                  <c:v>114</c:v>
                </c:pt>
                <c:pt idx="1">
                  <c:v>114</c:v>
                </c:pt>
                <c:pt idx="2">
                  <c:v>113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115</c:v>
                </c:pt>
                <c:pt idx="12">
                  <c:v>114</c:v>
                </c:pt>
                <c:pt idx="13">
                  <c:v>113</c:v>
                </c:pt>
                <c:pt idx="14">
                  <c:v>114</c:v>
                </c:pt>
                <c:pt idx="15">
                  <c:v>114</c:v>
                </c:pt>
                <c:pt idx="16">
                  <c:v>113</c:v>
                </c:pt>
                <c:pt idx="17">
                  <c:v>113</c:v>
                </c:pt>
                <c:pt idx="18">
                  <c:v>114</c:v>
                </c:pt>
                <c:pt idx="19">
                  <c:v>114</c:v>
                </c:pt>
                <c:pt idx="20">
                  <c:v>113</c:v>
                </c:pt>
                <c:pt idx="21">
                  <c:v>113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ﾃﾞｰﾀｰ!$AV$6:$AV$67</c:f>
              <c:numCache>
                <c:formatCode>h:mm;@</c:formatCode>
                <c:ptCount val="62"/>
                <c:pt idx="0">
                  <c:v>114.92967270308615</c:v>
                </c:pt>
                <c:pt idx="1">
                  <c:v>114.92967270308615</c:v>
                </c:pt>
                <c:pt idx="2">
                  <c:v>114.92967270308615</c:v>
                </c:pt>
                <c:pt idx="3">
                  <c:v>114.92967270308615</c:v>
                </c:pt>
                <c:pt idx="4">
                  <c:v>114.92967270308615</c:v>
                </c:pt>
                <c:pt idx="5">
                  <c:v>114.92967270308615</c:v>
                </c:pt>
                <c:pt idx="6">
                  <c:v>114.92967270308615</c:v>
                </c:pt>
                <c:pt idx="7">
                  <c:v>114.92967270308615</c:v>
                </c:pt>
                <c:pt idx="8">
                  <c:v>114.92967270308615</c:v>
                </c:pt>
                <c:pt idx="9">
                  <c:v>114.92967270308615</c:v>
                </c:pt>
                <c:pt idx="10">
                  <c:v>114.92967270308615</c:v>
                </c:pt>
                <c:pt idx="11">
                  <c:v>114.92967270308615</c:v>
                </c:pt>
                <c:pt idx="12">
                  <c:v>114.92967270308615</c:v>
                </c:pt>
                <c:pt idx="13">
                  <c:v>114.92967270308615</c:v>
                </c:pt>
                <c:pt idx="14">
                  <c:v>114.92967270308615</c:v>
                </c:pt>
                <c:pt idx="15">
                  <c:v>114.92967270308615</c:v>
                </c:pt>
                <c:pt idx="16">
                  <c:v>114.92967270308615</c:v>
                </c:pt>
                <c:pt idx="17">
                  <c:v>114.92967270308615</c:v>
                </c:pt>
                <c:pt idx="18">
                  <c:v>114.92967270308615</c:v>
                </c:pt>
                <c:pt idx="19">
                  <c:v>114.92967270308615</c:v>
                </c:pt>
                <c:pt idx="20">
                  <c:v>114.92967270308615</c:v>
                </c:pt>
                <c:pt idx="21">
                  <c:v>114.92967270308615</c:v>
                </c:pt>
                <c:pt idx="22">
                  <c:v>114.92967270308615</c:v>
                </c:pt>
                <c:pt idx="23">
                  <c:v>114.92967270308615</c:v>
                </c:pt>
                <c:pt idx="24">
                  <c:v>114.92967270308615</c:v>
                </c:pt>
                <c:pt idx="25">
                  <c:v>114.92967270308615</c:v>
                </c:pt>
                <c:pt idx="26">
                  <c:v>114.92967270308615</c:v>
                </c:pt>
                <c:pt idx="27">
                  <c:v>114.92967270308615</c:v>
                </c:pt>
                <c:pt idx="28">
                  <c:v>114.92967270308615</c:v>
                </c:pt>
                <c:pt idx="29">
                  <c:v>114.92967270308615</c:v>
                </c:pt>
                <c:pt idx="30">
                  <c:v>114.92967270308615</c:v>
                </c:pt>
                <c:pt idx="31">
                  <c:v>114.92967270308615</c:v>
                </c:pt>
                <c:pt idx="32">
                  <c:v>114.92967270308615</c:v>
                </c:pt>
                <c:pt idx="33">
                  <c:v>114.92967270308615</c:v>
                </c:pt>
                <c:pt idx="34">
                  <c:v>114.92967270308615</c:v>
                </c:pt>
                <c:pt idx="35">
                  <c:v>114.92967270308615</c:v>
                </c:pt>
                <c:pt idx="36">
                  <c:v>114.92967270308615</c:v>
                </c:pt>
                <c:pt idx="37">
                  <c:v>114.92967270308615</c:v>
                </c:pt>
                <c:pt idx="38">
                  <c:v>114.92967270308615</c:v>
                </c:pt>
                <c:pt idx="39">
                  <c:v>114.92967270308615</c:v>
                </c:pt>
                <c:pt idx="40">
                  <c:v>114.92967270308615</c:v>
                </c:pt>
                <c:pt idx="41">
                  <c:v>114.92967270308615</c:v>
                </c:pt>
                <c:pt idx="42">
                  <c:v>114.92967270308615</c:v>
                </c:pt>
                <c:pt idx="43">
                  <c:v>114.92967270308615</c:v>
                </c:pt>
                <c:pt idx="44">
                  <c:v>114.92967270308615</c:v>
                </c:pt>
                <c:pt idx="45">
                  <c:v>114.92967270308615</c:v>
                </c:pt>
                <c:pt idx="46">
                  <c:v>114.92967270308615</c:v>
                </c:pt>
                <c:pt idx="47">
                  <c:v>114.92967270308615</c:v>
                </c:pt>
                <c:pt idx="48">
                  <c:v>114.92967270308615</c:v>
                </c:pt>
                <c:pt idx="49">
                  <c:v>114.92967270308615</c:v>
                </c:pt>
                <c:pt idx="50">
                  <c:v>114.92967270308615</c:v>
                </c:pt>
                <c:pt idx="51">
                  <c:v>114.92967270308615</c:v>
                </c:pt>
                <c:pt idx="52">
                  <c:v>114.92967270308615</c:v>
                </c:pt>
                <c:pt idx="53">
                  <c:v>114.92967270308615</c:v>
                </c:pt>
                <c:pt idx="54">
                  <c:v>114.92967270308615</c:v>
                </c:pt>
                <c:pt idx="55">
                  <c:v>114.92967270308615</c:v>
                </c:pt>
                <c:pt idx="56">
                  <c:v>114.92967270308615</c:v>
                </c:pt>
                <c:pt idx="57">
                  <c:v>114.92967270308615</c:v>
                </c:pt>
                <c:pt idx="58">
                  <c:v>114.92967270308615</c:v>
                </c:pt>
                <c:pt idx="59">
                  <c:v>114.92967270308615</c:v>
                </c:pt>
                <c:pt idx="60">
                  <c:v>114.92967270308615</c:v>
                </c:pt>
                <c:pt idx="61">
                  <c:v>114.92967270308615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ﾃﾞｰﾀｰ!$DB$6:$DB$67</c:f>
              <c:numCache>
                <c:formatCode>0.0_);[Red]\(0.0\)</c:formatCode>
                <c:ptCount val="62"/>
                <c:pt idx="0">
                  <c:v>113.43103448275862</c:v>
                </c:pt>
                <c:pt idx="1">
                  <c:v>113.43103448275862</c:v>
                </c:pt>
                <c:pt idx="2">
                  <c:v>113.43103448275862</c:v>
                </c:pt>
                <c:pt idx="3">
                  <c:v>113.43103448275862</c:v>
                </c:pt>
                <c:pt idx="4">
                  <c:v>113.43103448275862</c:v>
                </c:pt>
                <c:pt idx="5">
                  <c:v>113.43103448275862</c:v>
                </c:pt>
                <c:pt idx="6">
                  <c:v>113.43103448275862</c:v>
                </c:pt>
                <c:pt idx="7">
                  <c:v>113.43103448275862</c:v>
                </c:pt>
                <c:pt idx="8">
                  <c:v>113.43103448275862</c:v>
                </c:pt>
                <c:pt idx="9">
                  <c:v>113.43103448275862</c:v>
                </c:pt>
                <c:pt idx="10">
                  <c:v>113.43103448275862</c:v>
                </c:pt>
                <c:pt idx="11">
                  <c:v>113.43103448275862</c:v>
                </c:pt>
                <c:pt idx="12">
                  <c:v>113.43103448275862</c:v>
                </c:pt>
                <c:pt idx="13">
                  <c:v>113.43103448275862</c:v>
                </c:pt>
                <c:pt idx="14">
                  <c:v>113.43103448275862</c:v>
                </c:pt>
                <c:pt idx="15">
                  <c:v>113.43103448275862</c:v>
                </c:pt>
                <c:pt idx="16">
                  <c:v>113.43103448275862</c:v>
                </c:pt>
                <c:pt idx="17">
                  <c:v>113.43103448275862</c:v>
                </c:pt>
                <c:pt idx="18">
                  <c:v>113.43103448275862</c:v>
                </c:pt>
                <c:pt idx="19">
                  <c:v>113.43103448275862</c:v>
                </c:pt>
                <c:pt idx="20">
                  <c:v>113.43103448275862</c:v>
                </c:pt>
                <c:pt idx="21">
                  <c:v>113.43103448275862</c:v>
                </c:pt>
                <c:pt idx="22">
                  <c:v>113.43103448275862</c:v>
                </c:pt>
                <c:pt idx="23">
                  <c:v>113.43103448275862</c:v>
                </c:pt>
                <c:pt idx="24">
                  <c:v>113.43103448275862</c:v>
                </c:pt>
                <c:pt idx="25">
                  <c:v>113.43103448275862</c:v>
                </c:pt>
                <c:pt idx="26">
                  <c:v>113.43103448275862</c:v>
                </c:pt>
                <c:pt idx="27">
                  <c:v>113.43103448275862</c:v>
                </c:pt>
                <c:pt idx="28">
                  <c:v>113.43103448275862</c:v>
                </c:pt>
                <c:pt idx="29">
                  <c:v>113.43103448275862</c:v>
                </c:pt>
                <c:pt idx="30">
                  <c:v>113.43103448275862</c:v>
                </c:pt>
                <c:pt idx="31">
                  <c:v>113.43103448275862</c:v>
                </c:pt>
                <c:pt idx="32">
                  <c:v>113.43103448275862</c:v>
                </c:pt>
                <c:pt idx="33">
                  <c:v>113.43103448275862</c:v>
                </c:pt>
                <c:pt idx="34">
                  <c:v>113.43103448275862</c:v>
                </c:pt>
                <c:pt idx="35">
                  <c:v>113.43103448275862</c:v>
                </c:pt>
                <c:pt idx="36">
                  <c:v>113.43103448275862</c:v>
                </c:pt>
                <c:pt idx="37">
                  <c:v>113.43103448275862</c:v>
                </c:pt>
                <c:pt idx="38">
                  <c:v>113.43103448275862</c:v>
                </c:pt>
                <c:pt idx="39">
                  <c:v>113.43103448275862</c:v>
                </c:pt>
                <c:pt idx="40">
                  <c:v>113.43103448275862</c:v>
                </c:pt>
                <c:pt idx="41">
                  <c:v>113.43103448275862</c:v>
                </c:pt>
                <c:pt idx="42">
                  <c:v>113.43103448275862</c:v>
                </c:pt>
                <c:pt idx="43">
                  <c:v>113.43103448275862</c:v>
                </c:pt>
                <c:pt idx="44">
                  <c:v>113.43103448275862</c:v>
                </c:pt>
                <c:pt idx="45">
                  <c:v>113.43103448275862</c:v>
                </c:pt>
                <c:pt idx="46">
                  <c:v>113.43103448275862</c:v>
                </c:pt>
                <c:pt idx="47">
                  <c:v>113.43103448275862</c:v>
                </c:pt>
                <c:pt idx="48">
                  <c:v>113.43103448275862</c:v>
                </c:pt>
                <c:pt idx="49">
                  <c:v>113.43103448275862</c:v>
                </c:pt>
                <c:pt idx="50">
                  <c:v>113.43103448275862</c:v>
                </c:pt>
                <c:pt idx="51">
                  <c:v>113.43103448275862</c:v>
                </c:pt>
                <c:pt idx="52">
                  <c:v>113.43103448275862</c:v>
                </c:pt>
                <c:pt idx="53">
                  <c:v>113.43103448275862</c:v>
                </c:pt>
                <c:pt idx="54">
                  <c:v>113.43103448275862</c:v>
                </c:pt>
                <c:pt idx="55">
                  <c:v>113.43103448275862</c:v>
                </c:pt>
                <c:pt idx="56">
                  <c:v>113.43103448275862</c:v>
                </c:pt>
                <c:pt idx="57">
                  <c:v>113.43103448275862</c:v>
                </c:pt>
                <c:pt idx="58">
                  <c:v>113.43103448275862</c:v>
                </c:pt>
                <c:pt idx="59">
                  <c:v>113.43103448275862</c:v>
                </c:pt>
                <c:pt idx="60">
                  <c:v>113.43103448275862</c:v>
                </c:pt>
                <c:pt idx="61">
                  <c:v>113.43103448275862</c:v>
                </c:pt>
              </c:numCache>
            </c:numRef>
          </c:val>
          <c:smooth val="0"/>
        </c:ser>
        <c:ser>
          <c:idx val="1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ﾃﾞｰﾀｰ!$AU$6:$AU$67</c:f>
              <c:numCache>
                <c:formatCode>h:mm;@</c:formatCode>
                <c:ptCount val="62"/>
                <c:pt idx="0">
                  <c:v>111.93239626243108</c:v>
                </c:pt>
                <c:pt idx="1">
                  <c:v>111.93239626243108</c:v>
                </c:pt>
                <c:pt idx="2">
                  <c:v>111.93239626243108</c:v>
                </c:pt>
                <c:pt idx="3">
                  <c:v>111.93239626243108</c:v>
                </c:pt>
                <c:pt idx="4">
                  <c:v>111.93239626243108</c:v>
                </c:pt>
                <c:pt idx="5">
                  <c:v>111.93239626243108</c:v>
                </c:pt>
                <c:pt idx="6">
                  <c:v>111.93239626243108</c:v>
                </c:pt>
                <c:pt idx="7">
                  <c:v>111.93239626243108</c:v>
                </c:pt>
                <c:pt idx="8">
                  <c:v>111.93239626243108</c:v>
                </c:pt>
                <c:pt idx="9">
                  <c:v>111.93239626243108</c:v>
                </c:pt>
                <c:pt idx="10">
                  <c:v>111.93239626243108</c:v>
                </c:pt>
                <c:pt idx="11">
                  <c:v>111.93239626243108</c:v>
                </c:pt>
                <c:pt idx="12">
                  <c:v>111.93239626243108</c:v>
                </c:pt>
                <c:pt idx="13">
                  <c:v>111.93239626243108</c:v>
                </c:pt>
                <c:pt idx="14">
                  <c:v>111.93239626243108</c:v>
                </c:pt>
                <c:pt idx="15">
                  <c:v>111.93239626243108</c:v>
                </c:pt>
                <c:pt idx="16">
                  <c:v>111.93239626243108</c:v>
                </c:pt>
                <c:pt idx="17">
                  <c:v>111.93239626243108</c:v>
                </c:pt>
                <c:pt idx="18">
                  <c:v>111.93239626243108</c:v>
                </c:pt>
                <c:pt idx="19">
                  <c:v>111.93239626243108</c:v>
                </c:pt>
                <c:pt idx="20">
                  <c:v>111.93239626243108</c:v>
                </c:pt>
                <c:pt idx="21">
                  <c:v>111.93239626243108</c:v>
                </c:pt>
                <c:pt idx="22">
                  <c:v>111.93239626243108</c:v>
                </c:pt>
                <c:pt idx="23">
                  <c:v>111.93239626243108</c:v>
                </c:pt>
                <c:pt idx="24">
                  <c:v>111.93239626243108</c:v>
                </c:pt>
                <c:pt idx="25">
                  <c:v>111.93239626243108</c:v>
                </c:pt>
                <c:pt idx="26">
                  <c:v>111.93239626243108</c:v>
                </c:pt>
                <c:pt idx="27">
                  <c:v>111.93239626243108</c:v>
                </c:pt>
                <c:pt idx="28">
                  <c:v>111.93239626243108</c:v>
                </c:pt>
                <c:pt idx="29">
                  <c:v>111.93239626243108</c:v>
                </c:pt>
                <c:pt idx="30">
                  <c:v>111.93239626243108</c:v>
                </c:pt>
                <c:pt idx="31">
                  <c:v>111.93239626243108</c:v>
                </c:pt>
                <c:pt idx="32">
                  <c:v>111.93239626243108</c:v>
                </c:pt>
                <c:pt idx="33">
                  <c:v>111.93239626243108</c:v>
                </c:pt>
                <c:pt idx="34">
                  <c:v>111.93239626243108</c:v>
                </c:pt>
                <c:pt idx="35">
                  <c:v>111.93239626243108</c:v>
                </c:pt>
                <c:pt idx="36">
                  <c:v>111.93239626243108</c:v>
                </c:pt>
                <c:pt idx="37">
                  <c:v>111.93239626243108</c:v>
                </c:pt>
                <c:pt idx="38">
                  <c:v>111.93239626243108</c:v>
                </c:pt>
                <c:pt idx="39">
                  <c:v>111.93239626243108</c:v>
                </c:pt>
                <c:pt idx="40">
                  <c:v>111.93239626243108</c:v>
                </c:pt>
                <c:pt idx="41">
                  <c:v>111.93239626243108</c:v>
                </c:pt>
                <c:pt idx="42">
                  <c:v>111.93239626243108</c:v>
                </c:pt>
                <c:pt idx="43">
                  <c:v>111.93239626243108</c:v>
                </c:pt>
                <c:pt idx="44">
                  <c:v>111.93239626243108</c:v>
                </c:pt>
                <c:pt idx="45">
                  <c:v>111.93239626243108</c:v>
                </c:pt>
                <c:pt idx="46">
                  <c:v>111.93239626243108</c:v>
                </c:pt>
                <c:pt idx="47">
                  <c:v>111.93239626243108</c:v>
                </c:pt>
                <c:pt idx="48">
                  <c:v>111.93239626243108</c:v>
                </c:pt>
                <c:pt idx="49">
                  <c:v>111.93239626243108</c:v>
                </c:pt>
                <c:pt idx="50">
                  <c:v>111.93239626243108</c:v>
                </c:pt>
                <c:pt idx="51">
                  <c:v>111.93239626243108</c:v>
                </c:pt>
                <c:pt idx="52">
                  <c:v>111.93239626243108</c:v>
                </c:pt>
                <c:pt idx="53">
                  <c:v>111.93239626243108</c:v>
                </c:pt>
                <c:pt idx="54">
                  <c:v>111.93239626243108</c:v>
                </c:pt>
                <c:pt idx="55">
                  <c:v>111.93239626243108</c:v>
                </c:pt>
                <c:pt idx="56">
                  <c:v>111.93239626243108</c:v>
                </c:pt>
                <c:pt idx="57">
                  <c:v>111.93239626243108</c:v>
                </c:pt>
                <c:pt idx="58">
                  <c:v>111.93239626243108</c:v>
                </c:pt>
                <c:pt idx="59">
                  <c:v>111.93239626243108</c:v>
                </c:pt>
                <c:pt idx="60">
                  <c:v>111.93239626243108</c:v>
                </c:pt>
                <c:pt idx="61">
                  <c:v>111.93239626243108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ﾃﾞｰﾀｰ!$ED$4</c:f>
              <c:strCache>
                <c:ptCount val="1"/>
                <c:pt idx="0">
                  <c:v>上限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ﾃﾞｰﾀｰ!$ED$6:$ED$67</c:f>
              <c:numCache>
                <c:formatCode>0.0_);[Red]\(0.0\)</c:formatCode>
                <c:ptCount val="6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ﾃﾞｰﾀｰ!$EE$4</c:f>
              <c:strCache>
                <c:ptCount val="1"/>
                <c:pt idx="0">
                  <c:v>下限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ﾃﾞｰﾀｰ!$EE$6:$EE$67</c:f>
              <c:numCache>
                <c:formatCode>0.0_);[Red]\(0.0\)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78368"/>
        <c:axId val="133996928"/>
      </c:lineChart>
      <c:lineChart>
        <c:grouping val="standard"/>
        <c:varyColors val="0"/>
        <c:ser>
          <c:idx val="4"/>
          <c:order val="4"/>
          <c:tx>
            <c:strRef>
              <c:f>ﾃﾞｰﾀｰ!$AH$5</c:f>
              <c:strCache>
                <c:ptCount val="1"/>
                <c:pt idx="0">
                  <c:v>感度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98464"/>
        <c:axId val="134000000"/>
      </c:lineChart>
      <c:catAx>
        <c:axId val="133978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996928"/>
        <c:crossesAt val="45"/>
        <c:auto val="1"/>
        <c:lblAlgn val="ctr"/>
        <c:lblOffset val="100"/>
        <c:tickLblSkip val="1"/>
        <c:tickMarkSkip val="1"/>
        <c:noMultiLvlLbl val="0"/>
      </c:catAx>
      <c:valAx>
        <c:axId val="133996928"/>
        <c:scaling>
          <c:orientation val="minMax"/>
          <c:max val="125"/>
          <c:min val="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978368"/>
        <c:crosses val="autoZero"/>
        <c:crossBetween val="between"/>
        <c:majorUnit val="10"/>
        <c:minorUnit val="5"/>
      </c:valAx>
      <c:catAx>
        <c:axId val="13399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4000000"/>
        <c:crossesAt val="-5"/>
        <c:auto val="1"/>
        <c:lblAlgn val="ctr"/>
        <c:lblOffset val="100"/>
        <c:noMultiLvlLbl val="0"/>
      </c:catAx>
      <c:valAx>
        <c:axId val="134000000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3998464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0515424522293495E-3"/>
          <c:y val="1.2886614155391928E-2"/>
          <c:w val="0.98550879615287235"/>
          <c:h val="6.44330707769596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altLang="en-US"/>
              <a:t>重量差異</a:t>
            </a:r>
          </a:p>
        </c:rich>
      </c:tx>
      <c:layout>
        <c:manualLayout>
          <c:xMode val="edge"/>
          <c:yMode val="edge"/>
          <c:x val="0.45893791977707293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50097735031915"/>
          <c:y val="0.16558441558441558"/>
          <c:w val="0.63124092825478095"/>
          <c:h val="0.53246753246753242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ﾃﾞｰﾀｰ!$AK$5</c:f>
              <c:strCache>
                <c:ptCount val="1"/>
                <c:pt idx="0">
                  <c:v>差異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ﾃﾞｰﾀｰ!$AK$6:$AK$67</c:f>
              <c:numCache>
                <c:formatCode>General</c:formatCode>
                <c:ptCount val="62"/>
                <c:pt idx="0">
                  <c:v>5.8400000000001455</c:v>
                </c:pt>
                <c:pt idx="1">
                  <c:v>5.5099999999999909</c:v>
                </c:pt>
                <c:pt idx="2">
                  <c:v>5.6199999999998909</c:v>
                </c:pt>
                <c:pt idx="3">
                  <c:v>5.6200000000001182</c:v>
                </c:pt>
                <c:pt idx="4">
                  <c:v>6.0499999999999545</c:v>
                </c:pt>
                <c:pt idx="5">
                  <c:v>5.6599999999998545</c:v>
                </c:pt>
                <c:pt idx="6">
                  <c:v>5.6000000000001364</c:v>
                </c:pt>
                <c:pt idx="7">
                  <c:v>5.1000000000001364</c:v>
                </c:pt>
                <c:pt idx="8">
                  <c:v>5.5999999999999091</c:v>
                </c:pt>
                <c:pt idx="9">
                  <c:v>5.3899999999998727</c:v>
                </c:pt>
                <c:pt idx="10">
                  <c:v>5.2999999999999545</c:v>
                </c:pt>
                <c:pt idx="11">
                  <c:v>5.7200000000000273</c:v>
                </c:pt>
                <c:pt idx="12">
                  <c:v>5.7799999999999727</c:v>
                </c:pt>
                <c:pt idx="13">
                  <c:v>6.0199999999999818</c:v>
                </c:pt>
                <c:pt idx="14">
                  <c:v>5.6700000000000728</c:v>
                </c:pt>
                <c:pt idx="15">
                  <c:v>6.0299999999999727</c:v>
                </c:pt>
                <c:pt idx="16">
                  <c:v>5.2999999999999545</c:v>
                </c:pt>
                <c:pt idx="17">
                  <c:v>5.790000000000191</c:v>
                </c:pt>
                <c:pt idx="18">
                  <c:v>5.6400000000001</c:v>
                </c:pt>
                <c:pt idx="19">
                  <c:v>5.6100000000001273</c:v>
                </c:pt>
                <c:pt idx="20">
                  <c:v>5.6500000000000909</c:v>
                </c:pt>
                <c:pt idx="21">
                  <c:v>5.7799999999999727</c:v>
                </c:pt>
                <c:pt idx="22">
                  <c:v>5.6200000000001182</c:v>
                </c:pt>
                <c:pt idx="23">
                  <c:v>5.4200000000000728</c:v>
                </c:pt>
                <c:pt idx="24">
                  <c:v>5.75</c:v>
                </c:pt>
                <c:pt idx="25">
                  <c:v>5.6700000000000728</c:v>
                </c:pt>
                <c:pt idx="26">
                  <c:v>6.2000000000000455</c:v>
                </c:pt>
                <c:pt idx="27">
                  <c:v>5.7400000000000091</c:v>
                </c:pt>
                <c:pt idx="28">
                  <c:v>5.7100000000000364</c:v>
                </c:pt>
                <c:pt idx="29">
                  <c:v>5.9900000000000091</c:v>
                </c:pt>
                <c:pt idx="30">
                  <c:v>5.6300000000001091</c:v>
                </c:pt>
                <c:pt idx="31">
                  <c:v>6.0200000000002092</c:v>
                </c:pt>
              </c:numCache>
            </c:numRef>
          </c:val>
          <c:smooth val="0"/>
        </c:ser>
        <c:ser>
          <c:idx val="1"/>
          <c:order val="1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ﾃﾞｰﾀｰ!$CU$6:$CU$67</c:f>
              <c:numCache>
                <c:formatCode>0.0_);[Red]\(0.0\)</c:formatCode>
                <c:ptCount val="62"/>
                <c:pt idx="0">
                  <c:v>4.9388614429463438</c:v>
                </c:pt>
                <c:pt idx="1">
                  <c:v>4.9388614429463438</c:v>
                </c:pt>
                <c:pt idx="2">
                  <c:v>4.9388614429463438</c:v>
                </c:pt>
                <c:pt idx="3">
                  <c:v>4.9388614429463438</c:v>
                </c:pt>
                <c:pt idx="4">
                  <c:v>4.9388614429463438</c:v>
                </c:pt>
                <c:pt idx="5">
                  <c:v>4.9388614429463438</c:v>
                </c:pt>
                <c:pt idx="6">
                  <c:v>4.9388614429463438</c:v>
                </c:pt>
                <c:pt idx="7">
                  <c:v>4.9388614429463438</c:v>
                </c:pt>
                <c:pt idx="8">
                  <c:v>4.9388614429463438</c:v>
                </c:pt>
                <c:pt idx="9">
                  <c:v>4.9388614429463438</c:v>
                </c:pt>
                <c:pt idx="10">
                  <c:v>4.9388614429463438</c:v>
                </c:pt>
                <c:pt idx="11">
                  <c:v>4.9388614429463438</c:v>
                </c:pt>
                <c:pt idx="12">
                  <c:v>4.9388614429463438</c:v>
                </c:pt>
                <c:pt idx="13">
                  <c:v>4.9388614429463438</c:v>
                </c:pt>
                <c:pt idx="14">
                  <c:v>4.9388614429463438</c:v>
                </c:pt>
                <c:pt idx="15">
                  <c:v>4.9388614429463438</c:v>
                </c:pt>
                <c:pt idx="16">
                  <c:v>4.9388614429463438</c:v>
                </c:pt>
                <c:pt idx="17">
                  <c:v>4.9388614429463438</c:v>
                </c:pt>
                <c:pt idx="18">
                  <c:v>4.9388614429463438</c:v>
                </c:pt>
                <c:pt idx="19">
                  <c:v>4.9388614429463438</c:v>
                </c:pt>
                <c:pt idx="20">
                  <c:v>4.9388614429463438</c:v>
                </c:pt>
                <c:pt idx="21">
                  <c:v>4.9388614429463438</c:v>
                </c:pt>
                <c:pt idx="22">
                  <c:v>4.9388614429463438</c:v>
                </c:pt>
                <c:pt idx="23">
                  <c:v>4.9388614429463438</c:v>
                </c:pt>
                <c:pt idx="24">
                  <c:v>4.9388614429463438</c:v>
                </c:pt>
                <c:pt idx="25">
                  <c:v>4.9388614429463438</c:v>
                </c:pt>
                <c:pt idx="26">
                  <c:v>4.9388614429463438</c:v>
                </c:pt>
                <c:pt idx="27">
                  <c:v>4.9388614429463438</c:v>
                </c:pt>
                <c:pt idx="28">
                  <c:v>4.9388614429463438</c:v>
                </c:pt>
                <c:pt idx="29">
                  <c:v>4.9388614429463438</c:v>
                </c:pt>
                <c:pt idx="30">
                  <c:v>4.9388614429463438</c:v>
                </c:pt>
                <c:pt idx="31">
                  <c:v>4.9388614429463438</c:v>
                </c:pt>
                <c:pt idx="32">
                  <c:v>4.9388614429463438</c:v>
                </c:pt>
                <c:pt idx="33">
                  <c:v>4.9388614429463438</c:v>
                </c:pt>
                <c:pt idx="34">
                  <c:v>4.9388614429463438</c:v>
                </c:pt>
                <c:pt idx="35">
                  <c:v>4.9388614429463438</c:v>
                </c:pt>
                <c:pt idx="36">
                  <c:v>4.9388614429463438</c:v>
                </c:pt>
                <c:pt idx="37">
                  <c:v>4.9388614429463438</c:v>
                </c:pt>
                <c:pt idx="38">
                  <c:v>4.9388614429463438</c:v>
                </c:pt>
                <c:pt idx="39">
                  <c:v>4.9388614429463438</c:v>
                </c:pt>
                <c:pt idx="40">
                  <c:v>4.9388614429463438</c:v>
                </c:pt>
                <c:pt idx="41">
                  <c:v>4.9388614429463438</c:v>
                </c:pt>
                <c:pt idx="42">
                  <c:v>4.9388614429463438</c:v>
                </c:pt>
                <c:pt idx="43">
                  <c:v>4.9388614429463438</c:v>
                </c:pt>
                <c:pt idx="44">
                  <c:v>4.9388614429463438</c:v>
                </c:pt>
                <c:pt idx="45">
                  <c:v>4.9388614429463438</c:v>
                </c:pt>
                <c:pt idx="46">
                  <c:v>4.9388614429463438</c:v>
                </c:pt>
                <c:pt idx="47">
                  <c:v>4.9388614429463438</c:v>
                </c:pt>
                <c:pt idx="48">
                  <c:v>4.9388614429463438</c:v>
                </c:pt>
                <c:pt idx="49">
                  <c:v>4.9388614429463438</c:v>
                </c:pt>
                <c:pt idx="50">
                  <c:v>4.9388614429463438</c:v>
                </c:pt>
                <c:pt idx="51">
                  <c:v>4.9388614429463438</c:v>
                </c:pt>
                <c:pt idx="52">
                  <c:v>4.9388614429463438</c:v>
                </c:pt>
                <c:pt idx="53">
                  <c:v>4.9388614429463438</c:v>
                </c:pt>
                <c:pt idx="54">
                  <c:v>4.9388614429463438</c:v>
                </c:pt>
                <c:pt idx="55">
                  <c:v>4.9388614429463438</c:v>
                </c:pt>
                <c:pt idx="56">
                  <c:v>4.9388614429463438</c:v>
                </c:pt>
                <c:pt idx="57">
                  <c:v>4.9388614429463438</c:v>
                </c:pt>
                <c:pt idx="58">
                  <c:v>4.9388614429463438</c:v>
                </c:pt>
                <c:pt idx="59">
                  <c:v>4.9388614429463438</c:v>
                </c:pt>
                <c:pt idx="60">
                  <c:v>4.9388614429463438</c:v>
                </c:pt>
                <c:pt idx="61">
                  <c:v>4.9388614429463438</c:v>
                </c:pt>
              </c:numCache>
            </c:numRef>
          </c:val>
          <c:smooth val="0"/>
        </c:ser>
        <c:ser>
          <c:idx val="2"/>
          <c:order val="2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ﾃﾞｰﾀｰ!$CV$6:$CV$67</c:f>
              <c:numCache>
                <c:formatCode>0.0_);[Red]\(0.0\)</c:formatCode>
                <c:ptCount val="62"/>
                <c:pt idx="0">
                  <c:v>6.3118282122260467</c:v>
                </c:pt>
                <c:pt idx="1">
                  <c:v>6.3118282122260467</c:v>
                </c:pt>
                <c:pt idx="2">
                  <c:v>6.3118282122260467</c:v>
                </c:pt>
                <c:pt idx="3">
                  <c:v>6.3118282122260467</c:v>
                </c:pt>
                <c:pt idx="4">
                  <c:v>6.3118282122260467</c:v>
                </c:pt>
                <c:pt idx="5">
                  <c:v>6.3118282122260467</c:v>
                </c:pt>
                <c:pt idx="6">
                  <c:v>6.3118282122260467</c:v>
                </c:pt>
                <c:pt idx="7">
                  <c:v>6.3118282122260467</c:v>
                </c:pt>
                <c:pt idx="8">
                  <c:v>6.3118282122260467</c:v>
                </c:pt>
                <c:pt idx="9">
                  <c:v>6.3118282122260467</c:v>
                </c:pt>
                <c:pt idx="10">
                  <c:v>6.3118282122260467</c:v>
                </c:pt>
                <c:pt idx="11">
                  <c:v>6.3118282122260467</c:v>
                </c:pt>
                <c:pt idx="12">
                  <c:v>6.3118282122260467</c:v>
                </c:pt>
                <c:pt idx="13">
                  <c:v>6.3118282122260467</c:v>
                </c:pt>
                <c:pt idx="14">
                  <c:v>6.3118282122260467</c:v>
                </c:pt>
                <c:pt idx="15">
                  <c:v>6.3118282122260467</c:v>
                </c:pt>
                <c:pt idx="16">
                  <c:v>6.3118282122260467</c:v>
                </c:pt>
                <c:pt idx="17">
                  <c:v>6.3118282122260467</c:v>
                </c:pt>
                <c:pt idx="18">
                  <c:v>6.3118282122260467</c:v>
                </c:pt>
                <c:pt idx="19">
                  <c:v>6.3118282122260467</c:v>
                </c:pt>
                <c:pt idx="20">
                  <c:v>6.3118282122260467</c:v>
                </c:pt>
                <c:pt idx="21">
                  <c:v>6.3118282122260467</c:v>
                </c:pt>
                <c:pt idx="22">
                  <c:v>6.3118282122260467</c:v>
                </c:pt>
                <c:pt idx="23">
                  <c:v>6.3118282122260467</c:v>
                </c:pt>
                <c:pt idx="24">
                  <c:v>6.3118282122260467</c:v>
                </c:pt>
                <c:pt idx="25">
                  <c:v>6.3118282122260467</c:v>
                </c:pt>
                <c:pt idx="26">
                  <c:v>6.3118282122260467</c:v>
                </c:pt>
                <c:pt idx="27">
                  <c:v>6.3118282122260467</c:v>
                </c:pt>
                <c:pt idx="28">
                  <c:v>6.3118282122260467</c:v>
                </c:pt>
                <c:pt idx="29">
                  <c:v>6.3118282122260467</c:v>
                </c:pt>
                <c:pt idx="30">
                  <c:v>6.3118282122260467</c:v>
                </c:pt>
                <c:pt idx="31">
                  <c:v>6.3118282122260467</c:v>
                </c:pt>
                <c:pt idx="32">
                  <c:v>6.3118282122260467</c:v>
                </c:pt>
                <c:pt idx="33">
                  <c:v>6.3118282122260467</c:v>
                </c:pt>
                <c:pt idx="34">
                  <c:v>6.3118282122260467</c:v>
                </c:pt>
                <c:pt idx="35">
                  <c:v>6.3118282122260467</c:v>
                </c:pt>
                <c:pt idx="36">
                  <c:v>6.3118282122260467</c:v>
                </c:pt>
                <c:pt idx="37">
                  <c:v>6.3118282122260467</c:v>
                </c:pt>
                <c:pt idx="38">
                  <c:v>6.3118282122260467</c:v>
                </c:pt>
                <c:pt idx="39">
                  <c:v>6.3118282122260467</c:v>
                </c:pt>
                <c:pt idx="40">
                  <c:v>6.3118282122260467</c:v>
                </c:pt>
                <c:pt idx="41">
                  <c:v>6.3118282122260467</c:v>
                </c:pt>
                <c:pt idx="42">
                  <c:v>6.3118282122260467</c:v>
                </c:pt>
                <c:pt idx="43">
                  <c:v>6.3118282122260467</c:v>
                </c:pt>
                <c:pt idx="44">
                  <c:v>6.3118282122260467</c:v>
                </c:pt>
                <c:pt idx="45">
                  <c:v>6.3118282122260467</c:v>
                </c:pt>
                <c:pt idx="46">
                  <c:v>6.3118282122260467</c:v>
                </c:pt>
                <c:pt idx="47">
                  <c:v>6.3118282122260467</c:v>
                </c:pt>
                <c:pt idx="48">
                  <c:v>6.3118282122260467</c:v>
                </c:pt>
                <c:pt idx="49">
                  <c:v>6.3118282122260467</c:v>
                </c:pt>
                <c:pt idx="50">
                  <c:v>6.3118282122260467</c:v>
                </c:pt>
                <c:pt idx="51">
                  <c:v>6.3118282122260467</c:v>
                </c:pt>
                <c:pt idx="52">
                  <c:v>6.3118282122260467</c:v>
                </c:pt>
                <c:pt idx="53">
                  <c:v>6.3118282122260467</c:v>
                </c:pt>
                <c:pt idx="54">
                  <c:v>6.3118282122260467</c:v>
                </c:pt>
                <c:pt idx="55">
                  <c:v>6.3118282122260467</c:v>
                </c:pt>
                <c:pt idx="56">
                  <c:v>6.3118282122260467</c:v>
                </c:pt>
                <c:pt idx="57">
                  <c:v>6.3118282122260467</c:v>
                </c:pt>
                <c:pt idx="58">
                  <c:v>6.3118282122260467</c:v>
                </c:pt>
                <c:pt idx="59">
                  <c:v>6.3118282122260467</c:v>
                </c:pt>
                <c:pt idx="60">
                  <c:v>6.3118282122260467</c:v>
                </c:pt>
                <c:pt idx="61">
                  <c:v>6.3118282122260467</c:v>
                </c:pt>
              </c:numCache>
            </c:numRef>
          </c:val>
          <c:smooth val="0"/>
        </c:ser>
        <c:ser>
          <c:idx val="3"/>
          <c:order val="3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ﾃﾞｰﾀｰ!$EB$6:$EB$67</c:f>
              <c:numCache>
                <c:formatCode>0.0_);[Red]\(0.0\)</c:formatCode>
                <c:ptCount val="62"/>
                <c:pt idx="0">
                  <c:v>5.6253448275861953</c:v>
                </c:pt>
                <c:pt idx="1">
                  <c:v>5.6253448275861953</c:v>
                </c:pt>
                <c:pt idx="2">
                  <c:v>5.6253448275861953</c:v>
                </c:pt>
                <c:pt idx="3">
                  <c:v>5.6253448275861953</c:v>
                </c:pt>
                <c:pt idx="4">
                  <c:v>5.6253448275861953</c:v>
                </c:pt>
                <c:pt idx="5">
                  <c:v>5.6253448275861953</c:v>
                </c:pt>
                <c:pt idx="6">
                  <c:v>5.6253448275861953</c:v>
                </c:pt>
                <c:pt idx="7">
                  <c:v>5.6253448275861953</c:v>
                </c:pt>
                <c:pt idx="8">
                  <c:v>5.6253448275861953</c:v>
                </c:pt>
                <c:pt idx="9">
                  <c:v>5.6253448275861953</c:v>
                </c:pt>
                <c:pt idx="10">
                  <c:v>5.6253448275861953</c:v>
                </c:pt>
                <c:pt idx="11">
                  <c:v>5.6253448275861953</c:v>
                </c:pt>
                <c:pt idx="12">
                  <c:v>5.6253448275861953</c:v>
                </c:pt>
                <c:pt idx="13">
                  <c:v>5.6253448275861953</c:v>
                </c:pt>
                <c:pt idx="14">
                  <c:v>5.6253448275861953</c:v>
                </c:pt>
                <c:pt idx="15">
                  <c:v>5.6253448275861953</c:v>
                </c:pt>
                <c:pt idx="16">
                  <c:v>5.6253448275861953</c:v>
                </c:pt>
                <c:pt idx="17">
                  <c:v>5.6253448275861953</c:v>
                </c:pt>
                <c:pt idx="18">
                  <c:v>5.6253448275861953</c:v>
                </c:pt>
                <c:pt idx="19">
                  <c:v>5.6253448275861953</c:v>
                </c:pt>
                <c:pt idx="20">
                  <c:v>5.6253448275861953</c:v>
                </c:pt>
                <c:pt idx="21">
                  <c:v>5.6253448275861953</c:v>
                </c:pt>
                <c:pt idx="22">
                  <c:v>5.6253448275861953</c:v>
                </c:pt>
                <c:pt idx="23">
                  <c:v>5.6253448275861953</c:v>
                </c:pt>
                <c:pt idx="24">
                  <c:v>5.6253448275861953</c:v>
                </c:pt>
                <c:pt idx="25">
                  <c:v>5.6253448275861953</c:v>
                </c:pt>
                <c:pt idx="26">
                  <c:v>5.6253448275861953</c:v>
                </c:pt>
                <c:pt idx="27">
                  <c:v>5.6253448275861953</c:v>
                </c:pt>
                <c:pt idx="28">
                  <c:v>5.6253448275861953</c:v>
                </c:pt>
                <c:pt idx="29">
                  <c:v>5.6253448275861953</c:v>
                </c:pt>
                <c:pt idx="30">
                  <c:v>5.6253448275861953</c:v>
                </c:pt>
                <c:pt idx="31">
                  <c:v>5.6253448275861953</c:v>
                </c:pt>
                <c:pt idx="32">
                  <c:v>5.6253448275861953</c:v>
                </c:pt>
                <c:pt idx="33">
                  <c:v>5.6253448275861953</c:v>
                </c:pt>
                <c:pt idx="34">
                  <c:v>5.6253448275861953</c:v>
                </c:pt>
                <c:pt idx="35">
                  <c:v>5.6253448275861953</c:v>
                </c:pt>
                <c:pt idx="36">
                  <c:v>5.6253448275861953</c:v>
                </c:pt>
                <c:pt idx="37">
                  <c:v>5.6253448275861953</c:v>
                </c:pt>
                <c:pt idx="38">
                  <c:v>5.6253448275861953</c:v>
                </c:pt>
                <c:pt idx="39">
                  <c:v>5.6253448275861953</c:v>
                </c:pt>
                <c:pt idx="40">
                  <c:v>5.6253448275861953</c:v>
                </c:pt>
                <c:pt idx="41">
                  <c:v>5.6253448275861953</c:v>
                </c:pt>
                <c:pt idx="42">
                  <c:v>5.6253448275861953</c:v>
                </c:pt>
                <c:pt idx="43">
                  <c:v>5.6253448275861953</c:v>
                </c:pt>
                <c:pt idx="44">
                  <c:v>5.6253448275861953</c:v>
                </c:pt>
                <c:pt idx="45">
                  <c:v>5.6253448275861953</c:v>
                </c:pt>
                <c:pt idx="46">
                  <c:v>5.6253448275861953</c:v>
                </c:pt>
                <c:pt idx="47">
                  <c:v>5.6253448275861953</c:v>
                </c:pt>
                <c:pt idx="48">
                  <c:v>5.6253448275861953</c:v>
                </c:pt>
                <c:pt idx="49">
                  <c:v>5.6253448275861953</c:v>
                </c:pt>
                <c:pt idx="50">
                  <c:v>5.6253448275861953</c:v>
                </c:pt>
                <c:pt idx="51">
                  <c:v>5.6253448275861953</c:v>
                </c:pt>
                <c:pt idx="52">
                  <c:v>5.6253448275861953</c:v>
                </c:pt>
                <c:pt idx="53">
                  <c:v>5.6253448275861953</c:v>
                </c:pt>
                <c:pt idx="54">
                  <c:v>5.6253448275861953</c:v>
                </c:pt>
                <c:pt idx="55">
                  <c:v>5.6253448275861953</c:v>
                </c:pt>
                <c:pt idx="56">
                  <c:v>5.6253448275861953</c:v>
                </c:pt>
                <c:pt idx="57">
                  <c:v>5.6253448275861953</c:v>
                </c:pt>
                <c:pt idx="58">
                  <c:v>5.6253448275861953</c:v>
                </c:pt>
                <c:pt idx="59">
                  <c:v>5.6253448275861953</c:v>
                </c:pt>
                <c:pt idx="60">
                  <c:v>5.6253448275861953</c:v>
                </c:pt>
                <c:pt idx="61">
                  <c:v>5.6253448275861953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2032"/>
        <c:axId val="134182784"/>
      </c:lineChart>
      <c:lineChart>
        <c:grouping val="standard"/>
        <c:varyColors val="0"/>
        <c:ser>
          <c:idx val="4"/>
          <c:order val="4"/>
          <c:tx>
            <c:v>感度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84320"/>
        <c:axId val="134190208"/>
      </c:lineChart>
      <c:catAx>
        <c:axId val="1341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  <a:cs typeface="ＭＳ ゴシック"/>
                  </a:defRPr>
                </a:pPr>
                <a:r>
                  <a:rPr altLang="en-US"/>
                  <a:t>Lot.No</a:t>
                </a:r>
              </a:p>
            </c:rich>
          </c:tx>
          <c:layout>
            <c:manualLayout>
              <c:xMode val="edge"/>
              <c:yMode val="edge"/>
              <c:x val="0.39291527166879225"/>
              <c:y val="0.89935064935064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182784"/>
        <c:crossesAt val="-5"/>
        <c:auto val="1"/>
        <c:lblAlgn val="ctr"/>
        <c:lblOffset val="100"/>
        <c:tickLblSkip val="1"/>
        <c:tickMarkSkip val="1"/>
        <c:noMultiLvlLbl val="0"/>
      </c:catAx>
      <c:valAx>
        <c:axId val="134182784"/>
        <c:scaling>
          <c:orientation val="minMax"/>
          <c:max val="8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172032"/>
        <c:crosses val="autoZero"/>
        <c:crossBetween val="between"/>
        <c:majorUnit val="1"/>
        <c:minorUnit val="0.5"/>
      </c:valAx>
      <c:catAx>
        <c:axId val="13418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4190208"/>
        <c:crossesAt val="-5"/>
        <c:auto val="1"/>
        <c:lblAlgn val="ctr"/>
        <c:lblOffset val="100"/>
        <c:noMultiLvlLbl val="0"/>
      </c:catAx>
      <c:valAx>
        <c:axId val="134190208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184320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13979805096061"/>
          <c:y val="0.30519480519480519"/>
          <c:w val="0.11916282829299438"/>
          <c:h val="0.262987012987012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74235697868452E-2"/>
          <c:y val="0.11845533280355688"/>
          <c:w val="0.82858852051257836"/>
          <c:h val="0.71073199682134125"/>
        </c:manualLayout>
      </c:layout>
      <c:lineChart>
        <c:grouping val="standard"/>
        <c:varyColors val="0"/>
        <c:ser>
          <c:idx val="0"/>
          <c:order val="0"/>
          <c:tx>
            <c:strRef>
              <c:f>ﾃﾞｰﾀｰ!$B$5</c:f>
              <c:strCache>
                <c:ptCount val="1"/>
                <c:pt idx="0">
                  <c:v>仕込み
時間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ﾃﾞｰﾀｰ!$B$6:$B$67</c:f>
              <c:numCache>
                <c:formatCode>General</c:formatCode>
                <c:ptCount val="62"/>
                <c:pt idx="0">
                  <c:v>44</c:v>
                </c:pt>
                <c:pt idx="1">
                  <c:v>36</c:v>
                </c:pt>
                <c:pt idx="2">
                  <c:v>33</c:v>
                </c:pt>
                <c:pt idx="3">
                  <c:v>38</c:v>
                </c:pt>
                <c:pt idx="4">
                  <c:v>40</c:v>
                </c:pt>
                <c:pt idx="5">
                  <c:v>37</c:v>
                </c:pt>
                <c:pt idx="6">
                  <c:v>36</c:v>
                </c:pt>
                <c:pt idx="7">
                  <c:v>42</c:v>
                </c:pt>
                <c:pt idx="8">
                  <c:v>41</c:v>
                </c:pt>
                <c:pt idx="9">
                  <c:v>38</c:v>
                </c:pt>
                <c:pt idx="10">
                  <c:v>34</c:v>
                </c:pt>
                <c:pt idx="11">
                  <c:v>36</c:v>
                </c:pt>
                <c:pt idx="12">
                  <c:v>36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35</c:v>
                </c:pt>
                <c:pt idx="17">
                  <c:v>33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32</c:v>
                </c:pt>
                <c:pt idx="22">
                  <c:v>38</c:v>
                </c:pt>
                <c:pt idx="23">
                  <c:v>32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37</c:v>
                </c:pt>
                <c:pt idx="31">
                  <c:v>42</c:v>
                </c:pt>
              </c:numCache>
            </c:numRef>
          </c:val>
          <c:smooth val="0"/>
        </c:ser>
        <c:ser>
          <c:idx val="2"/>
          <c:order val="1"/>
          <c:tx>
            <c:v>+3σ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ﾃﾞｰﾀｰ!$AP$6:$AP$67</c:f>
              <c:numCache>
                <c:formatCode>h:mm;@</c:formatCode>
                <c:ptCount val="62"/>
                <c:pt idx="0">
                  <c:v>47.910122416791303</c:v>
                </c:pt>
                <c:pt idx="1">
                  <c:v>47.910122416791303</c:v>
                </c:pt>
                <c:pt idx="2">
                  <c:v>47.910122416791303</c:v>
                </c:pt>
                <c:pt idx="3">
                  <c:v>47.910122416791303</c:v>
                </c:pt>
                <c:pt idx="4">
                  <c:v>47.910122416791303</c:v>
                </c:pt>
                <c:pt idx="5">
                  <c:v>47.910122416791303</c:v>
                </c:pt>
                <c:pt idx="6">
                  <c:v>47.910122416791303</c:v>
                </c:pt>
                <c:pt idx="7">
                  <c:v>47.910122416791303</c:v>
                </c:pt>
                <c:pt idx="8">
                  <c:v>47.910122416791303</c:v>
                </c:pt>
                <c:pt idx="9">
                  <c:v>47.910122416791303</c:v>
                </c:pt>
                <c:pt idx="10">
                  <c:v>47.910122416791303</c:v>
                </c:pt>
                <c:pt idx="11">
                  <c:v>47.910122416791303</c:v>
                </c:pt>
                <c:pt idx="12">
                  <c:v>47.910122416791303</c:v>
                </c:pt>
                <c:pt idx="13">
                  <c:v>47.910122416791303</c:v>
                </c:pt>
                <c:pt idx="14">
                  <c:v>47.910122416791303</c:v>
                </c:pt>
                <c:pt idx="15">
                  <c:v>47.910122416791303</c:v>
                </c:pt>
                <c:pt idx="16">
                  <c:v>47.910122416791303</c:v>
                </c:pt>
                <c:pt idx="17">
                  <c:v>47.910122416791303</c:v>
                </c:pt>
                <c:pt idx="18">
                  <c:v>47.910122416791303</c:v>
                </c:pt>
                <c:pt idx="19">
                  <c:v>47.910122416791303</c:v>
                </c:pt>
                <c:pt idx="20">
                  <c:v>47.910122416791303</c:v>
                </c:pt>
                <c:pt idx="21">
                  <c:v>47.910122416791303</c:v>
                </c:pt>
                <c:pt idx="22">
                  <c:v>47.910122416791303</c:v>
                </c:pt>
                <c:pt idx="23">
                  <c:v>47.910122416791303</c:v>
                </c:pt>
                <c:pt idx="24">
                  <c:v>47.910122416791303</c:v>
                </c:pt>
                <c:pt idx="25">
                  <c:v>47.910122416791303</c:v>
                </c:pt>
                <c:pt idx="26">
                  <c:v>47.910122416791303</c:v>
                </c:pt>
                <c:pt idx="27">
                  <c:v>47.910122416791303</c:v>
                </c:pt>
                <c:pt idx="28">
                  <c:v>47.910122416791303</c:v>
                </c:pt>
                <c:pt idx="29">
                  <c:v>47.910122416791303</c:v>
                </c:pt>
                <c:pt idx="30">
                  <c:v>47.910122416791303</c:v>
                </c:pt>
                <c:pt idx="31">
                  <c:v>47.910122416791303</c:v>
                </c:pt>
                <c:pt idx="32">
                  <c:v>47.910122416791303</c:v>
                </c:pt>
                <c:pt idx="33">
                  <c:v>47.910122416791303</c:v>
                </c:pt>
                <c:pt idx="34">
                  <c:v>47.910122416791303</c:v>
                </c:pt>
                <c:pt idx="35">
                  <c:v>47.910122416791303</c:v>
                </c:pt>
                <c:pt idx="36">
                  <c:v>47.910122416791303</c:v>
                </c:pt>
                <c:pt idx="37">
                  <c:v>47.910122416791303</c:v>
                </c:pt>
                <c:pt idx="38">
                  <c:v>47.910122416791303</c:v>
                </c:pt>
                <c:pt idx="39">
                  <c:v>47.910122416791303</c:v>
                </c:pt>
                <c:pt idx="40">
                  <c:v>47.910122416791303</c:v>
                </c:pt>
                <c:pt idx="41">
                  <c:v>47.910122416791303</c:v>
                </c:pt>
                <c:pt idx="42">
                  <c:v>47.910122416791303</c:v>
                </c:pt>
                <c:pt idx="43">
                  <c:v>47.910122416791303</c:v>
                </c:pt>
                <c:pt idx="44">
                  <c:v>47.910122416791303</c:v>
                </c:pt>
                <c:pt idx="45">
                  <c:v>47.910122416791303</c:v>
                </c:pt>
                <c:pt idx="46">
                  <c:v>47.910122416791303</c:v>
                </c:pt>
                <c:pt idx="47">
                  <c:v>47.910122416791303</c:v>
                </c:pt>
                <c:pt idx="48">
                  <c:v>47.910122416791303</c:v>
                </c:pt>
                <c:pt idx="49">
                  <c:v>47.910122416791303</c:v>
                </c:pt>
                <c:pt idx="50">
                  <c:v>47.910122416791303</c:v>
                </c:pt>
                <c:pt idx="51">
                  <c:v>47.910122416791303</c:v>
                </c:pt>
                <c:pt idx="52">
                  <c:v>47.910122416791303</c:v>
                </c:pt>
                <c:pt idx="53">
                  <c:v>47.910122416791303</c:v>
                </c:pt>
                <c:pt idx="54">
                  <c:v>47.910122416791303</c:v>
                </c:pt>
                <c:pt idx="55">
                  <c:v>47.910122416791303</c:v>
                </c:pt>
                <c:pt idx="56">
                  <c:v>47.910122416791303</c:v>
                </c:pt>
                <c:pt idx="57">
                  <c:v>47.910122416791303</c:v>
                </c:pt>
                <c:pt idx="58">
                  <c:v>47.910122416791303</c:v>
                </c:pt>
                <c:pt idx="59">
                  <c:v>47.910122416791303</c:v>
                </c:pt>
                <c:pt idx="60">
                  <c:v>47.910122416791303</c:v>
                </c:pt>
                <c:pt idx="61">
                  <c:v>47.910122416791303</c:v>
                </c:pt>
              </c:numCache>
            </c:numRef>
          </c:val>
          <c:smooth val="0"/>
        </c:ser>
        <c:ser>
          <c:idx val="3"/>
          <c:order val="2"/>
          <c:tx>
            <c:v>平均値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ﾃﾞｰﾀｰ!$CY$6:$CY$67</c:f>
              <c:numCache>
                <c:formatCode>0.0_);[Red]\(0.0\)</c:formatCode>
                <c:ptCount val="62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</c:numCache>
            </c:numRef>
          </c:val>
          <c:smooth val="0"/>
        </c:ser>
        <c:ser>
          <c:idx val="1"/>
          <c:order val="3"/>
          <c:tx>
            <c:v>-3σ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ﾃﾞｰﾀｰ!$AO$6:$AO$67</c:f>
              <c:numCache>
                <c:formatCode>h:mm;@</c:formatCode>
                <c:ptCount val="62"/>
                <c:pt idx="0">
                  <c:v>28.089877583208697</c:v>
                </c:pt>
                <c:pt idx="1">
                  <c:v>28.089877583208697</c:v>
                </c:pt>
                <c:pt idx="2">
                  <c:v>28.089877583208697</c:v>
                </c:pt>
                <c:pt idx="3">
                  <c:v>28.089877583208697</c:v>
                </c:pt>
                <c:pt idx="4">
                  <c:v>28.089877583208697</c:v>
                </c:pt>
                <c:pt idx="5">
                  <c:v>28.089877583208697</c:v>
                </c:pt>
                <c:pt idx="6">
                  <c:v>28.089877583208697</c:v>
                </c:pt>
                <c:pt idx="7">
                  <c:v>28.089877583208697</c:v>
                </c:pt>
                <c:pt idx="8">
                  <c:v>28.089877583208697</c:v>
                </c:pt>
                <c:pt idx="9">
                  <c:v>28.089877583208697</c:v>
                </c:pt>
                <c:pt idx="10">
                  <c:v>28.089877583208697</c:v>
                </c:pt>
                <c:pt idx="11">
                  <c:v>28.089877583208697</c:v>
                </c:pt>
                <c:pt idx="12">
                  <c:v>28.089877583208697</c:v>
                </c:pt>
                <c:pt idx="13">
                  <c:v>28.089877583208697</c:v>
                </c:pt>
                <c:pt idx="14">
                  <c:v>28.089877583208697</c:v>
                </c:pt>
                <c:pt idx="15">
                  <c:v>28.089877583208697</c:v>
                </c:pt>
                <c:pt idx="16">
                  <c:v>28.089877583208697</c:v>
                </c:pt>
                <c:pt idx="17">
                  <c:v>28.089877583208697</c:v>
                </c:pt>
                <c:pt idx="18">
                  <c:v>28.089877583208697</c:v>
                </c:pt>
                <c:pt idx="19">
                  <c:v>28.089877583208697</c:v>
                </c:pt>
                <c:pt idx="20">
                  <c:v>28.089877583208697</c:v>
                </c:pt>
                <c:pt idx="21">
                  <c:v>28.089877583208697</c:v>
                </c:pt>
                <c:pt idx="22">
                  <c:v>28.089877583208697</c:v>
                </c:pt>
                <c:pt idx="23">
                  <c:v>28.089877583208697</c:v>
                </c:pt>
                <c:pt idx="24">
                  <c:v>28.089877583208697</c:v>
                </c:pt>
                <c:pt idx="25">
                  <c:v>28.089877583208697</c:v>
                </c:pt>
                <c:pt idx="26">
                  <c:v>28.089877583208697</c:v>
                </c:pt>
                <c:pt idx="27">
                  <c:v>28.089877583208697</c:v>
                </c:pt>
                <c:pt idx="28">
                  <c:v>28.089877583208697</c:v>
                </c:pt>
                <c:pt idx="29">
                  <c:v>28.089877583208697</c:v>
                </c:pt>
                <c:pt idx="30">
                  <c:v>28.089877583208697</c:v>
                </c:pt>
                <c:pt idx="31">
                  <c:v>28.089877583208697</c:v>
                </c:pt>
                <c:pt idx="32">
                  <c:v>28.089877583208697</c:v>
                </c:pt>
                <c:pt idx="33">
                  <c:v>28.089877583208697</c:v>
                </c:pt>
                <c:pt idx="34">
                  <c:v>28.089877583208697</c:v>
                </c:pt>
                <c:pt idx="35">
                  <c:v>28.089877583208697</c:v>
                </c:pt>
                <c:pt idx="36">
                  <c:v>28.089877583208697</c:v>
                </c:pt>
                <c:pt idx="37">
                  <c:v>28.089877583208697</c:v>
                </c:pt>
                <c:pt idx="38">
                  <c:v>28.089877583208697</c:v>
                </c:pt>
                <c:pt idx="39">
                  <c:v>28.089877583208697</c:v>
                </c:pt>
                <c:pt idx="40">
                  <c:v>28.089877583208697</c:v>
                </c:pt>
                <c:pt idx="41">
                  <c:v>28.089877583208697</c:v>
                </c:pt>
                <c:pt idx="42">
                  <c:v>28.089877583208697</c:v>
                </c:pt>
                <c:pt idx="43">
                  <c:v>28.089877583208697</c:v>
                </c:pt>
                <c:pt idx="44">
                  <c:v>28.089877583208697</c:v>
                </c:pt>
                <c:pt idx="45">
                  <c:v>28.089877583208697</c:v>
                </c:pt>
                <c:pt idx="46">
                  <c:v>28.089877583208697</c:v>
                </c:pt>
                <c:pt idx="47">
                  <c:v>28.089877583208697</c:v>
                </c:pt>
                <c:pt idx="48">
                  <c:v>28.089877583208697</c:v>
                </c:pt>
                <c:pt idx="49">
                  <c:v>28.089877583208697</c:v>
                </c:pt>
                <c:pt idx="50">
                  <c:v>28.089877583208697</c:v>
                </c:pt>
                <c:pt idx="51">
                  <c:v>28.089877583208697</c:v>
                </c:pt>
                <c:pt idx="52">
                  <c:v>28.089877583208697</c:v>
                </c:pt>
                <c:pt idx="53">
                  <c:v>28.089877583208697</c:v>
                </c:pt>
                <c:pt idx="54">
                  <c:v>28.089877583208697</c:v>
                </c:pt>
                <c:pt idx="55">
                  <c:v>28.089877583208697</c:v>
                </c:pt>
                <c:pt idx="56">
                  <c:v>28.089877583208697</c:v>
                </c:pt>
                <c:pt idx="57">
                  <c:v>28.089877583208697</c:v>
                </c:pt>
                <c:pt idx="58">
                  <c:v>28.089877583208697</c:v>
                </c:pt>
                <c:pt idx="59">
                  <c:v>28.089877583208697</c:v>
                </c:pt>
                <c:pt idx="60">
                  <c:v>28.089877583208697</c:v>
                </c:pt>
                <c:pt idx="61">
                  <c:v>28.089877583208697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9360"/>
        <c:axId val="134241280"/>
      </c:lineChart>
      <c:lineChart>
        <c:grouping val="standard"/>
        <c:varyColors val="0"/>
        <c:ser>
          <c:idx val="4"/>
          <c:order val="4"/>
          <c:tx>
            <c:strRef>
              <c:f>ﾃﾞｰﾀｰ!$AH$5</c:f>
              <c:strCache>
                <c:ptCount val="1"/>
                <c:pt idx="0">
                  <c:v>感度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ﾃﾞｰﾀｰ!$A$6:$A$67</c:f>
              <c:strCache>
                <c:ptCount val="32"/>
                <c:pt idx="0">
                  <c:v>ZT170401-B</c:v>
                </c:pt>
                <c:pt idx="1">
                  <c:v>ZT170402-B</c:v>
                </c:pt>
                <c:pt idx="2">
                  <c:v>ZT170501-B</c:v>
                </c:pt>
                <c:pt idx="3">
                  <c:v>ZT170601-B</c:v>
                </c:pt>
                <c:pt idx="4">
                  <c:v>ZT170602-B</c:v>
                </c:pt>
                <c:pt idx="5">
                  <c:v>ZT170603-B</c:v>
                </c:pt>
                <c:pt idx="6">
                  <c:v>ZT170604-B</c:v>
                </c:pt>
                <c:pt idx="7">
                  <c:v>ZT170605-B</c:v>
                </c:pt>
                <c:pt idx="8">
                  <c:v>ZT170606-B</c:v>
                </c:pt>
                <c:pt idx="9">
                  <c:v>ZT170607-B</c:v>
                </c:pt>
                <c:pt idx="10">
                  <c:v>ZT170608-B</c:v>
                </c:pt>
                <c:pt idx="11">
                  <c:v>ZT170701-B</c:v>
                </c:pt>
                <c:pt idx="12">
                  <c:v>ZT170702-B</c:v>
                </c:pt>
                <c:pt idx="13">
                  <c:v>ZT170901-B</c:v>
                </c:pt>
                <c:pt idx="14">
                  <c:v>ZT170902-B</c:v>
                </c:pt>
                <c:pt idx="15">
                  <c:v>ZT170903-B</c:v>
                </c:pt>
                <c:pt idx="16">
                  <c:v>ZT170904-B</c:v>
                </c:pt>
                <c:pt idx="17">
                  <c:v>ZT170905-B</c:v>
                </c:pt>
                <c:pt idx="18">
                  <c:v>ZT171001-B</c:v>
                </c:pt>
                <c:pt idx="19">
                  <c:v>ZT171002-B</c:v>
                </c:pt>
                <c:pt idx="20">
                  <c:v>ZT171003-B</c:v>
                </c:pt>
                <c:pt idx="21">
                  <c:v>ZT171004-B</c:v>
                </c:pt>
                <c:pt idx="22">
                  <c:v>ZT171101-B</c:v>
                </c:pt>
                <c:pt idx="23">
                  <c:v>ZT171102-B</c:v>
                </c:pt>
                <c:pt idx="24">
                  <c:v>ZT171103-B</c:v>
                </c:pt>
                <c:pt idx="25">
                  <c:v>ZT171104-B</c:v>
                </c:pt>
                <c:pt idx="26">
                  <c:v>ZT171105-B</c:v>
                </c:pt>
                <c:pt idx="27">
                  <c:v>ZT171106-B</c:v>
                </c:pt>
                <c:pt idx="28">
                  <c:v>ZT171201-B</c:v>
                </c:pt>
                <c:pt idx="29">
                  <c:v>ZT171202-B</c:v>
                </c:pt>
                <c:pt idx="30">
                  <c:v>ZT180101-B</c:v>
                </c:pt>
                <c:pt idx="31">
                  <c:v>ZT180102-B</c:v>
                </c:pt>
              </c:strCache>
            </c:strRef>
          </c:cat>
          <c:val>
            <c:numRef>
              <c:f>ﾃﾞｰﾀｰ!$AH$6:$AH$67</c:f>
              <c:numCache>
                <c:formatCode>0.0_);[Red]\(0.0\)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51264"/>
        <c:axId val="134252800"/>
      </c:lineChart>
      <c:catAx>
        <c:axId val="134239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241280"/>
        <c:crossesAt val="1E-4"/>
        <c:auto val="1"/>
        <c:lblAlgn val="ctr"/>
        <c:lblOffset val="100"/>
        <c:tickLblSkip val="1"/>
        <c:tickMarkSkip val="1"/>
        <c:noMultiLvlLbl val="0"/>
      </c:catAx>
      <c:valAx>
        <c:axId val="134241280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239360"/>
        <c:crosses val="autoZero"/>
        <c:crossBetween val="between"/>
        <c:majorUnit val="10"/>
        <c:minorUnit val="5"/>
      </c:valAx>
      <c:catAx>
        <c:axId val="13425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4252800"/>
        <c:crossesAt val="-5"/>
        <c:auto val="1"/>
        <c:lblAlgn val="ctr"/>
        <c:lblOffset val="100"/>
        <c:noMultiLvlLbl val="0"/>
      </c:catAx>
      <c:valAx>
        <c:axId val="134252800"/>
        <c:scaling>
          <c:orientation val="minMax"/>
          <c:max val="10"/>
          <c:min val="-10"/>
        </c:scaling>
        <c:delete val="0"/>
        <c:axPos val="r"/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34251264"/>
        <c:crosses val="max"/>
        <c:crossBetween val="between"/>
        <c:majorUnit val="2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0601996158811123E-3"/>
          <c:y val="1.287557965256053E-2"/>
          <c:w val="0.98656843298384811"/>
          <c:h val="6.43778982628026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27</xdr:row>
      <xdr:rowOff>114300</xdr:rowOff>
    </xdr:from>
    <xdr:to>
      <xdr:col>20</xdr:col>
      <xdr:colOff>504825</xdr:colOff>
      <xdr:row>47</xdr:row>
      <xdr:rowOff>1381125</xdr:rowOff>
    </xdr:to>
    <xdr:graphicFrame macro="">
      <xdr:nvGraphicFramePr>
        <xdr:cNvPr id="3080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50</xdr:row>
      <xdr:rowOff>114300</xdr:rowOff>
    </xdr:from>
    <xdr:to>
      <xdr:col>10</xdr:col>
      <xdr:colOff>514350</xdr:colOff>
      <xdr:row>77</xdr:row>
      <xdr:rowOff>76200</xdr:rowOff>
    </xdr:to>
    <xdr:graphicFrame macro="">
      <xdr:nvGraphicFramePr>
        <xdr:cNvPr id="3081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50</xdr:row>
      <xdr:rowOff>104775</xdr:rowOff>
    </xdr:from>
    <xdr:to>
      <xdr:col>20</xdr:col>
      <xdr:colOff>523875</xdr:colOff>
      <xdr:row>77</xdr:row>
      <xdr:rowOff>38100</xdr:rowOff>
    </xdr:to>
    <xdr:graphicFrame macro="">
      <xdr:nvGraphicFramePr>
        <xdr:cNvPr id="3082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80</xdr:row>
      <xdr:rowOff>57150</xdr:rowOff>
    </xdr:from>
    <xdr:to>
      <xdr:col>10</xdr:col>
      <xdr:colOff>514350</xdr:colOff>
      <xdr:row>105</xdr:row>
      <xdr:rowOff>142875</xdr:rowOff>
    </xdr:to>
    <xdr:graphicFrame macro="">
      <xdr:nvGraphicFramePr>
        <xdr:cNvPr id="3083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80</xdr:row>
      <xdr:rowOff>47625</xdr:rowOff>
    </xdr:from>
    <xdr:to>
      <xdr:col>20</xdr:col>
      <xdr:colOff>514350</xdr:colOff>
      <xdr:row>106</xdr:row>
      <xdr:rowOff>0</xdr:rowOff>
    </xdr:to>
    <xdr:graphicFrame macro="">
      <xdr:nvGraphicFramePr>
        <xdr:cNvPr id="3084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76200</xdr:colOff>
      <xdr:row>4</xdr:row>
      <xdr:rowOff>114300</xdr:rowOff>
    </xdr:from>
    <xdr:to>
      <xdr:col>20</xdr:col>
      <xdr:colOff>504825</xdr:colOff>
      <xdr:row>24</xdr:row>
      <xdr:rowOff>1381125</xdr:rowOff>
    </xdr:to>
    <xdr:graphicFrame macro="">
      <xdr:nvGraphicFramePr>
        <xdr:cNvPr id="3086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76200</xdr:colOff>
      <xdr:row>27</xdr:row>
      <xdr:rowOff>114300</xdr:rowOff>
    </xdr:from>
    <xdr:to>
      <xdr:col>10</xdr:col>
      <xdr:colOff>504825</xdr:colOff>
      <xdr:row>47</xdr:row>
      <xdr:rowOff>1381125</xdr:rowOff>
    </xdr:to>
    <xdr:graphicFrame macro="">
      <xdr:nvGraphicFramePr>
        <xdr:cNvPr id="3087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256</xdr:row>
      <xdr:rowOff>66675</xdr:rowOff>
    </xdr:from>
    <xdr:to>
      <xdr:col>10</xdr:col>
      <xdr:colOff>571500</xdr:colOff>
      <xdr:row>275</xdr:row>
      <xdr:rowOff>104775</xdr:rowOff>
    </xdr:to>
    <xdr:graphicFrame macro="">
      <xdr:nvGraphicFramePr>
        <xdr:cNvPr id="3088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114300</xdr:colOff>
      <xdr:row>4</xdr:row>
      <xdr:rowOff>114300</xdr:rowOff>
    </xdr:from>
    <xdr:to>
      <xdr:col>10</xdr:col>
      <xdr:colOff>533400</xdr:colOff>
      <xdr:row>25</xdr:row>
      <xdr:rowOff>0</xdr:rowOff>
    </xdr:to>
    <xdr:graphicFrame macro="">
      <xdr:nvGraphicFramePr>
        <xdr:cNvPr id="3089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104775</xdr:colOff>
      <xdr:row>168</xdr:row>
      <xdr:rowOff>66675</xdr:rowOff>
    </xdr:from>
    <xdr:to>
      <xdr:col>10</xdr:col>
      <xdr:colOff>514350</xdr:colOff>
      <xdr:row>193</xdr:row>
      <xdr:rowOff>104775</xdr:rowOff>
    </xdr:to>
    <xdr:graphicFrame macro="">
      <xdr:nvGraphicFramePr>
        <xdr:cNvPr id="3090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104775</xdr:colOff>
      <xdr:row>227</xdr:row>
      <xdr:rowOff>66675</xdr:rowOff>
    </xdr:from>
    <xdr:to>
      <xdr:col>20</xdr:col>
      <xdr:colOff>523875</xdr:colOff>
      <xdr:row>252</xdr:row>
      <xdr:rowOff>104775</xdr:rowOff>
    </xdr:to>
    <xdr:graphicFrame macro="">
      <xdr:nvGraphicFramePr>
        <xdr:cNvPr id="3091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104775</xdr:colOff>
      <xdr:row>110</xdr:row>
      <xdr:rowOff>66675</xdr:rowOff>
    </xdr:from>
    <xdr:to>
      <xdr:col>10</xdr:col>
      <xdr:colOff>514350</xdr:colOff>
      <xdr:row>135</xdr:row>
      <xdr:rowOff>104775</xdr:rowOff>
    </xdr:to>
    <xdr:graphicFrame macro="">
      <xdr:nvGraphicFramePr>
        <xdr:cNvPr id="3093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104775</xdr:colOff>
      <xdr:row>110</xdr:row>
      <xdr:rowOff>66675</xdr:rowOff>
    </xdr:from>
    <xdr:to>
      <xdr:col>20</xdr:col>
      <xdr:colOff>514350</xdr:colOff>
      <xdr:row>135</xdr:row>
      <xdr:rowOff>104775</xdr:rowOff>
    </xdr:to>
    <xdr:graphicFrame macro="">
      <xdr:nvGraphicFramePr>
        <xdr:cNvPr id="3094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104775</xdr:colOff>
      <xdr:row>139</xdr:row>
      <xdr:rowOff>66675</xdr:rowOff>
    </xdr:from>
    <xdr:to>
      <xdr:col>10</xdr:col>
      <xdr:colOff>514350</xdr:colOff>
      <xdr:row>164</xdr:row>
      <xdr:rowOff>104775</xdr:rowOff>
    </xdr:to>
    <xdr:graphicFrame macro="">
      <xdr:nvGraphicFramePr>
        <xdr:cNvPr id="3095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104775</xdr:colOff>
      <xdr:row>139</xdr:row>
      <xdr:rowOff>66675</xdr:rowOff>
    </xdr:from>
    <xdr:to>
      <xdr:col>20</xdr:col>
      <xdr:colOff>514350</xdr:colOff>
      <xdr:row>164</xdr:row>
      <xdr:rowOff>104775</xdr:rowOff>
    </xdr:to>
    <xdr:graphicFrame macro="">
      <xdr:nvGraphicFramePr>
        <xdr:cNvPr id="3096" name="グラフ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104775</xdr:colOff>
      <xdr:row>168</xdr:row>
      <xdr:rowOff>66675</xdr:rowOff>
    </xdr:from>
    <xdr:to>
      <xdr:col>20</xdr:col>
      <xdr:colOff>514350</xdr:colOff>
      <xdr:row>193</xdr:row>
      <xdr:rowOff>104775</xdr:rowOff>
    </xdr:to>
    <xdr:graphicFrame macro="">
      <xdr:nvGraphicFramePr>
        <xdr:cNvPr id="3097" name="グラフ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104775</xdr:colOff>
      <xdr:row>197</xdr:row>
      <xdr:rowOff>66675</xdr:rowOff>
    </xdr:from>
    <xdr:to>
      <xdr:col>10</xdr:col>
      <xdr:colOff>514350</xdr:colOff>
      <xdr:row>222</xdr:row>
      <xdr:rowOff>104775</xdr:rowOff>
    </xdr:to>
    <xdr:graphicFrame macro="">
      <xdr:nvGraphicFramePr>
        <xdr:cNvPr id="3098" name="グラフ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104775</xdr:colOff>
      <xdr:row>197</xdr:row>
      <xdr:rowOff>66675</xdr:rowOff>
    </xdr:from>
    <xdr:to>
      <xdr:col>20</xdr:col>
      <xdr:colOff>514350</xdr:colOff>
      <xdr:row>222</xdr:row>
      <xdr:rowOff>104775</xdr:rowOff>
    </xdr:to>
    <xdr:graphicFrame macro="">
      <xdr:nvGraphicFramePr>
        <xdr:cNvPr id="3099" name="グラフ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104775</xdr:colOff>
      <xdr:row>227</xdr:row>
      <xdr:rowOff>66675</xdr:rowOff>
    </xdr:from>
    <xdr:to>
      <xdr:col>10</xdr:col>
      <xdr:colOff>514350</xdr:colOff>
      <xdr:row>252</xdr:row>
      <xdr:rowOff>104775</xdr:rowOff>
    </xdr:to>
    <xdr:graphicFrame macro="">
      <xdr:nvGraphicFramePr>
        <xdr:cNvPr id="3100" name="グラフ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114300</xdr:colOff>
      <xdr:row>256</xdr:row>
      <xdr:rowOff>76200</xdr:rowOff>
    </xdr:from>
    <xdr:to>
      <xdr:col>20</xdr:col>
      <xdr:colOff>523875</xdr:colOff>
      <xdr:row>275</xdr:row>
      <xdr:rowOff>104775</xdr:rowOff>
    </xdr:to>
    <xdr:graphicFrame macro="">
      <xdr:nvGraphicFramePr>
        <xdr:cNvPr id="3101" name="グラフ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142875</xdr:colOff>
      <xdr:row>279</xdr:row>
      <xdr:rowOff>66675</xdr:rowOff>
    </xdr:from>
    <xdr:to>
      <xdr:col>10</xdr:col>
      <xdr:colOff>533400</xdr:colOff>
      <xdr:row>298</xdr:row>
      <xdr:rowOff>104775</xdr:rowOff>
    </xdr:to>
    <xdr:graphicFrame macro="">
      <xdr:nvGraphicFramePr>
        <xdr:cNvPr id="3102" name="グラフ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104775</xdr:colOff>
      <xdr:row>279</xdr:row>
      <xdr:rowOff>66675</xdr:rowOff>
    </xdr:from>
    <xdr:to>
      <xdr:col>20</xdr:col>
      <xdr:colOff>504825</xdr:colOff>
      <xdr:row>298</xdr:row>
      <xdr:rowOff>114300</xdr:rowOff>
    </xdr:to>
    <xdr:graphicFrame macro="">
      <xdr:nvGraphicFramePr>
        <xdr:cNvPr id="3103" name="グラフ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142875</xdr:colOff>
      <xdr:row>302</xdr:row>
      <xdr:rowOff>104775</xdr:rowOff>
    </xdr:from>
    <xdr:to>
      <xdr:col>10</xdr:col>
      <xdr:colOff>523875</xdr:colOff>
      <xdr:row>322</xdr:row>
      <xdr:rowOff>0</xdr:rowOff>
    </xdr:to>
    <xdr:graphicFrame macro="">
      <xdr:nvGraphicFramePr>
        <xdr:cNvPr id="3104" name="グラフ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76200</xdr:colOff>
      <xdr:row>323</xdr:row>
      <xdr:rowOff>0</xdr:rowOff>
    </xdr:from>
    <xdr:to>
      <xdr:col>20</xdr:col>
      <xdr:colOff>504825</xdr:colOff>
      <xdr:row>323</xdr:row>
      <xdr:rowOff>0</xdr:rowOff>
    </xdr:to>
    <xdr:graphicFrame macro="">
      <xdr:nvGraphicFramePr>
        <xdr:cNvPr id="3105" name="グラフ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114300</xdr:colOff>
      <xdr:row>323</xdr:row>
      <xdr:rowOff>0</xdr:rowOff>
    </xdr:from>
    <xdr:to>
      <xdr:col>10</xdr:col>
      <xdr:colOff>533400</xdr:colOff>
      <xdr:row>323</xdr:row>
      <xdr:rowOff>0</xdr:rowOff>
    </xdr:to>
    <xdr:graphicFrame macro="">
      <xdr:nvGraphicFramePr>
        <xdr:cNvPr id="3106" name="グラフ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123825</xdr:colOff>
      <xdr:row>348</xdr:row>
      <xdr:rowOff>104775</xdr:rowOff>
    </xdr:from>
    <xdr:to>
      <xdr:col>10</xdr:col>
      <xdr:colOff>581025</xdr:colOff>
      <xdr:row>367</xdr:row>
      <xdr:rowOff>104775</xdr:rowOff>
    </xdr:to>
    <xdr:graphicFrame macro="">
      <xdr:nvGraphicFramePr>
        <xdr:cNvPr id="3107" name="グラフ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104775</xdr:colOff>
      <xdr:row>348</xdr:row>
      <xdr:rowOff>104775</xdr:rowOff>
    </xdr:from>
    <xdr:to>
      <xdr:col>20</xdr:col>
      <xdr:colOff>552450</xdr:colOff>
      <xdr:row>367</xdr:row>
      <xdr:rowOff>104775</xdr:rowOff>
    </xdr:to>
    <xdr:graphicFrame macro="">
      <xdr:nvGraphicFramePr>
        <xdr:cNvPr id="3108" name="グラフ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142875</xdr:colOff>
      <xdr:row>372</xdr:row>
      <xdr:rowOff>104775</xdr:rowOff>
    </xdr:from>
    <xdr:to>
      <xdr:col>10</xdr:col>
      <xdr:colOff>485775</xdr:colOff>
      <xdr:row>391</xdr:row>
      <xdr:rowOff>95250</xdr:rowOff>
    </xdr:to>
    <xdr:graphicFrame macro="">
      <xdr:nvGraphicFramePr>
        <xdr:cNvPr id="3109" name="グラフ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114300</xdr:colOff>
      <xdr:row>325</xdr:row>
      <xdr:rowOff>114300</xdr:rowOff>
    </xdr:from>
    <xdr:to>
      <xdr:col>10</xdr:col>
      <xdr:colOff>533400</xdr:colOff>
      <xdr:row>346</xdr:row>
      <xdr:rowOff>0</xdr:rowOff>
    </xdr:to>
    <xdr:graphicFrame macro="">
      <xdr:nvGraphicFramePr>
        <xdr:cNvPr id="3111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74"/>
  <sheetViews>
    <sheetView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F31" sqref="F31"/>
    </sheetView>
  </sheetViews>
  <sheetFormatPr defaultRowHeight="12"/>
  <cols>
    <col min="1" max="1" width="12.7109375" customWidth="1"/>
    <col min="2" max="2" width="7.140625" customWidth="1"/>
    <col min="3" max="4" width="7.85546875" customWidth="1"/>
    <col min="5" max="5" width="7.7109375" customWidth="1"/>
    <col min="6" max="6" width="7.140625" customWidth="1"/>
    <col min="7" max="19" width="7.140625" style="133" customWidth="1"/>
    <col min="20" max="34" width="7.140625" customWidth="1"/>
    <col min="35" max="36" width="10" customWidth="1"/>
    <col min="37" max="40" width="7.140625" customWidth="1"/>
    <col min="41" max="41" width="5" customWidth="1"/>
    <col min="42" max="48" width="4.85546875" customWidth="1"/>
    <col min="49" max="86" width="5" customWidth="1"/>
    <col min="87" max="103" width="5.5703125" customWidth="1"/>
  </cols>
  <sheetData>
    <row r="1" spans="1:103" ht="14.25">
      <c r="A1" s="7" t="s">
        <v>6</v>
      </c>
      <c r="B1" s="7"/>
      <c r="C1" s="7"/>
      <c r="D1" s="7"/>
      <c r="E1" s="7"/>
      <c r="F1" t="s">
        <v>87</v>
      </c>
      <c r="AF1" s="11"/>
    </row>
    <row r="2" spans="1:103">
      <c r="T2" s="142"/>
      <c r="AF2" s="11"/>
    </row>
    <row r="3" spans="1:103" ht="12.75" thickBot="1">
      <c r="A3" t="s">
        <v>12</v>
      </c>
      <c r="AF3" s="11"/>
    </row>
    <row r="4" spans="1:103" ht="12.75" thickTop="1">
      <c r="A4">
        <f>COUNTA(A6:A65)</f>
        <v>58</v>
      </c>
      <c r="G4" s="300" t="s">
        <v>55</v>
      </c>
      <c r="H4" s="301"/>
      <c r="I4" s="301"/>
      <c r="J4" s="301"/>
      <c r="K4" s="301"/>
      <c r="L4" s="302"/>
      <c r="M4" s="300" t="s">
        <v>58</v>
      </c>
      <c r="N4" s="301"/>
      <c r="O4" s="301"/>
      <c r="P4" s="301"/>
      <c r="Q4" s="301"/>
      <c r="R4" s="302"/>
      <c r="S4" s="209"/>
      <c r="AF4" s="11"/>
      <c r="AO4" s="303" t="s">
        <v>5</v>
      </c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4"/>
      <c r="BM4" s="304"/>
      <c r="BN4" s="304"/>
      <c r="BO4" s="304"/>
      <c r="BP4" s="304"/>
      <c r="BQ4" s="304"/>
      <c r="BR4" s="304"/>
      <c r="BS4" s="304"/>
      <c r="BT4" s="304"/>
      <c r="BU4" s="304"/>
      <c r="BV4" s="304"/>
      <c r="BW4" s="304"/>
      <c r="BX4" s="304"/>
      <c r="BY4" s="304"/>
      <c r="BZ4" s="304"/>
      <c r="CA4" s="304"/>
      <c r="CB4" s="304"/>
      <c r="CC4" s="304"/>
      <c r="CD4" s="305"/>
      <c r="CE4" s="303" t="s">
        <v>4</v>
      </c>
      <c r="CF4" s="304"/>
      <c r="CG4" s="304"/>
      <c r="CH4" s="304"/>
      <c r="CI4" s="304"/>
      <c r="CJ4" s="304"/>
      <c r="CK4" s="304"/>
      <c r="CL4" s="304"/>
      <c r="CM4" s="304"/>
      <c r="CN4" s="304"/>
      <c r="CO4" s="304"/>
      <c r="CP4" s="304"/>
      <c r="CQ4" s="304"/>
      <c r="CR4" s="304"/>
      <c r="CS4" s="304"/>
      <c r="CT4" s="304"/>
      <c r="CU4" s="304"/>
      <c r="CV4" s="304"/>
      <c r="CW4" s="304"/>
      <c r="CX4" s="304"/>
      <c r="CY4" s="305"/>
    </row>
    <row r="5" spans="1:103" ht="31.5" customHeight="1">
      <c r="A5" s="1" t="s">
        <v>0</v>
      </c>
      <c r="B5" s="3" t="s">
        <v>7</v>
      </c>
      <c r="C5" s="230" t="s">
        <v>97</v>
      </c>
      <c r="D5" s="3" t="s">
        <v>23</v>
      </c>
      <c r="E5" s="3" t="s">
        <v>24</v>
      </c>
      <c r="F5" s="4" t="s">
        <v>2</v>
      </c>
      <c r="G5" s="134" t="s">
        <v>56</v>
      </c>
      <c r="H5" s="134" t="s">
        <v>63</v>
      </c>
      <c r="I5" s="134" t="s">
        <v>64</v>
      </c>
      <c r="J5" s="134" t="s">
        <v>65</v>
      </c>
      <c r="K5" s="134" t="s">
        <v>66</v>
      </c>
      <c r="L5" s="134" t="s">
        <v>57</v>
      </c>
      <c r="M5" s="134" t="s">
        <v>56</v>
      </c>
      <c r="N5" s="134" t="s">
        <v>67</v>
      </c>
      <c r="O5" s="134" t="s">
        <v>68</v>
      </c>
      <c r="P5" s="134" t="s">
        <v>69</v>
      </c>
      <c r="Q5" s="134" t="s">
        <v>70</v>
      </c>
      <c r="R5" s="134" t="s">
        <v>59</v>
      </c>
      <c r="S5" s="210" t="s">
        <v>85</v>
      </c>
      <c r="T5" s="9" t="s">
        <v>51</v>
      </c>
      <c r="U5" s="9" t="s">
        <v>52</v>
      </c>
      <c r="V5" s="9" t="s">
        <v>53</v>
      </c>
      <c r="W5" s="9" t="s">
        <v>54</v>
      </c>
      <c r="X5" s="168" t="s">
        <v>75</v>
      </c>
      <c r="Y5" s="168" t="s">
        <v>76</v>
      </c>
      <c r="Z5" s="168" t="s">
        <v>77</v>
      </c>
      <c r="AA5" s="168" t="s">
        <v>78</v>
      </c>
      <c r="AB5" s="259" t="s">
        <v>111</v>
      </c>
      <c r="AC5" s="259" t="s">
        <v>112</v>
      </c>
      <c r="AD5" s="259" t="s">
        <v>113</v>
      </c>
      <c r="AE5" s="4" t="s">
        <v>45</v>
      </c>
      <c r="AF5" s="4" t="s">
        <v>3</v>
      </c>
      <c r="AG5" s="5" t="s">
        <v>46</v>
      </c>
      <c r="AH5" s="6" t="s">
        <v>1</v>
      </c>
      <c r="AI5" s="3" t="s">
        <v>35</v>
      </c>
      <c r="AJ5" s="9" t="s">
        <v>36</v>
      </c>
      <c r="AK5" s="73" t="s">
        <v>37</v>
      </c>
      <c r="AL5" s="168" t="s">
        <v>79</v>
      </c>
      <c r="AM5" s="168" t="s">
        <v>80</v>
      </c>
      <c r="AN5" s="170" t="s">
        <v>81</v>
      </c>
      <c r="AO5" s="306" t="str">
        <f>B5</f>
        <v>仕込み
時間</v>
      </c>
      <c r="AP5" s="307"/>
      <c r="AQ5" s="295" t="s">
        <v>110</v>
      </c>
      <c r="AR5" s="295"/>
      <c r="AS5" s="295" t="str">
        <f>D5</f>
        <v>反応開始まで</v>
      </c>
      <c r="AT5" s="295"/>
      <c r="AU5" s="295" t="str">
        <f>E5</f>
        <v>熟成開始まで</v>
      </c>
      <c r="AV5" s="295"/>
      <c r="AW5" s="295" t="str">
        <f>F5</f>
        <v>熟成時間</v>
      </c>
      <c r="AX5" s="295"/>
      <c r="AY5" s="298" t="s">
        <v>85</v>
      </c>
      <c r="AZ5" s="299"/>
      <c r="BA5" s="295" t="str">
        <f>T5</f>
        <v>2.50Hr
粘度</v>
      </c>
      <c r="BB5" s="295"/>
      <c r="BC5" s="295" t="str">
        <f>U5</f>
        <v>3.00Hr
粘度</v>
      </c>
      <c r="BD5" s="295"/>
      <c r="BE5" s="295" t="str">
        <f>V5</f>
        <v>3.50Hr
粘度</v>
      </c>
      <c r="BF5" s="295"/>
      <c r="BG5" s="295" t="str">
        <f>W5</f>
        <v>4.00Hr
粘度</v>
      </c>
      <c r="BH5" s="295"/>
      <c r="BI5" s="296" t="s">
        <v>77</v>
      </c>
      <c r="BJ5" s="297"/>
      <c r="BK5" s="296" t="s">
        <v>78</v>
      </c>
      <c r="BL5" s="297"/>
      <c r="BM5" s="311" t="s">
        <v>114</v>
      </c>
      <c r="BN5" s="311"/>
      <c r="BO5" s="311" t="s">
        <v>115</v>
      </c>
      <c r="BP5" s="311"/>
      <c r="BQ5" s="311" t="s">
        <v>116</v>
      </c>
      <c r="BR5" s="311"/>
      <c r="BS5" s="295" t="str">
        <f>AE5</f>
        <v>粘度</v>
      </c>
      <c r="BT5" s="295"/>
      <c r="BU5" s="295" t="str">
        <f>AF5</f>
        <v>固形分</v>
      </c>
      <c r="BV5" s="295"/>
      <c r="BW5" s="310" t="str">
        <f>AG5</f>
        <v>Ｍw/Mn</v>
      </c>
      <c r="BX5" s="295"/>
      <c r="BY5" s="295" t="str">
        <f>AH5</f>
        <v>感度</v>
      </c>
      <c r="BZ5" s="295"/>
      <c r="CA5" s="307" t="str">
        <f>AK5</f>
        <v>差異</v>
      </c>
      <c r="CB5" s="307"/>
      <c r="CC5" s="308" t="s">
        <v>81</v>
      </c>
      <c r="CD5" s="309"/>
      <c r="CE5" s="202" t="str">
        <f>B5</f>
        <v>仕込み
時間</v>
      </c>
      <c r="CF5" s="203" t="str">
        <f>C5</f>
        <v>MEDIC
仕込み量</v>
      </c>
      <c r="CG5" s="203" t="str">
        <f>D5</f>
        <v>反応開始まで</v>
      </c>
      <c r="CH5" s="203" t="str">
        <f>E5</f>
        <v>熟成開始まで</v>
      </c>
      <c r="CI5" s="203" t="str">
        <f>F5</f>
        <v>熟成時間</v>
      </c>
      <c r="CJ5" s="210" t="s">
        <v>85</v>
      </c>
      <c r="CK5" s="203" t="str">
        <f>T5</f>
        <v>2.50Hr
粘度</v>
      </c>
      <c r="CL5" s="203" t="str">
        <f>U5</f>
        <v>3.00Hr
粘度</v>
      </c>
      <c r="CM5" s="203" t="str">
        <f>V5</f>
        <v>3.50Hr
粘度</v>
      </c>
      <c r="CN5" s="203" t="str">
        <f>W5</f>
        <v>4.00Hr
粘度</v>
      </c>
      <c r="CO5" s="168" t="s">
        <v>77</v>
      </c>
      <c r="CP5" s="168" t="s">
        <v>78</v>
      </c>
      <c r="CQ5" s="203" t="str">
        <f t="shared" ref="CQ5:CW5" si="0">AB5</f>
        <v>抜出時間
1本目</v>
      </c>
      <c r="CR5" s="203" t="str">
        <f t="shared" si="0"/>
        <v>抜出時間
7本目</v>
      </c>
      <c r="CS5" s="203" t="str">
        <f t="shared" si="0"/>
        <v>抜出時間
差</v>
      </c>
      <c r="CT5" s="203" t="str">
        <f t="shared" si="0"/>
        <v>粘度</v>
      </c>
      <c r="CU5" s="203" t="str">
        <f t="shared" si="0"/>
        <v>固形分</v>
      </c>
      <c r="CV5" s="203" t="str">
        <f t="shared" si="0"/>
        <v>Ｍw/Mn</v>
      </c>
      <c r="CW5" s="203" t="str">
        <f t="shared" si="0"/>
        <v>感度</v>
      </c>
      <c r="CX5" s="204" t="str">
        <f>AK5</f>
        <v>差異</v>
      </c>
      <c r="CY5" s="170" t="s">
        <v>81</v>
      </c>
    </row>
    <row r="6" spans="1:103" ht="11.25" customHeight="1">
      <c r="A6" s="81" t="s">
        <v>88</v>
      </c>
      <c r="B6" s="34">
        <v>40</v>
      </c>
      <c r="C6" s="252">
        <v>61.8</v>
      </c>
      <c r="D6" s="34">
        <v>112</v>
      </c>
      <c r="E6" s="34">
        <v>113</v>
      </c>
      <c r="F6" s="39">
        <v>0.18194444444444444</v>
      </c>
      <c r="G6" s="211">
        <f>220.82+8.86+22.09+35.3+52.99+39.8+61.8+57.45+119.16</f>
        <v>618.27</v>
      </c>
      <c r="H6" s="135">
        <v>161.5</v>
      </c>
      <c r="I6" s="135">
        <v>323.8</v>
      </c>
      <c r="J6" s="135">
        <v>486.1</v>
      </c>
      <c r="K6" s="159">
        <v>600.6</v>
      </c>
      <c r="L6" s="135">
        <f t="shared" ref="L6:L41" si="1">G6-K6</f>
        <v>17.669999999999959</v>
      </c>
      <c r="M6" s="211">
        <f>30.89+123.56</f>
        <v>154.44999999999999</v>
      </c>
      <c r="N6" s="135">
        <v>41.7</v>
      </c>
      <c r="O6" s="135">
        <v>83.6</v>
      </c>
      <c r="P6" s="135">
        <v>125.5</v>
      </c>
      <c r="Q6" s="159">
        <v>155.9</v>
      </c>
      <c r="R6" s="136">
        <f t="shared" ref="R6:R41" si="2">M6-Q6</f>
        <v>-1.4500000000000171</v>
      </c>
      <c r="S6" s="212">
        <v>44</v>
      </c>
      <c r="T6" s="161">
        <v>37.9</v>
      </c>
      <c r="U6" s="161">
        <v>72</v>
      </c>
      <c r="V6" s="161">
        <v>99.1</v>
      </c>
      <c r="W6" s="161">
        <v>119.2</v>
      </c>
      <c r="X6" s="186">
        <v>0.57777777777777783</v>
      </c>
      <c r="Y6" s="186">
        <v>0.59027777777777779</v>
      </c>
      <c r="Z6" s="186">
        <f t="shared" ref="Z6:Z41" si="3">Y6-X6</f>
        <v>1.2499999999999956E-2</v>
      </c>
      <c r="AA6" s="161">
        <v>29.2</v>
      </c>
      <c r="AB6" s="260"/>
      <c r="AC6" s="260"/>
      <c r="AD6" s="260">
        <f t="shared" ref="AD6:AD41" si="4">AC6-AB6</f>
        <v>0</v>
      </c>
      <c r="AE6" s="166"/>
      <c r="AF6" s="57"/>
      <c r="AG6" s="2"/>
      <c r="AH6" s="57"/>
      <c r="AI6" s="155">
        <v>1354.98</v>
      </c>
      <c r="AJ6" s="155">
        <v>1349.73</v>
      </c>
      <c r="AK6" s="169">
        <f t="shared" ref="AK6:AK41" si="5">AI6-AJ6</f>
        <v>5.25</v>
      </c>
      <c r="AL6" s="191">
        <v>0.63541666666666663</v>
      </c>
      <c r="AM6" s="191">
        <v>0.64236111111111105</v>
      </c>
      <c r="AN6" s="192">
        <f t="shared" ref="AN6:AN41" si="6">AM6-AL6</f>
        <v>6.9444444444444198E-3</v>
      </c>
      <c r="AO6" s="29">
        <f t="shared" ref="AO6:AO21" si="7">B$66-B$67</f>
        <v>28.089877583208697</v>
      </c>
      <c r="AP6" s="28">
        <f t="shared" ref="AP6:AP21" si="8">B$66+B$67</f>
        <v>47.910122416791303</v>
      </c>
      <c r="AQ6" s="28">
        <f t="shared" ref="AQ6:AQ33" si="9">C$66-C$67</f>
        <v>61.691860138971634</v>
      </c>
      <c r="AR6" s="28">
        <f t="shared" ref="AR6:AR33" si="10">C$66+C$67</f>
        <v>61.857105378269807</v>
      </c>
      <c r="AS6" s="42">
        <f t="shared" ref="AS6:AS21" si="11">D$66-D$67</f>
        <v>109.94095976728137</v>
      </c>
      <c r="AT6" s="42">
        <f t="shared" ref="AT6:AT21" si="12">D$66+D$67</f>
        <v>114.8176609223738</v>
      </c>
      <c r="AU6" s="23">
        <f t="shared" ref="AU6:AU21" si="13">E$66-E$67</f>
        <v>111.93239626243108</v>
      </c>
      <c r="AV6" s="23">
        <f t="shared" ref="AV6:AV21" si="14">E$66+E$67</f>
        <v>114.92967270308615</v>
      </c>
      <c r="AW6" s="16">
        <f t="shared" ref="AW6:AW21" si="15">F$66-F$67</f>
        <v>0.17368036968193748</v>
      </c>
      <c r="AX6" s="16">
        <f t="shared" ref="AX6:AX21" si="16">F$66+F$67</f>
        <v>0.18908304027974834</v>
      </c>
      <c r="AY6" s="16">
        <f t="shared" ref="AY6:AY33" si="17">S$66-S$67</f>
        <v>56.437095452304185</v>
      </c>
      <c r="AZ6" s="16">
        <f t="shared" ref="AZ6:AZ33" si="18">S$66+S$67</f>
        <v>134.01118040976476</v>
      </c>
      <c r="BA6" s="17">
        <f t="shared" ref="BA6:BA21" si="19">T$66-T$67</f>
        <v>35.424087856897714</v>
      </c>
      <c r="BB6" s="17">
        <f t="shared" ref="BB6:BB21" si="20">T$66+T$67</f>
        <v>42.810394901722987</v>
      </c>
      <c r="BC6" s="17">
        <f t="shared" ref="BC6:BC21" si="21">U$66-U$67</f>
        <v>68.667936470774464</v>
      </c>
      <c r="BD6" s="17">
        <f t="shared" ref="BD6:BD21" si="22">U$66+U$67</f>
        <v>78.252753184397989</v>
      </c>
      <c r="BE6" s="17">
        <f t="shared" ref="BE6:BE21" si="23">V$66-V$67</f>
        <v>94.547228197183259</v>
      </c>
      <c r="BF6" s="17">
        <f t="shared" ref="BF6:BF21" si="24">V$66+V$67</f>
        <v>106.39415111316158</v>
      </c>
      <c r="BG6" s="17">
        <f t="shared" ref="BG6:BG21" si="25">W$66-W$67</f>
        <v>114.2973449594912</v>
      </c>
      <c r="BH6" s="17">
        <f t="shared" ref="BH6:BH21" si="26">W$66+W$67</f>
        <v>127.60610331637088</v>
      </c>
      <c r="BI6" s="17">
        <f t="shared" ref="BI6:BI33" si="27">Z$66-Z$67</f>
        <v>1.1625982470516784E-2</v>
      </c>
      <c r="BJ6" s="17">
        <f t="shared" ref="BJ6:BJ33" si="28">Z$66+Z$67</f>
        <v>1.4691067337912261E-2</v>
      </c>
      <c r="BK6" s="15">
        <f t="shared" ref="BK6:BK33" si="29">AA$66-AA$67</f>
        <v>28.696690452912026</v>
      </c>
      <c r="BL6" s="17">
        <f t="shared" ref="BL6:BL33" si="30">AA$66+AA$67</f>
        <v>29.661930236743164</v>
      </c>
      <c r="BM6" s="263">
        <f t="shared" ref="BM6:BM33" si="31">AC$66-AC$67</f>
        <v>4.6322196240640304E-3</v>
      </c>
      <c r="BN6" s="263">
        <f t="shared" ref="BN6:BN33" si="32">AC$66+AC$67</f>
        <v>5.2936118196245515E-3</v>
      </c>
      <c r="BO6" s="263">
        <f t="shared" ref="BO6:BO33" si="33">AB$66-AB$67</f>
        <v>4.6579973341037062E-3</v>
      </c>
      <c r="BP6" s="263">
        <f t="shared" ref="BP6:BP33" si="34">AB$66+AB$67</f>
        <v>5.3410578435228997E-3</v>
      </c>
      <c r="BQ6" s="263">
        <f t="shared" ref="BQ6:BQ33" si="35">AD$66-AD$67</f>
        <v>-2.62020899613848E-4</v>
      </c>
      <c r="BR6" s="263">
        <f t="shared" ref="BR6:BR33" si="36">AD$66+AD$67</f>
        <v>2.0015946921793468E-4</v>
      </c>
      <c r="BS6" s="18" t="e">
        <f t="shared" ref="BS6:BS21" si="37">AE$66-AE$67</f>
        <v>#DIV/0!</v>
      </c>
      <c r="BT6" s="18" t="e">
        <f t="shared" ref="BT6:BT21" si="38">AE$66+AE$67</f>
        <v>#DIV/0!</v>
      </c>
      <c r="BU6" s="18" t="e">
        <f t="shared" ref="BU6:BU21" si="39">AF$66-AF$67</f>
        <v>#DIV/0!</v>
      </c>
      <c r="BV6" s="18" t="e">
        <f t="shared" ref="BV6:BV21" si="40">AF$66+AF$67</f>
        <v>#DIV/0!</v>
      </c>
      <c r="BW6" s="19" t="e">
        <f t="shared" ref="BW6:BW21" si="41">AG$66-AG$67</f>
        <v>#DIV/0!</v>
      </c>
      <c r="BX6" s="19" t="e">
        <f t="shared" ref="BX6:BX21" si="42">AG$66+AG$67</f>
        <v>#DIV/0!</v>
      </c>
      <c r="BY6" s="20" t="e">
        <f t="shared" ref="BY6:BY21" si="43">AH$66-AH$67</f>
        <v>#DIV/0!</v>
      </c>
      <c r="BZ6" s="18" t="e">
        <f t="shared" ref="BZ6:BZ21" si="44">AH$66+AH$67</f>
        <v>#DIV/0!</v>
      </c>
      <c r="CA6" s="19">
        <f>$AK$71</f>
        <v>4.9388614429463438</v>
      </c>
      <c r="CB6" s="207">
        <f>$AK$70</f>
        <v>6.3118282122260467</v>
      </c>
      <c r="CC6" s="208">
        <f>$AN$71</f>
        <v>9.9985772639558934E-4</v>
      </c>
      <c r="CD6" s="200">
        <f>$AN$70</f>
        <v>1.4876579055213623E-2</v>
      </c>
      <c r="CE6" s="29">
        <f t="shared" ref="CE6:CE21" si="45">B$66</f>
        <v>38</v>
      </c>
      <c r="CF6" s="28">
        <f t="shared" ref="CF6:CH8" si="46">C$66</f>
        <v>61.774482758620721</v>
      </c>
      <c r="CG6" s="28">
        <f t="shared" si="46"/>
        <v>112.37931034482759</v>
      </c>
      <c r="CH6" s="28">
        <f t="shared" si="46"/>
        <v>113.43103448275862</v>
      </c>
      <c r="CI6" s="16">
        <f t="shared" ref="CI6:CI21" si="47">F$66</f>
        <v>0.18138170498084291</v>
      </c>
      <c r="CJ6" s="16">
        <f t="shared" ref="CJ6:CJ21" si="48">S$66</f>
        <v>95.224137931034477</v>
      </c>
      <c r="CK6" s="17">
        <f t="shared" ref="CK6:CK21" si="49">T$66</f>
        <v>39.11724137931035</v>
      </c>
      <c r="CL6" s="17">
        <f t="shared" ref="CL6:CL21" si="50">U$66</f>
        <v>73.460344827586226</v>
      </c>
      <c r="CM6" s="17">
        <f t="shared" ref="CM6:CN8" si="51">V$66</f>
        <v>100.47068965517242</v>
      </c>
      <c r="CN6" s="17">
        <f t="shared" si="51"/>
        <v>120.95172413793104</v>
      </c>
      <c r="CO6" s="17">
        <f t="shared" ref="CO6:CO33" si="52">Z$66</f>
        <v>1.3158524904214522E-2</v>
      </c>
      <c r="CP6" s="17">
        <f t="shared" ref="CP6:CP33" si="53">AA$66</f>
        <v>29.179310344827595</v>
      </c>
      <c r="CQ6" s="263">
        <f t="shared" ref="CQ6:CW8" si="54">AB$66</f>
        <v>4.9995275888133029E-3</v>
      </c>
      <c r="CR6" s="263">
        <f t="shared" si="54"/>
        <v>4.962915721844291E-3</v>
      </c>
      <c r="CS6" s="263">
        <f t="shared" si="54"/>
        <v>-3.0930715197956654E-5</v>
      </c>
      <c r="CT6" s="17" t="e">
        <f t="shared" si="54"/>
        <v>#DIV/0!</v>
      </c>
      <c r="CU6" s="17" t="e">
        <f t="shared" si="54"/>
        <v>#DIV/0!</v>
      </c>
      <c r="CV6" s="21" t="e">
        <f t="shared" si="54"/>
        <v>#DIV/0!</v>
      </c>
      <c r="CW6" s="17" t="e">
        <f t="shared" si="54"/>
        <v>#DIV/0!</v>
      </c>
      <c r="CX6" s="205">
        <f t="shared" ref="CX6:CX21" si="55">AK$66</f>
        <v>5.6253448275861953</v>
      </c>
      <c r="CY6" s="206">
        <f t="shared" ref="CY6:CY33" si="56">AN$66</f>
        <v>7.938218390804606E-3</v>
      </c>
    </row>
    <row r="7" spans="1:103" ht="11.25" customHeight="1">
      <c r="A7" s="82" t="s">
        <v>89</v>
      </c>
      <c r="B7" s="82">
        <v>40</v>
      </c>
      <c r="C7" s="253">
        <v>61.8</v>
      </c>
      <c r="D7" s="82">
        <v>112</v>
      </c>
      <c r="E7" s="82">
        <v>113</v>
      </c>
      <c r="F7" s="39">
        <v>0.17777777777777778</v>
      </c>
      <c r="G7" s="113">
        <f>221.08+8.86+22.09+35.35+53.05+39.82+61.8+57.37+119.28</f>
        <v>618.70000000000005</v>
      </c>
      <c r="H7" s="229">
        <v>161.5</v>
      </c>
      <c r="I7" s="136">
        <v>324</v>
      </c>
      <c r="J7" s="136">
        <v>486.4</v>
      </c>
      <c r="K7" s="136">
        <v>597.5</v>
      </c>
      <c r="L7" s="135">
        <f t="shared" si="1"/>
        <v>21.200000000000045</v>
      </c>
      <c r="M7" s="211">
        <f>30.93+123.58</f>
        <v>154.51</v>
      </c>
      <c r="N7" s="135">
        <v>41.8</v>
      </c>
      <c r="O7" s="135">
        <v>83.7</v>
      </c>
      <c r="P7" s="135">
        <v>125.6</v>
      </c>
      <c r="Q7" s="135">
        <v>155.9</v>
      </c>
      <c r="R7" s="136">
        <f t="shared" si="2"/>
        <v>-1.3900000000000148</v>
      </c>
      <c r="S7" s="212">
        <v>99</v>
      </c>
      <c r="T7" s="84">
        <v>39.299999999999997</v>
      </c>
      <c r="U7" s="84">
        <v>73.8</v>
      </c>
      <c r="V7" s="84">
        <v>101.9</v>
      </c>
      <c r="W7" s="84">
        <v>123.3</v>
      </c>
      <c r="X7" s="185">
        <v>0.57361111111111118</v>
      </c>
      <c r="Y7" s="185">
        <v>0.58611111111111114</v>
      </c>
      <c r="Z7" s="186">
        <f t="shared" si="3"/>
        <v>1.2499999999999956E-2</v>
      </c>
      <c r="AA7" s="84">
        <v>29.2</v>
      </c>
      <c r="AB7" s="260"/>
      <c r="AC7" s="260"/>
      <c r="AD7" s="260">
        <f t="shared" si="4"/>
        <v>0</v>
      </c>
      <c r="AE7" s="69"/>
      <c r="AF7" s="69"/>
      <c r="AG7" s="33"/>
      <c r="AH7" s="50"/>
      <c r="AI7" s="156">
        <v>1355.49</v>
      </c>
      <c r="AJ7" s="156">
        <v>1349.55</v>
      </c>
      <c r="AK7" s="169">
        <f t="shared" si="5"/>
        <v>5.9400000000000546</v>
      </c>
      <c r="AL7" s="191">
        <v>0.63055555555555554</v>
      </c>
      <c r="AM7" s="191">
        <v>0.63888888888888895</v>
      </c>
      <c r="AN7" s="192">
        <f t="shared" si="6"/>
        <v>8.3333333333334147E-3</v>
      </c>
      <c r="AO7" s="74">
        <f t="shared" si="7"/>
        <v>28.089877583208697</v>
      </c>
      <c r="AP7" s="15">
        <f t="shared" si="8"/>
        <v>47.910122416791303</v>
      </c>
      <c r="AQ7" s="18">
        <f t="shared" si="9"/>
        <v>61.691860138971634</v>
      </c>
      <c r="AR7" s="18">
        <f t="shared" si="10"/>
        <v>61.857105378269807</v>
      </c>
      <c r="AS7" s="15">
        <f t="shared" si="11"/>
        <v>109.94095976728137</v>
      </c>
      <c r="AT7" s="15">
        <f t="shared" si="12"/>
        <v>114.8176609223738</v>
      </c>
      <c r="AU7" s="15">
        <f t="shared" si="13"/>
        <v>111.93239626243108</v>
      </c>
      <c r="AV7" s="15">
        <f t="shared" si="14"/>
        <v>114.92967270308615</v>
      </c>
      <c r="AW7" s="16">
        <f t="shared" si="15"/>
        <v>0.17368036968193748</v>
      </c>
      <c r="AX7" s="16">
        <f t="shared" si="16"/>
        <v>0.18908304027974834</v>
      </c>
      <c r="AY7" s="16">
        <f t="shared" si="17"/>
        <v>56.437095452304185</v>
      </c>
      <c r="AZ7" s="16">
        <f t="shared" si="18"/>
        <v>134.01118040976476</v>
      </c>
      <c r="BA7" s="17">
        <f t="shared" si="19"/>
        <v>35.424087856897714</v>
      </c>
      <c r="BB7" s="17">
        <f t="shared" si="20"/>
        <v>42.810394901722987</v>
      </c>
      <c r="BC7" s="17">
        <f t="shared" si="21"/>
        <v>68.667936470774464</v>
      </c>
      <c r="BD7" s="17">
        <f t="shared" si="22"/>
        <v>78.252753184397989</v>
      </c>
      <c r="BE7" s="17">
        <f t="shared" si="23"/>
        <v>94.547228197183259</v>
      </c>
      <c r="BF7" s="17">
        <f t="shared" si="24"/>
        <v>106.39415111316158</v>
      </c>
      <c r="BG7" s="17">
        <f t="shared" si="25"/>
        <v>114.2973449594912</v>
      </c>
      <c r="BH7" s="17">
        <f t="shared" si="26"/>
        <v>127.60610331637088</v>
      </c>
      <c r="BI7" s="17">
        <f t="shared" si="27"/>
        <v>1.1625982470516784E-2</v>
      </c>
      <c r="BJ7" s="17">
        <f t="shared" si="28"/>
        <v>1.4691067337912261E-2</v>
      </c>
      <c r="BK7" s="17">
        <f t="shared" si="29"/>
        <v>28.696690452912026</v>
      </c>
      <c r="BL7" s="17">
        <f t="shared" si="30"/>
        <v>29.661930236743164</v>
      </c>
      <c r="BM7" s="263">
        <f t="shared" si="31"/>
        <v>4.6322196240640304E-3</v>
      </c>
      <c r="BN7" s="263">
        <f t="shared" si="32"/>
        <v>5.2936118196245515E-3</v>
      </c>
      <c r="BO7" s="263">
        <f t="shared" si="33"/>
        <v>4.6579973341037062E-3</v>
      </c>
      <c r="BP7" s="263">
        <f t="shared" si="34"/>
        <v>5.3410578435228997E-3</v>
      </c>
      <c r="BQ7" s="263">
        <f t="shared" si="35"/>
        <v>-2.62020899613848E-4</v>
      </c>
      <c r="BR7" s="263">
        <f t="shared" si="36"/>
        <v>2.0015946921793468E-4</v>
      </c>
      <c r="BS7" s="18" t="e">
        <f t="shared" si="37"/>
        <v>#DIV/0!</v>
      </c>
      <c r="BT7" s="18" t="e">
        <f t="shared" si="38"/>
        <v>#DIV/0!</v>
      </c>
      <c r="BU7" s="18" t="e">
        <f t="shared" si="39"/>
        <v>#DIV/0!</v>
      </c>
      <c r="BV7" s="18" t="e">
        <f t="shared" si="40"/>
        <v>#DIV/0!</v>
      </c>
      <c r="BW7" s="19" t="e">
        <f t="shared" si="41"/>
        <v>#DIV/0!</v>
      </c>
      <c r="BX7" s="19" t="e">
        <f t="shared" si="42"/>
        <v>#DIV/0!</v>
      </c>
      <c r="BY7" s="20" t="e">
        <f t="shared" si="43"/>
        <v>#DIV/0!</v>
      </c>
      <c r="BZ7" s="18" t="e">
        <f t="shared" si="44"/>
        <v>#DIV/0!</v>
      </c>
      <c r="CA7" s="19">
        <f t="shared" ref="CA7:CA65" si="57">$AK$71</f>
        <v>4.9388614429463438</v>
      </c>
      <c r="CB7" s="207">
        <f t="shared" ref="CB7:CB65" si="58">$AK$70</f>
        <v>6.3118282122260467</v>
      </c>
      <c r="CC7" s="19">
        <f t="shared" ref="CC7:CC65" si="59">$AN$71</f>
        <v>9.9985772639558934E-4</v>
      </c>
      <c r="CD7" s="201">
        <f t="shared" ref="CD7:CD65" si="60">$AN$70</f>
        <v>1.4876579055213623E-2</v>
      </c>
      <c r="CE7" s="30">
        <f t="shared" si="45"/>
        <v>38</v>
      </c>
      <c r="CF7" s="18">
        <f t="shared" si="46"/>
        <v>61.774482758620721</v>
      </c>
      <c r="CG7" s="18">
        <f t="shared" si="46"/>
        <v>112.37931034482759</v>
      </c>
      <c r="CH7" s="18">
        <f t="shared" si="46"/>
        <v>113.43103448275862</v>
      </c>
      <c r="CI7" s="16">
        <f t="shared" si="47"/>
        <v>0.18138170498084291</v>
      </c>
      <c r="CJ7" s="16">
        <f t="shared" si="48"/>
        <v>95.224137931034477</v>
      </c>
      <c r="CK7" s="17">
        <f t="shared" si="49"/>
        <v>39.11724137931035</v>
      </c>
      <c r="CL7" s="17">
        <f t="shared" si="50"/>
        <v>73.460344827586226</v>
      </c>
      <c r="CM7" s="17">
        <f t="shared" si="51"/>
        <v>100.47068965517242</v>
      </c>
      <c r="CN7" s="17">
        <f t="shared" si="51"/>
        <v>120.95172413793104</v>
      </c>
      <c r="CO7" s="17">
        <f t="shared" si="52"/>
        <v>1.3158524904214522E-2</v>
      </c>
      <c r="CP7" s="17">
        <f t="shared" si="53"/>
        <v>29.179310344827595</v>
      </c>
      <c r="CQ7" s="263">
        <f t="shared" si="54"/>
        <v>4.9995275888133029E-3</v>
      </c>
      <c r="CR7" s="263">
        <f t="shared" si="54"/>
        <v>4.962915721844291E-3</v>
      </c>
      <c r="CS7" s="263">
        <f t="shared" si="54"/>
        <v>-3.0930715197956654E-5</v>
      </c>
      <c r="CT7" s="17" t="e">
        <f t="shared" si="54"/>
        <v>#DIV/0!</v>
      </c>
      <c r="CU7" s="17" t="e">
        <f t="shared" si="54"/>
        <v>#DIV/0!</v>
      </c>
      <c r="CV7" s="21" t="e">
        <f t="shared" si="54"/>
        <v>#DIV/0!</v>
      </c>
      <c r="CW7" s="17" t="e">
        <f t="shared" si="54"/>
        <v>#DIV/0!</v>
      </c>
      <c r="CX7" s="205">
        <f t="shared" si="55"/>
        <v>5.6253448275861953</v>
      </c>
      <c r="CY7" s="22">
        <f t="shared" si="56"/>
        <v>7.938218390804606E-3</v>
      </c>
    </row>
    <row r="8" spans="1:103" ht="11.25" customHeight="1">
      <c r="A8" s="82" t="s">
        <v>91</v>
      </c>
      <c r="B8" s="35">
        <v>39</v>
      </c>
      <c r="C8" s="254">
        <v>61.75</v>
      </c>
      <c r="D8" s="35">
        <v>113</v>
      </c>
      <c r="E8" s="35">
        <v>113</v>
      </c>
      <c r="F8" s="83">
        <v>0.18333333333333335</v>
      </c>
      <c r="G8" s="111">
        <f>221.12+8.86+22.09+35.32+52.96+39.74+61.75+57.41+119.13</f>
        <v>618.38</v>
      </c>
      <c r="H8" s="136">
        <v>161.69999999999999</v>
      </c>
      <c r="I8" s="136">
        <v>324.2</v>
      </c>
      <c r="J8" s="136">
        <v>486.6</v>
      </c>
      <c r="K8" s="136">
        <v>604.1</v>
      </c>
      <c r="L8" s="135">
        <f t="shared" si="1"/>
        <v>14.279999999999973</v>
      </c>
      <c r="M8" s="211">
        <f>123.52+30.89</f>
        <v>154.41</v>
      </c>
      <c r="N8" s="135">
        <v>41.8</v>
      </c>
      <c r="O8" s="135">
        <v>83.8</v>
      </c>
      <c r="P8" s="135">
        <v>125.7</v>
      </c>
      <c r="Q8" s="135">
        <v>155.9</v>
      </c>
      <c r="R8" s="136">
        <f t="shared" si="2"/>
        <v>-1.4900000000000091</v>
      </c>
      <c r="S8" s="212">
        <v>70</v>
      </c>
      <c r="T8" s="84">
        <v>37.799999999999997</v>
      </c>
      <c r="U8" s="84">
        <v>71.2</v>
      </c>
      <c r="V8" s="84">
        <v>98.4</v>
      </c>
      <c r="W8" s="84">
        <v>118.5</v>
      </c>
      <c r="X8" s="185">
        <v>0.57916666666666672</v>
      </c>
      <c r="Y8" s="185">
        <v>0.59166666666666667</v>
      </c>
      <c r="Z8" s="186">
        <f t="shared" si="3"/>
        <v>1.2499999999999956E-2</v>
      </c>
      <c r="AA8" s="84">
        <v>29.3</v>
      </c>
      <c r="AB8" s="260"/>
      <c r="AC8" s="260"/>
      <c r="AD8" s="260">
        <f t="shared" si="4"/>
        <v>0</v>
      </c>
      <c r="AE8" s="69"/>
      <c r="AF8" s="69"/>
      <c r="AG8" s="33"/>
      <c r="AH8" s="50"/>
      <c r="AI8" s="156">
        <v>1355.09</v>
      </c>
      <c r="AJ8" s="156">
        <v>1349.81</v>
      </c>
      <c r="AK8" s="169">
        <f t="shared" si="5"/>
        <v>5.2799999999999727</v>
      </c>
      <c r="AL8" s="191">
        <v>0.63611111111111118</v>
      </c>
      <c r="AM8" s="191">
        <v>0.64444444444444449</v>
      </c>
      <c r="AN8" s="192">
        <f t="shared" si="6"/>
        <v>8.3333333333333037E-3</v>
      </c>
      <c r="AO8" s="74">
        <f t="shared" si="7"/>
        <v>28.089877583208697</v>
      </c>
      <c r="AP8" s="15">
        <f t="shared" si="8"/>
        <v>47.910122416791303</v>
      </c>
      <c r="AQ8" s="18">
        <f t="shared" si="9"/>
        <v>61.691860138971634</v>
      </c>
      <c r="AR8" s="18">
        <f t="shared" si="10"/>
        <v>61.857105378269807</v>
      </c>
      <c r="AS8" s="15">
        <f t="shared" si="11"/>
        <v>109.94095976728137</v>
      </c>
      <c r="AT8" s="15">
        <f t="shared" si="12"/>
        <v>114.8176609223738</v>
      </c>
      <c r="AU8" s="15">
        <f t="shared" si="13"/>
        <v>111.93239626243108</v>
      </c>
      <c r="AV8" s="15">
        <f t="shared" si="14"/>
        <v>114.92967270308615</v>
      </c>
      <c r="AW8" s="16">
        <f t="shared" si="15"/>
        <v>0.17368036968193748</v>
      </c>
      <c r="AX8" s="16">
        <f t="shared" si="16"/>
        <v>0.18908304027974834</v>
      </c>
      <c r="AY8" s="16">
        <f t="shared" si="17"/>
        <v>56.437095452304185</v>
      </c>
      <c r="AZ8" s="16">
        <f t="shared" si="18"/>
        <v>134.01118040976476</v>
      </c>
      <c r="BA8" s="17">
        <f t="shared" si="19"/>
        <v>35.424087856897714</v>
      </c>
      <c r="BB8" s="17">
        <f t="shared" si="20"/>
        <v>42.810394901722987</v>
      </c>
      <c r="BC8" s="17">
        <f t="shared" si="21"/>
        <v>68.667936470774464</v>
      </c>
      <c r="BD8" s="17">
        <f t="shared" si="22"/>
        <v>78.252753184397989</v>
      </c>
      <c r="BE8" s="17">
        <f t="shared" si="23"/>
        <v>94.547228197183259</v>
      </c>
      <c r="BF8" s="17">
        <f t="shared" si="24"/>
        <v>106.39415111316158</v>
      </c>
      <c r="BG8" s="17">
        <f t="shared" si="25"/>
        <v>114.2973449594912</v>
      </c>
      <c r="BH8" s="17">
        <f t="shared" si="26"/>
        <v>127.60610331637088</v>
      </c>
      <c r="BI8" s="17">
        <f t="shared" si="27"/>
        <v>1.1625982470516784E-2</v>
      </c>
      <c r="BJ8" s="17">
        <f t="shared" si="28"/>
        <v>1.4691067337912261E-2</v>
      </c>
      <c r="BK8" s="17">
        <f t="shared" si="29"/>
        <v>28.696690452912026</v>
      </c>
      <c r="BL8" s="17">
        <f t="shared" si="30"/>
        <v>29.661930236743164</v>
      </c>
      <c r="BM8" s="263">
        <f t="shared" si="31"/>
        <v>4.6322196240640304E-3</v>
      </c>
      <c r="BN8" s="263">
        <f t="shared" si="32"/>
        <v>5.2936118196245515E-3</v>
      </c>
      <c r="BO8" s="263">
        <f t="shared" si="33"/>
        <v>4.6579973341037062E-3</v>
      </c>
      <c r="BP8" s="263">
        <f t="shared" si="34"/>
        <v>5.3410578435228997E-3</v>
      </c>
      <c r="BQ8" s="263">
        <f t="shared" si="35"/>
        <v>-2.62020899613848E-4</v>
      </c>
      <c r="BR8" s="263">
        <f t="shared" si="36"/>
        <v>2.0015946921793468E-4</v>
      </c>
      <c r="BS8" s="18" t="e">
        <f t="shared" si="37"/>
        <v>#DIV/0!</v>
      </c>
      <c r="BT8" s="18" t="e">
        <f t="shared" si="38"/>
        <v>#DIV/0!</v>
      </c>
      <c r="BU8" s="18" t="e">
        <f t="shared" si="39"/>
        <v>#DIV/0!</v>
      </c>
      <c r="BV8" s="18" t="e">
        <f t="shared" si="40"/>
        <v>#DIV/0!</v>
      </c>
      <c r="BW8" s="19" t="e">
        <f t="shared" si="41"/>
        <v>#DIV/0!</v>
      </c>
      <c r="BX8" s="19" t="e">
        <f t="shared" si="42"/>
        <v>#DIV/0!</v>
      </c>
      <c r="BY8" s="20" t="e">
        <f t="shared" si="43"/>
        <v>#DIV/0!</v>
      </c>
      <c r="BZ8" s="18" t="e">
        <f t="shared" si="44"/>
        <v>#DIV/0!</v>
      </c>
      <c r="CA8" s="19">
        <f t="shared" si="57"/>
        <v>4.9388614429463438</v>
      </c>
      <c r="CB8" s="207">
        <f t="shared" si="58"/>
        <v>6.3118282122260467</v>
      </c>
      <c r="CC8" s="19">
        <f t="shared" si="59"/>
        <v>9.9985772639558934E-4</v>
      </c>
      <c r="CD8" s="201">
        <f t="shared" si="60"/>
        <v>1.4876579055213623E-2</v>
      </c>
      <c r="CE8" s="30">
        <f t="shared" si="45"/>
        <v>38</v>
      </c>
      <c r="CF8" s="18">
        <f t="shared" si="46"/>
        <v>61.774482758620721</v>
      </c>
      <c r="CG8" s="18">
        <f t="shared" si="46"/>
        <v>112.37931034482759</v>
      </c>
      <c r="CH8" s="18">
        <f t="shared" si="46"/>
        <v>113.43103448275862</v>
      </c>
      <c r="CI8" s="16">
        <f t="shared" si="47"/>
        <v>0.18138170498084291</v>
      </c>
      <c r="CJ8" s="16">
        <f t="shared" si="48"/>
        <v>95.224137931034477</v>
      </c>
      <c r="CK8" s="17">
        <f t="shared" si="49"/>
        <v>39.11724137931035</v>
      </c>
      <c r="CL8" s="17">
        <f t="shared" si="50"/>
        <v>73.460344827586226</v>
      </c>
      <c r="CM8" s="17">
        <f t="shared" si="51"/>
        <v>100.47068965517242</v>
      </c>
      <c r="CN8" s="17">
        <f t="shared" si="51"/>
        <v>120.95172413793104</v>
      </c>
      <c r="CO8" s="17">
        <f t="shared" si="52"/>
        <v>1.3158524904214522E-2</v>
      </c>
      <c r="CP8" s="17">
        <f t="shared" si="53"/>
        <v>29.179310344827595</v>
      </c>
      <c r="CQ8" s="263">
        <f t="shared" si="54"/>
        <v>4.9995275888133029E-3</v>
      </c>
      <c r="CR8" s="263">
        <f t="shared" si="54"/>
        <v>4.962915721844291E-3</v>
      </c>
      <c r="CS8" s="263">
        <f t="shared" si="54"/>
        <v>-3.0930715197956654E-5</v>
      </c>
      <c r="CT8" s="17" t="e">
        <f t="shared" si="54"/>
        <v>#DIV/0!</v>
      </c>
      <c r="CU8" s="17" t="e">
        <f t="shared" si="54"/>
        <v>#DIV/0!</v>
      </c>
      <c r="CV8" s="21" t="e">
        <f t="shared" si="54"/>
        <v>#DIV/0!</v>
      </c>
      <c r="CW8" s="17" t="e">
        <f t="shared" si="54"/>
        <v>#DIV/0!</v>
      </c>
      <c r="CX8" s="205">
        <f t="shared" si="55"/>
        <v>5.6253448275861953</v>
      </c>
      <c r="CY8" s="22">
        <f t="shared" si="56"/>
        <v>7.938218390804606E-3</v>
      </c>
    </row>
    <row r="9" spans="1:103" ht="11.25" customHeight="1">
      <c r="A9" s="82" t="s">
        <v>92</v>
      </c>
      <c r="B9" s="37">
        <v>40</v>
      </c>
      <c r="C9" s="255">
        <v>61.85</v>
      </c>
      <c r="D9" s="37">
        <v>112</v>
      </c>
      <c r="E9" s="37">
        <v>113</v>
      </c>
      <c r="F9" s="39">
        <v>0.18263888888888891</v>
      </c>
      <c r="G9" s="111">
        <f>220.83+8.85+22.12+35.35+52.99+39.77+61.85+57.46+119.17</f>
        <v>618.39</v>
      </c>
      <c r="H9" s="136">
        <v>161.4</v>
      </c>
      <c r="I9" s="136">
        <v>323.60000000000002</v>
      </c>
      <c r="J9" s="136">
        <v>485.8</v>
      </c>
      <c r="K9" s="136">
        <v>598.5</v>
      </c>
      <c r="L9" s="135">
        <f t="shared" si="1"/>
        <v>19.889999999999986</v>
      </c>
      <c r="M9" s="211">
        <f>123.53+30.9</f>
        <v>154.43</v>
      </c>
      <c r="N9" s="135">
        <v>41.8</v>
      </c>
      <c r="O9" s="135">
        <v>83.7</v>
      </c>
      <c r="P9" s="135">
        <v>125.6</v>
      </c>
      <c r="Q9" s="135">
        <v>155.80000000000001</v>
      </c>
      <c r="R9" s="136">
        <f t="shared" si="2"/>
        <v>-1.3700000000000045</v>
      </c>
      <c r="S9" s="212">
        <v>100</v>
      </c>
      <c r="T9" s="43">
        <v>38.6</v>
      </c>
      <c r="U9" s="43">
        <v>72.7</v>
      </c>
      <c r="V9" s="43">
        <v>99.6</v>
      </c>
      <c r="W9" s="43">
        <v>119.9</v>
      </c>
      <c r="X9" s="184">
        <v>0.57847222222222217</v>
      </c>
      <c r="Y9" s="184">
        <v>0.59097222222222223</v>
      </c>
      <c r="Z9" s="186">
        <f t="shared" si="3"/>
        <v>1.2500000000000067E-2</v>
      </c>
      <c r="AA9" s="43">
        <v>29.1</v>
      </c>
      <c r="AB9" s="260"/>
      <c r="AC9" s="260"/>
      <c r="AD9" s="260">
        <f t="shared" si="4"/>
        <v>0</v>
      </c>
      <c r="AE9" s="48"/>
      <c r="AF9" s="48"/>
      <c r="AG9" s="32"/>
      <c r="AH9" s="49"/>
      <c r="AI9" s="156">
        <v>1355.1</v>
      </c>
      <c r="AJ9" s="156">
        <v>1349.42</v>
      </c>
      <c r="AK9" s="169">
        <f t="shared" si="5"/>
        <v>5.6799999999998363</v>
      </c>
      <c r="AL9" s="191">
        <v>0.6381944444444444</v>
      </c>
      <c r="AM9" s="191">
        <v>0.64444444444444449</v>
      </c>
      <c r="AN9" s="192">
        <f t="shared" si="6"/>
        <v>6.2500000000000888E-3</v>
      </c>
      <c r="AO9" s="74">
        <f t="shared" si="7"/>
        <v>28.089877583208697</v>
      </c>
      <c r="AP9" s="15">
        <f t="shared" si="8"/>
        <v>47.910122416791303</v>
      </c>
      <c r="AQ9" s="18">
        <f t="shared" si="9"/>
        <v>61.691860138971634</v>
      </c>
      <c r="AR9" s="18">
        <f t="shared" si="10"/>
        <v>61.857105378269807</v>
      </c>
      <c r="AS9" s="15">
        <f t="shared" si="11"/>
        <v>109.94095976728137</v>
      </c>
      <c r="AT9" s="15">
        <f t="shared" si="12"/>
        <v>114.8176609223738</v>
      </c>
      <c r="AU9" s="15">
        <f t="shared" si="13"/>
        <v>111.93239626243108</v>
      </c>
      <c r="AV9" s="15">
        <f t="shared" si="14"/>
        <v>114.92967270308615</v>
      </c>
      <c r="AW9" s="16">
        <f t="shared" si="15"/>
        <v>0.17368036968193748</v>
      </c>
      <c r="AX9" s="16">
        <f t="shared" si="16"/>
        <v>0.18908304027974834</v>
      </c>
      <c r="AY9" s="16">
        <f t="shared" si="17"/>
        <v>56.437095452304185</v>
      </c>
      <c r="AZ9" s="16">
        <f t="shared" si="18"/>
        <v>134.01118040976476</v>
      </c>
      <c r="BA9" s="17">
        <f t="shared" si="19"/>
        <v>35.424087856897714</v>
      </c>
      <c r="BB9" s="17">
        <f t="shared" si="20"/>
        <v>42.810394901722987</v>
      </c>
      <c r="BC9" s="17">
        <f t="shared" si="21"/>
        <v>68.667936470774464</v>
      </c>
      <c r="BD9" s="17">
        <f t="shared" si="22"/>
        <v>78.252753184397989</v>
      </c>
      <c r="BE9" s="17">
        <f t="shared" si="23"/>
        <v>94.547228197183259</v>
      </c>
      <c r="BF9" s="17">
        <f t="shared" si="24"/>
        <v>106.39415111316158</v>
      </c>
      <c r="BG9" s="17">
        <f t="shared" si="25"/>
        <v>114.2973449594912</v>
      </c>
      <c r="BH9" s="17">
        <f t="shared" si="26"/>
        <v>127.60610331637088</v>
      </c>
      <c r="BI9" s="17">
        <f t="shared" si="27"/>
        <v>1.1625982470516784E-2</v>
      </c>
      <c r="BJ9" s="17">
        <f t="shared" si="28"/>
        <v>1.4691067337912261E-2</v>
      </c>
      <c r="BK9" s="17">
        <f t="shared" si="29"/>
        <v>28.696690452912026</v>
      </c>
      <c r="BL9" s="17">
        <f t="shared" si="30"/>
        <v>29.661930236743164</v>
      </c>
      <c r="BM9" s="263">
        <f t="shared" si="31"/>
        <v>4.6322196240640304E-3</v>
      </c>
      <c r="BN9" s="263">
        <f t="shared" si="32"/>
        <v>5.2936118196245515E-3</v>
      </c>
      <c r="BO9" s="263">
        <f t="shared" si="33"/>
        <v>4.6579973341037062E-3</v>
      </c>
      <c r="BP9" s="263">
        <f t="shared" si="34"/>
        <v>5.3410578435228997E-3</v>
      </c>
      <c r="BQ9" s="263">
        <f t="shared" si="35"/>
        <v>-2.62020899613848E-4</v>
      </c>
      <c r="BR9" s="263">
        <f t="shared" si="36"/>
        <v>2.0015946921793468E-4</v>
      </c>
      <c r="BS9" s="18" t="e">
        <f t="shared" si="37"/>
        <v>#DIV/0!</v>
      </c>
      <c r="BT9" s="18" t="e">
        <f t="shared" si="38"/>
        <v>#DIV/0!</v>
      </c>
      <c r="BU9" s="18" t="e">
        <f t="shared" si="39"/>
        <v>#DIV/0!</v>
      </c>
      <c r="BV9" s="18" t="e">
        <f t="shared" si="40"/>
        <v>#DIV/0!</v>
      </c>
      <c r="BW9" s="19" t="e">
        <f t="shared" si="41"/>
        <v>#DIV/0!</v>
      </c>
      <c r="BX9" s="19" t="e">
        <f t="shared" si="42"/>
        <v>#DIV/0!</v>
      </c>
      <c r="BY9" s="20" t="e">
        <f t="shared" si="43"/>
        <v>#DIV/0!</v>
      </c>
      <c r="BZ9" s="18" t="e">
        <f t="shared" si="44"/>
        <v>#DIV/0!</v>
      </c>
      <c r="CA9" s="19">
        <f t="shared" si="57"/>
        <v>4.9388614429463438</v>
      </c>
      <c r="CB9" s="207">
        <f t="shared" si="58"/>
        <v>6.3118282122260467</v>
      </c>
      <c r="CC9" s="19">
        <f t="shared" si="59"/>
        <v>9.9985772639558934E-4</v>
      </c>
      <c r="CD9" s="201">
        <f t="shared" si="60"/>
        <v>1.4876579055213623E-2</v>
      </c>
      <c r="CE9" s="30">
        <f t="shared" si="45"/>
        <v>38</v>
      </c>
      <c r="CF9" s="18">
        <f t="shared" ref="CF9:CF21" si="61">C$66</f>
        <v>61.774482758620721</v>
      </c>
      <c r="CG9" s="18">
        <f t="shared" ref="CG9:CG21" si="62">D$66</f>
        <v>112.37931034482759</v>
      </c>
      <c r="CH9" s="18">
        <f t="shared" ref="CH9:CH21" si="63">E$66</f>
        <v>113.43103448275862</v>
      </c>
      <c r="CI9" s="16">
        <f t="shared" si="47"/>
        <v>0.18138170498084291</v>
      </c>
      <c r="CJ9" s="16">
        <f t="shared" si="48"/>
        <v>95.224137931034477</v>
      </c>
      <c r="CK9" s="17">
        <f t="shared" si="49"/>
        <v>39.11724137931035</v>
      </c>
      <c r="CL9" s="17">
        <f t="shared" si="50"/>
        <v>73.460344827586226</v>
      </c>
      <c r="CM9" s="17">
        <f t="shared" ref="CM9:CM21" si="64">V$66</f>
        <v>100.47068965517242</v>
      </c>
      <c r="CN9" s="17">
        <f t="shared" ref="CN9:CN21" si="65">W$66</f>
        <v>120.95172413793104</v>
      </c>
      <c r="CO9" s="17">
        <f t="shared" si="52"/>
        <v>1.3158524904214522E-2</v>
      </c>
      <c r="CP9" s="17">
        <f t="shared" si="53"/>
        <v>29.179310344827595</v>
      </c>
      <c r="CQ9" s="263">
        <f t="shared" ref="CQ9:CQ21" si="66">AB$66</f>
        <v>4.9995275888133029E-3</v>
      </c>
      <c r="CR9" s="263">
        <f t="shared" ref="CR9:CR21" si="67">AC$66</f>
        <v>4.962915721844291E-3</v>
      </c>
      <c r="CS9" s="263">
        <f t="shared" ref="CS9:CS21" si="68">AD$66</f>
        <v>-3.0930715197956654E-5</v>
      </c>
      <c r="CT9" s="17" t="e">
        <f t="shared" ref="CT9:CT21" si="69">AE$66</f>
        <v>#DIV/0!</v>
      </c>
      <c r="CU9" s="17" t="e">
        <f t="shared" ref="CU9:CU21" si="70">AF$66</f>
        <v>#DIV/0!</v>
      </c>
      <c r="CV9" s="21" t="e">
        <f t="shared" ref="CV9:CV21" si="71">AG$66</f>
        <v>#DIV/0!</v>
      </c>
      <c r="CW9" s="17" t="e">
        <f t="shared" ref="CW9:CW21" si="72">AH$66</f>
        <v>#DIV/0!</v>
      </c>
      <c r="CX9" s="205">
        <f t="shared" si="55"/>
        <v>5.6253448275861953</v>
      </c>
      <c r="CY9" s="22">
        <f t="shared" si="56"/>
        <v>7.938218390804606E-3</v>
      </c>
    </row>
    <row r="10" spans="1:103" ht="11.25" customHeight="1">
      <c r="A10" s="82" t="s">
        <v>93</v>
      </c>
      <c r="B10" s="36">
        <v>38</v>
      </c>
      <c r="C10" s="256">
        <v>61.73</v>
      </c>
      <c r="D10" s="36">
        <v>112</v>
      </c>
      <c r="E10" s="36">
        <v>113</v>
      </c>
      <c r="F10" s="39">
        <v>0.18472222222222223</v>
      </c>
      <c r="G10" s="111">
        <f>220.76+8.87+22.08+35.29+52.95+39.8+61.73+57.39+119.12</f>
        <v>617.99</v>
      </c>
      <c r="H10" s="136">
        <v>161.5</v>
      </c>
      <c r="I10" s="136">
        <v>323.7</v>
      </c>
      <c r="J10" s="136">
        <v>485.9</v>
      </c>
      <c r="K10" s="136">
        <v>599.79999999999995</v>
      </c>
      <c r="L10" s="135">
        <f t="shared" si="1"/>
        <v>18.190000000000055</v>
      </c>
      <c r="M10" s="211">
        <f>123.64+30.91</f>
        <v>154.55000000000001</v>
      </c>
      <c r="N10" s="135">
        <v>41.8</v>
      </c>
      <c r="O10" s="135">
        <v>83.7</v>
      </c>
      <c r="P10" s="135">
        <v>125.6</v>
      </c>
      <c r="Q10" s="135">
        <v>156.30000000000001</v>
      </c>
      <c r="R10" s="136">
        <f t="shared" si="2"/>
        <v>-1.75</v>
      </c>
      <c r="S10" s="212">
        <v>95</v>
      </c>
      <c r="T10" s="43">
        <v>38.200000000000003</v>
      </c>
      <c r="U10" s="43">
        <v>71.8</v>
      </c>
      <c r="V10" s="43">
        <v>98.5</v>
      </c>
      <c r="W10" s="43">
        <v>118.3</v>
      </c>
      <c r="X10" s="184">
        <v>0.5805555555555556</v>
      </c>
      <c r="Y10" s="184">
        <v>0.59375</v>
      </c>
      <c r="Z10" s="186">
        <f t="shared" si="3"/>
        <v>1.3194444444444398E-2</v>
      </c>
      <c r="AA10" s="43">
        <v>29.2</v>
      </c>
      <c r="AB10" s="260"/>
      <c r="AC10" s="260"/>
      <c r="AD10" s="260">
        <f t="shared" si="4"/>
        <v>0</v>
      </c>
      <c r="AE10" s="48"/>
      <c r="AF10" s="48"/>
      <c r="AG10" s="32"/>
      <c r="AH10" s="49"/>
      <c r="AI10" s="156">
        <v>1354.82</v>
      </c>
      <c r="AJ10" s="156">
        <v>1349.3</v>
      </c>
      <c r="AK10" s="169">
        <f t="shared" si="5"/>
        <v>5.5199999999999818</v>
      </c>
      <c r="AL10" s="191">
        <v>0.6381944444444444</v>
      </c>
      <c r="AM10" s="191">
        <v>0.64583333333333337</v>
      </c>
      <c r="AN10" s="192">
        <f t="shared" si="6"/>
        <v>7.6388888888889728E-3</v>
      </c>
      <c r="AO10" s="74">
        <f t="shared" si="7"/>
        <v>28.089877583208697</v>
      </c>
      <c r="AP10" s="15">
        <f t="shared" si="8"/>
        <v>47.910122416791303</v>
      </c>
      <c r="AQ10" s="18">
        <f t="shared" si="9"/>
        <v>61.691860138971634</v>
      </c>
      <c r="AR10" s="18">
        <f t="shared" si="10"/>
        <v>61.857105378269807</v>
      </c>
      <c r="AS10" s="15">
        <f t="shared" si="11"/>
        <v>109.94095976728137</v>
      </c>
      <c r="AT10" s="15">
        <f t="shared" si="12"/>
        <v>114.8176609223738</v>
      </c>
      <c r="AU10" s="15">
        <f t="shared" si="13"/>
        <v>111.93239626243108</v>
      </c>
      <c r="AV10" s="15">
        <f t="shared" si="14"/>
        <v>114.92967270308615</v>
      </c>
      <c r="AW10" s="16">
        <f t="shared" si="15"/>
        <v>0.17368036968193748</v>
      </c>
      <c r="AX10" s="16">
        <f t="shared" si="16"/>
        <v>0.18908304027974834</v>
      </c>
      <c r="AY10" s="16">
        <f t="shared" si="17"/>
        <v>56.437095452304185</v>
      </c>
      <c r="AZ10" s="16">
        <f t="shared" si="18"/>
        <v>134.01118040976476</v>
      </c>
      <c r="BA10" s="17">
        <f t="shared" si="19"/>
        <v>35.424087856897714</v>
      </c>
      <c r="BB10" s="17">
        <f t="shared" si="20"/>
        <v>42.810394901722987</v>
      </c>
      <c r="BC10" s="17">
        <f t="shared" si="21"/>
        <v>68.667936470774464</v>
      </c>
      <c r="BD10" s="17">
        <f t="shared" si="22"/>
        <v>78.252753184397989</v>
      </c>
      <c r="BE10" s="17">
        <f t="shared" si="23"/>
        <v>94.547228197183259</v>
      </c>
      <c r="BF10" s="17">
        <f t="shared" si="24"/>
        <v>106.39415111316158</v>
      </c>
      <c r="BG10" s="17">
        <f t="shared" si="25"/>
        <v>114.2973449594912</v>
      </c>
      <c r="BH10" s="17">
        <f t="shared" si="26"/>
        <v>127.60610331637088</v>
      </c>
      <c r="BI10" s="17">
        <f t="shared" si="27"/>
        <v>1.1625982470516784E-2</v>
      </c>
      <c r="BJ10" s="17">
        <f t="shared" si="28"/>
        <v>1.4691067337912261E-2</v>
      </c>
      <c r="BK10" s="17">
        <f t="shared" si="29"/>
        <v>28.696690452912026</v>
      </c>
      <c r="BL10" s="17">
        <f t="shared" si="30"/>
        <v>29.661930236743164</v>
      </c>
      <c r="BM10" s="263">
        <f t="shared" si="31"/>
        <v>4.6322196240640304E-3</v>
      </c>
      <c r="BN10" s="263">
        <f t="shared" si="32"/>
        <v>5.2936118196245515E-3</v>
      </c>
      <c r="BO10" s="263">
        <f t="shared" si="33"/>
        <v>4.6579973341037062E-3</v>
      </c>
      <c r="BP10" s="263">
        <f t="shared" si="34"/>
        <v>5.3410578435228997E-3</v>
      </c>
      <c r="BQ10" s="263">
        <f t="shared" si="35"/>
        <v>-2.62020899613848E-4</v>
      </c>
      <c r="BR10" s="263">
        <f t="shared" si="36"/>
        <v>2.0015946921793468E-4</v>
      </c>
      <c r="BS10" s="18" t="e">
        <f t="shared" si="37"/>
        <v>#DIV/0!</v>
      </c>
      <c r="BT10" s="18" t="e">
        <f t="shared" si="38"/>
        <v>#DIV/0!</v>
      </c>
      <c r="BU10" s="18" t="e">
        <f t="shared" si="39"/>
        <v>#DIV/0!</v>
      </c>
      <c r="BV10" s="18" t="e">
        <f t="shared" si="40"/>
        <v>#DIV/0!</v>
      </c>
      <c r="BW10" s="19" t="e">
        <f t="shared" si="41"/>
        <v>#DIV/0!</v>
      </c>
      <c r="BX10" s="19" t="e">
        <f t="shared" si="42"/>
        <v>#DIV/0!</v>
      </c>
      <c r="BY10" s="20" t="e">
        <f t="shared" si="43"/>
        <v>#DIV/0!</v>
      </c>
      <c r="BZ10" s="18" t="e">
        <f t="shared" si="44"/>
        <v>#DIV/0!</v>
      </c>
      <c r="CA10" s="19">
        <f t="shared" si="57"/>
        <v>4.9388614429463438</v>
      </c>
      <c r="CB10" s="207">
        <f t="shared" si="58"/>
        <v>6.3118282122260467</v>
      </c>
      <c r="CC10" s="19">
        <f t="shared" si="59"/>
        <v>9.9985772639558934E-4</v>
      </c>
      <c r="CD10" s="201">
        <f t="shared" si="60"/>
        <v>1.4876579055213623E-2</v>
      </c>
      <c r="CE10" s="30">
        <f t="shared" si="45"/>
        <v>38</v>
      </c>
      <c r="CF10" s="18">
        <f t="shared" si="61"/>
        <v>61.774482758620721</v>
      </c>
      <c r="CG10" s="18">
        <f t="shared" si="62"/>
        <v>112.37931034482759</v>
      </c>
      <c r="CH10" s="18">
        <f t="shared" si="63"/>
        <v>113.43103448275862</v>
      </c>
      <c r="CI10" s="16">
        <f t="shared" si="47"/>
        <v>0.18138170498084291</v>
      </c>
      <c r="CJ10" s="16">
        <f t="shared" si="48"/>
        <v>95.224137931034477</v>
      </c>
      <c r="CK10" s="17">
        <f t="shared" si="49"/>
        <v>39.11724137931035</v>
      </c>
      <c r="CL10" s="17">
        <f t="shared" si="50"/>
        <v>73.460344827586226</v>
      </c>
      <c r="CM10" s="17">
        <f t="shared" si="64"/>
        <v>100.47068965517242</v>
      </c>
      <c r="CN10" s="17">
        <f t="shared" si="65"/>
        <v>120.95172413793104</v>
      </c>
      <c r="CO10" s="17">
        <f t="shared" si="52"/>
        <v>1.3158524904214522E-2</v>
      </c>
      <c r="CP10" s="17">
        <f t="shared" si="53"/>
        <v>29.179310344827595</v>
      </c>
      <c r="CQ10" s="263">
        <f t="shared" si="66"/>
        <v>4.9995275888133029E-3</v>
      </c>
      <c r="CR10" s="263">
        <f t="shared" si="67"/>
        <v>4.962915721844291E-3</v>
      </c>
      <c r="CS10" s="263">
        <f t="shared" si="68"/>
        <v>-3.0930715197956654E-5</v>
      </c>
      <c r="CT10" s="17" t="e">
        <f t="shared" si="69"/>
        <v>#DIV/0!</v>
      </c>
      <c r="CU10" s="17" t="e">
        <f t="shared" si="70"/>
        <v>#DIV/0!</v>
      </c>
      <c r="CV10" s="21" t="e">
        <f t="shared" si="71"/>
        <v>#DIV/0!</v>
      </c>
      <c r="CW10" s="17" t="e">
        <f t="shared" si="72"/>
        <v>#DIV/0!</v>
      </c>
      <c r="CX10" s="205">
        <f t="shared" si="55"/>
        <v>5.6253448275861953</v>
      </c>
      <c r="CY10" s="22">
        <f t="shared" si="56"/>
        <v>7.938218390804606E-3</v>
      </c>
    </row>
    <row r="11" spans="1:103" ht="11.25" customHeight="1">
      <c r="A11" s="82" t="s">
        <v>94</v>
      </c>
      <c r="B11" s="37">
        <v>40</v>
      </c>
      <c r="C11" s="255">
        <v>61.74</v>
      </c>
      <c r="D11" s="37">
        <v>113</v>
      </c>
      <c r="E11" s="37">
        <v>114</v>
      </c>
      <c r="F11" s="83">
        <v>0.18402777777777779</v>
      </c>
      <c r="G11" s="111">
        <f>220.71+8.88+22.07+35.36+52.96+39.82+61.74+57.38+119.23</f>
        <v>618.15</v>
      </c>
      <c r="H11" s="136">
        <v>161.19999999999999</v>
      </c>
      <c r="I11" s="136">
        <v>323.2</v>
      </c>
      <c r="J11" s="136">
        <v>485.3</v>
      </c>
      <c r="K11" s="136">
        <v>600.4</v>
      </c>
      <c r="L11" s="135">
        <f t="shared" si="1"/>
        <v>17.75</v>
      </c>
      <c r="M11" s="211">
        <f>123.67+30.92</f>
        <v>154.59</v>
      </c>
      <c r="N11" s="135">
        <v>41.8</v>
      </c>
      <c r="O11" s="135">
        <v>83.6</v>
      </c>
      <c r="P11" s="135">
        <v>125.6</v>
      </c>
      <c r="Q11" s="135">
        <v>156.30000000000001</v>
      </c>
      <c r="R11" s="136">
        <f t="shared" si="2"/>
        <v>-1.710000000000008</v>
      </c>
      <c r="S11" s="212">
        <v>98</v>
      </c>
      <c r="T11" s="43">
        <v>38.9</v>
      </c>
      <c r="U11" s="43">
        <v>71.400000000000006</v>
      </c>
      <c r="V11" s="84">
        <v>98.8</v>
      </c>
      <c r="W11" s="84">
        <v>119.2</v>
      </c>
      <c r="X11" s="185">
        <v>0.57986111111111105</v>
      </c>
      <c r="Y11" s="185">
        <v>0.59305555555555556</v>
      </c>
      <c r="Z11" s="186">
        <f t="shared" si="3"/>
        <v>1.3194444444444509E-2</v>
      </c>
      <c r="AA11" s="84">
        <v>29.2</v>
      </c>
      <c r="AB11" s="260"/>
      <c r="AC11" s="260"/>
      <c r="AD11" s="260">
        <f t="shared" si="4"/>
        <v>0</v>
      </c>
      <c r="AE11" s="69"/>
      <c r="AF11" s="69"/>
      <c r="AG11" s="33"/>
      <c r="AH11" s="50"/>
      <c r="AI11" s="156">
        <v>1355.08</v>
      </c>
      <c r="AJ11" s="156">
        <v>1349.5</v>
      </c>
      <c r="AK11" s="169">
        <f t="shared" si="5"/>
        <v>5.5799999999999272</v>
      </c>
      <c r="AL11" s="191">
        <v>0.63749999999999996</v>
      </c>
      <c r="AM11" s="191">
        <v>0.64583333333333337</v>
      </c>
      <c r="AN11" s="192">
        <f t="shared" si="6"/>
        <v>8.3333333333334147E-3</v>
      </c>
      <c r="AO11" s="74">
        <f t="shared" si="7"/>
        <v>28.089877583208697</v>
      </c>
      <c r="AP11" s="15">
        <f t="shared" si="8"/>
        <v>47.910122416791303</v>
      </c>
      <c r="AQ11" s="18">
        <f t="shared" si="9"/>
        <v>61.691860138971634</v>
      </c>
      <c r="AR11" s="18">
        <f t="shared" si="10"/>
        <v>61.857105378269807</v>
      </c>
      <c r="AS11" s="15">
        <f t="shared" si="11"/>
        <v>109.94095976728137</v>
      </c>
      <c r="AT11" s="15">
        <f t="shared" si="12"/>
        <v>114.8176609223738</v>
      </c>
      <c r="AU11" s="15">
        <f t="shared" si="13"/>
        <v>111.93239626243108</v>
      </c>
      <c r="AV11" s="15">
        <f t="shared" si="14"/>
        <v>114.92967270308615</v>
      </c>
      <c r="AW11" s="16">
        <f t="shared" si="15"/>
        <v>0.17368036968193748</v>
      </c>
      <c r="AX11" s="16">
        <f t="shared" si="16"/>
        <v>0.18908304027974834</v>
      </c>
      <c r="AY11" s="16">
        <f t="shared" si="17"/>
        <v>56.437095452304185</v>
      </c>
      <c r="AZ11" s="16">
        <f t="shared" si="18"/>
        <v>134.01118040976476</v>
      </c>
      <c r="BA11" s="17">
        <f t="shared" si="19"/>
        <v>35.424087856897714</v>
      </c>
      <c r="BB11" s="17">
        <f t="shared" si="20"/>
        <v>42.810394901722987</v>
      </c>
      <c r="BC11" s="17">
        <f t="shared" si="21"/>
        <v>68.667936470774464</v>
      </c>
      <c r="BD11" s="17">
        <f t="shared" si="22"/>
        <v>78.252753184397989</v>
      </c>
      <c r="BE11" s="17">
        <f t="shared" si="23"/>
        <v>94.547228197183259</v>
      </c>
      <c r="BF11" s="17">
        <f t="shared" si="24"/>
        <v>106.39415111316158</v>
      </c>
      <c r="BG11" s="17">
        <f t="shared" si="25"/>
        <v>114.2973449594912</v>
      </c>
      <c r="BH11" s="17">
        <f t="shared" si="26"/>
        <v>127.60610331637088</v>
      </c>
      <c r="BI11" s="17">
        <f t="shared" si="27"/>
        <v>1.1625982470516784E-2</v>
      </c>
      <c r="BJ11" s="17">
        <f t="shared" si="28"/>
        <v>1.4691067337912261E-2</v>
      </c>
      <c r="BK11" s="17">
        <f t="shared" si="29"/>
        <v>28.696690452912026</v>
      </c>
      <c r="BL11" s="17">
        <f t="shared" si="30"/>
        <v>29.661930236743164</v>
      </c>
      <c r="BM11" s="263">
        <f t="shared" si="31"/>
        <v>4.6322196240640304E-3</v>
      </c>
      <c r="BN11" s="263">
        <f t="shared" si="32"/>
        <v>5.2936118196245515E-3</v>
      </c>
      <c r="BO11" s="263">
        <f t="shared" si="33"/>
        <v>4.6579973341037062E-3</v>
      </c>
      <c r="BP11" s="263">
        <f t="shared" si="34"/>
        <v>5.3410578435228997E-3</v>
      </c>
      <c r="BQ11" s="263">
        <f t="shared" si="35"/>
        <v>-2.62020899613848E-4</v>
      </c>
      <c r="BR11" s="263">
        <f t="shared" si="36"/>
        <v>2.0015946921793468E-4</v>
      </c>
      <c r="BS11" s="18" t="e">
        <f t="shared" si="37"/>
        <v>#DIV/0!</v>
      </c>
      <c r="BT11" s="18" t="e">
        <f t="shared" si="38"/>
        <v>#DIV/0!</v>
      </c>
      <c r="BU11" s="18" t="e">
        <f t="shared" si="39"/>
        <v>#DIV/0!</v>
      </c>
      <c r="BV11" s="18" t="e">
        <f t="shared" si="40"/>
        <v>#DIV/0!</v>
      </c>
      <c r="BW11" s="19" t="e">
        <f t="shared" si="41"/>
        <v>#DIV/0!</v>
      </c>
      <c r="BX11" s="19" t="e">
        <f t="shared" si="42"/>
        <v>#DIV/0!</v>
      </c>
      <c r="BY11" s="20" t="e">
        <f t="shared" si="43"/>
        <v>#DIV/0!</v>
      </c>
      <c r="BZ11" s="18" t="e">
        <f t="shared" si="44"/>
        <v>#DIV/0!</v>
      </c>
      <c r="CA11" s="19">
        <f t="shared" si="57"/>
        <v>4.9388614429463438</v>
      </c>
      <c r="CB11" s="207">
        <f t="shared" si="58"/>
        <v>6.3118282122260467</v>
      </c>
      <c r="CC11" s="19">
        <f t="shared" si="59"/>
        <v>9.9985772639558934E-4</v>
      </c>
      <c r="CD11" s="201">
        <f t="shared" si="60"/>
        <v>1.4876579055213623E-2</v>
      </c>
      <c r="CE11" s="30">
        <f t="shared" si="45"/>
        <v>38</v>
      </c>
      <c r="CF11" s="18">
        <f t="shared" si="61"/>
        <v>61.774482758620721</v>
      </c>
      <c r="CG11" s="18">
        <f t="shared" si="62"/>
        <v>112.37931034482759</v>
      </c>
      <c r="CH11" s="18">
        <f t="shared" si="63"/>
        <v>113.43103448275862</v>
      </c>
      <c r="CI11" s="16">
        <f t="shared" si="47"/>
        <v>0.18138170498084291</v>
      </c>
      <c r="CJ11" s="16">
        <f t="shared" si="48"/>
        <v>95.224137931034477</v>
      </c>
      <c r="CK11" s="17">
        <f t="shared" si="49"/>
        <v>39.11724137931035</v>
      </c>
      <c r="CL11" s="17">
        <f t="shared" si="50"/>
        <v>73.460344827586226</v>
      </c>
      <c r="CM11" s="17">
        <f t="shared" si="64"/>
        <v>100.47068965517242</v>
      </c>
      <c r="CN11" s="17">
        <f t="shared" si="65"/>
        <v>120.95172413793104</v>
      </c>
      <c r="CO11" s="17">
        <f t="shared" si="52"/>
        <v>1.3158524904214522E-2</v>
      </c>
      <c r="CP11" s="17">
        <f t="shared" si="53"/>
        <v>29.179310344827595</v>
      </c>
      <c r="CQ11" s="263">
        <f t="shared" si="66"/>
        <v>4.9995275888133029E-3</v>
      </c>
      <c r="CR11" s="263">
        <f t="shared" si="67"/>
        <v>4.962915721844291E-3</v>
      </c>
      <c r="CS11" s="263">
        <f t="shared" si="68"/>
        <v>-3.0930715197956654E-5</v>
      </c>
      <c r="CT11" s="17" t="e">
        <f t="shared" si="69"/>
        <v>#DIV/0!</v>
      </c>
      <c r="CU11" s="17" t="e">
        <f t="shared" si="70"/>
        <v>#DIV/0!</v>
      </c>
      <c r="CV11" s="21" t="e">
        <f t="shared" si="71"/>
        <v>#DIV/0!</v>
      </c>
      <c r="CW11" s="17" t="e">
        <f t="shared" si="72"/>
        <v>#DIV/0!</v>
      </c>
      <c r="CX11" s="205">
        <f t="shared" si="55"/>
        <v>5.6253448275861953</v>
      </c>
      <c r="CY11" s="22">
        <f t="shared" si="56"/>
        <v>7.938218390804606E-3</v>
      </c>
    </row>
    <row r="12" spans="1:103" ht="11.25" customHeight="1">
      <c r="A12" s="82" t="s">
        <v>95</v>
      </c>
      <c r="B12" s="37">
        <v>40</v>
      </c>
      <c r="C12" s="255">
        <v>61.76</v>
      </c>
      <c r="D12" s="37">
        <v>112</v>
      </c>
      <c r="E12" s="37">
        <v>113</v>
      </c>
      <c r="F12" s="39">
        <v>0.17986111111111111</v>
      </c>
      <c r="G12" s="111">
        <f>220.87+8.88+22.08+35.37+53.02+39.84+61.76+57.37+119.2</f>
        <v>618.39</v>
      </c>
      <c r="H12" s="136">
        <v>161.4</v>
      </c>
      <c r="I12" s="136">
        <v>323.7</v>
      </c>
      <c r="J12" s="136">
        <v>486</v>
      </c>
      <c r="K12" s="136">
        <v>597.4</v>
      </c>
      <c r="L12" s="135">
        <f t="shared" si="1"/>
        <v>20.990000000000009</v>
      </c>
      <c r="M12" s="211">
        <f>123.61+30.91</f>
        <v>154.52000000000001</v>
      </c>
      <c r="N12" s="135">
        <v>41.8</v>
      </c>
      <c r="O12" s="135">
        <v>83.7</v>
      </c>
      <c r="P12" s="135">
        <v>125.6</v>
      </c>
      <c r="Q12" s="135">
        <v>156</v>
      </c>
      <c r="R12" s="136">
        <f t="shared" si="2"/>
        <v>-1.4799999999999898</v>
      </c>
      <c r="S12" s="212">
        <v>77</v>
      </c>
      <c r="T12" s="43">
        <v>39</v>
      </c>
      <c r="U12" s="43">
        <v>73.900000000000006</v>
      </c>
      <c r="V12" s="43">
        <v>101.4</v>
      </c>
      <c r="W12" s="43">
        <v>122.2</v>
      </c>
      <c r="X12" s="184">
        <v>0.57916666666666672</v>
      </c>
      <c r="Y12" s="184">
        <v>0.59236111111111112</v>
      </c>
      <c r="Z12" s="184">
        <f t="shared" si="3"/>
        <v>1.3194444444444398E-2</v>
      </c>
      <c r="AA12" s="43">
        <v>29.1</v>
      </c>
      <c r="AB12" s="260"/>
      <c r="AC12" s="260"/>
      <c r="AD12" s="260">
        <f t="shared" si="4"/>
        <v>0</v>
      </c>
      <c r="AE12" s="48"/>
      <c r="AF12" s="48"/>
      <c r="AG12" s="32"/>
      <c r="AH12" s="49"/>
      <c r="AI12" s="156">
        <v>1355.21</v>
      </c>
      <c r="AJ12" s="156">
        <v>1349.48</v>
      </c>
      <c r="AK12" s="169">
        <f t="shared" si="5"/>
        <v>5.7300000000000182</v>
      </c>
      <c r="AL12" s="191">
        <v>0.63749999999999996</v>
      </c>
      <c r="AM12" s="191">
        <v>0.64930555555555558</v>
      </c>
      <c r="AN12" s="192">
        <f t="shared" si="6"/>
        <v>1.1805555555555625E-2</v>
      </c>
      <c r="AO12" s="74">
        <f t="shared" si="7"/>
        <v>28.089877583208697</v>
      </c>
      <c r="AP12" s="15">
        <f t="shared" si="8"/>
        <v>47.910122416791303</v>
      </c>
      <c r="AQ12" s="18">
        <f t="shared" si="9"/>
        <v>61.691860138971634</v>
      </c>
      <c r="AR12" s="18">
        <f t="shared" si="10"/>
        <v>61.857105378269807</v>
      </c>
      <c r="AS12" s="15">
        <f t="shared" si="11"/>
        <v>109.94095976728137</v>
      </c>
      <c r="AT12" s="15">
        <f t="shared" si="12"/>
        <v>114.8176609223738</v>
      </c>
      <c r="AU12" s="15">
        <f t="shared" si="13"/>
        <v>111.93239626243108</v>
      </c>
      <c r="AV12" s="15">
        <f t="shared" si="14"/>
        <v>114.92967270308615</v>
      </c>
      <c r="AW12" s="16">
        <f t="shared" si="15"/>
        <v>0.17368036968193748</v>
      </c>
      <c r="AX12" s="16">
        <f t="shared" si="16"/>
        <v>0.18908304027974834</v>
      </c>
      <c r="AY12" s="16">
        <f t="shared" si="17"/>
        <v>56.437095452304185</v>
      </c>
      <c r="AZ12" s="16">
        <f t="shared" si="18"/>
        <v>134.01118040976476</v>
      </c>
      <c r="BA12" s="17">
        <f t="shared" si="19"/>
        <v>35.424087856897714</v>
      </c>
      <c r="BB12" s="17">
        <f t="shared" si="20"/>
        <v>42.810394901722987</v>
      </c>
      <c r="BC12" s="17">
        <f t="shared" si="21"/>
        <v>68.667936470774464</v>
      </c>
      <c r="BD12" s="17">
        <f t="shared" si="22"/>
        <v>78.252753184397989</v>
      </c>
      <c r="BE12" s="17">
        <f t="shared" si="23"/>
        <v>94.547228197183259</v>
      </c>
      <c r="BF12" s="17">
        <f t="shared" si="24"/>
        <v>106.39415111316158</v>
      </c>
      <c r="BG12" s="17">
        <f t="shared" si="25"/>
        <v>114.2973449594912</v>
      </c>
      <c r="BH12" s="17">
        <f t="shared" si="26"/>
        <v>127.60610331637088</v>
      </c>
      <c r="BI12" s="17">
        <f t="shared" si="27"/>
        <v>1.1625982470516784E-2</v>
      </c>
      <c r="BJ12" s="17">
        <f t="shared" si="28"/>
        <v>1.4691067337912261E-2</v>
      </c>
      <c r="BK12" s="17">
        <f t="shared" si="29"/>
        <v>28.696690452912026</v>
      </c>
      <c r="BL12" s="17">
        <f t="shared" si="30"/>
        <v>29.661930236743164</v>
      </c>
      <c r="BM12" s="263">
        <f t="shared" si="31"/>
        <v>4.6322196240640304E-3</v>
      </c>
      <c r="BN12" s="263">
        <f t="shared" si="32"/>
        <v>5.2936118196245515E-3</v>
      </c>
      <c r="BO12" s="263">
        <f t="shared" si="33"/>
        <v>4.6579973341037062E-3</v>
      </c>
      <c r="BP12" s="263">
        <f t="shared" si="34"/>
        <v>5.3410578435228997E-3</v>
      </c>
      <c r="BQ12" s="263">
        <f t="shared" si="35"/>
        <v>-2.62020899613848E-4</v>
      </c>
      <c r="BR12" s="263">
        <f t="shared" si="36"/>
        <v>2.0015946921793468E-4</v>
      </c>
      <c r="BS12" s="18" t="e">
        <f t="shared" si="37"/>
        <v>#DIV/0!</v>
      </c>
      <c r="BT12" s="18" t="e">
        <f t="shared" si="38"/>
        <v>#DIV/0!</v>
      </c>
      <c r="BU12" s="18" t="e">
        <f t="shared" si="39"/>
        <v>#DIV/0!</v>
      </c>
      <c r="BV12" s="18" t="e">
        <f t="shared" si="40"/>
        <v>#DIV/0!</v>
      </c>
      <c r="BW12" s="19" t="e">
        <f t="shared" si="41"/>
        <v>#DIV/0!</v>
      </c>
      <c r="BX12" s="19" t="e">
        <f t="shared" si="42"/>
        <v>#DIV/0!</v>
      </c>
      <c r="BY12" s="20" t="e">
        <f t="shared" si="43"/>
        <v>#DIV/0!</v>
      </c>
      <c r="BZ12" s="18" t="e">
        <f t="shared" si="44"/>
        <v>#DIV/0!</v>
      </c>
      <c r="CA12" s="19">
        <f t="shared" si="57"/>
        <v>4.9388614429463438</v>
      </c>
      <c r="CB12" s="207">
        <f t="shared" si="58"/>
        <v>6.3118282122260467</v>
      </c>
      <c r="CC12" s="19">
        <f t="shared" si="59"/>
        <v>9.9985772639558934E-4</v>
      </c>
      <c r="CD12" s="201">
        <f t="shared" si="60"/>
        <v>1.4876579055213623E-2</v>
      </c>
      <c r="CE12" s="30">
        <f t="shared" si="45"/>
        <v>38</v>
      </c>
      <c r="CF12" s="18">
        <f t="shared" si="61"/>
        <v>61.774482758620721</v>
      </c>
      <c r="CG12" s="18">
        <f t="shared" si="62"/>
        <v>112.37931034482759</v>
      </c>
      <c r="CH12" s="18">
        <f t="shared" si="63"/>
        <v>113.43103448275862</v>
      </c>
      <c r="CI12" s="16">
        <f t="shared" si="47"/>
        <v>0.18138170498084291</v>
      </c>
      <c r="CJ12" s="16">
        <f t="shared" si="48"/>
        <v>95.224137931034477</v>
      </c>
      <c r="CK12" s="17">
        <f t="shared" si="49"/>
        <v>39.11724137931035</v>
      </c>
      <c r="CL12" s="17">
        <f t="shared" si="50"/>
        <v>73.460344827586226</v>
      </c>
      <c r="CM12" s="17">
        <f t="shared" si="64"/>
        <v>100.47068965517242</v>
      </c>
      <c r="CN12" s="17">
        <f t="shared" si="65"/>
        <v>120.95172413793104</v>
      </c>
      <c r="CO12" s="17">
        <f t="shared" si="52"/>
        <v>1.3158524904214522E-2</v>
      </c>
      <c r="CP12" s="17">
        <f t="shared" si="53"/>
        <v>29.179310344827595</v>
      </c>
      <c r="CQ12" s="263">
        <f t="shared" si="66"/>
        <v>4.9995275888133029E-3</v>
      </c>
      <c r="CR12" s="263">
        <f t="shared" si="67"/>
        <v>4.962915721844291E-3</v>
      </c>
      <c r="CS12" s="263">
        <f t="shared" si="68"/>
        <v>-3.0930715197956654E-5</v>
      </c>
      <c r="CT12" s="17" t="e">
        <f t="shared" si="69"/>
        <v>#DIV/0!</v>
      </c>
      <c r="CU12" s="17" t="e">
        <f t="shared" si="70"/>
        <v>#DIV/0!</v>
      </c>
      <c r="CV12" s="21" t="e">
        <f t="shared" si="71"/>
        <v>#DIV/0!</v>
      </c>
      <c r="CW12" s="17" t="e">
        <f t="shared" si="72"/>
        <v>#DIV/0!</v>
      </c>
      <c r="CX12" s="205">
        <f t="shared" si="55"/>
        <v>5.6253448275861953</v>
      </c>
      <c r="CY12" s="22">
        <f t="shared" si="56"/>
        <v>7.938218390804606E-3</v>
      </c>
    </row>
    <row r="13" spans="1:103" ht="11.25" customHeight="1">
      <c r="A13" s="82" t="s">
        <v>96</v>
      </c>
      <c r="B13" s="37">
        <v>41</v>
      </c>
      <c r="C13" s="255">
        <v>61.76</v>
      </c>
      <c r="D13" s="37">
        <v>113</v>
      </c>
      <c r="E13" s="37">
        <v>114</v>
      </c>
      <c r="F13" s="39">
        <v>0.18263888888888891</v>
      </c>
      <c r="G13" s="111">
        <f>221.01+8.85+22.12+35.29+52.89+39.76+61.76+57.33+119.14</f>
        <v>618.15</v>
      </c>
      <c r="H13" s="136">
        <v>161.19999999999999</v>
      </c>
      <c r="I13" s="136">
        <v>323.39999999999998</v>
      </c>
      <c r="J13" s="136">
        <v>485.6</v>
      </c>
      <c r="K13" s="136">
        <v>600.9</v>
      </c>
      <c r="L13" s="135">
        <f t="shared" si="1"/>
        <v>17.25</v>
      </c>
      <c r="M13" s="211">
        <f>123.55+30.88</f>
        <v>154.43</v>
      </c>
      <c r="N13" s="135">
        <v>41.7</v>
      </c>
      <c r="O13" s="135">
        <v>83.6</v>
      </c>
      <c r="P13" s="135">
        <v>125.5</v>
      </c>
      <c r="Q13" s="135">
        <v>155.9</v>
      </c>
      <c r="R13" s="136">
        <f t="shared" si="2"/>
        <v>-1.4699999999999989</v>
      </c>
      <c r="S13" s="212">
        <v>100</v>
      </c>
      <c r="T13" s="43">
        <v>38</v>
      </c>
      <c r="U13" s="43">
        <v>72.599999999999994</v>
      </c>
      <c r="V13" s="43">
        <v>99.1</v>
      </c>
      <c r="W13" s="43">
        <v>119.8</v>
      </c>
      <c r="X13" s="184">
        <v>0.57847222222222217</v>
      </c>
      <c r="Y13" s="184">
        <v>0.59166666666666667</v>
      </c>
      <c r="Z13" s="184">
        <f t="shared" si="3"/>
        <v>1.3194444444444509E-2</v>
      </c>
      <c r="AA13" s="43">
        <v>29</v>
      </c>
      <c r="AB13" s="260"/>
      <c r="AC13" s="260"/>
      <c r="AD13" s="260">
        <f t="shared" si="4"/>
        <v>0</v>
      </c>
      <c r="AE13" s="48"/>
      <c r="AF13" s="48"/>
      <c r="AG13" s="38"/>
      <c r="AH13" s="58"/>
      <c r="AI13" s="158">
        <v>1354.82</v>
      </c>
      <c r="AJ13" s="158">
        <v>1349.44</v>
      </c>
      <c r="AK13" s="169">
        <f t="shared" si="5"/>
        <v>5.3799999999998818</v>
      </c>
      <c r="AL13" s="191">
        <v>0.6430555555555556</v>
      </c>
      <c r="AM13" s="191">
        <v>0.65277777777777779</v>
      </c>
      <c r="AN13" s="192">
        <f t="shared" si="6"/>
        <v>9.7222222222221877E-3</v>
      </c>
      <c r="AO13" s="74">
        <f t="shared" si="7"/>
        <v>28.089877583208697</v>
      </c>
      <c r="AP13" s="15">
        <f t="shared" si="8"/>
        <v>47.910122416791303</v>
      </c>
      <c r="AQ13" s="18">
        <f t="shared" si="9"/>
        <v>61.691860138971634</v>
      </c>
      <c r="AR13" s="18">
        <f t="shared" si="10"/>
        <v>61.857105378269807</v>
      </c>
      <c r="AS13" s="15">
        <f t="shared" si="11"/>
        <v>109.94095976728137</v>
      </c>
      <c r="AT13" s="15">
        <f t="shared" si="12"/>
        <v>114.8176609223738</v>
      </c>
      <c r="AU13" s="15">
        <f t="shared" si="13"/>
        <v>111.93239626243108</v>
      </c>
      <c r="AV13" s="15">
        <f t="shared" si="14"/>
        <v>114.92967270308615</v>
      </c>
      <c r="AW13" s="16">
        <f t="shared" si="15"/>
        <v>0.17368036968193748</v>
      </c>
      <c r="AX13" s="16">
        <f t="shared" si="16"/>
        <v>0.18908304027974834</v>
      </c>
      <c r="AY13" s="16">
        <f t="shared" si="17"/>
        <v>56.437095452304185</v>
      </c>
      <c r="AZ13" s="16">
        <f t="shared" si="18"/>
        <v>134.01118040976476</v>
      </c>
      <c r="BA13" s="17">
        <f t="shared" si="19"/>
        <v>35.424087856897714</v>
      </c>
      <c r="BB13" s="17">
        <f t="shared" si="20"/>
        <v>42.810394901722987</v>
      </c>
      <c r="BC13" s="17">
        <f t="shared" si="21"/>
        <v>68.667936470774464</v>
      </c>
      <c r="BD13" s="17">
        <f t="shared" si="22"/>
        <v>78.252753184397989</v>
      </c>
      <c r="BE13" s="17">
        <f t="shared" si="23"/>
        <v>94.547228197183259</v>
      </c>
      <c r="BF13" s="17">
        <f t="shared" si="24"/>
        <v>106.39415111316158</v>
      </c>
      <c r="BG13" s="17">
        <f t="shared" si="25"/>
        <v>114.2973449594912</v>
      </c>
      <c r="BH13" s="17">
        <f t="shared" si="26"/>
        <v>127.60610331637088</v>
      </c>
      <c r="BI13" s="17">
        <f t="shared" si="27"/>
        <v>1.1625982470516784E-2</v>
      </c>
      <c r="BJ13" s="17">
        <f t="shared" si="28"/>
        <v>1.4691067337912261E-2</v>
      </c>
      <c r="BK13" s="17">
        <f t="shared" si="29"/>
        <v>28.696690452912026</v>
      </c>
      <c r="BL13" s="17">
        <f t="shared" si="30"/>
        <v>29.661930236743164</v>
      </c>
      <c r="BM13" s="263">
        <f t="shared" si="31"/>
        <v>4.6322196240640304E-3</v>
      </c>
      <c r="BN13" s="263">
        <f t="shared" si="32"/>
        <v>5.2936118196245515E-3</v>
      </c>
      <c r="BO13" s="263">
        <f t="shared" si="33"/>
        <v>4.6579973341037062E-3</v>
      </c>
      <c r="BP13" s="263">
        <f t="shared" si="34"/>
        <v>5.3410578435228997E-3</v>
      </c>
      <c r="BQ13" s="263">
        <f t="shared" si="35"/>
        <v>-2.62020899613848E-4</v>
      </c>
      <c r="BR13" s="263">
        <f t="shared" si="36"/>
        <v>2.0015946921793468E-4</v>
      </c>
      <c r="BS13" s="18" t="e">
        <f t="shared" si="37"/>
        <v>#DIV/0!</v>
      </c>
      <c r="BT13" s="18" t="e">
        <f t="shared" si="38"/>
        <v>#DIV/0!</v>
      </c>
      <c r="BU13" s="18" t="e">
        <f t="shared" si="39"/>
        <v>#DIV/0!</v>
      </c>
      <c r="BV13" s="18" t="e">
        <f t="shared" si="40"/>
        <v>#DIV/0!</v>
      </c>
      <c r="BW13" s="19" t="e">
        <f t="shared" si="41"/>
        <v>#DIV/0!</v>
      </c>
      <c r="BX13" s="19" t="e">
        <f t="shared" si="42"/>
        <v>#DIV/0!</v>
      </c>
      <c r="BY13" s="20" t="e">
        <f t="shared" si="43"/>
        <v>#DIV/0!</v>
      </c>
      <c r="BZ13" s="18" t="e">
        <f t="shared" si="44"/>
        <v>#DIV/0!</v>
      </c>
      <c r="CA13" s="19">
        <f t="shared" si="57"/>
        <v>4.9388614429463438</v>
      </c>
      <c r="CB13" s="207">
        <f t="shared" si="58"/>
        <v>6.3118282122260467</v>
      </c>
      <c r="CC13" s="19">
        <f t="shared" si="59"/>
        <v>9.9985772639558934E-4</v>
      </c>
      <c r="CD13" s="201">
        <f t="shared" si="60"/>
        <v>1.4876579055213623E-2</v>
      </c>
      <c r="CE13" s="30">
        <f t="shared" si="45"/>
        <v>38</v>
      </c>
      <c r="CF13" s="18">
        <f t="shared" si="61"/>
        <v>61.774482758620721</v>
      </c>
      <c r="CG13" s="18">
        <f t="shared" si="62"/>
        <v>112.37931034482759</v>
      </c>
      <c r="CH13" s="18">
        <f t="shared" si="63"/>
        <v>113.43103448275862</v>
      </c>
      <c r="CI13" s="16">
        <f t="shared" si="47"/>
        <v>0.18138170498084291</v>
      </c>
      <c r="CJ13" s="16">
        <f t="shared" si="48"/>
        <v>95.224137931034477</v>
      </c>
      <c r="CK13" s="17">
        <f t="shared" si="49"/>
        <v>39.11724137931035</v>
      </c>
      <c r="CL13" s="17">
        <f t="shared" si="50"/>
        <v>73.460344827586226</v>
      </c>
      <c r="CM13" s="17">
        <f t="shared" si="64"/>
        <v>100.47068965517242</v>
      </c>
      <c r="CN13" s="17">
        <f t="shared" si="65"/>
        <v>120.95172413793104</v>
      </c>
      <c r="CO13" s="17">
        <f t="shared" si="52"/>
        <v>1.3158524904214522E-2</v>
      </c>
      <c r="CP13" s="17">
        <f t="shared" si="53"/>
        <v>29.179310344827595</v>
      </c>
      <c r="CQ13" s="263">
        <f t="shared" si="66"/>
        <v>4.9995275888133029E-3</v>
      </c>
      <c r="CR13" s="263">
        <f t="shared" si="67"/>
        <v>4.962915721844291E-3</v>
      </c>
      <c r="CS13" s="263">
        <f t="shared" si="68"/>
        <v>-3.0930715197956654E-5</v>
      </c>
      <c r="CT13" s="17" t="e">
        <f t="shared" si="69"/>
        <v>#DIV/0!</v>
      </c>
      <c r="CU13" s="17" t="e">
        <f t="shared" si="70"/>
        <v>#DIV/0!</v>
      </c>
      <c r="CV13" s="21" t="e">
        <f t="shared" si="71"/>
        <v>#DIV/0!</v>
      </c>
      <c r="CW13" s="17" t="e">
        <f t="shared" si="72"/>
        <v>#DIV/0!</v>
      </c>
      <c r="CX13" s="205">
        <f t="shared" si="55"/>
        <v>5.6253448275861953</v>
      </c>
      <c r="CY13" s="22">
        <f t="shared" si="56"/>
        <v>7.938218390804606E-3</v>
      </c>
    </row>
    <row r="14" spans="1:103" ht="11.25" customHeight="1">
      <c r="A14" s="82" t="s">
        <v>122</v>
      </c>
      <c r="B14" s="37">
        <v>38</v>
      </c>
      <c r="C14" s="255">
        <v>61.75</v>
      </c>
      <c r="D14" s="37">
        <v>113</v>
      </c>
      <c r="E14" s="37">
        <v>114</v>
      </c>
      <c r="F14" s="39">
        <v>0.18263888888888891</v>
      </c>
      <c r="G14" s="111">
        <f>220.87+8.88+22.09+35.45+52.92+39.77+61.75+57.51+119.13</f>
        <v>618.37</v>
      </c>
      <c r="H14" s="136">
        <v>161.19999999999999</v>
      </c>
      <c r="I14" s="136">
        <v>323.3</v>
      </c>
      <c r="J14" s="136">
        <v>485.3</v>
      </c>
      <c r="K14" s="136">
        <v>601.29999999999995</v>
      </c>
      <c r="L14" s="135">
        <f t="shared" si="1"/>
        <v>17.07000000000005</v>
      </c>
      <c r="M14" s="211">
        <f>123.59+30.89</f>
        <v>154.48000000000002</v>
      </c>
      <c r="N14" s="135">
        <v>41.7</v>
      </c>
      <c r="O14" s="135">
        <v>83.6</v>
      </c>
      <c r="P14" s="135">
        <v>125.5</v>
      </c>
      <c r="Q14" s="135">
        <v>156.4</v>
      </c>
      <c r="R14" s="136">
        <f t="shared" si="2"/>
        <v>-1.9199999999999875</v>
      </c>
      <c r="S14" s="212">
        <v>96</v>
      </c>
      <c r="T14" s="43">
        <v>38.200000000000003</v>
      </c>
      <c r="U14" s="43">
        <v>72.2</v>
      </c>
      <c r="V14" s="43">
        <v>98.7</v>
      </c>
      <c r="W14" s="43">
        <v>119.9</v>
      </c>
      <c r="X14" s="184">
        <v>0.57847222222222217</v>
      </c>
      <c r="Y14" s="184">
        <v>0.59097222222222223</v>
      </c>
      <c r="Z14" s="184">
        <f t="shared" si="3"/>
        <v>1.2500000000000067E-2</v>
      </c>
      <c r="AA14" s="43">
        <v>28.8</v>
      </c>
      <c r="AB14" s="260"/>
      <c r="AC14" s="260"/>
      <c r="AD14" s="260">
        <f t="shared" si="4"/>
        <v>0</v>
      </c>
      <c r="AE14" s="48"/>
      <c r="AF14" s="48"/>
      <c r="AG14" s="38"/>
      <c r="AH14" s="65"/>
      <c r="AI14" s="158">
        <v>1355.07</v>
      </c>
      <c r="AJ14" s="158">
        <v>1349.64</v>
      </c>
      <c r="AK14" s="169">
        <f t="shared" si="5"/>
        <v>5.4299999999998363</v>
      </c>
      <c r="AL14" s="191">
        <v>0.6430555555555556</v>
      </c>
      <c r="AM14" s="191">
        <v>0.64722222222222225</v>
      </c>
      <c r="AN14" s="192">
        <f t="shared" si="6"/>
        <v>4.1666666666666519E-3</v>
      </c>
      <c r="AO14" s="74">
        <f t="shared" si="7"/>
        <v>28.089877583208697</v>
      </c>
      <c r="AP14" s="15">
        <f t="shared" si="8"/>
        <v>47.910122416791303</v>
      </c>
      <c r="AQ14" s="18">
        <f t="shared" si="9"/>
        <v>61.691860138971634</v>
      </c>
      <c r="AR14" s="18">
        <f t="shared" si="10"/>
        <v>61.857105378269807</v>
      </c>
      <c r="AS14" s="15">
        <f t="shared" si="11"/>
        <v>109.94095976728137</v>
      </c>
      <c r="AT14" s="15">
        <f t="shared" si="12"/>
        <v>114.8176609223738</v>
      </c>
      <c r="AU14" s="15">
        <f t="shared" si="13"/>
        <v>111.93239626243108</v>
      </c>
      <c r="AV14" s="15">
        <f t="shared" si="14"/>
        <v>114.92967270308615</v>
      </c>
      <c r="AW14" s="16">
        <f t="shared" si="15"/>
        <v>0.17368036968193748</v>
      </c>
      <c r="AX14" s="16">
        <f t="shared" si="16"/>
        <v>0.18908304027974834</v>
      </c>
      <c r="AY14" s="16">
        <f t="shared" si="17"/>
        <v>56.437095452304185</v>
      </c>
      <c r="AZ14" s="16">
        <f t="shared" si="18"/>
        <v>134.01118040976476</v>
      </c>
      <c r="BA14" s="17">
        <f t="shared" si="19"/>
        <v>35.424087856897714</v>
      </c>
      <c r="BB14" s="17">
        <f t="shared" si="20"/>
        <v>42.810394901722987</v>
      </c>
      <c r="BC14" s="17">
        <f t="shared" si="21"/>
        <v>68.667936470774464</v>
      </c>
      <c r="BD14" s="17">
        <f t="shared" si="22"/>
        <v>78.252753184397989</v>
      </c>
      <c r="BE14" s="17">
        <f t="shared" si="23"/>
        <v>94.547228197183259</v>
      </c>
      <c r="BF14" s="17">
        <f t="shared" si="24"/>
        <v>106.39415111316158</v>
      </c>
      <c r="BG14" s="17">
        <f t="shared" si="25"/>
        <v>114.2973449594912</v>
      </c>
      <c r="BH14" s="17">
        <f t="shared" si="26"/>
        <v>127.60610331637088</v>
      </c>
      <c r="BI14" s="17">
        <f t="shared" si="27"/>
        <v>1.1625982470516784E-2</v>
      </c>
      <c r="BJ14" s="17">
        <f t="shared" si="28"/>
        <v>1.4691067337912261E-2</v>
      </c>
      <c r="BK14" s="17">
        <f t="shared" si="29"/>
        <v>28.696690452912026</v>
      </c>
      <c r="BL14" s="17">
        <f t="shared" si="30"/>
        <v>29.661930236743164</v>
      </c>
      <c r="BM14" s="263">
        <f t="shared" si="31"/>
        <v>4.6322196240640304E-3</v>
      </c>
      <c r="BN14" s="263">
        <f t="shared" si="32"/>
        <v>5.2936118196245515E-3</v>
      </c>
      <c r="BO14" s="263">
        <f t="shared" si="33"/>
        <v>4.6579973341037062E-3</v>
      </c>
      <c r="BP14" s="263">
        <f t="shared" si="34"/>
        <v>5.3410578435228997E-3</v>
      </c>
      <c r="BQ14" s="263">
        <f t="shared" si="35"/>
        <v>-2.62020899613848E-4</v>
      </c>
      <c r="BR14" s="263">
        <f t="shared" si="36"/>
        <v>2.0015946921793468E-4</v>
      </c>
      <c r="BS14" s="18" t="e">
        <f t="shared" si="37"/>
        <v>#DIV/0!</v>
      </c>
      <c r="BT14" s="18" t="e">
        <f t="shared" si="38"/>
        <v>#DIV/0!</v>
      </c>
      <c r="BU14" s="18" t="e">
        <f t="shared" si="39"/>
        <v>#DIV/0!</v>
      </c>
      <c r="BV14" s="18" t="e">
        <f t="shared" si="40"/>
        <v>#DIV/0!</v>
      </c>
      <c r="BW14" s="19" t="e">
        <f t="shared" si="41"/>
        <v>#DIV/0!</v>
      </c>
      <c r="BX14" s="19" t="e">
        <f t="shared" si="42"/>
        <v>#DIV/0!</v>
      </c>
      <c r="BY14" s="20" t="e">
        <f t="shared" si="43"/>
        <v>#DIV/0!</v>
      </c>
      <c r="BZ14" s="18" t="e">
        <f t="shared" si="44"/>
        <v>#DIV/0!</v>
      </c>
      <c r="CA14" s="19">
        <f t="shared" si="57"/>
        <v>4.9388614429463438</v>
      </c>
      <c r="CB14" s="207">
        <f t="shared" si="58"/>
        <v>6.3118282122260467</v>
      </c>
      <c r="CC14" s="19">
        <f t="shared" si="59"/>
        <v>9.9985772639558934E-4</v>
      </c>
      <c r="CD14" s="201">
        <f t="shared" si="60"/>
        <v>1.4876579055213623E-2</v>
      </c>
      <c r="CE14" s="30">
        <f t="shared" si="45"/>
        <v>38</v>
      </c>
      <c r="CF14" s="18">
        <f t="shared" si="61"/>
        <v>61.774482758620721</v>
      </c>
      <c r="CG14" s="18">
        <f t="shared" si="62"/>
        <v>112.37931034482759</v>
      </c>
      <c r="CH14" s="18">
        <f t="shared" si="63"/>
        <v>113.43103448275862</v>
      </c>
      <c r="CI14" s="16">
        <f t="shared" si="47"/>
        <v>0.18138170498084291</v>
      </c>
      <c r="CJ14" s="16">
        <f t="shared" si="48"/>
        <v>95.224137931034477</v>
      </c>
      <c r="CK14" s="17">
        <f t="shared" si="49"/>
        <v>39.11724137931035</v>
      </c>
      <c r="CL14" s="17">
        <f t="shared" si="50"/>
        <v>73.460344827586226</v>
      </c>
      <c r="CM14" s="17">
        <f t="shared" si="64"/>
        <v>100.47068965517242</v>
      </c>
      <c r="CN14" s="17">
        <f t="shared" si="65"/>
        <v>120.95172413793104</v>
      </c>
      <c r="CO14" s="17">
        <f t="shared" si="52"/>
        <v>1.3158524904214522E-2</v>
      </c>
      <c r="CP14" s="17">
        <f t="shared" si="53"/>
        <v>29.179310344827595</v>
      </c>
      <c r="CQ14" s="263">
        <f t="shared" si="66"/>
        <v>4.9995275888133029E-3</v>
      </c>
      <c r="CR14" s="263">
        <f t="shared" si="67"/>
        <v>4.962915721844291E-3</v>
      </c>
      <c r="CS14" s="263">
        <f t="shared" si="68"/>
        <v>-3.0930715197956654E-5</v>
      </c>
      <c r="CT14" s="17" t="e">
        <f t="shared" si="69"/>
        <v>#DIV/0!</v>
      </c>
      <c r="CU14" s="17" t="e">
        <f t="shared" si="70"/>
        <v>#DIV/0!</v>
      </c>
      <c r="CV14" s="21" t="e">
        <f t="shared" si="71"/>
        <v>#DIV/0!</v>
      </c>
      <c r="CW14" s="17" t="e">
        <f t="shared" si="72"/>
        <v>#DIV/0!</v>
      </c>
      <c r="CX14" s="205">
        <f t="shared" si="55"/>
        <v>5.6253448275861953</v>
      </c>
      <c r="CY14" s="22">
        <f t="shared" si="56"/>
        <v>7.938218390804606E-3</v>
      </c>
    </row>
    <row r="15" spans="1:103" ht="11.25" customHeight="1">
      <c r="A15" s="82" t="s">
        <v>124</v>
      </c>
      <c r="B15" s="37">
        <v>35</v>
      </c>
      <c r="C15" s="255">
        <v>61.77</v>
      </c>
      <c r="D15" s="37">
        <v>112</v>
      </c>
      <c r="E15" s="37">
        <v>114</v>
      </c>
      <c r="F15" s="39">
        <v>0.18194444444444444</v>
      </c>
      <c r="G15" s="113">
        <f>220.78+8.87+22.12+35.35+52.97+39.76+61.77+57.39+119.2</f>
        <v>618.21</v>
      </c>
      <c r="H15" s="135">
        <v>161.4</v>
      </c>
      <c r="I15" s="135">
        <v>323.5</v>
      </c>
      <c r="J15" s="135">
        <v>485.7</v>
      </c>
      <c r="K15" s="135">
        <v>595</v>
      </c>
      <c r="L15" s="135">
        <f t="shared" si="1"/>
        <v>23.210000000000036</v>
      </c>
      <c r="M15" s="211">
        <f>123.61+30.91</f>
        <v>154.52000000000001</v>
      </c>
      <c r="N15" s="135">
        <v>41.7</v>
      </c>
      <c r="O15" s="135">
        <v>83.6</v>
      </c>
      <c r="P15" s="135">
        <v>125.5</v>
      </c>
      <c r="Q15" s="135">
        <v>156.4</v>
      </c>
      <c r="R15" s="136">
        <f t="shared" si="2"/>
        <v>-1.8799999999999955</v>
      </c>
      <c r="S15" s="212">
        <v>101</v>
      </c>
      <c r="T15" s="43">
        <v>38.5</v>
      </c>
      <c r="U15" s="43">
        <v>73.400000000000006</v>
      </c>
      <c r="V15" s="43">
        <v>99.9</v>
      </c>
      <c r="W15" s="43">
        <v>120.5</v>
      </c>
      <c r="X15" s="184">
        <v>0.61944444444444446</v>
      </c>
      <c r="Y15" s="184">
        <v>0.63263888888888886</v>
      </c>
      <c r="Z15" s="184">
        <f t="shared" si="3"/>
        <v>1.3194444444444398E-2</v>
      </c>
      <c r="AA15" s="43">
        <v>29.3</v>
      </c>
      <c r="AB15" s="260">
        <v>4.9074074074074072E-3</v>
      </c>
      <c r="AC15" s="260">
        <v>4.8842592592592592E-3</v>
      </c>
      <c r="AD15" s="260">
        <f t="shared" si="4"/>
        <v>-2.3148148148148008E-5</v>
      </c>
      <c r="AE15" s="48"/>
      <c r="AF15" s="48"/>
      <c r="AG15" s="38"/>
      <c r="AH15" s="65"/>
      <c r="AI15" s="158">
        <v>1355.03</v>
      </c>
      <c r="AJ15" s="158">
        <v>1349.65</v>
      </c>
      <c r="AK15" s="169">
        <f t="shared" si="5"/>
        <v>5.3799999999998818</v>
      </c>
      <c r="AL15" s="191">
        <v>0.68263888888888891</v>
      </c>
      <c r="AM15" s="191">
        <v>0.69097222222222221</v>
      </c>
      <c r="AN15" s="192">
        <f t="shared" si="6"/>
        <v>8.3333333333333037E-3</v>
      </c>
      <c r="AO15" s="74">
        <f t="shared" si="7"/>
        <v>28.089877583208697</v>
      </c>
      <c r="AP15" s="15">
        <f t="shared" si="8"/>
        <v>47.910122416791303</v>
      </c>
      <c r="AQ15" s="18">
        <f t="shared" si="9"/>
        <v>61.691860138971634</v>
      </c>
      <c r="AR15" s="18">
        <f t="shared" si="10"/>
        <v>61.857105378269807</v>
      </c>
      <c r="AS15" s="15">
        <f t="shared" si="11"/>
        <v>109.94095976728137</v>
      </c>
      <c r="AT15" s="15">
        <f t="shared" si="12"/>
        <v>114.8176609223738</v>
      </c>
      <c r="AU15" s="15">
        <f t="shared" si="13"/>
        <v>111.93239626243108</v>
      </c>
      <c r="AV15" s="15">
        <f t="shared" si="14"/>
        <v>114.92967270308615</v>
      </c>
      <c r="AW15" s="16">
        <f t="shared" si="15"/>
        <v>0.17368036968193748</v>
      </c>
      <c r="AX15" s="16">
        <f t="shared" si="16"/>
        <v>0.18908304027974834</v>
      </c>
      <c r="AY15" s="16">
        <f t="shared" si="17"/>
        <v>56.437095452304185</v>
      </c>
      <c r="AZ15" s="16">
        <f t="shared" si="18"/>
        <v>134.01118040976476</v>
      </c>
      <c r="BA15" s="17">
        <f t="shared" si="19"/>
        <v>35.424087856897714</v>
      </c>
      <c r="BB15" s="17">
        <f t="shared" si="20"/>
        <v>42.810394901722987</v>
      </c>
      <c r="BC15" s="17">
        <f t="shared" si="21"/>
        <v>68.667936470774464</v>
      </c>
      <c r="BD15" s="17">
        <f t="shared" si="22"/>
        <v>78.252753184397989</v>
      </c>
      <c r="BE15" s="17">
        <f t="shared" si="23"/>
        <v>94.547228197183259</v>
      </c>
      <c r="BF15" s="17">
        <f t="shared" si="24"/>
        <v>106.39415111316158</v>
      </c>
      <c r="BG15" s="17">
        <f t="shared" si="25"/>
        <v>114.2973449594912</v>
      </c>
      <c r="BH15" s="17">
        <f t="shared" si="26"/>
        <v>127.60610331637088</v>
      </c>
      <c r="BI15" s="17">
        <f t="shared" si="27"/>
        <v>1.1625982470516784E-2</v>
      </c>
      <c r="BJ15" s="17">
        <f t="shared" si="28"/>
        <v>1.4691067337912261E-2</v>
      </c>
      <c r="BK15" s="17">
        <f t="shared" si="29"/>
        <v>28.696690452912026</v>
      </c>
      <c r="BL15" s="17">
        <f t="shared" si="30"/>
        <v>29.661930236743164</v>
      </c>
      <c r="BM15" s="263">
        <f t="shared" si="31"/>
        <v>4.6322196240640304E-3</v>
      </c>
      <c r="BN15" s="263">
        <f t="shared" si="32"/>
        <v>5.2936118196245515E-3</v>
      </c>
      <c r="BO15" s="263">
        <f t="shared" si="33"/>
        <v>4.6579973341037062E-3</v>
      </c>
      <c r="BP15" s="263">
        <f t="shared" si="34"/>
        <v>5.3410578435228997E-3</v>
      </c>
      <c r="BQ15" s="263">
        <f t="shared" si="35"/>
        <v>-2.62020899613848E-4</v>
      </c>
      <c r="BR15" s="263">
        <f t="shared" si="36"/>
        <v>2.0015946921793468E-4</v>
      </c>
      <c r="BS15" s="18" t="e">
        <f t="shared" si="37"/>
        <v>#DIV/0!</v>
      </c>
      <c r="BT15" s="18" t="e">
        <f t="shared" si="38"/>
        <v>#DIV/0!</v>
      </c>
      <c r="BU15" s="18" t="e">
        <f t="shared" si="39"/>
        <v>#DIV/0!</v>
      </c>
      <c r="BV15" s="18" t="e">
        <f t="shared" si="40"/>
        <v>#DIV/0!</v>
      </c>
      <c r="BW15" s="19" t="e">
        <f t="shared" si="41"/>
        <v>#DIV/0!</v>
      </c>
      <c r="BX15" s="19" t="e">
        <f t="shared" si="42"/>
        <v>#DIV/0!</v>
      </c>
      <c r="BY15" s="20" t="e">
        <f t="shared" si="43"/>
        <v>#DIV/0!</v>
      </c>
      <c r="BZ15" s="18" t="e">
        <f t="shared" si="44"/>
        <v>#DIV/0!</v>
      </c>
      <c r="CA15" s="19">
        <f t="shared" si="57"/>
        <v>4.9388614429463438</v>
      </c>
      <c r="CB15" s="207">
        <f t="shared" si="58"/>
        <v>6.3118282122260467</v>
      </c>
      <c r="CC15" s="19">
        <f t="shared" si="59"/>
        <v>9.9985772639558934E-4</v>
      </c>
      <c r="CD15" s="201">
        <f t="shared" si="60"/>
        <v>1.4876579055213623E-2</v>
      </c>
      <c r="CE15" s="30">
        <f t="shared" si="45"/>
        <v>38</v>
      </c>
      <c r="CF15" s="18">
        <f t="shared" si="61"/>
        <v>61.774482758620721</v>
      </c>
      <c r="CG15" s="18">
        <f t="shared" si="62"/>
        <v>112.37931034482759</v>
      </c>
      <c r="CH15" s="18">
        <f t="shared" si="63"/>
        <v>113.43103448275862</v>
      </c>
      <c r="CI15" s="16">
        <f t="shared" si="47"/>
        <v>0.18138170498084291</v>
      </c>
      <c r="CJ15" s="16">
        <f t="shared" si="48"/>
        <v>95.224137931034477</v>
      </c>
      <c r="CK15" s="17">
        <f t="shared" si="49"/>
        <v>39.11724137931035</v>
      </c>
      <c r="CL15" s="17">
        <f t="shared" si="50"/>
        <v>73.460344827586226</v>
      </c>
      <c r="CM15" s="17">
        <f t="shared" si="64"/>
        <v>100.47068965517242</v>
      </c>
      <c r="CN15" s="17">
        <f t="shared" si="65"/>
        <v>120.95172413793104</v>
      </c>
      <c r="CO15" s="17">
        <f t="shared" si="52"/>
        <v>1.3158524904214522E-2</v>
      </c>
      <c r="CP15" s="17">
        <f t="shared" si="53"/>
        <v>29.179310344827595</v>
      </c>
      <c r="CQ15" s="263">
        <f t="shared" si="66"/>
        <v>4.9995275888133029E-3</v>
      </c>
      <c r="CR15" s="263">
        <f t="shared" si="67"/>
        <v>4.962915721844291E-3</v>
      </c>
      <c r="CS15" s="263">
        <f t="shared" si="68"/>
        <v>-3.0930715197956654E-5</v>
      </c>
      <c r="CT15" s="17" t="e">
        <f t="shared" si="69"/>
        <v>#DIV/0!</v>
      </c>
      <c r="CU15" s="17" t="e">
        <f t="shared" si="70"/>
        <v>#DIV/0!</v>
      </c>
      <c r="CV15" s="21" t="e">
        <f t="shared" si="71"/>
        <v>#DIV/0!</v>
      </c>
      <c r="CW15" s="17" t="e">
        <f t="shared" si="72"/>
        <v>#DIV/0!</v>
      </c>
      <c r="CX15" s="205">
        <f t="shared" si="55"/>
        <v>5.6253448275861953</v>
      </c>
      <c r="CY15" s="22">
        <f t="shared" si="56"/>
        <v>7.938218390804606E-3</v>
      </c>
    </row>
    <row r="16" spans="1:103" ht="11.25" customHeight="1">
      <c r="A16" s="82" t="s">
        <v>125</v>
      </c>
      <c r="B16" s="37">
        <v>44</v>
      </c>
      <c r="C16" s="255">
        <v>61.84</v>
      </c>
      <c r="D16" s="37">
        <v>112</v>
      </c>
      <c r="E16" s="37">
        <v>113</v>
      </c>
      <c r="F16" s="83">
        <v>0.18263888888888891</v>
      </c>
      <c r="G16" s="113">
        <f>220.73+8.87+22.14+35.4+52.97+39.75+61.84+57.41+119.29</f>
        <v>618.4</v>
      </c>
      <c r="H16" s="135">
        <v>161</v>
      </c>
      <c r="I16" s="135">
        <v>323</v>
      </c>
      <c r="J16" s="135">
        <v>485.1</v>
      </c>
      <c r="K16" s="135">
        <v>597.70000000000005</v>
      </c>
      <c r="L16" s="135">
        <f t="shared" si="1"/>
        <v>20.699999999999932</v>
      </c>
      <c r="M16" s="211">
        <f>123.54+30.89</f>
        <v>154.43</v>
      </c>
      <c r="N16" s="135">
        <v>41.8</v>
      </c>
      <c r="O16" s="135">
        <v>83.7</v>
      </c>
      <c r="P16" s="135">
        <v>125.6</v>
      </c>
      <c r="Q16" s="135">
        <v>156.30000000000001</v>
      </c>
      <c r="R16" s="136">
        <f t="shared" si="2"/>
        <v>-1.8700000000000045</v>
      </c>
      <c r="S16" s="212">
        <v>94</v>
      </c>
      <c r="T16" s="84">
        <v>38.4</v>
      </c>
      <c r="U16" s="84">
        <v>72.8</v>
      </c>
      <c r="V16" s="84">
        <v>99.4</v>
      </c>
      <c r="W16" s="84">
        <v>119.9</v>
      </c>
      <c r="X16" s="185">
        <v>0.62013888888888891</v>
      </c>
      <c r="Y16" s="185">
        <v>0.6333333333333333</v>
      </c>
      <c r="Z16" s="184">
        <f t="shared" si="3"/>
        <v>1.3194444444444398E-2</v>
      </c>
      <c r="AA16" s="84">
        <v>28.7</v>
      </c>
      <c r="AB16" s="260">
        <v>4.9421296296296288E-3</v>
      </c>
      <c r="AC16" s="260">
        <v>4.9305555555555552E-3</v>
      </c>
      <c r="AD16" s="260">
        <f t="shared" si="4"/>
        <v>-1.157407407407357E-5</v>
      </c>
      <c r="AE16" s="69"/>
      <c r="AF16" s="69"/>
      <c r="AG16" s="66"/>
      <c r="AH16" s="50"/>
      <c r="AI16" s="158">
        <v>1355.01</v>
      </c>
      <c r="AJ16" s="158">
        <v>1349.68</v>
      </c>
      <c r="AK16" s="169">
        <f t="shared" si="5"/>
        <v>5.3299999999999272</v>
      </c>
      <c r="AL16" s="191">
        <v>0.68194444444444446</v>
      </c>
      <c r="AM16" s="191">
        <v>0.6875</v>
      </c>
      <c r="AN16" s="192">
        <f t="shared" si="6"/>
        <v>5.5555555555555358E-3</v>
      </c>
      <c r="AO16" s="74">
        <f t="shared" si="7"/>
        <v>28.089877583208697</v>
      </c>
      <c r="AP16" s="15">
        <f t="shared" si="8"/>
        <v>47.910122416791303</v>
      </c>
      <c r="AQ16" s="18">
        <f t="shared" si="9"/>
        <v>61.691860138971634</v>
      </c>
      <c r="AR16" s="18">
        <f t="shared" si="10"/>
        <v>61.857105378269807</v>
      </c>
      <c r="AS16" s="15">
        <f t="shared" si="11"/>
        <v>109.94095976728137</v>
      </c>
      <c r="AT16" s="15">
        <f t="shared" si="12"/>
        <v>114.8176609223738</v>
      </c>
      <c r="AU16" s="15">
        <f t="shared" si="13"/>
        <v>111.93239626243108</v>
      </c>
      <c r="AV16" s="15">
        <f t="shared" si="14"/>
        <v>114.92967270308615</v>
      </c>
      <c r="AW16" s="16">
        <f t="shared" si="15"/>
        <v>0.17368036968193748</v>
      </c>
      <c r="AX16" s="16">
        <f t="shared" si="16"/>
        <v>0.18908304027974834</v>
      </c>
      <c r="AY16" s="16">
        <f t="shared" si="17"/>
        <v>56.437095452304185</v>
      </c>
      <c r="AZ16" s="16">
        <f t="shared" si="18"/>
        <v>134.01118040976476</v>
      </c>
      <c r="BA16" s="17">
        <f t="shared" si="19"/>
        <v>35.424087856897714</v>
      </c>
      <c r="BB16" s="17">
        <f t="shared" si="20"/>
        <v>42.810394901722987</v>
      </c>
      <c r="BC16" s="17">
        <f t="shared" si="21"/>
        <v>68.667936470774464</v>
      </c>
      <c r="BD16" s="17">
        <f t="shared" si="22"/>
        <v>78.252753184397989</v>
      </c>
      <c r="BE16" s="17">
        <f t="shared" si="23"/>
        <v>94.547228197183259</v>
      </c>
      <c r="BF16" s="17">
        <f t="shared" si="24"/>
        <v>106.39415111316158</v>
      </c>
      <c r="BG16" s="17">
        <f t="shared" si="25"/>
        <v>114.2973449594912</v>
      </c>
      <c r="BH16" s="17">
        <f t="shared" si="26"/>
        <v>127.60610331637088</v>
      </c>
      <c r="BI16" s="17">
        <f t="shared" si="27"/>
        <v>1.1625982470516784E-2</v>
      </c>
      <c r="BJ16" s="17">
        <f t="shared" si="28"/>
        <v>1.4691067337912261E-2</v>
      </c>
      <c r="BK16" s="17">
        <f t="shared" si="29"/>
        <v>28.696690452912026</v>
      </c>
      <c r="BL16" s="17">
        <f t="shared" si="30"/>
        <v>29.661930236743164</v>
      </c>
      <c r="BM16" s="263">
        <f t="shared" si="31"/>
        <v>4.6322196240640304E-3</v>
      </c>
      <c r="BN16" s="263">
        <f t="shared" si="32"/>
        <v>5.2936118196245515E-3</v>
      </c>
      <c r="BO16" s="263">
        <f t="shared" si="33"/>
        <v>4.6579973341037062E-3</v>
      </c>
      <c r="BP16" s="263">
        <f t="shared" si="34"/>
        <v>5.3410578435228997E-3</v>
      </c>
      <c r="BQ16" s="263">
        <f t="shared" si="35"/>
        <v>-2.62020899613848E-4</v>
      </c>
      <c r="BR16" s="263">
        <f t="shared" si="36"/>
        <v>2.0015946921793468E-4</v>
      </c>
      <c r="BS16" s="18" t="e">
        <f t="shared" si="37"/>
        <v>#DIV/0!</v>
      </c>
      <c r="BT16" s="18" t="e">
        <f t="shared" si="38"/>
        <v>#DIV/0!</v>
      </c>
      <c r="BU16" s="18" t="e">
        <f t="shared" si="39"/>
        <v>#DIV/0!</v>
      </c>
      <c r="BV16" s="18" t="e">
        <f t="shared" si="40"/>
        <v>#DIV/0!</v>
      </c>
      <c r="BW16" s="19" t="e">
        <f t="shared" si="41"/>
        <v>#DIV/0!</v>
      </c>
      <c r="BX16" s="19" t="e">
        <f t="shared" si="42"/>
        <v>#DIV/0!</v>
      </c>
      <c r="BY16" s="20" t="e">
        <f t="shared" si="43"/>
        <v>#DIV/0!</v>
      </c>
      <c r="BZ16" s="18" t="e">
        <f t="shared" si="44"/>
        <v>#DIV/0!</v>
      </c>
      <c r="CA16" s="19">
        <f t="shared" si="57"/>
        <v>4.9388614429463438</v>
      </c>
      <c r="CB16" s="207">
        <f t="shared" si="58"/>
        <v>6.3118282122260467</v>
      </c>
      <c r="CC16" s="19">
        <f t="shared" si="59"/>
        <v>9.9985772639558934E-4</v>
      </c>
      <c r="CD16" s="201">
        <f t="shared" si="60"/>
        <v>1.4876579055213623E-2</v>
      </c>
      <c r="CE16" s="30">
        <f t="shared" si="45"/>
        <v>38</v>
      </c>
      <c r="CF16" s="18">
        <f t="shared" si="61"/>
        <v>61.774482758620721</v>
      </c>
      <c r="CG16" s="18">
        <f t="shared" si="62"/>
        <v>112.37931034482759</v>
      </c>
      <c r="CH16" s="18">
        <f t="shared" si="63"/>
        <v>113.43103448275862</v>
      </c>
      <c r="CI16" s="16">
        <f t="shared" si="47"/>
        <v>0.18138170498084291</v>
      </c>
      <c r="CJ16" s="16">
        <f t="shared" si="48"/>
        <v>95.224137931034477</v>
      </c>
      <c r="CK16" s="17">
        <f t="shared" si="49"/>
        <v>39.11724137931035</v>
      </c>
      <c r="CL16" s="17">
        <f t="shared" si="50"/>
        <v>73.460344827586226</v>
      </c>
      <c r="CM16" s="17">
        <f t="shared" si="64"/>
        <v>100.47068965517242</v>
      </c>
      <c r="CN16" s="17">
        <f t="shared" si="65"/>
        <v>120.95172413793104</v>
      </c>
      <c r="CO16" s="17">
        <f t="shared" si="52"/>
        <v>1.3158524904214522E-2</v>
      </c>
      <c r="CP16" s="17">
        <f t="shared" si="53"/>
        <v>29.179310344827595</v>
      </c>
      <c r="CQ16" s="263">
        <f t="shared" si="66"/>
        <v>4.9995275888133029E-3</v>
      </c>
      <c r="CR16" s="263">
        <f t="shared" si="67"/>
        <v>4.962915721844291E-3</v>
      </c>
      <c r="CS16" s="263">
        <f t="shared" si="68"/>
        <v>-3.0930715197956654E-5</v>
      </c>
      <c r="CT16" s="17" t="e">
        <f t="shared" si="69"/>
        <v>#DIV/0!</v>
      </c>
      <c r="CU16" s="17" t="e">
        <f t="shared" si="70"/>
        <v>#DIV/0!</v>
      </c>
      <c r="CV16" s="21" t="e">
        <f t="shared" si="71"/>
        <v>#DIV/0!</v>
      </c>
      <c r="CW16" s="17" t="e">
        <f t="shared" si="72"/>
        <v>#DIV/0!</v>
      </c>
      <c r="CX16" s="205">
        <f t="shared" si="55"/>
        <v>5.6253448275861953</v>
      </c>
      <c r="CY16" s="22">
        <f t="shared" si="56"/>
        <v>7.938218390804606E-3</v>
      </c>
    </row>
    <row r="17" spans="1:103" ht="11.25" customHeight="1">
      <c r="A17" s="82" t="s">
        <v>126</v>
      </c>
      <c r="B17" s="37">
        <v>36</v>
      </c>
      <c r="C17" s="255">
        <v>61.81</v>
      </c>
      <c r="D17" s="37">
        <v>112</v>
      </c>
      <c r="E17" s="37">
        <v>113</v>
      </c>
      <c r="F17" s="39">
        <v>0.18263888888888891</v>
      </c>
      <c r="G17" s="113">
        <f>220.68+8.85+22.09+35.35+52.95+39.68+61.81+57.43+119.13</f>
        <v>617.97</v>
      </c>
      <c r="H17" s="135">
        <v>160.69999999999999</v>
      </c>
      <c r="I17" s="135">
        <v>322.60000000000002</v>
      </c>
      <c r="J17" s="135">
        <v>484.5</v>
      </c>
      <c r="K17" s="135">
        <v>596.79999999999995</v>
      </c>
      <c r="L17" s="135">
        <f t="shared" si="1"/>
        <v>21.170000000000073</v>
      </c>
      <c r="M17" s="211">
        <f>30.9+123.57</f>
        <v>154.47</v>
      </c>
      <c r="N17" s="135">
        <v>41.7</v>
      </c>
      <c r="O17" s="135">
        <v>83.7</v>
      </c>
      <c r="P17" s="135">
        <v>125.6</v>
      </c>
      <c r="Q17" s="135">
        <v>156.80000000000001</v>
      </c>
      <c r="R17" s="136">
        <f t="shared" si="2"/>
        <v>-2.3300000000000125</v>
      </c>
      <c r="S17" s="212">
        <v>97</v>
      </c>
      <c r="T17" s="43">
        <v>37.799999999999997</v>
      </c>
      <c r="U17" s="43">
        <v>72.099999999999994</v>
      </c>
      <c r="V17" s="43">
        <v>99.1</v>
      </c>
      <c r="W17" s="43">
        <v>119.6</v>
      </c>
      <c r="X17" s="184">
        <v>0.62013888888888891</v>
      </c>
      <c r="Y17" s="184">
        <v>0.6333333333333333</v>
      </c>
      <c r="Z17" s="184">
        <f t="shared" si="3"/>
        <v>1.3194444444444398E-2</v>
      </c>
      <c r="AA17" s="43">
        <v>29.3</v>
      </c>
      <c r="AB17" s="260">
        <v>4.8495370370370368E-3</v>
      </c>
      <c r="AC17" s="260">
        <v>4.8148148148148152E-3</v>
      </c>
      <c r="AD17" s="260">
        <f t="shared" si="4"/>
        <v>-3.4722222222221578E-5</v>
      </c>
      <c r="AE17" s="48"/>
      <c r="AF17" s="48"/>
      <c r="AG17" s="67"/>
      <c r="AH17" s="49"/>
      <c r="AI17" s="158">
        <v>1354.68</v>
      </c>
      <c r="AJ17" s="158">
        <v>1349.39</v>
      </c>
      <c r="AK17" s="169">
        <f t="shared" si="5"/>
        <v>5.2899999999999636</v>
      </c>
      <c r="AL17" s="191">
        <v>0.68125000000000002</v>
      </c>
      <c r="AM17" s="191">
        <v>0.6875</v>
      </c>
      <c r="AN17" s="192">
        <f t="shared" si="6"/>
        <v>6.2499999999999778E-3</v>
      </c>
      <c r="AO17" s="74">
        <f t="shared" si="7"/>
        <v>28.089877583208697</v>
      </c>
      <c r="AP17" s="15">
        <f t="shared" si="8"/>
        <v>47.910122416791303</v>
      </c>
      <c r="AQ17" s="18">
        <f t="shared" si="9"/>
        <v>61.691860138971634</v>
      </c>
      <c r="AR17" s="18">
        <f t="shared" si="10"/>
        <v>61.857105378269807</v>
      </c>
      <c r="AS17" s="15">
        <f t="shared" si="11"/>
        <v>109.94095976728137</v>
      </c>
      <c r="AT17" s="15">
        <f t="shared" si="12"/>
        <v>114.8176609223738</v>
      </c>
      <c r="AU17" s="15">
        <f t="shared" si="13"/>
        <v>111.93239626243108</v>
      </c>
      <c r="AV17" s="15">
        <f t="shared" si="14"/>
        <v>114.92967270308615</v>
      </c>
      <c r="AW17" s="16">
        <f t="shared" si="15"/>
        <v>0.17368036968193748</v>
      </c>
      <c r="AX17" s="16">
        <f t="shared" si="16"/>
        <v>0.18908304027974834</v>
      </c>
      <c r="AY17" s="16">
        <f t="shared" si="17"/>
        <v>56.437095452304185</v>
      </c>
      <c r="AZ17" s="16">
        <f t="shared" si="18"/>
        <v>134.01118040976476</v>
      </c>
      <c r="BA17" s="17">
        <f t="shared" si="19"/>
        <v>35.424087856897714</v>
      </c>
      <c r="BB17" s="17">
        <f t="shared" si="20"/>
        <v>42.810394901722987</v>
      </c>
      <c r="BC17" s="17">
        <f t="shared" si="21"/>
        <v>68.667936470774464</v>
      </c>
      <c r="BD17" s="17">
        <f t="shared" si="22"/>
        <v>78.252753184397989</v>
      </c>
      <c r="BE17" s="17">
        <f t="shared" si="23"/>
        <v>94.547228197183259</v>
      </c>
      <c r="BF17" s="17">
        <f t="shared" si="24"/>
        <v>106.39415111316158</v>
      </c>
      <c r="BG17" s="17">
        <f t="shared" si="25"/>
        <v>114.2973449594912</v>
      </c>
      <c r="BH17" s="17">
        <f t="shared" si="26"/>
        <v>127.60610331637088</v>
      </c>
      <c r="BI17" s="17">
        <f t="shared" si="27"/>
        <v>1.1625982470516784E-2</v>
      </c>
      <c r="BJ17" s="17">
        <f t="shared" si="28"/>
        <v>1.4691067337912261E-2</v>
      </c>
      <c r="BK17" s="17">
        <f t="shared" si="29"/>
        <v>28.696690452912026</v>
      </c>
      <c r="BL17" s="17">
        <f t="shared" si="30"/>
        <v>29.661930236743164</v>
      </c>
      <c r="BM17" s="263">
        <f t="shared" si="31"/>
        <v>4.6322196240640304E-3</v>
      </c>
      <c r="BN17" s="263">
        <f t="shared" si="32"/>
        <v>5.2936118196245515E-3</v>
      </c>
      <c r="BO17" s="263">
        <f t="shared" si="33"/>
        <v>4.6579973341037062E-3</v>
      </c>
      <c r="BP17" s="263">
        <f t="shared" si="34"/>
        <v>5.3410578435228997E-3</v>
      </c>
      <c r="BQ17" s="263">
        <f t="shared" si="35"/>
        <v>-2.62020899613848E-4</v>
      </c>
      <c r="BR17" s="263">
        <f t="shared" si="36"/>
        <v>2.0015946921793468E-4</v>
      </c>
      <c r="BS17" s="18" t="e">
        <f t="shared" si="37"/>
        <v>#DIV/0!</v>
      </c>
      <c r="BT17" s="18" t="e">
        <f t="shared" si="38"/>
        <v>#DIV/0!</v>
      </c>
      <c r="BU17" s="18" t="e">
        <f t="shared" si="39"/>
        <v>#DIV/0!</v>
      </c>
      <c r="BV17" s="18" t="e">
        <f t="shared" si="40"/>
        <v>#DIV/0!</v>
      </c>
      <c r="BW17" s="19" t="e">
        <f t="shared" si="41"/>
        <v>#DIV/0!</v>
      </c>
      <c r="BX17" s="19" t="e">
        <f t="shared" si="42"/>
        <v>#DIV/0!</v>
      </c>
      <c r="BY17" s="20" t="e">
        <f t="shared" si="43"/>
        <v>#DIV/0!</v>
      </c>
      <c r="BZ17" s="18" t="e">
        <f t="shared" si="44"/>
        <v>#DIV/0!</v>
      </c>
      <c r="CA17" s="19">
        <f t="shared" si="57"/>
        <v>4.9388614429463438</v>
      </c>
      <c r="CB17" s="207">
        <f t="shared" si="58"/>
        <v>6.3118282122260467</v>
      </c>
      <c r="CC17" s="19">
        <f t="shared" si="59"/>
        <v>9.9985772639558934E-4</v>
      </c>
      <c r="CD17" s="201">
        <f t="shared" si="60"/>
        <v>1.4876579055213623E-2</v>
      </c>
      <c r="CE17" s="30">
        <f t="shared" si="45"/>
        <v>38</v>
      </c>
      <c r="CF17" s="18">
        <f t="shared" si="61"/>
        <v>61.774482758620721</v>
      </c>
      <c r="CG17" s="18">
        <f t="shared" si="62"/>
        <v>112.37931034482759</v>
      </c>
      <c r="CH17" s="18">
        <f t="shared" si="63"/>
        <v>113.43103448275862</v>
      </c>
      <c r="CI17" s="16">
        <f t="shared" si="47"/>
        <v>0.18138170498084291</v>
      </c>
      <c r="CJ17" s="16">
        <f t="shared" si="48"/>
        <v>95.224137931034477</v>
      </c>
      <c r="CK17" s="17">
        <f t="shared" si="49"/>
        <v>39.11724137931035</v>
      </c>
      <c r="CL17" s="17">
        <f t="shared" si="50"/>
        <v>73.460344827586226</v>
      </c>
      <c r="CM17" s="17">
        <f t="shared" si="64"/>
        <v>100.47068965517242</v>
      </c>
      <c r="CN17" s="17">
        <f t="shared" si="65"/>
        <v>120.95172413793104</v>
      </c>
      <c r="CO17" s="17">
        <f t="shared" si="52"/>
        <v>1.3158524904214522E-2</v>
      </c>
      <c r="CP17" s="17">
        <f t="shared" si="53"/>
        <v>29.179310344827595</v>
      </c>
      <c r="CQ17" s="263">
        <f t="shared" si="66"/>
        <v>4.9995275888133029E-3</v>
      </c>
      <c r="CR17" s="263">
        <f t="shared" si="67"/>
        <v>4.962915721844291E-3</v>
      </c>
      <c r="CS17" s="263">
        <f t="shared" si="68"/>
        <v>-3.0930715197956654E-5</v>
      </c>
      <c r="CT17" s="17" t="e">
        <f t="shared" si="69"/>
        <v>#DIV/0!</v>
      </c>
      <c r="CU17" s="17" t="e">
        <f t="shared" si="70"/>
        <v>#DIV/0!</v>
      </c>
      <c r="CV17" s="21" t="e">
        <f t="shared" si="71"/>
        <v>#DIV/0!</v>
      </c>
      <c r="CW17" s="17" t="e">
        <f t="shared" si="72"/>
        <v>#DIV/0!</v>
      </c>
      <c r="CX17" s="205">
        <f t="shared" si="55"/>
        <v>5.6253448275861953</v>
      </c>
      <c r="CY17" s="22">
        <f t="shared" si="56"/>
        <v>7.938218390804606E-3</v>
      </c>
    </row>
    <row r="18" spans="1:103" ht="11.25" customHeight="1">
      <c r="A18" s="82" t="s">
        <v>127</v>
      </c>
      <c r="B18" s="37">
        <v>37</v>
      </c>
      <c r="C18" s="255">
        <v>61.76</v>
      </c>
      <c r="D18" s="37">
        <v>112</v>
      </c>
      <c r="E18" s="37">
        <v>113</v>
      </c>
      <c r="F18" s="39">
        <v>0.18263888888888891</v>
      </c>
      <c r="G18" s="113">
        <f>220.76+8.86+22.09+35.37+52.98+39.75+61.76+57.42+119.09</f>
        <v>618.08000000000004</v>
      </c>
      <c r="H18" s="135">
        <v>161</v>
      </c>
      <c r="I18" s="135">
        <v>323</v>
      </c>
      <c r="J18" s="135">
        <v>484.7</v>
      </c>
      <c r="K18" s="135">
        <v>597.20000000000005</v>
      </c>
      <c r="L18" s="135">
        <f t="shared" si="1"/>
        <v>20.879999999999995</v>
      </c>
      <c r="M18" s="211">
        <f>30.87+123.57</f>
        <v>154.44</v>
      </c>
      <c r="N18" s="135">
        <v>41.8</v>
      </c>
      <c r="O18" s="135">
        <v>83.8</v>
      </c>
      <c r="P18" s="135">
        <v>125.5</v>
      </c>
      <c r="Q18" s="135">
        <v>156.6</v>
      </c>
      <c r="R18" s="136">
        <f t="shared" si="2"/>
        <v>-2.1599999999999966</v>
      </c>
      <c r="S18" s="212">
        <v>100</v>
      </c>
      <c r="T18" s="43">
        <v>38.299999999999997</v>
      </c>
      <c r="U18" s="43">
        <v>72.7</v>
      </c>
      <c r="V18" s="43">
        <v>99.4</v>
      </c>
      <c r="W18" s="43">
        <v>119.9</v>
      </c>
      <c r="X18" s="184">
        <v>0.62013888888888891</v>
      </c>
      <c r="Y18" s="184">
        <v>0.6333333333333333</v>
      </c>
      <c r="Z18" s="184">
        <f t="shared" si="3"/>
        <v>1.3194444444444398E-2</v>
      </c>
      <c r="AA18" s="43">
        <v>29.2</v>
      </c>
      <c r="AB18" s="260">
        <v>4.8611111111111112E-3</v>
      </c>
      <c r="AC18" s="260">
        <v>4.8726851851851856E-3</v>
      </c>
      <c r="AD18" s="260">
        <f t="shared" si="4"/>
        <v>1.1574074074074438E-5</v>
      </c>
      <c r="AE18" s="48"/>
      <c r="AF18" s="48"/>
      <c r="AG18" s="67"/>
      <c r="AH18" s="49"/>
      <c r="AI18" s="158">
        <v>1354.78</v>
      </c>
      <c r="AJ18" s="158">
        <v>1349.33</v>
      </c>
      <c r="AK18" s="169">
        <f t="shared" si="5"/>
        <v>5.4500000000000455</v>
      </c>
      <c r="AL18" s="191">
        <v>0.68055555555555547</v>
      </c>
      <c r="AM18" s="191">
        <v>0.69097222222222221</v>
      </c>
      <c r="AN18" s="192">
        <f t="shared" si="6"/>
        <v>1.0416666666666741E-2</v>
      </c>
      <c r="AO18" s="74">
        <f t="shared" si="7"/>
        <v>28.089877583208697</v>
      </c>
      <c r="AP18" s="15">
        <f t="shared" si="8"/>
        <v>47.910122416791303</v>
      </c>
      <c r="AQ18" s="18">
        <f t="shared" si="9"/>
        <v>61.691860138971634</v>
      </c>
      <c r="AR18" s="18">
        <f t="shared" si="10"/>
        <v>61.857105378269807</v>
      </c>
      <c r="AS18" s="15">
        <f t="shared" si="11"/>
        <v>109.94095976728137</v>
      </c>
      <c r="AT18" s="15">
        <f t="shared" si="12"/>
        <v>114.8176609223738</v>
      </c>
      <c r="AU18" s="15">
        <f t="shared" si="13"/>
        <v>111.93239626243108</v>
      </c>
      <c r="AV18" s="15">
        <f t="shared" si="14"/>
        <v>114.92967270308615</v>
      </c>
      <c r="AW18" s="16">
        <f t="shared" si="15"/>
        <v>0.17368036968193748</v>
      </c>
      <c r="AX18" s="16">
        <f t="shared" si="16"/>
        <v>0.18908304027974834</v>
      </c>
      <c r="AY18" s="16">
        <f t="shared" si="17"/>
        <v>56.437095452304185</v>
      </c>
      <c r="AZ18" s="16">
        <f t="shared" si="18"/>
        <v>134.01118040976476</v>
      </c>
      <c r="BA18" s="17">
        <f t="shared" si="19"/>
        <v>35.424087856897714</v>
      </c>
      <c r="BB18" s="17">
        <f t="shared" si="20"/>
        <v>42.810394901722987</v>
      </c>
      <c r="BC18" s="17">
        <f t="shared" si="21"/>
        <v>68.667936470774464</v>
      </c>
      <c r="BD18" s="17">
        <f t="shared" si="22"/>
        <v>78.252753184397989</v>
      </c>
      <c r="BE18" s="17">
        <f t="shared" si="23"/>
        <v>94.547228197183259</v>
      </c>
      <c r="BF18" s="17">
        <f t="shared" si="24"/>
        <v>106.39415111316158</v>
      </c>
      <c r="BG18" s="17">
        <f t="shared" si="25"/>
        <v>114.2973449594912</v>
      </c>
      <c r="BH18" s="17">
        <f t="shared" si="26"/>
        <v>127.60610331637088</v>
      </c>
      <c r="BI18" s="17">
        <f t="shared" si="27"/>
        <v>1.1625982470516784E-2</v>
      </c>
      <c r="BJ18" s="17">
        <f t="shared" si="28"/>
        <v>1.4691067337912261E-2</v>
      </c>
      <c r="BK18" s="17">
        <f t="shared" si="29"/>
        <v>28.696690452912026</v>
      </c>
      <c r="BL18" s="17">
        <f t="shared" si="30"/>
        <v>29.661930236743164</v>
      </c>
      <c r="BM18" s="263">
        <f t="shared" si="31"/>
        <v>4.6322196240640304E-3</v>
      </c>
      <c r="BN18" s="263">
        <f t="shared" si="32"/>
        <v>5.2936118196245515E-3</v>
      </c>
      <c r="BO18" s="263">
        <f t="shared" si="33"/>
        <v>4.6579973341037062E-3</v>
      </c>
      <c r="BP18" s="263">
        <f t="shared" si="34"/>
        <v>5.3410578435228997E-3</v>
      </c>
      <c r="BQ18" s="263">
        <f t="shared" si="35"/>
        <v>-2.62020899613848E-4</v>
      </c>
      <c r="BR18" s="263">
        <f t="shared" si="36"/>
        <v>2.0015946921793468E-4</v>
      </c>
      <c r="BS18" s="18" t="e">
        <f t="shared" si="37"/>
        <v>#DIV/0!</v>
      </c>
      <c r="BT18" s="18" t="e">
        <f t="shared" si="38"/>
        <v>#DIV/0!</v>
      </c>
      <c r="BU18" s="18" t="e">
        <f t="shared" si="39"/>
        <v>#DIV/0!</v>
      </c>
      <c r="BV18" s="18" t="e">
        <f t="shared" si="40"/>
        <v>#DIV/0!</v>
      </c>
      <c r="BW18" s="19" t="e">
        <f t="shared" si="41"/>
        <v>#DIV/0!</v>
      </c>
      <c r="BX18" s="19" t="e">
        <f t="shared" si="42"/>
        <v>#DIV/0!</v>
      </c>
      <c r="BY18" s="20" t="e">
        <f t="shared" si="43"/>
        <v>#DIV/0!</v>
      </c>
      <c r="BZ18" s="18" t="e">
        <f t="shared" si="44"/>
        <v>#DIV/0!</v>
      </c>
      <c r="CA18" s="19">
        <f t="shared" si="57"/>
        <v>4.9388614429463438</v>
      </c>
      <c r="CB18" s="207">
        <f t="shared" si="58"/>
        <v>6.3118282122260467</v>
      </c>
      <c r="CC18" s="19">
        <f t="shared" si="59"/>
        <v>9.9985772639558934E-4</v>
      </c>
      <c r="CD18" s="201">
        <f t="shared" si="60"/>
        <v>1.4876579055213623E-2</v>
      </c>
      <c r="CE18" s="30">
        <f t="shared" si="45"/>
        <v>38</v>
      </c>
      <c r="CF18" s="18">
        <f t="shared" si="61"/>
        <v>61.774482758620721</v>
      </c>
      <c r="CG18" s="18">
        <f t="shared" si="62"/>
        <v>112.37931034482759</v>
      </c>
      <c r="CH18" s="18">
        <f t="shared" si="63"/>
        <v>113.43103448275862</v>
      </c>
      <c r="CI18" s="16">
        <f t="shared" si="47"/>
        <v>0.18138170498084291</v>
      </c>
      <c r="CJ18" s="16">
        <f t="shared" si="48"/>
        <v>95.224137931034477</v>
      </c>
      <c r="CK18" s="17">
        <f t="shared" si="49"/>
        <v>39.11724137931035</v>
      </c>
      <c r="CL18" s="17">
        <f t="shared" si="50"/>
        <v>73.460344827586226</v>
      </c>
      <c r="CM18" s="17">
        <f t="shared" si="64"/>
        <v>100.47068965517242</v>
      </c>
      <c r="CN18" s="17">
        <f t="shared" si="65"/>
        <v>120.95172413793104</v>
      </c>
      <c r="CO18" s="17">
        <f t="shared" si="52"/>
        <v>1.3158524904214522E-2</v>
      </c>
      <c r="CP18" s="17">
        <f t="shared" si="53"/>
        <v>29.179310344827595</v>
      </c>
      <c r="CQ18" s="263">
        <f t="shared" si="66"/>
        <v>4.9995275888133029E-3</v>
      </c>
      <c r="CR18" s="263">
        <f t="shared" si="67"/>
        <v>4.962915721844291E-3</v>
      </c>
      <c r="CS18" s="263">
        <f t="shared" si="68"/>
        <v>-3.0930715197956654E-5</v>
      </c>
      <c r="CT18" s="17" t="e">
        <f t="shared" si="69"/>
        <v>#DIV/0!</v>
      </c>
      <c r="CU18" s="17" t="e">
        <f t="shared" si="70"/>
        <v>#DIV/0!</v>
      </c>
      <c r="CV18" s="21" t="e">
        <f t="shared" si="71"/>
        <v>#DIV/0!</v>
      </c>
      <c r="CW18" s="17" t="e">
        <f t="shared" si="72"/>
        <v>#DIV/0!</v>
      </c>
      <c r="CX18" s="205">
        <f t="shared" si="55"/>
        <v>5.6253448275861953</v>
      </c>
      <c r="CY18" s="22">
        <f t="shared" si="56"/>
        <v>7.938218390804606E-3</v>
      </c>
    </row>
    <row r="19" spans="1:103" ht="11.25" customHeight="1">
      <c r="A19" s="82" t="s">
        <v>128</v>
      </c>
      <c r="B19" s="37">
        <v>32</v>
      </c>
      <c r="C19" s="255">
        <v>61.78</v>
      </c>
      <c r="D19" s="37">
        <v>112</v>
      </c>
      <c r="E19" s="37">
        <v>113</v>
      </c>
      <c r="F19" s="39">
        <v>0.18333333333333335</v>
      </c>
      <c r="G19" s="269">
        <f>1355.06-123.63-30.87-582.28</f>
        <v>618.28</v>
      </c>
      <c r="H19" s="135">
        <v>160.9</v>
      </c>
      <c r="I19" s="135">
        <v>322.5</v>
      </c>
      <c r="J19" s="135">
        <v>484.1</v>
      </c>
      <c r="K19" s="135">
        <v>599.6</v>
      </c>
      <c r="L19" s="135">
        <f t="shared" si="1"/>
        <v>18.67999999999995</v>
      </c>
      <c r="M19" s="211">
        <f>123.63+30.87</f>
        <v>154.5</v>
      </c>
      <c r="N19" s="135">
        <v>41.7</v>
      </c>
      <c r="O19" s="135">
        <v>83.6</v>
      </c>
      <c r="P19" s="135">
        <v>125.5</v>
      </c>
      <c r="Q19" s="135">
        <v>157</v>
      </c>
      <c r="R19" s="136">
        <f t="shared" si="2"/>
        <v>-2.5</v>
      </c>
      <c r="S19" s="212">
        <v>81</v>
      </c>
      <c r="T19" s="43">
        <v>38.1</v>
      </c>
      <c r="U19" s="43">
        <v>72.599999999999994</v>
      </c>
      <c r="V19" s="43">
        <v>99</v>
      </c>
      <c r="W19" s="43">
        <v>119.5</v>
      </c>
      <c r="X19" s="184">
        <v>0.62083333333333335</v>
      </c>
      <c r="Y19" s="184">
        <v>0.63402777777777775</v>
      </c>
      <c r="Z19" s="184">
        <f t="shared" si="3"/>
        <v>1.3194444444444398E-2</v>
      </c>
      <c r="AA19" s="43">
        <v>29.2</v>
      </c>
      <c r="AB19" s="260">
        <v>4.8958333333333328E-3</v>
      </c>
      <c r="AC19" s="260">
        <v>4.7106481481481478E-3</v>
      </c>
      <c r="AD19" s="260">
        <f t="shared" si="4"/>
        <v>-1.8518518518518493E-4</v>
      </c>
      <c r="AE19" s="48"/>
      <c r="AF19" s="48"/>
      <c r="AG19" s="67"/>
      <c r="AH19" s="49"/>
      <c r="AI19" s="158">
        <v>1355.06</v>
      </c>
      <c r="AJ19" s="158">
        <v>1349.59</v>
      </c>
      <c r="AK19" s="169">
        <f t="shared" si="5"/>
        <v>5.4700000000000273</v>
      </c>
      <c r="AL19" s="191">
        <v>0.6791666666666667</v>
      </c>
      <c r="AM19" s="191">
        <v>0.68611111111111101</v>
      </c>
      <c r="AN19" s="192">
        <f t="shared" si="6"/>
        <v>6.9444444444443088E-3</v>
      </c>
      <c r="AO19" s="74">
        <f t="shared" si="7"/>
        <v>28.089877583208697</v>
      </c>
      <c r="AP19" s="15">
        <f t="shared" si="8"/>
        <v>47.910122416791303</v>
      </c>
      <c r="AQ19" s="18">
        <f t="shared" si="9"/>
        <v>61.691860138971634</v>
      </c>
      <c r="AR19" s="18">
        <f t="shared" si="10"/>
        <v>61.857105378269807</v>
      </c>
      <c r="AS19" s="15">
        <f t="shared" si="11"/>
        <v>109.94095976728137</v>
      </c>
      <c r="AT19" s="15">
        <f t="shared" si="12"/>
        <v>114.8176609223738</v>
      </c>
      <c r="AU19" s="15">
        <f t="shared" si="13"/>
        <v>111.93239626243108</v>
      </c>
      <c r="AV19" s="15">
        <f t="shared" si="14"/>
        <v>114.92967270308615</v>
      </c>
      <c r="AW19" s="16">
        <f t="shared" si="15"/>
        <v>0.17368036968193748</v>
      </c>
      <c r="AX19" s="16">
        <f t="shared" si="16"/>
        <v>0.18908304027974834</v>
      </c>
      <c r="AY19" s="16">
        <f t="shared" si="17"/>
        <v>56.437095452304185</v>
      </c>
      <c r="AZ19" s="16">
        <f t="shared" si="18"/>
        <v>134.01118040976476</v>
      </c>
      <c r="BA19" s="17">
        <f t="shared" si="19"/>
        <v>35.424087856897714</v>
      </c>
      <c r="BB19" s="17">
        <f t="shared" si="20"/>
        <v>42.810394901722987</v>
      </c>
      <c r="BC19" s="17">
        <f t="shared" si="21"/>
        <v>68.667936470774464</v>
      </c>
      <c r="BD19" s="17">
        <f t="shared" si="22"/>
        <v>78.252753184397989</v>
      </c>
      <c r="BE19" s="17">
        <f t="shared" si="23"/>
        <v>94.547228197183259</v>
      </c>
      <c r="BF19" s="17">
        <f t="shared" si="24"/>
        <v>106.39415111316158</v>
      </c>
      <c r="BG19" s="17">
        <f t="shared" si="25"/>
        <v>114.2973449594912</v>
      </c>
      <c r="BH19" s="17">
        <f t="shared" si="26"/>
        <v>127.60610331637088</v>
      </c>
      <c r="BI19" s="17">
        <f t="shared" si="27"/>
        <v>1.1625982470516784E-2</v>
      </c>
      <c r="BJ19" s="17">
        <f t="shared" si="28"/>
        <v>1.4691067337912261E-2</v>
      </c>
      <c r="BK19" s="17">
        <f t="shared" si="29"/>
        <v>28.696690452912026</v>
      </c>
      <c r="BL19" s="17">
        <f t="shared" si="30"/>
        <v>29.661930236743164</v>
      </c>
      <c r="BM19" s="263">
        <f t="shared" si="31"/>
        <v>4.6322196240640304E-3</v>
      </c>
      <c r="BN19" s="263">
        <f t="shared" si="32"/>
        <v>5.2936118196245515E-3</v>
      </c>
      <c r="BO19" s="263">
        <f t="shared" si="33"/>
        <v>4.6579973341037062E-3</v>
      </c>
      <c r="BP19" s="263">
        <f t="shared" si="34"/>
        <v>5.3410578435228997E-3</v>
      </c>
      <c r="BQ19" s="263">
        <f t="shared" si="35"/>
        <v>-2.62020899613848E-4</v>
      </c>
      <c r="BR19" s="263">
        <f t="shared" si="36"/>
        <v>2.0015946921793468E-4</v>
      </c>
      <c r="BS19" s="18" t="e">
        <f t="shared" si="37"/>
        <v>#DIV/0!</v>
      </c>
      <c r="BT19" s="18" t="e">
        <f t="shared" si="38"/>
        <v>#DIV/0!</v>
      </c>
      <c r="BU19" s="18" t="e">
        <f t="shared" si="39"/>
        <v>#DIV/0!</v>
      </c>
      <c r="BV19" s="18" t="e">
        <f t="shared" si="40"/>
        <v>#DIV/0!</v>
      </c>
      <c r="BW19" s="19" t="e">
        <f t="shared" si="41"/>
        <v>#DIV/0!</v>
      </c>
      <c r="BX19" s="19" t="e">
        <f t="shared" si="42"/>
        <v>#DIV/0!</v>
      </c>
      <c r="BY19" s="20" t="e">
        <f t="shared" si="43"/>
        <v>#DIV/0!</v>
      </c>
      <c r="BZ19" s="18" t="e">
        <f t="shared" si="44"/>
        <v>#DIV/0!</v>
      </c>
      <c r="CA19" s="19">
        <f t="shared" si="57"/>
        <v>4.9388614429463438</v>
      </c>
      <c r="CB19" s="207">
        <f t="shared" si="58"/>
        <v>6.3118282122260467</v>
      </c>
      <c r="CC19" s="19">
        <f t="shared" si="59"/>
        <v>9.9985772639558934E-4</v>
      </c>
      <c r="CD19" s="201">
        <f t="shared" si="60"/>
        <v>1.4876579055213623E-2</v>
      </c>
      <c r="CE19" s="30">
        <f t="shared" si="45"/>
        <v>38</v>
      </c>
      <c r="CF19" s="18">
        <f t="shared" si="61"/>
        <v>61.774482758620721</v>
      </c>
      <c r="CG19" s="18">
        <f t="shared" si="62"/>
        <v>112.37931034482759</v>
      </c>
      <c r="CH19" s="18">
        <f t="shared" si="63"/>
        <v>113.43103448275862</v>
      </c>
      <c r="CI19" s="16">
        <f t="shared" si="47"/>
        <v>0.18138170498084291</v>
      </c>
      <c r="CJ19" s="16">
        <f t="shared" si="48"/>
        <v>95.224137931034477</v>
      </c>
      <c r="CK19" s="17">
        <f t="shared" si="49"/>
        <v>39.11724137931035</v>
      </c>
      <c r="CL19" s="17">
        <f t="shared" si="50"/>
        <v>73.460344827586226</v>
      </c>
      <c r="CM19" s="17">
        <f t="shared" si="64"/>
        <v>100.47068965517242</v>
      </c>
      <c r="CN19" s="17">
        <f t="shared" si="65"/>
        <v>120.95172413793104</v>
      </c>
      <c r="CO19" s="17">
        <f t="shared" si="52"/>
        <v>1.3158524904214522E-2</v>
      </c>
      <c r="CP19" s="17">
        <f t="shared" si="53"/>
        <v>29.179310344827595</v>
      </c>
      <c r="CQ19" s="263">
        <f t="shared" si="66"/>
        <v>4.9995275888133029E-3</v>
      </c>
      <c r="CR19" s="263">
        <f t="shared" si="67"/>
        <v>4.962915721844291E-3</v>
      </c>
      <c r="CS19" s="263">
        <f t="shared" si="68"/>
        <v>-3.0930715197956654E-5</v>
      </c>
      <c r="CT19" s="17" t="e">
        <f t="shared" si="69"/>
        <v>#DIV/0!</v>
      </c>
      <c r="CU19" s="17" t="e">
        <f t="shared" si="70"/>
        <v>#DIV/0!</v>
      </c>
      <c r="CV19" s="21" t="e">
        <f t="shared" si="71"/>
        <v>#DIV/0!</v>
      </c>
      <c r="CW19" s="17" t="e">
        <f t="shared" si="72"/>
        <v>#DIV/0!</v>
      </c>
      <c r="CX19" s="205">
        <f t="shared" si="55"/>
        <v>5.6253448275861953</v>
      </c>
      <c r="CY19" s="22">
        <f t="shared" si="56"/>
        <v>7.938218390804606E-3</v>
      </c>
    </row>
    <row r="20" spans="1:103" ht="11.25" customHeight="1">
      <c r="A20" s="82" t="s">
        <v>129</v>
      </c>
      <c r="B20" s="37">
        <v>35</v>
      </c>
      <c r="C20" s="255">
        <v>61.77</v>
      </c>
      <c r="D20" s="37">
        <v>112</v>
      </c>
      <c r="E20" s="37">
        <v>114</v>
      </c>
      <c r="F20" s="39">
        <v>0.18124999999999999</v>
      </c>
      <c r="G20" s="113">
        <f>221+8.86+22.07+35.39+52.95+39.72+61.77+57.27+119.17</f>
        <v>618.19999999999993</v>
      </c>
      <c r="H20" s="135">
        <v>161</v>
      </c>
      <c r="I20" s="135">
        <v>322.7</v>
      </c>
      <c r="J20" s="135">
        <v>484.5</v>
      </c>
      <c r="K20" s="135">
        <v>595.70000000000005</v>
      </c>
      <c r="L20" s="135">
        <f t="shared" si="1"/>
        <v>22.499999999999886</v>
      </c>
      <c r="M20" s="211">
        <f>123.52+30.84</f>
        <v>154.35999999999999</v>
      </c>
      <c r="N20" s="135">
        <v>41.7</v>
      </c>
      <c r="O20" s="135">
        <v>83.6</v>
      </c>
      <c r="P20" s="135">
        <v>125.5</v>
      </c>
      <c r="Q20" s="135">
        <v>157.19999999999999</v>
      </c>
      <c r="R20" s="136">
        <f t="shared" si="2"/>
        <v>-2.8400000000000034</v>
      </c>
      <c r="S20" s="213">
        <v>101</v>
      </c>
      <c r="T20" s="43">
        <v>39</v>
      </c>
      <c r="U20" s="43">
        <v>73.599999999999994</v>
      </c>
      <c r="V20" s="43">
        <v>100.6</v>
      </c>
      <c r="W20" s="43">
        <v>120.5</v>
      </c>
      <c r="X20" s="184">
        <v>0.61875000000000002</v>
      </c>
      <c r="Y20" s="184">
        <v>0.63194444444444442</v>
      </c>
      <c r="Z20" s="184">
        <f t="shared" si="3"/>
        <v>1.3194444444444398E-2</v>
      </c>
      <c r="AA20" s="43">
        <v>29.4</v>
      </c>
      <c r="AB20" s="260">
        <v>4.8032407407407407E-3</v>
      </c>
      <c r="AC20" s="260">
        <v>4.8032407407407407E-3</v>
      </c>
      <c r="AD20" s="260">
        <f t="shared" si="4"/>
        <v>0</v>
      </c>
      <c r="AE20" s="167"/>
      <c r="AF20" s="47"/>
      <c r="AG20" s="38"/>
      <c r="AH20" s="47"/>
      <c r="AI20" s="158">
        <v>1354.76</v>
      </c>
      <c r="AJ20" s="158">
        <v>1349.33</v>
      </c>
      <c r="AK20" s="169">
        <f t="shared" si="5"/>
        <v>5.4300000000000637</v>
      </c>
      <c r="AL20" s="191">
        <v>0.67847222222222225</v>
      </c>
      <c r="AM20" s="191">
        <v>0.6875</v>
      </c>
      <c r="AN20" s="192">
        <f t="shared" si="6"/>
        <v>9.0277777777777457E-3</v>
      </c>
      <c r="AO20" s="74">
        <f t="shared" si="7"/>
        <v>28.089877583208697</v>
      </c>
      <c r="AP20" s="15">
        <f t="shared" si="8"/>
        <v>47.910122416791303</v>
      </c>
      <c r="AQ20" s="18">
        <f t="shared" si="9"/>
        <v>61.691860138971634</v>
      </c>
      <c r="AR20" s="18">
        <f t="shared" si="10"/>
        <v>61.857105378269807</v>
      </c>
      <c r="AS20" s="15">
        <f t="shared" si="11"/>
        <v>109.94095976728137</v>
      </c>
      <c r="AT20" s="15">
        <f t="shared" si="12"/>
        <v>114.8176609223738</v>
      </c>
      <c r="AU20" s="15">
        <f t="shared" si="13"/>
        <v>111.93239626243108</v>
      </c>
      <c r="AV20" s="15">
        <f t="shared" si="14"/>
        <v>114.92967270308615</v>
      </c>
      <c r="AW20" s="16">
        <f t="shared" si="15"/>
        <v>0.17368036968193748</v>
      </c>
      <c r="AX20" s="16">
        <f t="shared" si="16"/>
        <v>0.18908304027974834</v>
      </c>
      <c r="AY20" s="16">
        <f t="shared" si="17"/>
        <v>56.437095452304185</v>
      </c>
      <c r="AZ20" s="16">
        <f t="shared" si="18"/>
        <v>134.01118040976476</v>
      </c>
      <c r="BA20" s="17">
        <f t="shared" si="19"/>
        <v>35.424087856897714</v>
      </c>
      <c r="BB20" s="17">
        <f t="shared" si="20"/>
        <v>42.810394901722987</v>
      </c>
      <c r="BC20" s="17">
        <f t="shared" si="21"/>
        <v>68.667936470774464</v>
      </c>
      <c r="BD20" s="17">
        <f t="shared" si="22"/>
        <v>78.252753184397989</v>
      </c>
      <c r="BE20" s="17">
        <f t="shared" si="23"/>
        <v>94.547228197183259</v>
      </c>
      <c r="BF20" s="17">
        <f t="shared" si="24"/>
        <v>106.39415111316158</v>
      </c>
      <c r="BG20" s="17">
        <f t="shared" si="25"/>
        <v>114.2973449594912</v>
      </c>
      <c r="BH20" s="17">
        <f t="shared" si="26"/>
        <v>127.60610331637088</v>
      </c>
      <c r="BI20" s="17">
        <f t="shared" si="27"/>
        <v>1.1625982470516784E-2</v>
      </c>
      <c r="BJ20" s="17">
        <f t="shared" si="28"/>
        <v>1.4691067337912261E-2</v>
      </c>
      <c r="BK20" s="17">
        <f t="shared" si="29"/>
        <v>28.696690452912026</v>
      </c>
      <c r="BL20" s="17">
        <f t="shared" si="30"/>
        <v>29.661930236743164</v>
      </c>
      <c r="BM20" s="263">
        <f t="shared" si="31"/>
        <v>4.6322196240640304E-3</v>
      </c>
      <c r="BN20" s="263">
        <f t="shared" si="32"/>
        <v>5.2936118196245515E-3</v>
      </c>
      <c r="BO20" s="263">
        <f t="shared" si="33"/>
        <v>4.6579973341037062E-3</v>
      </c>
      <c r="BP20" s="263">
        <f t="shared" si="34"/>
        <v>5.3410578435228997E-3</v>
      </c>
      <c r="BQ20" s="263">
        <f t="shared" si="35"/>
        <v>-2.62020899613848E-4</v>
      </c>
      <c r="BR20" s="263">
        <f t="shared" si="36"/>
        <v>2.0015946921793468E-4</v>
      </c>
      <c r="BS20" s="18" t="e">
        <f t="shared" si="37"/>
        <v>#DIV/0!</v>
      </c>
      <c r="BT20" s="18" t="e">
        <f t="shared" si="38"/>
        <v>#DIV/0!</v>
      </c>
      <c r="BU20" s="18" t="e">
        <f t="shared" si="39"/>
        <v>#DIV/0!</v>
      </c>
      <c r="BV20" s="18" t="e">
        <f t="shared" si="40"/>
        <v>#DIV/0!</v>
      </c>
      <c r="BW20" s="19" t="e">
        <f t="shared" si="41"/>
        <v>#DIV/0!</v>
      </c>
      <c r="BX20" s="19" t="e">
        <f t="shared" si="42"/>
        <v>#DIV/0!</v>
      </c>
      <c r="BY20" s="20" t="e">
        <f t="shared" si="43"/>
        <v>#DIV/0!</v>
      </c>
      <c r="BZ20" s="18" t="e">
        <f t="shared" si="44"/>
        <v>#DIV/0!</v>
      </c>
      <c r="CA20" s="19">
        <f t="shared" si="57"/>
        <v>4.9388614429463438</v>
      </c>
      <c r="CB20" s="207">
        <f t="shared" si="58"/>
        <v>6.3118282122260467</v>
      </c>
      <c r="CC20" s="19">
        <f t="shared" si="59"/>
        <v>9.9985772639558934E-4</v>
      </c>
      <c r="CD20" s="201">
        <f t="shared" si="60"/>
        <v>1.4876579055213623E-2</v>
      </c>
      <c r="CE20" s="30">
        <f t="shared" si="45"/>
        <v>38</v>
      </c>
      <c r="CF20" s="18">
        <f t="shared" si="61"/>
        <v>61.774482758620721</v>
      </c>
      <c r="CG20" s="18">
        <f t="shared" si="62"/>
        <v>112.37931034482759</v>
      </c>
      <c r="CH20" s="18">
        <f t="shared" si="63"/>
        <v>113.43103448275862</v>
      </c>
      <c r="CI20" s="16">
        <f t="shared" si="47"/>
        <v>0.18138170498084291</v>
      </c>
      <c r="CJ20" s="16">
        <f t="shared" si="48"/>
        <v>95.224137931034477</v>
      </c>
      <c r="CK20" s="17">
        <f t="shared" si="49"/>
        <v>39.11724137931035</v>
      </c>
      <c r="CL20" s="17">
        <f t="shared" si="50"/>
        <v>73.460344827586226</v>
      </c>
      <c r="CM20" s="17">
        <f t="shared" si="64"/>
        <v>100.47068965517242</v>
      </c>
      <c r="CN20" s="17">
        <f t="shared" si="65"/>
        <v>120.95172413793104</v>
      </c>
      <c r="CO20" s="17">
        <f t="shared" si="52"/>
        <v>1.3158524904214522E-2</v>
      </c>
      <c r="CP20" s="17">
        <f t="shared" si="53"/>
        <v>29.179310344827595</v>
      </c>
      <c r="CQ20" s="263">
        <f t="shared" si="66"/>
        <v>4.9995275888133029E-3</v>
      </c>
      <c r="CR20" s="263">
        <f t="shared" si="67"/>
        <v>4.962915721844291E-3</v>
      </c>
      <c r="CS20" s="263">
        <f t="shared" si="68"/>
        <v>-3.0930715197956654E-5</v>
      </c>
      <c r="CT20" s="17" t="e">
        <f t="shared" si="69"/>
        <v>#DIV/0!</v>
      </c>
      <c r="CU20" s="17" t="e">
        <f t="shared" si="70"/>
        <v>#DIV/0!</v>
      </c>
      <c r="CV20" s="21" t="e">
        <f t="shared" si="71"/>
        <v>#DIV/0!</v>
      </c>
      <c r="CW20" s="17" t="e">
        <f t="shared" si="72"/>
        <v>#DIV/0!</v>
      </c>
      <c r="CX20" s="205">
        <f t="shared" si="55"/>
        <v>5.6253448275861953</v>
      </c>
      <c r="CY20" s="22">
        <f t="shared" si="56"/>
        <v>7.938218390804606E-3</v>
      </c>
    </row>
    <row r="21" spans="1:103" ht="11.25" customHeight="1">
      <c r="A21" s="82" t="s">
        <v>130</v>
      </c>
      <c r="B21" s="37">
        <v>32</v>
      </c>
      <c r="C21" s="255">
        <v>61.79</v>
      </c>
      <c r="D21" s="37">
        <v>111</v>
      </c>
      <c r="E21" s="37">
        <v>113</v>
      </c>
      <c r="F21" s="39">
        <v>0.18055555555555555</v>
      </c>
      <c r="G21" s="113">
        <f>220.84+8.88+22.08+35.43+52.89+39.74+61.79+57.35+119.21</f>
        <v>618.21</v>
      </c>
      <c r="H21" s="135">
        <v>161</v>
      </c>
      <c r="I21" s="135">
        <v>322.8</v>
      </c>
      <c r="J21" s="135">
        <v>484.4</v>
      </c>
      <c r="K21" s="135">
        <v>588.5</v>
      </c>
      <c r="L21" s="135">
        <f t="shared" si="1"/>
        <v>29.710000000000036</v>
      </c>
      <c r="M21" s="211">
        <f>123.57+30.89</f>
        <v>154.45999999999998</v>
      </c>
      <c r="N21" s="135">
        <v>41.7</v>
      </c>
      <c r="O21" s="135">
        <v>83.5</v>
      </c>
      <c r="P21" s="135">
        <v>125.5</v>
      </c>
      <c r="Q21" s="135">
        <v>156.19999999999999</v>
      </c>
      <c r="R21" s="136">
        <f t="shared" si="2"/>
        <v>-1.7400000000000091</v>
      </c>
      <c r="S21" s="213">
        <v>102</v>
      </c>
      <c r="T21" s="43">
        <v>40.6</v>
      </c>
      <c r="U21" s="43">
        <v>74.599999999999994</v>
      </c>
      <c r="V21" s="43">
        <v>101.3</v>
      </c>
      <c r="W21" s="43">
        <v>122</v>
      </c>
      <c r="X21" s="184">
        <v>0.61805555555555558</v>
      </c>
      <c r="Y21" s="184">
        <v>0.63124999999999998</v>
      </c>
      <c r="Z21" s="184">
        <f t="shared" si="3"/>
        <v>1.3194444444444398E-2</v>
      </c>
      <c r="AA21" s="43">
        <v>29.3</v>
      </c>
      <c r="AB21" s="260">
        <v>4.9768518518518521E-3</v>
      </c>
      <c r="AC21" s="260">
        <v>4.8726851851851856E-3</v>
      </c>
      <c r="AD21" s="260">
        <f t="shared" si="4"/>
        <v>-1.0416666666666647E-4</v>
      </c>
      <c r="AE21" s="167"/>
      <c r="AF21" s="47"/>
      <c r="AG21" s="38"/>
      <c r="AH21" s="47"/>
      <c r="AI21" s="158">
        <v>1354.92</v>
      </c>
      <c r="AJ21" s="158">
        <v>1349.07</v>
      </c>
      <c r="AK21" s="169">
        <f t="shared" si="5"/>
        <v>5.8500000000001364</v>
      </c>
      <c r="AL21" s="191">
        <v>0.6777777777777777</v>
      </c>
      <c r="AM21" s="191">
        <v>0.6875</v>
      </c>
      <c r="AN21" s="192">
        <f t="shared" si="6"/>
        <v>9.7222222222222987E-3</v>
      </c>
      <c r="AO21" s="74">
        <f t="shared" si="7"/>
        <v>28.089877583208697</v>
      </c>
      <c r="AP21" s="15">
        <f t="shared" si="8"/>
        <v>47.910122416791303</v>
      </c>
      <c r="AQ21" s="18">
        <f t="shared" si="9"/>
        <v>61.691860138971634</v>
      </c>
      <c r="AR21" s="18">
        <f t="shared" si="10"/>
        <v>61.857105378269807</v>
      </c>
      <c r="AS21" s="15">
        <f t="shared" si="11"/>
        <v>109.94095976728137</v>
      </c>
      <c r="AT21" s="15">
        <f t="shared" si="12"/>
        <v>114.8176609223738</v>
      </c>
      <c r="AU21" s="15">
        <f t="shared" si="13"/>
        <v>111.93239626243108</v>
      </c>
      <c r="AV21" s="15">
        <f t="shared" si="14"/>
        <v>114.92967270308615</v>
      </c>
      <c r="AW21" s="16">
        <f t="shared" si="15"/>
        <v>0.17368036968193748</v>
      </c>
      <c r="AX21" s="16">
        <f t="shared" si="16"/>
        <v>0.18908304027974834</v>
      </c>
      <c r="AY21" s="16">
        <f t="shared" si="17"/>
        <v>56.437095452304185</v>
      </c>
      <c r="AZ21" s="16">
        <f t="shared" si="18"/>
        <v>134.01118040976476</v>
      </c>
      <c r="BA21" s="17">
        <f t="shared" si="19"/>
        <v>35.424087856897714</v>
      </c>
      <c r="BB21" s="17">
        <f t="shared" si="20"/>
        <v>42.810394901722987</v>
      </c>
      <c r="BC21" s="17">
        <f t="shared" si="21"/>
        <v>68.667936470774464</v>
      </c>
      <c r="BD21" s="17">
        <f t="shared" si="22"/>
        <v>78.252753184397989</v>
      </c>
      <c r="BE21" s="17">
        <f t="shared" si="23"/>
        <v>94.547228197183259</v>
      </c>
      <c r="BF21" s="17">
        <f t="shared" si="24"/>
        <v>106.39415111316158</v>
      </c>
      <c r="BG21" s="17">
        <f t="shared" si="25"/>
        <v>114.2973449594912</v>
      </c>
      <c r="BH21" s="17">
        <f t="shared" si="26"/>
        <v>127.60610331637088</v>
      </c>
      <c r="BI21" s="17">
        <f t="shared" si="27"/>
        <v>1.1625982470516784E-2</v>
      </c>
      <c r="BJ21" s="17">
        <f t="shared" si="28"/>
        <v>1.4691067337912261E-2</v>
      </c>
      <c r="BK21" s="17">
        <f t="shared" si="29"/>
        <v>28.696690452912026</v>
      </c>
      <c r="BL21" s="17">
        <f t="shared" si="30"/>
        <v>29.661930236743164</v>
      </c>
      <c r="BM21" s="263">
        <f t="shared" si="31"/>
        <v>4.6322196240640304E-3</v>
      </c>
      <c r="BN21" s="263">
        <f t="shared" si="32"/>
        <v>5.2936118196245515E-3</v>
      </c>
      <c r="BO21" s="263">
        <f t="shared" si="33"/>
        <v>4.6579973341037062E-3</v>
      </c>
      <c r="BP21" s="263">
        <f t="shared" si="34"/>
        <v>5.3410578435228997E-3</v>
      </c>
      <c r="BQ21" s="263">
        <f t="shared" si="35"/>
        <v>-2.62020899613848E-4</v>
      </c>
      <c r="BR21" s="263">
        <f t="shared" si="36"/>
        <v>2.0015946921793468E-4</v>
      </c>
      <c r="BS21" s="18" t="e">
        <f t="shared" si="37"/>
        <v>#DIV/0!</v>
      </c>
      <c r="BT21" s="18" t="e">
        <f t="shared" si="38"/>
        <v>#DIV/0!</v>
      </c>
      <c r="BU21" s="18" t="e">
        <f t="shared" si="39"/>
        <v>#DIV/0!</v>
      </c>
      <c r="BV21" s="18" t="e">
        <f t="shared" si="40"/>
        <v>#DIV/0!</v>
      </c>
      <c r="BW21" s="19" t="e">
        <f t="shared" si="41"/>
        <v>#DIV/0!</v>
      </c>
      <c r="BX21" s="19" t="e">
        <f t="shared" si="42"/>
        <v>#DIV/0!</v>
      </c>
      <c r="BY21" s="20" t="e">
        <f t="shared" si="43"/>
        <v>#DIV/0!</v>
      </c>
      <c r="BZ21" s="18" t="e">
        <f t="shared" si="44"/>
        <v>#DIV/0!</v>
      </c>
      <c r="CA21" s="19">
        <f t="shared" si="57"/>
        <v>4.9388614429463438</v>
      </c>
      <c r="CB21" s="207">
        <f t="shared" si="58"/>
        <v>6.3118282122260467</v>
      </c>
      <c r="CC21" s="19">
        <f t="shared" si="59"/>
        <v>9.9985772639558934E-4</v>
      </c>
      <c r="CD21" s="201">
        <f t="shared" si="60"/>
        <v>1.4876579055213623E-2</v>
      </c>
      <c r="CE21" s="30">
        <f t="shared" si="45"/>
        <v>38</v>
      </c>
      <c r="CF21" s="18">
        <f t="shared" si="61"/>
        <v>61.774482758620721</v>
      </c>
      <c r="CG21" s="18">
        <f t="shared" si="62"/>
        <v>112.37931034482759</v>
      </c>
      <c r="CH21" s="18">
        <f t="shared" si="63"/>
        <v>113.43103448275862</v>
      </c>
      <c r="CI21" s="16">
        <f t="shared" si="47"/>
        <v>0.18138170498084291</v>
      </c>
      <c r="CJ21" s="16">
        <f t="shared" si="48"/>
        <v>95.224137931034477</v>
      </c>
      <c r="CK21" s="17">
        <f t="shared" si="49"/>
        <v>39.11724137931035</v>
      </c>
      <c r="CL21" s="17">
        <f t="shared" si="50"/>
        <v>73.460344827586226</v>
      </c>
      <c r="CM21" s="17">
        <f t="shared" si="64"/>
        <v>100.47068965517242</v>
      </c>
      <c r="CN21" s="17">
        <f t="shared" si="65"/>
        <v>120.95172413793104</v>
      </c>
      <c r="CO21" s="17">
        <f t="shared" si="52"/>
        <v>1.3158524904214522E-2</v>
      </c>
      <c r="CP21" s="17">
        <f t="shared" si="53"/>
        <v>29.179310344827595</v>
      </c>
      <c r="CQ21" s="263">
        <f t="shared" si="66"/>
        <v>4.9995275888133029E-3</v>
      </c>
      <c r="CR21" s="263">
        <f t="shared" si="67"/>
        <v>4.962915721844291E-3</v>
      </c>
      <c r="CS21" s="263">
        <f t="shared" si="68"/>
        <v>-3.0930715197956654E-5</v>
      </c>
      <c r="CT21" s="17" t="e">
        <f t="shared" si="69"/>
        <v>#DIV/0!</v>
      </c>
      <c r="CU21" s="17" t="e">
        <f t="shared" si="70"/>
        <v>#DIV/0!</v>
      </c>
      <c r="CV21" s="21" t="e">
        <f t="shared" si="71"/>
        <v>#DIV/0!</v>
      </c>
      <c r="CW21" s="17" t="e">
        <f t="shared" si="72"/>
        <v>#DIV/0!</v>
      </c>
      <c r="CX21" s="205">
        <f t="shared" si="55"/>
        <v>5.6253448275861953</v>
      </c>
      <c r="CY21" s="22">
        <f t="shared" si="56"/>
        <v>7.938218390804606E-3</v>
      </c>
    </row>
    <row r="22" spans="1:103" ht="11.25" customHeight="1">
      <c r="A22" s="82" t="s">
        <v>131</v>
      </c>
      <c r="B22" s="37">
        <v>34</v>
      </c>
      <c r="C22" s="255">
        <v>61.77</v>
      </c>
      <c r="D22" s="37">
        <v>112</v>
      </c>
      <c r="E22" s="37">
        <v>113</v>
      </c>
      <c r="F22" s="39">
        <v>0.18194444444444444</v>
      </c>
      <c r="G22" s="113">
        <f>221.01+8.85+22.1+35.41+52.91+39.78+61.77+57.53+119.17</f>
        <v>618.52999999999986</v>
      </c>
      <c r="H22" s="135">
        <v>161.1</v>
      </c>
      <c r="I22" s="135">
        <v>323.10000000000002</v>
      </c>
      <c r="J22" s="135">
        <v>484.9</v>
      </c>
      <c r="K22" s="135">
        <v>597.5</v>
      </c>
      <c r="L22" s="135">
        <f t="shared" si="1"/>
        <v>21.029999999999859</v>
      </c>
      <c r="M22" s="211">
        <f>30.88+123.59</f>
        <v>154.47</v>
      </c>
      <c r="N22" s="135">
        <v>41.7</v>
      </c>
      <c r="O22" s="135">
        <v>83.6</v>
      </c>
      <c r="P22" s="135">
        <v>125.5</v>
      </c>
      <c r="Q22" s="135">
        <v>155.80000000000001</v>
      </c>
      <c r="R22" s="136">
        <f t="shared" si="2"/>
        <v>-1.3300000000000125</v>
      </c>
      <c r="S22" s="212">
        <v>113</v>
      </c>
      <c r="T22" s="43">
        <v>38.9</v>
      </c>
      <c r="U22" s="43">
        <v>73.2</v>
      </c>
      <c r="V22" s="43">
        <v>100</v>
      </c>
      <c r="W22" s="43">
        <v>120.8</v>
      </c>
      <c r="X22" s="184">
        <v>0.61944444444444446</v>
      </c>
      <c r="Y22" s="184">
        <v>0.63263888888888886</v>
      </c>
      <c r="Z22" s="184">
        <f t="shared" si="3"/>
        <v>1.3194444444444398E-2</v>
      </c>
      <c r="AA22" s="43">
        <v>29.1</v>
      </c>
      <c r="AB22" s="260">
        <v>4.9768518518518521E-3</v>
      </c>
      <c r="AC22" s="260">
        <v>4.8032407407407407E-3</v>
      </c>
      <c r="AD22" s="260">
        <f t="shared" si="4"/>
        <v>-1.7361111111111136E-4</v>
      </c>
      <c r="AE22" s="167"/>
      <c r="AF22" s="47"/>
      <c r="AG22" s="38"/>
      <c r="AH22" s="47"/>
      <c r="AI22" s="157">
        <v>1355.31</v>
      </c>
      <c r="AJ22" s="158">
        <v>1349.63</v>
      </c>
      <c r="AK22" s="169">
        <f t="shared" si="5"/>
        <v>5.6799999999998363</v>
      </c>
      <c r="AL22" s="191">
        <v>0.6777777777777777</v>
      </c>
      <c r="AM22" s="191">
        <v>0.68541666666666667</v>
      </c>
      <c r="AN22" s="192">
        <f t="shared" si="6"/>
        <v>7.6388888888889728E-3</v>
      </c>
      <c r="AO22" s="74">
        <f t="shared" ref="AO22:AO31" si="73">B$66-B$67</f>
        <v>28.089877583208697</v>
      </c>
      <c r="AP22" s="15">
        <f t="shared" ref="AP22:AP31" si="74">B$66+B$67</f>
        <v>47.910122416791303</v>
      </c>
      <c r="AQ22" s="18">
        <f t="shared" si="9"/>
        <v>61.691860138971634</v>
      </c>
      <c r="AR22" s="18">
        <f t="shared" si="10"/>
        <v>61.857105378269807</v>
      </c>
      <c r="AS22" s="15">
        <f t="shared" ref="AS22:AS31" si="75">D$66-D$67</f>
        <v>109.94095976728137</v>
      </c>
      <c r="AT22" s="15">
        <f t="shared" ref="AT22:AT31" si="76">D$66+D$67</f>
        <v>114.8176609223738</v>
      </c>
      <c r="AU22" s="15">
        <f t="shared" ref="AU22:AU31" si="77">E$66-E$67</f>
        <v>111.93239626243108</v>
      </c>
      <c r="AV22" s="15">
        <f t="shared" ref="AV22:AV31" si="78">E$66+E$67</f>
        <v>114.92967270308615</v>
      </c>
      <c r="AW22" s="16">
        <f t="shared" ref="AW22:AW31" si="79">F$66-F$67</f>
        <v>0.17368036968193748</v>
      </c>
      <c r="AX22" s="16">
        <f t="shared" ref="AX22:AX31" si="80">F$66+F$67</f>
        <v>0.18908304027974834</v>
      </c>
      <c r="AY22" s="16">
        <f t="shared" si="17"/>
        <v>56.437095452304185</v>
      </c>
      <c r="AZ22" s="16">
        <f t="shared" si="18"/>
        <v>134.01118040976476</v>
      </c>
      <c r="BA22" s="17">
        <f t="shared" ref="BA22:BA31" si="81">T$66-T$67</f>
        <v>35.424087856897714</v>
      </c>
      <c r="BB22" s="17">
        <f t="shared" ref="BB22:BB31" si="82">T$66+T$67</f>
        <v>42.810394901722987</v>
      </c>
      <c r="BC22" s="17">
        <f t="shared" ref="BC22:BC31" si="83">U$66-U$67</f>
        <v>68.667936470774464</v>
      </c>
      <c r="BD22" s="17">
        <f t="shared" ref="BD22:BD31" si="84">U$66+U$67</f>
        <v>78.252753184397989</v>
      </c>
      <c r="BE22" s="17">
        <f t="shared" ref="BE22:BE31" si="85">V$66-V$67</f>
        <v>94.547228197183259</v>
      </c>
      <c r="BF22" s="17">
        <f t="shared" ref="BF22:BF31" si="86">V$66+V$67</f>
        <v>106.39415111316158</v>
      </c>
      <c r="BG22" s="17">
        <f t="shared" ref="BG22:BG31" si="87">W$66-W$67</f>
        <v>114.2973449594912</v>
      </c>
      <c r="BH22" s="17">
        <f t="shared" ref="BH22:BH31" si="88">W$66+W$67</f>
        <v>127.60610331637088</v>
      </c>
      <c r="BI22" s="17">
        <f t="shared" si="27"/>
        <v>1.1625982470516784E-2</v>
      </c>
      <c r="BJ22" s="17">
        <f t="shared" si="28"/>
        <v>1.4691067337912261E-2</v>
      </c>
      <c r="BK22" s="17">
        <f t="shared" si="29"/>
        <v>28.696690452912026</v>
      </c>
      <c r="BL22" s="17">
        <f t="shared" si="30"/>
        <v>29.661930236743164</v>
      </c>
      <c r="BM22" s="263">
        <f t="shared" si="31"/>
        <v>4.6322196240640304E-3</v>
      </c>
      <c r="BN22" s="263">
        <f t="shared" si="32"/>
        <v>5.2936118196245515E-3</v>
      </c>
      <c r="BO22" s="263">
        <f t="shared" si="33"/>
        <v>4.6579973341037062E-3</v>
      </c>
      <c r="BP22" s="263">
        <f t="shared" si="34"/>
        <v>5.3410578435228997E-3</v>
      </c>
      <c r="BQ22" s="263">
        <f t="shared" si="35"/>
        <v>-2.62020899613848E-4</v>
      </c>
      <c r="BR22" s="263">
        <f t="shared" si="36"/>
        <v>2.0015946921793468E-4</v>
      </c>
      <c r="BS22" s="18" t="e">
        <f t="shared" ref="BS22:BS31" si="89">AE$66-AE$67</f>
        <v>#DIV/0!</v>
      </c>
      <c r="BT22" s="18" t="e">
        <f t="shared" ref="BT22:BT31" si="90">AE$66+AE$67</f>
        <v>#DIV/0!</v>
      </c>
      <c r="BU22" s="18" t="e">
        <f t="shared" ref="BU22:BU31" si="91">AF$66-AF$67</f>
        <v>#DIV/0!</v>
      </c>
      <c r="BV22" s="18" t="e">
        <f t="shared" ref="BV22:BV31" si="92">AF$66+AF$67</f>
        <v>#DIV/0!</v>
      </c>
      <c r="BW22" s="19" t="e">
        <f t="shared" ref="BW22:BW31" si="93">AG$66-AG$67</f>
        <v>#DIV/0!</v>
      </c>
      <c r="BX22" s="19" t="e">
        <f t="shared" ref="BX22:BX31" si="94">AG$66+AG$67</f>
        <v>#DIV/0!</v>
      </c>
      <c r="BY22" s="20" t="e">
        <f t="shared" ref="BY22:BY31" si="95">AH$66-AH$67</f>
        <v>#DIV/0!</v>
      </c>
      <c r="BZ22" s="18" t="e">
        <f t="shared" ref="BZ22:BZ31" si="96">AH$66+AH$67</f>
        <v>#DIV/0!</v>
      </c>
      <c r="CA22" s="19">
        <f t="shared" si="57"/>
        <v>4.9388614429463438</v>
      </c>
      <c r="CB22" s="207">
        <f t="shared" si="58"/>
        <v>6.3118282122260467</v>
      </c>
      <c r="CC22" s="19">
        <f t="shared" si="59"/>
        <v>9.9985772639558934E-4</v>
      </c>
      <c r="CD22" s="201">
        <f t="shared" si="60"/>
        <v>1.4876579055213623E-2</v>
      </c>
      <c r="CE22" s="30">
        <f t="shared" ref="CE22:CE31" si="97">B$66</f>
        <v>38</v>
      </c>
      <c r="CF22" s="18">
        <f t="shared" ref="CF22:CG31" si="98">C$66</f>
        <v>61.774482758620721</v>
      </c>
      <c r="CG22" s="18">
        <f t="shared" si="98"/>
        <v>112.37931034482759</v>
      </c>
      <c r="CH22" s="18">
        <f t="shared" ref="CH22:CH31" si="99">E$66</f>
        <v>113.43103448275862</v>
      </c>
      <c r="CI22" s="16">
        <f t="shared" ref="CI22:CI31" si="100">F$66</f>
        <v>0.18138170498084291</v>
      </c>
      <c r="CJ22" s="16">
        <f t="shared" ref="CJ22:CJ33" si="101">S$66</f>
        <v>95.224137931034477</v>
      </c>
      <c r="CK22" s="17">
        <f t="shared" ref="CK22:CK31" si="102">T$66</f>
        <v>39.11724137931035</v>
      </c>
      <c r="CL22" s="17">
        <f t="shared" ref="CL22:CL31" si="103">U$66</f>
        <v>73.460344827586226</v>
      </c>
      <c r="CM22" s="17">
        <f t="shared" ref="CM22:CM31" si="104">V$66</f>
        <v>100.47068965517242</v>
      </c>
      <c r="CN22" s="17">
        <f t="shared" ref="CN22:CN31" si="105">W$66</f>
        <v>120.95172413793104</v>
      </c>
      <c r="CO22" s="17">
        <f t="shared" si="52"/>
        <v>1.3158524904214522E-2</v>
      </c>
      <c r="CP22" s="17">
        <f t="shared" si="53"/>
        <v>29.179310344827595</v>
      </c>
      <c r="CQ22" s="263">
        <f t="shared" ref="CQ22:CT31" si="106">AB$66</f>
        <v>4.9995275888133029E-3</v>
      </c>
      <c r="CR22" s="263">
        <f t="shared" si="106"/>
        <v>4.962915721844291E-3</v>
      </c>
      <c r="CS22" s="263">
        <f t="shared" si="106"/>
        <v>-3.0930715197956654E-5</v>
      </c>
      <c r="CT22" s="17" t="e">
        <f t="shared" si="106"/>
        <v>#DIV/0!</v>
      </c>
      <c r="CU22" s="17" t="e">
        <f t="shared" ref="CU22:CU31" si="107">AF$66</f>
        <v>#DIV/0!</v>
      </c>
      <c r="CV22" s="21" t="e">
        <f t="shared" ref="CV22:CV31" si="108">AG$66</f>
        <v>#DIV/0!</v>
      </c>
      <c r="CW22" s="17" t="e">
        <f t="shared" ref="CW22:CW31" si="109">AH$66</f>
        <v>#DIV/0!</v>
      </c>
      <c r="CX22" s="205">
        <f t="shared" ref="CX22:CX31" si="110">AK$66</f>
        <v>5.6253448275861953</v>
      </c>
      <c r="CY22" s="22">
        <f t="shared" si="56"/>
        <v>7.938218390804606E-3</v>
      </c>
    </row>
    <row r="23" spans="1:103" ht="11.25" customHeight="1">
      <c r="A23" s="82" t="s">
        <v>132</v>
      </c>
      <c r="B23" s="37">
        <v>38</v>
      </c>
      <c r="C23" s="255">
        <v>61.78</v>
      </c>
      <c r="D23" s="37">
        <v>112</v>
      </c>
      <c r="E23" s="37">
        <v>113</v>
      </c>
      <c r="F23" s="39">
        <v>0.18194444444444444</v>
      </c>
      <c r="G23" s="113">
        <f>220.8+8.88+22.13+35.36+52.96+39.85+61.78+57.39+119.14</f>
        <v>618.29</v>
      </c>
      <c r="H23" s="135">
        <v>160.9</v>
      </c>
      <c r="I23" s="135">
        <v>322.7</v>
      </c>
      <c r="J23" s="135">
        <v>484.5</v>
      </c>
      <c r="K23" s="135">
        <v>599.20000000000005</v>
      </c>
      <c r="L23" s="135">
        <f t="shared" si="1"/>
        <v>19.089999999999918</v>
      </c>
      <c r="M23" s="211">
        <f>30.89+123.61</f>
        <v>154.5</v>
      </c>
      <c r="N23" s="135">
        <v>41.7</v>
      </c>
      <c r="O23" s="135">
        <v>83.6</v>
      </c>
      <c r="P23" s="135">
        <v>125.5</v>
      </c>
      <c r="Q23" s="135">
        <v>156.30000000000001</v>
      </c>
      <c r="R23" s="136">
        <f t="shared" si="2"/>
        <v>-1.8000000000000114</v>
      </c>
      <c r="S23" s="212">
        <v>105</v>
      </c>
      <c r="T23" s="43">
        <v>38.6</v>
      </c>
      <c r="U23" s="43">
        <v>72.8</v>
      </c>
      <c r="V23" s="43">
        <v>99.9</v>
      </c>
      <c r="W23" s="43">
        <v>120.4</v>
      </c>
      <c r="X23" s="184">
        <v>0.61944444444444446</v>
      </c>
      <c r="Y23" s="184">
        <v>0.63263888888888886</v>
      </c>
      <c r="Z23" s="184">
        <f t="shared" si="3"/>
        <v>1.3194444444444398E-2</v>
      </c>
      <c r="AA23" s="43">
        <v>29.2</v>
      </c>
      <c r="AB23" s="260">
        <v>4.8842592592592592E-3</v>
      </c>
      <c r="AC23" s="260">
        <v>4.8032407407407407E-3</v>
      </c>
      <c r="AD23" s="260">
        <f t="shared" si="4"/>
        <v>-8.1018518518518462E-5</v>
      </c>
      <c r="AE23" s="48"/>
      <c r="AF23" s="47"/>
      <c r="AG23" s="38"/>
      <c r="AH23" s="47"/>
      <c r="AI23" s="157">
        <v>1355.09</v>
      </c>
      <c r="AJ23" s="158">
        <v>1349.35</v>
      </c>
      <c r="AK23" s="169">
        <f t="shared" si="5"/>
        <v>5.7400000000000091</v>
      </c>
      <c r="AL23" s="191">
        <v>0.68263888888888891</v>
      </c>
      <c r="AM23" s="191">
        <v>0.6875</v>
      </c>
      <c r="AN23" s="192">
        <f t="shared" si="6"/>
        <v>4.8611111111110938E-3</v>
      </c>
      <c r="AO23" s="74">
        <f t="shared" si="73"/>
        <v>28.089877583208697</v>
      </c>
      <c r="AP23" s="15">
        <f t="shared" si="74"/>
        <v>47.910122416791303</v>
      </c>
      <c r="AQ23" s="18">
        <f t="shared" si="9"/>
        <v>61.691860138971634</v>
      </c>
      <c r="AR23" s="18">
        <f t="shared" si="10"/>
        <v>61.857105378269807</v>
      </c>
      <c r="AS23" s="15">
        <f t="shared" si="75"/>
        <v>109.94095976728137</v>
      </c>
      <c r="AT23" s="15">
        <f t="shared" si="76"/>
        <v>114.8176609223738</v>
      </c>
      <c r="AU23" s="15">
        <f t="shared" si="77"/>
        <v>111.93239626243108</v>
      </c>
      <c r="AV23" s="15">
        <f t="shared" si="78"/>
        <v>114.92967270308615</v>
      </c>
      <c r="AW23" s="16">
        <f t="shared" si="79"/>
        <v>0.17368036968193748</v>
      </c>
      <c r="AX23" s="16">
        <f t="shared" si="80"/>
        <v>0.18908304027974834</v>
      </c>
      <c r="AY23" s="16">
        <f t="shared" si="17"/>
        <v>56.437095452304185</v>
      </c>
      <c r="AZ23" s="16">
        <f t="shared" si="18"/>
        <v>134.01118040976476</v>
      </c>
      <c r="BA23" s="17">
        <f t="shared" si="81"/>
        <v>35.424087856897714</v>
      </c>
      <c r="BB23" s="17">
        <f t="shared" si="82"/>
        <v>42.810394901722987</v>
      </c>
      <c r="BC23" s="17">
        <f t="shared" si="83"/>
        <v>68.667936470774464</v>
      </c>
      <c r="BD23" s="17">
        <f t="shared" si="84"/>
        <v>78.252753184397989</v>
      </c>
      <c r="BE23" s="17">
        <f t="shared" si="85"/>
        <v>94.547228197183259</v>
      </c>
      <c r="BF23" s="17">
        <f t="shared" si="86"/>
        <v>106.39415111316158</v>
      </c>
      <c r="BG23" s="17">
        <f t="shared" si="87"/>
        <v>114.2973449594912</v>
      </c>
      <c r="BH23" s="17">
        <f t="shared" si="88"/>
        <v>127.60610331637088</v>
      </c>
      <c r="BI23" s="17">
        <f t="shared" si="27"/>
        <v>1.1625982470516784E-2</v>
      </c>
      <c r="BJ23" s="17">
        <f t="shared" si="28"/>
        <v>1.4691067337912261E-2</v>
      </c>
      <c r="BK23" s="17">
        <f t="shared" si="29"/>
        <v>28.696690452912026</v>
      </c>
      <c r="BL23" s="17">
        <f t="shared" si="30"/>
        <v>29.661930236743164</v>
      </c>
      <c r="BM23" s="263">
        <f t="shared" si="31"/>
        <v>4.6322196240640304E-3</v>
      </c>
      <c r="BN23" s="263">
        <f t="shared" si="32"/>
        <v>5.2936118196245515E-3</v>
      </c>
      <c r="BO23" s="263">
        <f t="shared" si="33"/>
        <v>4.6579973341037062E-3</v>
      </c>
      <c r="BP23" s="263">
        <f t="shared" si="34"/>
        <v>5.3410578435228997E-3</v>
      </c>
      <c r="BQ23" s="263">
        <f t="shared" si="35"/>
        <v>-2.62020899613848E-4</v>
      </c>
      <c r="BR23" s="263">
        <f t="shared" si="36"/>
        <v>2.0015946921793468E-4</v>
      </c>
      <c r="BS23" s="18" t="e">
        <f t="shared" si="89"/>
        <v>#DIV/0!</v>
      </c>
      <c r="BT23" s="18" t="e">
        <f t="shared" si="90"/>
        <v>#DIV/0!</v>
      </c>
      <c r="BU23" s="18" t="e">
        <f t="shared" si="91"/>
        <v>#DIV/0!</v>
      </c>
      <c r="BV23" s="18" t="e">
        <f t="shared" si="92"/>
        <v>#DIV/0!</v>
      </c>
      <c r="BW23" s="19" t="e">
        <f t="shared" si="93"/>
        <v>#DIV/0!</v>
      </c>
      <c r="BX23" s="19" t="e">
        <f t="shared" si="94"/>
        <v>#DIV/0!</v>
      </c>
      <c r="BY23" s="20" t="e">
        <f t="shared" si="95"/>
        <v>#DIV/0!</v>
      </c>
      <c r="BZ23" s="18" t="e">
        <f t="shared" si="96"/>
        <v>#DIV/0!</v>
      </c>
      <c r="CA23" s="19">
        <f t="shared" si="57"/>
        <v>4.9388614429463438</v>
      </c>
      <c r="CB23" s="207">
        <f t="shared" si="58"/>
        <v>6.3118282122260467</v>
      </c>
      <c r="CC23" s="19">
        <f t="shared" si="59"/>
        <v>9.9985772639558934E-4</v>
      </c>
      <c r="CD23" s="201">
        <f t="shared" si="60"/>
        <v>1.4876579055213623E-2</v>
      </c>
      <c r="CE23" s="30">
        <f t="shared" si="97"/>
        <v>38</v>
      </c>
      <c r="CF23" s="18">
        <f t="shared" si="98"/>
        <v>61.774482758620721</v>
      </c>
      <c r="CG23" s="18">
        <f t="shared" si="98"/>
        <v>112.37931034482759</v>
      </c>
      <c r="CH23" s="18">
        <f t="shared" si="99"/>
        <v>113.43103448275862</v>
      </c>
      <c r="CI23" s="16">
        <f t="shared" si="100"/>
        <v>0.18138170498084291</v>
      </c>
      <c r="CJ23" s="16">
        <f t="shared" si="101"/>
        <v>95.224137931034477</v>
      </c>
      <c r="CK23" s="17">
        <f t="shared" si="102"/>
        <v>39.11724137931035</v>
      </c>
      <c r="CL23" s="17">
        <f t="shared" si="103"/>
        <v>73.460344827586226</v>
      </c>
      <c r="CM23" s="17">
        <f t="shared" si="104"/>
        <v>100.47068965517242</v>
      </c>
      <c r="CN23" s="17">
        <f t="shared" si="105"/>
        <v>120.95172413793104</v>
      </c>
      <c r="CO23" s="17">
        <f t="shared" si="52"/>
        <v>1.3158524904214522E-2</v>
      </c>
      <c r="CP23" s="17">
        <f t="shared" si="53"/>
        <v>29.179310344827595</v>
      </c>
      <c r="CQ23" s="263">
        <f t="shared" si="106"/>
        <v>4.9995275888133029E-3</v>
      </c>
      <c r="CR23" s="263">
        <f t="shared" si="106"/>
        <v>4.962915721844291E-3</v>
      </c>
      <c r="CS23" s="263">
        <f t="shared" si="106"/>
        <v>-3.0930715197956654E-5</v>
      </c>
      <c r="CT23" s="17" t="e">
        <f t="shared" si="106"/>
        <v>#DIV/0!</v>
      </c>
      <c r="CU23" s="17" t="e">
        <f t="shared" si="107"/>
        <v>#DIV/0!</v>
      </c>
      <c r="CV23" s="21" t="e">
        <f t="shared" si="108"/>
        <v>#DIV/0!</v>
      </c>
      <c r="CW23" s="17" t="e">
        <f t="shared" si="109"/>
        <v>#DIV/0!</v>
      </c>
      <c r="CX23" s="205">
        <f t="shared" si="110"/>
        <v>5.6253448275861953</v>
      </c>
      <c r="CY23" s="22">
        <f t="shared" si="56"/>
        <v>7.938218390804606E-3</v>
      </c>
    </row>
    <row r="24" spans="1:103" ht="11.25" customHeight="1">
      <c r="A24" s="82" t="s">
        <v>133</v>
      </c>
      <c r="B24" s="37">
        <v>30</v>
      </c>
      <c r="C24" s="255">
        <v>61.75</v>
      </c>
      <c r="D24" s="37">
        <v>111</v>
      </c>
      <c r="E24" s="37">
        <v>113</v>
      </c>
      <c r="F24" s="39">
        <v>0.17986111111111111</v>
      </c>
      <c r="G24" s="113">
        <f>220.82+8.89+22.16+35.36+52.95+39.81+61.75+57.54+119.14</f>
        <v>618.41999999999996</v>
      </c>
      <c r="H24" s="135">
        <v>161.1</v>
      </c>
      <c r="I24" s="135">
        <v>323</v>
      </c>
      <c r="J24" s="135">
        <v>484.8</v>
      </c>
      <c r="K24" s="135">
        <v>590.70000000000005</v>
      </c>
      <c r="L24" s="135">
        <f t="shared" si="1"/>
        <v>27.719999999999914</v>
      </c>
      <c r="M24" s="211">
        <f>30.91+123.55</f>
        <v>154.46</v>
      </c>
      <c r="N24" s="135">
        <v>41.8</v>
      </c>
      <c r="O24" s="135">
        <v>83.6</v>
      </c>
      <c r="P24" s="135">
        <v>125.5</v>
      </c>
      <c r="Q24" s="135">
        <v>156.1</v>
      </c>
      <c r="R24" s="136">
        <f t="shared" si="2"/>
        <v>-1.6399999999999864</v>
      </c>
      <c r="S24" s="212">
        <v>91</v>
      </c>
      <c r="T24" s="43">
        <v>40.1</v>
      </c>
      <c r="U24" s="43">
        <v>74.599999999999994</v>
      </c>
      <c r="V24" s="43">
        <v>101.5</v>
      </c>
      <c r="W24" s="43">
        <v>122</v>
      </c>
      <c r="X24" s="184">
        <v>0.61736111111111114</v>
      </c>
      <c r="Y24" s="184">
        <v>0.63055555555555554</v>
      </c>
      <c r="Z24" s="184">
        <f t="shared" si="3"/>
        <v>1.3194444444444398E-2</v>
      </c>
      <c r="AA24" s="43">
        <v>29.2</v>
      </c>
      <c r="AB24" s="260">
        <v>4.8379629629629632E-3</v>
      </c>
      <c r="AC24" s="260">
        <v>4.7685185185185183E-3</v>
      </c>
      <c r="AD24" s="260">
        <f t="shared" si="4"/>
        <v>-6.9444444444444892E-5</v>
      </c>
      <c r="AE24" s="48"/>
      <c r="AF24" s="47"/>
      <c r="AG24" s="38"/>
      <c r="AH24" s="47"/>
      <c r="AI24" s="157">
        <v>1355.11</v>
      </c>
      <c r="AJ24" s="158">
        <v>1349.24</v>
      </c>
      <c r="AK24" s="169">
        <f t="shared" si="5"/>
        <v>5.8699999999998909</v>
      </c>
      <c r="AL24" s="191">
        <v>0.67986111111111114</v>
      </c>
      <c r="AM24" s="191">
        <v>0.69097222222222221</v>
      </c>
      <c r="AN24" s="192">
        <f t="shared" si="6"/>
        <v>1.1111111111111072E-2</v>
      </c>
      <c r="AO24" s="74">
        <f t="shared" si="73"/>
        <v>28.089877583208697</v>
      </c>
      <c r="AP24" s="15">
        <f t="shared" si="74"/>
        <v>47.910122416791303</v>
      </c>
      <c r="AQ24" s="18">
        <f t="shared" si="9"/>
        <v>61.691860138971634</v>
      </c>
      <c r="AR24" s="18">
        <f t="shared" si="10"/>
        <v>61.857105378269807</v>
      </c>
      <c r="AS24" s="15">
        <f t="shared" si="75"/>
        <v>109.94095976728137</v>
      </c>
      <c r="AT24" s="15">
        <f t="shared" si="76"/>
        <v>114.8176609223738</v>
      </c>
      <c r="AU24" s="15">
        <f t="shared" si="77"/>
        <v>111.93239626243108</v>
      </c>
      <c r="AV24" s="15">
        <f t="shared" si="78"/>
        <v>114.92967270308615</v>
      </c>
      <c r="AW24" s="16">
        <f t="shared" si="79"/>
        <v>0.17368036968193748</v>
      </c>
      <c r="AX24" s="16">
        <f t="shared" si="80"/>
        <v>0.18908304027974834</v>
      </c>
      <c r="AY24" s="16">
        <f t="shared" si="17"/>
        <v>56.437095452304185</v>
      </c>
      <c r="AZ24" s="16">
        <f t="shared" si="18"/>
        <v>134.01118040976476</v>
      </c>
      <c r="BA24" s="17">
        <f t="shared" si="81"/>
        <v>35.424087856897714</v>
      </c>
      <c r="BB24" s="17">
        <f t="shared" si="82"/>
        <v>42.810394901722987</v>
      </c>
      <c r="BC24" s="17">
        <f t="shared" si="83"/>
        <v>68.667936470774464</v>
      </c>
      <c r="BD24" s="17">
        <f t="shared" si="84"/>
        <v>78.252753184397989</v>
      </c>
      <c r="BE24" s="17">
        <f t="shared" si="85"/>
        <v>94.547228197183259</v>
      </c>
      <c r="BF24" s="17">
        <f t="shared" si="86"/>
        <v>106.39415111316158</v>
      </c>
      <c r="BG24" s="17">
        <f t="shared" si="87"/>
        <v>114.2973449594912</v>
      </c>
      <c r="BH24" s="17">
        <f t="shared" si="88"/>
        <v>127.60610331637088</v>
      </c>
      <c r="BI24" s="17">
        <f t="shared" si="27"/>
        <v>1.1625982470516784E-2</v>
      </c>
      <c r="BJ24" s="17">
        <f t="shared" si="28"/>
        <v>1.4691067337912261E-2</v>
      </c>
      <c r="BK24" s="17">
        <f t="shared" si="29"/>
        <v>28.696690452912026</v>
      </c>
      <c r="BL24" s="17">
        <f t="shared" si="30"/>
        <v>29.661930236743164</v>
      </c>
      <c r="BM24" s="263">
        <f t="shared" si="31"/>
        <v>4.6322196240640304E-3</v>
      </c>
      <c r="BN24" s="263">
        <f t="shared" si="32"/>
        <v>5.2936118196245515E-3</v>
      </c>
      <c r="BO24" s="263">
        <f t="shared" si="33"/>
        <v>4.6579973341037062E-3</v>
      </c>
      <c r="BP24" s="263">
        <f t="shared" si="34"/>
        <v>5.3410578435228997E-3</v>
      </c>
      <c r="BQ24" s="263">
        <f t="shared" si="35"/>
        <v>-2.62020899613848E-4</v>
      </c>
      <c r="BR24" s="263">
        <f t="shared" si="36"/>
        <v>2.0015946921793468E-4</v>
      </c>
      <c r="BS24" s="18" t="e">
        <f t="shared" si="89"/>
        <v>#DIV/0!</v>
      </c>
      <c r="BT24" s="18" t="e">
        <f t="shared" si="90"/>
        <v>#DIV/0!</v>
      </c>
      <c r="BU24" s="18" t="e">
        <f t="shared" si="91"/>
        <v>#DIV/0!</v>
      </c>
      <c r="BV24" s="18" t="e">
        <f t="shared" si="92"/>
        <v>#DIV/0!</v>
      </c>
      <c r="BW24" s="19" t="e">
        <f t="shared" si="93"/>
        <v>#DIV/0!</v>
      </c>
      <c r="BX24" s="19" t="e">
        <f t="shared" si="94"/>
        <v>#DIV/0!</v>
      </c>
      <c r="BY24" s="20" t="e">
        <f t="shared" si="95"/>
        <v>#DIV/0!</v>
      </c>
      <c r="BZ24" s="18" t="e">
        <f t="shared" si="96"/>
        <v>#DIV/0!</v>
      </c>
      <c r="CA24" s="19">
        <f t="shared" si="57"/>
        <v>4.9388614429463438</v>
      </c>
      <c r="CB24" s="207">
        <f t="shared" si="58"/>
        <v>6.3118282122260467</v>
      </c>
      <c r="CC24" s="19">
        <f t="shared" si="59"/>
        <v>9.9985772639558934E-4</v>
      </c>
      <c r="CD24" s="201">
        <f t="shared" si="60"/>
        <v>1.4876579055213623E-2</v>
      </c>
      <c r="CE24" s="30">
        <f t="shared" si="97"/>
        <v>38</v>
      </c>
      <c r="CF24" s="18">
        <f t="shared" si="98"/>
        <v>61.774482758620721</v>
      </c>
      <c r="CG24" s="18">
        <f t="shared" si="98"/>
        <v>112.37931034482759</v>
      </c>
      <c r="CH24" s="18">
        <f t="shared" si="99"/>
        <v>113.43103448275862</v>
      </c>
      <c r="CI24" s="16">
        <f t="shared" si="100"/>
        <v>0.18138170498084291</v>
      </c>
      <c r="CJ24" s="16">
        <f t="shared" si="101"/>
        <v>95.224137931034477</v>
      </c>
      <c r="CK24" s="17">
        <f t="shared" si="102"/>
        <v>39.11724137931035</v>
      </c>
      <c r="CL24" s="17">
        <f t="shared" si="103"/>
        <v>73.460344827586226</v>
      </c>
      <c r="CM24" s="17">
        <f t="shared" si="104"/>
        <v>100.47068965517242</v>
      </c>
      <c r="CN24" s="17">
        <f t="shared" si="105"/>
        <v>120.95172413793104</v>
      </c>
      <c r="CO24" s="17">
        <f t="shared" si="52"/>
        <v>1.3158524904214522E-2</v>
      </c>
      <c r="CP24" s="17">
        <f t="shared" si="53"/>
        <v>29.179310344827595</v>
      </c>
      <c r="CQ24" s="263">
        <f t="shared" si="106"/>
        <v>4.9995275888133029E-3</v>
      </c>
      <c r="CR24" s="263">
        <f t="shared" si="106"/>
        <v>4.962915721844291E-3</v>
      </c>
      <c r="CS24" s="263">
        <f t="shared" si="106"/>
        <v>-3.0930715197956654E-5</v>
      </c>
      <c r="CT24" s="17" t="e">
        <f t="shared" si="106"/>
        <v>#DIV/0!</v>
      </c>
      <c r="CU24" s="17" t="e">
        <f t="shared" si="107"/>
        <v>#DIV/0!</v>
      </c>
      <c r="CV24" s="21" t="e">
        <f t="shared" si="108"/>
        <v>#DIV/0!</v>
      </c>
      <c r="CW24" s="17" t="e">
        <f t="shared" si="109"/>
        <v>#DIV/0!</v>
      </c>
      <c r="CX24" s="205">
        <f t="shared" si="110"/>
        <v>5.6253448275861953</v>
      </c>
      <c r="CY24" s="22">
        <f t="shared" si="56"/>
        <v>7.938218390804606E-3</v>
      </c>
    </row>
    <row r="25" spans="1:103" ht="11.25" customHeight="1">
      <c r="A25" s="82" t="s">
        <v>134</v>
      </c>
      <c r="B25" s="160">
        <v>39</v>
      </c>
      <c r="C25" s="257">
        <v>61.77</v>
      </c>
      <c r="D25" s="160">
        <v>113</v>
      </c>
      <c r="E25" s="160">
        <v>114</v>
      </c>
      <c r="F25" s="216">
        <v>0.18472222222222223</v>
      </c>
      <c r="G25" s="270">
        <f>220.97+8.89+22.1+35.35+52.89+39.73+61.77+57.46+119.2</f>
        <v>618.36</v>
      </c>
      <c r="H25" s="217">
        <v>160.9</v>
      </c>
      <c r="I25" s="217">
        <v>322.7</v>
      </c>
      <c r="J25" s="217">
        <v>484.5</v>
      </c>
      <c r="K25" s="217">
        <v>599.79999999999995</v>
      </c>
      <c r="L25" s="135">
        <f t="shared" si="1"/>
        <v>18.560000000000059</v>
      </c>
      <c r="M25" s="228">
        <f>123.6+30.87</f>
        <v>154.47</v>
      </c>
      <c r="N25" s="217">
        <v>41.8</v>
      </c>
      <c r="O25" s="217">
        <v>83.7</v>
      </c>
      <c r="P25" s="217">
        <v>125.6</v>
      </c>
      <c r="Q25" s="217">
        <v>156.5</v>
      </c>
      <c r="R25" s="136">
        <f t="shared" si="2"/>
        <v>-2.0300000000000011</v>
      </c>
      <c r="S25" s="218">
        <v>101</v>
      </c>
      <c r="T25" s="219">
        <v>38.200000000000003</v>
      </c>
      <c r="U25" s="219">
        <v>71.7</v>
      </c>
      <c r="V25" s="219">
        <v>97.2</v>
      </c>
      <c r="W25" s="219">
        <v>118.5</v>
      </c>
      <c r="X25" s="220">
        <v>0.62222222222222223</v>
      </c>
      <c r="Y25" s="220">
        <v>0.63541666666666663</v>
      </c>
      <c r="Z25" s="184">
        <f t="shared" si="3"/>
        <v>1.3194444444444398E-2</v>
      </c>
      <c r="AA25" s="219">
        <v>29.4</v>
      </c>
      <c r="AB25" s="260">
        <v>5.1041666666666666E-3</v>
      </c>
      <c r="AC25" s="260">
        <v>5.1273148148148146E-3</v>
      </c>
      <c r="AD25" s="260">
        <f t="shared" si="4"/>
        <v>2.3148148148148008E-5</v>
      </c>
      <c r="AE25" s="221"/>
      <c r="AF25" s="166"/>
      <c r="AG25" s="222"/>
      <c r="AH25" s="166"/>
      <c r="AI25" s="223">
        <v>1355.09</v>
      </c>
      <c r="AJ25" s="224">
        <v>1349.67</v>
      </c>
      <c r="AK25" s="225">
        <f t="shared" si="5"/>
        <v>5.4199999999998454</v>
      </c>
      <c r="AL25" s="226">
        <v>0.6875</v>
      </c>
      <c r="AM25" s="226">
        <v>0.69444444444444453</v>
      </c>
      <c r="AN25" s="227">
        <f t="shared" si="6"/>
        <v>6.9444444444445308E-3</v>
      </c>
      <c r="AO25" s="74">
        <f t="shared" si="73"/>
        <v>28.089877583208697</v>
      </c>
      <c r="AP25" s="15">
        <f t="shared" si="74"/>
        <v>47.910122416791303</v>
      </c>
      <c r="AQ25" s="18">
        <f t="shared" si="9"/>
        <v>61.691860138971634</v>
      </c>
      <c r="AR25" s="18">
        <f t="shared" si="10"/>
        <v>61.857105378269807</v>
      </c>
      <c r="AS25" s="15">
        <f t="shared" si="75"/>
        <v>109.94095976728137</v>
      </c>
      <c r="AT25" s="15">
        <f t="shared" si="76"/>
        <v>114.8176609223738</v>
      </c>
      <c r="AU25" s="15">
        <f t="shared" si="77"/>
        <v>111.93239626243108</v>
      </c>
      <c r="AV25" s="15">
        <f t="shared" si="78"/>
        <v>114.92967270308615</v>
      </c>
      <c r="AW25" s="16">
        <f t="shared" si="79"/>
        <v>0.17368036968193748</v>
      </c>
      <c r="AX25" s="16">
        <f t="shared" si="80"/>
        <v>0.18908304027974834</v>
      </c>
      <c r="AY25" s="16">
        <f t="shared" si="17"/>
        <v>56.437095452304185</v>
      </c>
      <c r="AZ25" s="16">
        <f t="shared" si="18"/>
        <v>134.01118040976476</v>
      </c>
      <c r="BA25" s="17">
        <f t="shared" si="81"/>
        <v>35.424087856897714</v>
      </c>
      <c r="BB25" s="17">
        <f t="shared" si="82"/>
        <v>42.810394901722987</v>
      </c>
      <c r="BC25" s="17">
        <f t="shared" si="83"/>
        <v>68.667936470774464</v>
      </c>
      <c r="BD25" s="17">
        <f t="shared" si="84"/>
        <v>78.252753184397989</v>
      </c>
      <c r="BE25" s="17">
        <f t="shared" si="85"/>
        <v>94.547228197183259</v>
      </c>
      <c r="BF25" s="17">
        <f t="shared" si="86"/>
        <v>106.39415111316158</v>
      </c>
      <c r="BG25" s="17">
        <f t="shared" si="87"/>
        <v>114.2973449594912</v>
      </c>
      <c r="BH25" s="17">
        <f t="shared" si="88"/>
        <v>127.60610331637088</v>
      </c>
      <c r="BI25" s="17">
        <f t="shared" si="27"/>
        <v>1.1625982470516784E-2</v>
      </c>
      <c r="BJ25" s="17">
        <f t="shared" si="28"/>
        <v>1.4691067337912261E-2</v>
      </c>
      <c r="BK25" s="17">
        <f t="shared" si="29"/>
        <v>28.696690452912026</v>
      </c>
      <c r="BL25" s="17">
        <f t="shared" si="30"/>
        <v>29.661930236743164</v>
      </c>
      <c r="BM25" s="263">
        <f t="shared" si="31"/>
        <v>4.6322196240640304E-3</v>
      </c>
      <c r="BN25" s="263">
        <f t="shared" si="32"/>
        <v>5.2936118196245515E-3</v>
      </c>
      <c r="BO25" s="263">
        <f t="shared" si="33"/>
        <v>4.6579973341037062E-3</v>
      </c>
      <c r="BP25" s="263">
        <f t="shared" si="34"/>
        <v>5.3410578435228997E-3</v>
      </c>
      <c r="BQ25" s="263">
        <f t="shared" si="35"/>
        <v>-2.62020899613848E-4</v>
      </c>
      <c r="BR25" s="263">
        <f t="shared" si="36"/>
        <v>2.0015946921793468E-4</v>
      </c>
      <c r="BS25" s="18" t="e">
        <f t="shared" si="89"/>
        <v>#DIV/0!</v>
      </c>
      <c r="BT25" s="18" t="e">
        <f t="shared" si="90"/>
        <v>#DIV/0!</v>
      </c>
      <c r="BU25" s="18" t="e">
        <f t="shared" si="91"/>
        <v>#DIV/0!</v>
      </c>
      <c r="BV25" s="18" t="e">
        <f t="shared" si="92"/>
        <v>#DIV/0!</v>
      </c>
      <c r="BW25" s="19" t="e">
        <f t="shared" si="93"/>
        <v>#DIV/0!</v>
      </c>
      <c r="BX25" s="19" t="e">
        <f t="shared" si="94"/>
        <v>#DIV/0!</v>
      </c>
      <c r="BY25" s="20" t="e">
        <f t="shared" si="95"/>
        <v>#DIV/0!</v>
      </c>
      <c r="BZ25" s="18" t="e">
        <f t="shared" si="96"/>
        <v>#DIV/0!</v>
      </c>
      <c r="CA25" s="19">
        <f t="shared" si="57"/>
        <v>4.9388614429463438</v>
      </c>
      <c r="CB25" s="207">
        <f t="shared" si="58"/>
        <v>6.3118282122260467</v>
      </c>
      <c r="CC25" s="19">
        <f t="shared" si="59"/>
        <v>9.9985772639558934E-4</v>
      </c>
      <c r="CD25" s="201">
        <f t="shared" si="60"/>
        <v>1.4876579055213623E-2</v>
      </c>
      <c r="CE25" s="30">
        <f t="shared" si="97"/>
        <v>38</v>
      </c>
      <c r="CF25" s="18">
        <f t="shared" si="98"/>
        <v>61.774482758620721</v>
      </c>
      <c r="CG25" s="18">
        <f t="shared" si="98"/>
        <v>112.37931034482759</v>
      </c>
      <c r="CH25" s="18">
        <f t="shared" si="99"/>
        <v>113.43103448275862</v>
      </c>
      <c r="CI25" s="16">
        <f t="shared" si="100"/>
        <v>0.18138170498084291</v>
      </c>
      <c r="CJ25" s="16">
        <f t="shared" si="101"/>
        <v>95.224137931034477</v>
      </c>
      <c r="CK25" s="17">
        <f t="shared" si="102"/>
        <v>39.11724137931035</v>
      </c>
      <c r="CL25" s="17">
        <f t="shared" si="103"/>
        <v>73.460344827586226</v>
      </c>
      <c r="CM25" s="17">
        <f t="shared" si="104"/>
        <v>100.47068965517242</v>
      </c>
      <c r="CN25" s="17">
        <f t="shared" si="105"/>
        <v>120.95172413793104</v>
      </c>
      <c r="CO25" s="17">
        <f t="shared" si="52"/>
        <v>1.3158524904214522E-2</v>
      </c>
      <c r="CP25" s="17">
        <f t="shared" si="53"/>
        <v>29.179310344827595</v>
      </c>
      <c r="CQ25" s="263">
        <f t="shared" si="106"/>
        <v>4.9995275888133029E-3</v>
      </c>
      <c r="CR25" s="263">
        <f t="shared" si="106"/>
        <v>4.962915721844291E-3</v>
      </c>
      <c r="CS25" s="263">
        <f t="shared" si="106"/>
        <v>-3.0930715197956654E-5</v>
      </c>
      <c r="CT25" s="17" t="e">
        <f t="shared" si="106"/>
        <v>#DIV/0!</v>
      </c>
      <c r="CU25" s="17" t="e">
        <f t="shared" si="107"/>
        <v>#DIV/0!</v>
      </c>
      <c r="CV25" s="21" t="e">
        <f t="shared" si="108"/>
        <v>#DIV/0!</v>
      </c>
      <c r="CW25" s="17" t="e">
        <f t="shared" si="109"/>
        <v>#DIV/0!</v>
      </c>
      <c r="CX25" s="205">
        <f t="shared" si="110"/>
        <v>5.6253448275861953</v>
      </c>
      <c r="CY25" s="22">
        <f t="shared" si="56"/>
        <v>7.938218390804606E-3</v>
      </c>
    </row>
    <row r="26" spans="1:103" ht="11.25" customHeight="1">
      <c r="A26" s="82" t="s">
        <v>135</v>
      </c>
      <c r="B26" s="37">
        <v>37</v>
      </c>
      <c r="C26" s="255">
        <v>61.75</v>
      </c>
      <c r="D26" s="37">
        <v>115</v>
      </c>
      <c r="E26" s="37">
        <v>113</v>
      </c>
      <c r="F26" s="39">
        <v>0.18472222222222223</v>
      </c>
      <c r="G26" s="113">
        <f>220.76+8.86+22.11+35.37+52.92+39.75+61.75+57.42+119.18</f>
        <v>618.12000000000012</v>
      </c>
      <c r="H26" s="135">
        <v>161</v>
      </c>
      <c r="I26" s="135">
        <v>322.7</v>
      </c>
      <c r="J26" s="135">
        <v>484.3</v>
      </c>
      <c r="K26" s="135">
        <v>610.79999999999995</v>
      </c>
      <c r="L26" s="135">
        <f t="shared" si="1"/>
        <v>7.3200000000001637</v>
      </c>
      <c r="M26" s="211">
        <f>123.58+30.87</f>
        <v>154.44999999999999</v>
      </c>
      <c r="N26" s="135">
        <v>41.8</v>
      </c>
      <c r="O26" s="135">
        <v>83.7</v>
      </c>
      <c r="P26" s="135">
        <v>125.6</v>
      </c>
      <c r="Q26" s="135">
        <v>156.5</v>
      </c>
      <c r="R26" s="136">
        <f t="shared" si="2"/>
        <v>-2.0500000000000114</v>
      </c>
      <c r="S26" s="212">
        <v>95</v>
      </c>
      <c r="T26" s="43">
        <v>36.200000000000003</v>
      </c>
      <c r="U26" s="43">
        <v>69.900000000000006</v>
      </c>
      <c r="V26" s="43">
        <v>97.7</v>
      </c>
      <c r="W26" s="43">
        <v>117.8</v>
      </c>
      <c r="X26" s="184">
        <v>0.62222222222222223</v>
      </c>
      <c r="Y26" s="184">
        <v>0.63611111111111118</v>
      </c>
      <c r="Z26" s="184">
        <f t="shared" si="3"/>
        <v>1.3888888888888951E-2</v>
      </c>
      <c r="AA26" s="43">
        <v>29.5</v>
      </c>
      <c r="AB26" s="260">
        <v>4.9768518518518521E-3</v>
      </c>
      <c r="AC26" s="260">
        <v>5.0347222222222225E-3</v>
      </c>
      <c r="AD26" s="260">
        <f t="shared" si="4"/>
        <v>5.7870370370370454E-5</v>
      </c>
      <c r="AE26" s="48"/>
      <c r="AF26" s="47"/>
      <c r="AG26" s="38"/>
      <c r="AH26" s="47"/>
      <c r="AI26" s="157">
        <v>1354.84</v>
      </c>
      <c r="AJ26" s="158">
        <v>1349.02</v>
      </c>
      <c r="AK26" s="225">
        <f t="shared" si="5"/>
        <v>5.8199999999999363</v>
      </c>
      <c r="AL26" s="191">
        <v>0.68402777777777779</v>
      </c>
      <c r="AM26" s="191">
        <v>0.69097222222222221</v>
      </c>
      <c r="AN26" s="227">
        <f t="shared" si="6"/>
        <v>6.9444444444444198E-3</v>
      </c>
      <c r="AO26" s="74">
        <f t="shared" si="73"/>
        <v>28.089877583208697</v>
      </c>
      <c r="AP26" s="15">
        <f t="shared" si="74"/>
        <v>47.910122416791303</v>
      </c>
      <c r="AQ26" s="18">
        <f t="shared" si="9"/>
        <v>61.691860138971634</v>
      </c>
      <c r="AR26" s="18">
        <f t="shared" si="10"/>
        <v>61.857105378269807</v>
      </c>
      <c r="AS26" s="15">
        <f t="shared" si="75"/>
        <v>109.94095976728137</v>
      </c>
      <c r="AT26" s="15">
        <f t="shared" si="76"/>
        <v>114.8176609223738</v>
      </c>
      <c r="AU26" s="15">
        <f t="shared" si="77"/>
        <v>111.93239626243108</v>
      </c>
      <c r="AV26" s="15">
        <f t="shared" si="78"/>
        <v>114.92967270308615</v>
      </c>
      <c r="AW26" s="16">
        <f t="shared" si="79"/>
        <v>0.17368036968193748</v>
      </c>
      <c r="AX26" s="16">
        <f t="shared" si="80"/>
        <v>0.18908304027974834</v>
      </c>
      <c r="AY26" s="16">
        <f t="shared" si="17"/>
        <v>56.437095452304185</v>
      </c>
      <c r="AZ26" s="16">
        <f t="shared" si="18"/>
        <v>134.01118040976476</v>
      </c>
      <c r="BA26" s="17">
        <f t="shared" si="81"/>
        <v>35.424087856897714</v>
      </c>
      <c r="BB26" s="17">
        <f t="shared" si="82"/>
        <v>42.810394901722987</v>
      </c>
      <c r="BC26" s="17">
        <f t="shared" si="83"/>
        <v>68.667936470774464</v>
      </c>
      <c r="BD26" s="17">
        <f t="shared" si="84"/>
        <v>78.252753184397989</v>
      </c>
      <c r="BE26" s="17">
        <f t="shared" si="85"/>
        <v>94.547228197183259</v>
      </c>
      <c r="BF26" s="17">
        <f t="shared" si="86"/>
        <v>106.39415111316158</v>
      </c>
      <c r="BG26" s="17">
        <f t="shared" si="87"/>
        <v>114.2973449594912</v>
      </c>
      <c r="BH26" s="17">
        <f t="shared" si="88"/>
        <v>127.60610331637088</v>
      </c>
      <c r="BI26" s="17">
        <f t="shared" si="27"/>
        <v>1.1625982470516784E-2</v>
      </c>
      <c r="BJ26" s="17">
        <f t="shared" si="28"/>
        <v>1.4691067337912261E-2</v>
      </c>
      <c r="BK26" s="17">
        <f t="shared" si="29"/>
        <v>28.696690452912026</v>
      </c>
      <c r="BL26" s="17">
        <f t="shared" si="30"/>
        <v>29.661930236743164</v>
      </c>
      <c r="BM26" s="263">
        <f t="shared" si="31"/>
        <v>4.6322196240640304E-3</v>
      </c>
      <c r="BN26" s="263">
        <f t="shared" si="32"/>
        <v>5.2936118196245515E-3</v>
      </c>
      <c r="BO26" s="263">
        <f t="shared" si="33"/>
        <v>4.6579973341037062E-3</v>
      </c>
      <c r="BP26" s="263">
        <f t="shared" si="34"/>
        <v>5.3410578435228997E-3</v>
      </c>
      <c r="BQ26" s="263">
        <f t="shared" si="35"/>
        <v>-2.62020899613848E-4</v>
      </c>
      <c r="BR26" s="263">
        <f t="shared" si="36"/>
        <v>2.0015946921793468E-4</v>
      </c>
      <c r="BS26" s="18" t="e">
        <f t="shared" si="89"/>
        <v>#DIV/0!</v>
      </c>
      <c r="BT26" s="18" t="e">
        <f t="shared" si="90"/>
        <v>#DIV/0!</v>
      </c>
      <c r="BU26" s="18" t="e">
        <f t="shared" si="91"/>
        <v>#DIV/0!</v>
      </c>
      <c r="BV26" s="18" t="e">
        <f t="shared" si="92"/>
        <v>#DIV/0!</v>
      </c>
      <c r="BW26" s="19" t="e">
        <f t="shared" si="93"/>
        <v>#DIV/0!</v>
      </c>
      <c r="BX26" s="19" t="e">
        <f t="shared" si="94"/>
        <v>#DIV/0!</v>
      </c>
      <c r="BY26" s="20" t="e">
        <f t="shared" si="95"/>
        <v>#DIV/0!</v>
      </c>
      <c r="BZ26" s="18" t="e">
        <f t="shared" si="96"/>
        <v>#DIV/0!</v>
      </c>
      <c r="CA26" s="19">
        <f t="shared" si="57"/>
        <v>4.9388614429463438</v>
      </c>
      <c r="CB26" s="207">
        <f t="shared" si="58"/>
        <v>6.3118282122260467</v>
      </c>
      <c r="CC26" s="19">
        <f t="shared" si="59"/>
        <v>9.9985772639558934E-4</v>
      </c>
      <c r="CD26" s="201">
        <f t="shared" si="60"/>
        <v>1.4876579055213623E-2</v>
      </c>
      <c r="CE26" s="30">
        <f t="shared" si="97"/>
        <v>38</v>
      </c>
      <c r="CF26" s="18">
        <f t="shared" si="98"/>
        <v>61.774482758620721</v>
      </c>
      <c r="CG26" s="18">
        <f t="shared" si="98"/>
        <v>112.37931034482759</v>
      </c>
      <c r="CH26" s="18">
        <f t="shared" si="99"/>
        <v>113.43103448275862</v>
      </c>
      <c r="CI26" s="16">
        <f t="shared" si="100"/>
        <v>0.18138170498084291</v>
      </c>
      <c r="CJ26" s="16">
        <f t="shared" si="101"/>
        <v>95.224137931034477</v>
      </c>
      <c r="CK26" s="17">
        <f t="shared" si="102"/>
        <v>39.11724137931035</v>
      </c>
      <c r="CL26" s="17">
        <f t="shared" si="103"/>
        <v>73.460344827586226</v>
      </c>
      <c r="CM26" s="17">
        <f t="shared" si="104"/>
        <v>100.47068965517242</v>
      </c>
      <c r="CN26" s="17">
        <f t="shared" si="105"/>
        <v>120.95172413793104</v>
      </c>
      <c r="CO26" s="17">
        <f t="shared" si="52"/>
        <v>1.3158524904214522E-2</v>
      </c>
      <c r="CP26" s="17">
        <f t="shared" si="53"/>
        <v>29.179310344827595</v>
      </c>
      <c r="CQ26" s="263">
        <f t="shared" si="106"/>
        <v>4.9995275888133029E-3</v>
      </c>
      <c r="CR26" s="263">
        <f t="shared" si="106"/>
        <v>4.962915721844291E-3</v>
      </c>
      <c r="CS26" s="263">
        <f t="shared" si="106"/>
        <v>-3.0930715197956654E-5</v>
      </c>
      <c r="CT26" s="17" t="e">
        <f t="shared" si="106"/>
        <v>#DIV/0!</v>
      </c>
      <c r="CU26" s="17" t="e">
        <f t="shared" si="107"/>
        <v>#DIV/0!</v>
      </c>
      <c r="CV26" s="21" t="e">
        <f t="shared" si="108"/>
        <v>#DIV/0!</v>
      </c>
      <c r="CW26" s="17" t="e">
        <f t="shared" si="109"/>
        <v>#DIV/0!</v>
      </c>
      <c r="CX26" s="205">
        <f t="shared" si="110"/>
        <v>5.6253448275861953</v>
      </c>
      <c r="CY26" s="22">
        <f t="shared" si="56"/>
        <v>7.938218390804606E-3</v>
      </c>
    </row>
    <row r="27" spans="1:103" ht="11.25" customHeight="1">
      <c r="A27" s="82" t="s">
        <v>136</v>
      </c>
      <c r="B27" s="37">
        <v>36</v>
      </c>
      <c r="C27" s="255">
        <v>61.73</v>
      </c>
      <c r="D27" s="37">
        <v>113</v>
      </c>
      <c r="E27" s="37">
        <v>114</v>
      </c>
      <c r="F27" s="39">
        <v>0.18263888888888891</v>
      </c>
      <c r="G27" s="113">
        <f>220.69+8.84+22.11+35.39+52.94+39.72+61.73+57.37+119.12</f>
        <v>617.91</v>
      </c>
      <c r="H27" s="135">
        <v>160.80000000000001</v>
      </c>
      <c r="I27" s="135">
        <v>322.5</v>
      </c>
      <c r="J27" s="135">
        <v>484.1</v>
      </c>
      <c r="K27" s="135">
        <v>598.29999999999995</v>
      </c>
      <c r="L27" s="135">
        <f t="shared" si="1"/>
        <v>19.610000000000014</v>
      </c>
      <c r="M27" s="211">
        <f>123.57+30.89</f>
        <v>154.45999999999998</v>
      </c>
      <c r="N27" s="135">
        <v>41.8</v>
      </c>
      <c r="O27" s="135">
        <v>83.7</v>
      </c>
      <c r="P27" s="135">
        <v>125.7</v>
      </c>
      <c r="Q27" s="135">
        <v>156.80000000000001</v>
      </c>
      <c r="R27" s="136">
        <f t="shared" si="2"/>
        <v>-2.3400000000000318</v>
      </c>
      <c r="S27" s="212">
        <v>97</v>
      </c>
      <c r="T27" s="43">
        <v>38.799999999999997</v>
      </c>
      <c r="U27" s="43">
        <v>73.099999999999994</v>
      </c>
      <c r="V27" s="43">
        <v>99.5</v>
      </c>
      <c r="W27" s="43">
        <v>120.1</v>
      </c>
      <c r="X27" s="184">
        <v>0.62013888888888891</v>
      </c>
      <c r="Y27" s="184">
        <v>0.63402777777777775</v>
      </c>
      <c r="Z27" s="184">
        <f t="shared" si="3"/>
        <v>1.388888888888884E-2</v>
      </c>
      <c r="AA27" s="43">
        <v>29.1</v>
      </c>
      <c r="AB27" s="260">
        <v>5.0462962962962961E-3</v>
      </c>
      <c r="AC27" s="260">
        <v>5.0000000000000001E-3</v>
      </c>
      <c r="AD27" s="260">
        <f t="shared" si="4"/>
        <v>-4.6296296296296016E-5</v>
      </c>
      <c r="AE27" s="48"/>
      <c r="AF27" s="47"/>
      <c r="AG27" s="38"/>
      <c r="AH27" s="47"/>
      <c r="AI27" s="157">
        <v>1354.64</v>
      </c>
      <c r="AJ27" s="158">
        <v>1349.15</v>
      </c>
      <c r="AK27" s="225">
        <f t="shared" si="5"/>
        <v>5.4900000000000091</v>
      </c>
      <c r="AL27" s="191">
        <v>0.68541666666666667</v>
      </c>
      <c r="AM27" s="191">
        <v>0.69444444444444453</v>
      </c>
      <c r="AN27" s="227">
        <f t="shared" si="6"/>
        <v>9.0277777777778567E-3</v>
      </c>
      <c r="AO27" s="74">
        <f t="shared" si="73"/>
        <v>28.089877583208697</v>
      </c>
      <c r="AP27" s="15">
        <f t="shared" si="74"/>
        <v>47.910122416791303</v>
      </c>
      <c r="AQ27" s="18">
        <f t="shared" si="9"/>
        <v>61.691860138971634</v>
      </c>
      <c r="AR27" s="18">
        <f t="shared" si="10"/>
        <v>61.857105378269807</v>
      </c>
      <c r="AS27" s="15">
        <f t="shared" si="75"/>
        <v>109.94095976728137</v>
      </c>
      <c r="AT27" s="15">
        <f t="shared" si="76"/>
        <v>114.8176609223738</v>
      </c>
      <c r="AU27" s="15">
        <f t="shared" si="77"/>
        <v>111.93239626243108</v>
      </c>
      <c r="AV27" s="15">
        <f t="shared" si="78"/>
        <v>114.92967270308615</v>
      </c>
      <c r="AW27" s="16">
        <f t="shared" si="79"/>
        <v>0.17368036968193748</v>
      </c>
      <c r="AX27" s="16">
        <f t="shared" si="80"/>
        <v>0.18908304027974834</v>
      </c>
      <c r="AY27" s="16">
        <f t="shared" si="17"/>
        <v>56.437095452304185</v>
      </c>
      <c r="AZ27" s="16">
        <f t="shared" si="18"/>
        <v>134.01118040976476</v>
      </c>
      <c r="BA27" s="17">
        <f t="shared" si="81"/>
        <v>35.424087856897714</v>
      </c>
      <c r="BB27" s="17">
        <f t="shared" si="82"/>
        <v>42.810394901722987</v>
      </c>
      <c r="BC27" s="17">
        <f t="shared" si="83"/>
        <v>68.667936470774464</v>
      </c>
      <c r="BD27" s="17">
        <f t="shared" si="84"/>
        <v>78.252753184397989</v>
      </c>
      <c r="BE27" s="17">
        <f t="shared" si="85"/>
        <v>94.547228197183259</v>
      </c>
      <c r="BF27" s="17">
        <f t="shared" si="86"/>
        <v>106.39415111316158</v>
      </c>
      <c r="BG27" s="17">
        <f t="shared" si="87"/>
        <v>114.2973449594912</v>
      </c>
      <c r="BH27" s="17">
        <f t="shared" si="88"/>
        <v>127.60610331637088</v>
      </c>
      <c r="BI27" s="17">
        <f t="shared" si="27"/>
        <v>1.1625982470516784E-2</v>
      </c>
      <c r="BJ27" s="17">
        <f t="shared" si="28"/>
        <v>1.4691067337912261E-2</v>
      </c>
      <c r="BK27" s="17">
        <f t="shared" si="29"/>
        <v>28.696690452912026</v>
      </c>
      <c r="BL27" s="17">
        <f t="shared" si="30"/>
        <v>29.661930236743164</v>
      </c>
      <c r="BM27" s="263">
        <f t="shared" si="31"/>
        <v>4.6322196240640304E-3</v>
      </c>
      <c r="BN27" s="263">
        <f t="shared" si="32"/>
        <v>5.2936118196245515E-3</v>
      </c>
      <c r="BO27" s="263">
        <f t="shared" si="33"/>
        <v>4.6579973341037062E-3</v>
      </c>
      <c r="BP27" s="263">
        <f t="shared" si="34"/>
        <v>5.3410578435228997E-3</v>
      </c>
      <c r="BQ27" s="263">
        <f t="shared" si="35"/>
        <v>-2.62020899613848E-4</v>
      </c>
      <c r="BR27" s="263">
        <f t="shared" si="36"/>
        <v>2.0015946921793468E-4</v>
      </c>
      <c r="BS27" s="18" t="e">
        <f t="shared" si="89"/>
        <v>#DIV/0!</v>
      </c>
      <c r="BT27" s="18" t="e">
        <f t="shared" si="90"/>
        <v>#DIV/0!</v>
      </c>
      <c r="BU27" s="18" t="e">
        <f t="shared" si="91"/>
        <v>#DIV/0!</v>
      </c>
      <c r="BV27" s="18" t="e">
        <f t="shared" si="92"/>
        <v>#DIV/0!</v>
      </c>
      <c r="BW27" s="19" t="e">
        <f t="shared" si="93"/>
        <v>#DIV/0!</v>
      </c>
      <c r="BX27" s="19" t="e">
        <f t="shared" si="94"/>
        <v>#DIV/0!</v>
      </c>
      <c r="BY27" s="20" t="e">
        <f t="shared" si="95"/>
        <v>#DIV/0!</v>
      </c>
      <c r="BZ27" s="18" t="e">
        <f t="shared" si="96"/>
        <v>#DIV/0!</v>
      </c>
      <c r="CA27" s="19">
        <f t="shared" si="57"/>
        <v>4.9388614429463438</v>
      </c>
      <c r="CB27" s="207">
        <f t="shared" si="58"/>
        <v>6.3118282122260467</v>
      </c>
      <c r="CC27" s="19">
        <f t="shared" si="59"/>
        <v>9.9985772639558934E-4</v>
      </c>
      <c r="CD27" s="201">
        <f t="shared" si="60"/>
        <v>1.4876579055213623E-2</v>
      </c>
      <c r="CE27" s="30">
        <f t="shared" si="97"/>
        <v>38</v>
      </c>
      <c r="CF27" s="18">
        <f t="shared" si="98"/>
        <v>61.774482758620721</v>
      </c>
      <c r="CG27" s="18">
        <f t="shared" si="98"/>
        <v>112.37931034482759</v>
      </c>
      <c r="CH27" s="18">
        <f t="shared" si="99"/>
        <v>113.43103448275862</v>
      </c>
      <c r="CI27" s="16">
        <f t="shared" si="100"/>
        <v>0.18138170498084291</v>
      </c>
      <c r="CJ27" s="16">
        <f t="shared" si="101"/>
        <v>95.224137931034477</v>
      </c>
      <c r="CK27" s="17">
        <f t="shared" si="102"/>
        <v>39.11724137931035</v>
      </c>
      <c r="CL27" s="17">
        <f t="shared" si="103"/>
        <v>73.460344827586226</v>
      </c>
      <c r="CM27" s="17">
        <f t="shared" si="104"/>
        <v>100.47068965517242</v>
      </c>
      <c r="CN27" s="17">
        <f t="shared" si="105"/>
        <v>120.95172413793104</v>
      </c>
      <c r="CO27" s="17">
        <f t="shared" si="52"/>
        <v>1.3158524904214522E-2</v>
      </c>
      <c r="CP27" s="17">
        <f t="shared" si="53"/>
        <v>29.179310344827595</v>
      </c>
      <c r="CQ27" s="263">
        <f t="shared" si="106"/>
        <v>4.9995275888133029E-3</v>
      </c>
      <c r="CR27" s="263">
        <f t="shared" si="106"/>
        <v>4.962915721844291E-3</v>
      </c>
      <c r="CS27" s="263">
        <f t="shared" si="106"/>
        <v>-3.0930715197956654E-5</v>
      </c>
      <c r="CT27" s="17" t="e">
        <f t="shared" si="106"/>
        <v>#DIV/0!</v>
      </c>
      <c r="CU27" s="17" t="e">
        <f t="shared" si="107"/>
        <v>#DIV/0!</v>
      </c>
      <c r="CV27" s="21" t="e">
        <f t="shared" si="108"/>
        <v>#DIV/0!</v>
      </c>
      <c r="CW27" s="17" t="e">
        <f t="shared" si="109"/>
        <v>#DIV/0!</v>
      </c>
      <c r="CX27" s="205">
        <f t="shared" si="110"/>
        <v>5.6253448275861953</v>
      </c>
      <c r="CY27" s="22">
        <f t="shared" si="56"/>
        <v>7.938218390804606E-3</v>
      </c>
    </row>
    <row r="28" spans="1:103" ht="11.25" customHeight="1">
      <c r="A28" s="82" t="s">
        <v>137</v>
      </c>
      <c r="B28" s="37">
        <v>37</v>
      </c>
      <c r="C28" s="255">
        <v>61.78</v>
      </c>
      <c r="D28" s="37">
        <v>112</v>
      </c>
      <c r="E28" s="37">
        <v>114</v>
      </c>
      <c r="F28" s="39">
        <v>0.18541666666666667</v>
      </c>
      <c r="G28" s="113">
        <f>220.68+8.87+22.1+35.47+52.86+39.74+61.78+57.47+119.22</f>
        <v>618.19000000000005</v>
      </c>
      <c r="H28" s="135">
        <v>161.19999999999999</v>
      </c>
      <c r="I28" s="135">
        <v>323.2</v>
      </c>
      <c r="J28" s="135">
        <v>485.2</v>
      </c>
      <c r="K28" s="135">
        <v>597.9</v>
      </c>
      <c r="L28" s="135">
        <f t="shared" si="1"/>
        <v>20.290000000000077</v>
      </c>
      <c r="M28" s="211">
        <f>123.68+30.89</f>
        <v>154.57</v>
      </c>
      <c r="N28" s="135">
        <v>41.8</v>
      </c>
      <c r="O28" s="135">
        <v>83.7</v>
      </c>
      <c r="P28" s="135">
        <v>125.7</v>
      </c>
      <c r="Q28" s="135">
        <v>156.5</v>
      </c>
      <c r="R28" s="136">
        <f t="shared" si="2"/>
        <v>-1.9300000000000068</v>
      </c>
      <c r="S28" s="212">
        <v>92</v>
      </c>
      <c r="T28" s="43">
        <v>37.9</v>
      </c>
      <c r="U28" s="43">
        <v>71.5</v>
      </c>
      <c r="V28" s="43">
        <v>97.7</v>
      </c>
      <c r="W28" s="43">
        <v>117.6</v>
      </c>
      <c r="X28" s="184">
        <v>0.62291666666666667</v>
      </c>
      <c r="Y28" s="184">
        <v>0.63680555555555551</v>
      </c>
      <c r="Z28" s="184">
        <f t="shared" si="3"/>
        <v>1.388888888888884E-2</v>
      </c>
      <c r="AA28" s="43">
        <v>29.2</v>
      </c>
      <c r="AB28" s="260">
        <v>4.9768518518518521E-3</v>
      </c>
      <c r="AC28" s="260">
        <v>5.0000000000000001E-3</v>
      </c>
      <c r="AD28" s="260">
        <f t="shared" si="4"/>
        <v>2.3148148148148008E-5</v>
      </c>
      <c r="AE28" s="48"/>
      <c r="AF28" s="47"/>
      <c r="AG28" s="38"/>
      <c r="AH28" s="47"/>
      <c r="AI28" s="157">
        <v>1355.14</v>
      </c>
      <c r="AJ28" s="158">
        <v>1349.78</v>
      </c>
      <c r="AK28" s="225">
        <f t="shared" si="5"/>
        <v>5.3600000000001273</v>
      </c>
      <c r="AL28" s="191">
        <v>0.68472222222222223</v>
      </c>
      <c r="AM28" s="191">
        <v>0.6875</v>
      </c>
      <c r="AN28" s="227">
        <f t="shared" si="6"/>
        <v>2.7777777777777679E-3</v>
      </c>
      <c r="AO28" s="74">
        <f t="shared" si="73"/>
        <v>28.089877583208697</v>
      </c>
      <c r="AP28" s="15">
        <f t="shared" si="74"/>
        <v>47.910122416791303</v>
      </c>
      <c r="AQ28" s="18">
        <f t="shared" si="9"/>
        <v>61.691860138971634</v>
      </c>
      <c r="AR28" s="18">
        <f t="shared" si="10"/>
        <v>61.857105378269807</v>
      </c>
      <c r="AS28" s="15">
        <f t="shared" si="75"/>
        <v>109.94095976728137</v>
      </c>
      <c r="AT28" s="15">
        <f t="shared" si="76"/>
        <v>114.8176609223738</v>
      </c>
      <c r="AU28" s="15">
        <f t="shared" si="77"/>
        <v>111.93239626243108</v>
      </c>
      <c r="AV28" s="15">
        <f t="shared" si="78"/>
        <v>114.92967270308615</v>
      </c>
      <c r="AW28" s="16">
        <f t="shared" si="79"/>
        <v>0.17368036968193748</v>
      </c>
      <c r="AX28" s="16">
        <f t="shared" si="80"/>
        <v>0.18908304027974834</v>
      </c>
      <c r="AY28" s="16">
        <f t="shared" si="17"/>
        <v>56.437095452304185</v>
      </c>
      <c r="AZ28" s="16">
        <f t="shared" si="18"/>
        <v>134.01118040976476</v>
      </c>
      <c r="BA28" s="17">
        <f t="shared" si="81"/>
        <v>35.424087856897714</v>
      </c>
      <c r="BB28" s="17">
        <f t="shared" si="82"/>
        <v>42.810394901722987</v>
      </c>
      <c r="BC28" s="17">
        <f t="shared" si="83"/>
        <v>68.667936470774464</v>
      </c>
      <c r="BD28" s="17">
        <f t="shared" si="84"/>
        <v>78.252753184397989</v>
      </c>
      <c r="BE28" s="17">
        <f t="shared" si="85"/>
        <v>94.547228197183259</v>
      </c>
      <c r="BF28" s="17">
        <f t="shared" si="86"/>
        <v>106.39415111316158</v>
      </c>
      <c r="BG28" s="17">
        <f t="shared" si="87"/>
        <v>114.2973449594912</v>
      </c>
      <c r="BH28" s="17">
        <f t="shared" si="88"/>
        <v>127.60610331637088</v>
      </c>
      <c r="BI28" s="17">
        <f t="shared" si="27"/>
        <v>1.1625982470516784E-2</v>
      </c>
      <c r="BJ28" s="17">
        <f t="shared" si="28"/>
        <v>1.4691067337912261E-2</v>
      </c>
      <c r="BK28" s="17">
        <f t="shared" si="29"/>
        <v>28.696690452912026</v>
      </c>
      <c r="BL28" s="17">
        <f t="shared" si="30"/>
        <v>29.661930236743164</v>
      </c>
      <c r="BM28" s="263">
        <f t="shared" si="31"/>
        <v>4.6322196240640304E-3</v>
      </c>
      <c r="BN28" s="263">
        <f t="shared" si="32"/>
        <v>5.2936118196245515E-3</v>
      </c>
      <c r="BO28" s="263">
        <f t="shared" si="33"/>
        <v>4.6579973341037062E-3</v>
      </c>
      <c r="BP28" s="263">
        <f t="shared" si="34"/>
        <v>5.3410578435228997E-3</v>
      </c>
      <c r="BQ28" s="263">
        <f t="shared" si="35"/>
        <v>-2.62020899613848E-4</v>
      </c>
      <c r="BR28" s="263">
        <f t="shared" si="36"/>
        <v>2.0015946921793468E-4</v>
      </c>
      <c r="BS28" s="18" t="e">
        <f t="shared" si="89"/>
        <v>#DIV/0!</v>
      </c>
      <c r="BT28" s="18" t="e">
        <f t="shared" si="90"/>
        <v>#DIV/0!</v>
      </c>
      <c r="BU28" s="18" t="e">
        <f t="shared" si="91"/>
        <v>#DIV/0!</v>
      </c>
      <c r="BV28" s="18" t="e">
        <f t="shared" si="92"/>
        <v>#DIV/0!</v>
      </c>
      <c r="BW28" s="19" t="e">
        <f t="shared" si="93"/>
        <v>#DIV/0!</v>
      </c>
      <c r="BX28" s="19" t="e">
        <f t="shared" si="94"/>
        <v>#DIV/0!</v>
      </c>
      <c r="BY28" s="20" t="e">
        <f t="shared" si="95"/>
        <v>#DIV/0!</v>
      </c>
      <c r="BZ28" s="18" t="e">
        <f t="shared" si="96"/>
        <v>#DIV/0!</v>
      </c>
      <c r="CA28" s="19">
        <f t="shared" si="57"/>
        <v>4.9388614429463438</v>
      </c>
      <c r="CB28" s="207">
        <f t="shared" si="58"/>
        <v>6.3118282122260467</v>
      </c>
      <c r="CC28" s="19">
        <f t="shared" si="59"/>
        <v>9.9985772639558934E-4</v>
      </c>
      <c r="CD28" s="201">
        <f t="shared" si="60"/>
        <v>1.4876579055213623E-2</v>
      </c>
      <c r="CE28" s="30">
        <f t="shared" si="97"/>
        <v>38</v>
      </c>
      <c r="CF28" s="18">
        <f t="shared" si="98"/>
        <v>61.774482758620721</v>
      </c>
      <c r="CG28" s="18">
        <f t="shared" si="98"/>
        <v>112.37931034482759</v>
      </c>
      <c r="CH28" s="18">
        <f t="shared" si="99"/>
        <v>113.43103448275862</v>
      </c>
      <c r="CI28" s="16">
        <f t="shared" si="100"/>
        <v>0.18138170498084291</v>
      </c>
      <c r="CJ28" s="16">
        <f t="shared" si="101"/>
        <v>95.224137931034477</v>
      </c>
      <c r="CK28" s="17">
        <f t="shared" si="102"/>
        <v>39.11724137931035</v>
      </c>
      <c r="CL28" s="17">
        <f t="shared" si="103"/>
        <v>73.460344827586226</v>
      </c>
      <c r="CM28" s="17">
        <f t="shared" si="104"/>
        <v>100.47068965517242</v>
      </c>
      <c r="CN28" s="17">
        <f t="shared" si="105"/>
        <v>120.95172413793104</v>
      </c>
      <c r="CO28" s="17">
        <f t="shared" si="52"/>
        <v>1.3158524904214522E-2</v>
      </c>
      <c r="CP28" s="17">
        <f t="shared" si="53"/>
        <v>29.179310344827595</v>
      </c>
      <c r="CQ28" s="263">
        <f t="shared" si="106"/>
        <v>4.9995275888133029E-3</v>
      </c>
      <c r="CR28" s="263">
        <f t="shared" si="106"/>
        <v>4.962915721844291E-3</v>
      </c>
      <c r="CS28" s="263">
        <f t="shared" si="106"/>
        <v>-3.0930715197956654E-5</v>
      </c>
      <c r="CT28" s="17" t="e">
        <f t="shared" si="106"/>
        <v>#DIV/0!</v>
      </c>
      <c r="CU28" s="17" t="e">
        <f t="shared" si="107"/>
        <v>#DIV/0!</v>
      </c>
      <c r="CV28" s="21" t="e">
        <f t="shared" si="108"/>
        <v>#DIV/0!</v>
      </c>
      <c r="CW28" s="17" t="e">
        <f t="shared" si="109"/>
        <v>#DIV/0!</v>
      </c>
      <c r="CX28" s="205">
        <f t="shared" si="110"/>
        <v>5.6253448275861953</v>
      </c>
      <c r="CY28" s="22">
        <f t="shared" si="56"/>
        <v>7.938218390804606E-3</v>
      </c>
    </row>
    <row r="29" spans="1:103" ht="11.25" customHeight="1">
      <c r="A29" s="82" t="s">
        <v>138</v>
      </c>
      <c r="B29" s="160">
        <v>35</v>
      </c>
      <c r="C29" s="257">
        <v>61.81</v>
      </c>
      <c r="D29" s="160">
        <v>114</v>
      </c>
      <c r="E29" s="160">
        <v>113</v>
      </c>
      <c r="F29" s="162">
        <v>0.18611111111111112</v>
      </c>
      <c r="G29" s="113">
        <f>220.75+8.89+22.08+35.32+52.93+39.75+61.81+57.4+119.1</f>
        <v>618.03</v>
      </c>
      <c r="H29" s="135">
        <v>160.9</v>
      </c>
      <c r="I29" s="135">
        <v>322.89999999999998</v>
      </c>
      <c r="J29" s="135">
        <v>485</v>
      </c>
      <c r="K29" s="135">
        <v>606.6</v>
      </c>
      <c r="L29" s="135">
        <f t="shared" si="1"/>
        <v>11.42999999999995</v>
      </c>
      <c r="M29" s="211">
        <f>30.9+123.53</f>
        <v>154.43</v>
      </c>
      <c r="N29" s="135">
        <v>41.8</v>
      </c>
      <c r="O29" s="135">
        <v>83.7</v>
      </c>
      <c r="P29" s="135">
        <v>125.7</v>
      </c>
      <c r="Q29" s="135">
        <v>155.9</v>
      </c>
      <c r="R29" s="136">
        <f t="shared" si="2"/>
        <v>-1.4699999999999989</v>
      </c>
      <c r="S29" s="212">
        <v>120</v>
      </c>
      <c r="T29" s="161">
        <v>37</v>
      </c>
      <c r="U29" s="161">
        <v>70.7</v>
      </c>
      <c r="V29" s="161">
        <v>96.8</v>
      </c>
      <c r="W29" s="161">
        <v>117.2</v>
      </c>
      <c r="X29" s="186">
        <v>0.62361111111111112</v>
      </c>
      <c r="Y29" s="186">
        <v>0.63749999999999996</v>
      </c>
      <c r="Z29" s="184">
        <f t="shared" si="3"/>
        <v>1.388888888888884E-2</v>
      </c>
      <c r="AA29" s="161">
        <v>28.9</v>
      </c>
      <c r="AB29" s="260">
        <v>5.1273148148148146E-3</v>
      </c>
      <c r="AC29" s="260">
        <v>5.0347222222222225E-3</v>
      </c>
      <c r="AD29" s="260">
        <f t="shared" si="4"/>
        <v>-9.2592592592592032E-5</v>
      </c>
      <c r="AE29" s="57"/>
      <c r="AF29" s="57"/>
      <c r="AG29" s="2"/>
      <c r="AH29" s="57"/>
      <c r="AI29" s="157">
        <v>1354.69</v>
      </c>
      <c r="AJ29" s="158">
        <v>1349.1</v>
      </c>
      <c r="AK29" s="225">
        <f t="shared" si="5"/>
        <v>5.5900000000001455</v>
      </c>
      <c r="AL29" s="191">
        <v>0.68472222222222223</v>
      </c>
      <c r="AM29" s="191">
        <v>0.6875</v>
      </c>
      <c r="AN29" s="227">
        <f t="shared" si="6"/>
        <v>2.7777777777777679E-3</v>
      </c>
      <c r="AO29" s="74">
        <f t="shared" si="73"/>
        <v>28.089877583208697</v>
      </c>
      <c r="AP29" s="15">
        <f t="shared" si="74"/>
        <v>47.910122416791303</v>
      </c>
      <c r="AQ29" s="18">
        <f t="shared" si="9"/>
        <v>61.691860138971634</v>
      </c>
      <c r="AR29" s="18">
        <f t="shared" si="10"/>
        <v>61.857105378269807</v>
      </c>
      <c r="AS29" s="15">
        <f t="shared" si="75"/>
        <v>109.94095976728137</v>
      </c>
      <c r="AT29" s="15">
        <f t="shared" si="76"/>
        <v>114.8176609223738</v>
      </c>
      <c r="AU29" s="15">
        <f t="shared" si="77"/>
        <v>111.93239626243108</v>
      </c>
      <c r="AV29" s="15">
        <f t="shared" si="78"/>
        <v>114.92967270308615</v>
      </c>
      <c r="AW29" s="16">
        <f t="shared" si="79"/>
        <v>0.17368036968193748</v>
      </c>
      <c r="AX29" s="16">
        <f t="shared" si="80"/>
        <v>0.18908304027974834</v>
      </c>
      <c r="AY29" s="16">
        <f t="shared" si="17"/>
        <v>56.437095452304185</v>
      </c>
      <c r="AZ29" s="16">
        <f t="shared" si="18"/>
        <v>134.01118040976476</v>
      </c>
      <c r="BA29" s="17">
        <f t="shared" si="81"/>
        <v>35.424087856897714</v>
      </c>
      <c r="BB29" s="17">
        <f t="shared" si="82"/>
        <v>42.810394901722987</v>
      </c>
      <c r="BC29" s="17">
        <f t="shared" si="83"/>
        <v>68.667936470774464</v>
      </c>
      <c r="BD29" s="17">
        <f t="shared" si="84"/>
        <v>78.252753184397989</v>
      </c>
      <c r="BE29" s="17">
        <f t="shared" si="85"/>
        <v>94.547228197183259</v>
      </c>
      <c r="BF29" s="17">
        <f t="shared" si="86"/>
        <v>106.39415111316158</v>
      </c>
      <c r="BG29" s="17">
        <f t="shared" si="87"/>
        <v>114.2973449594912</v>
      </c>
      <c r="BH29" s="17">
        <f t="shared" si="88"/>
        <v>127.60610331637088</v>
      </c>
      <c r="BI29" s="17">
        <f t="shared" si="27"/>
        <v>1.1625982470516784E-2</v>
      </c>
      <c r="BJ29" s="17">
        <f t="shared" si="28"/>
        <v>1.4691067337912261E-2</v>
      </c>
      <c r="BK29" s="17">
        <f t="shared" si="29"/>
        <v>28.696690452912026</v>
      </c>
      <c r="BL29" s="17">
        <f t="shared" si="30"/>
        <v>29.661930236743164</v>
      </c>
      <c r="BM29" s="263">
        <f t="shared" si="31"/>
        <v>4.6322196240640304E-3</v>
      </c>
      <c r="BN29" s="263">
        <f t="shared" si="32"/>
        <v>5.2936118196245515E-3</v>
      </c>
      <c r="BO29" s="263">
        <f t="shared" si="33"/>
        <v>4.6579973341037062E-3</v>
      </c>
      <c r="BP29" s="263">
        <f t="shared" si="34"/>
        <v>5.3410578435228997E-3</v>
      </c>
      <c r="BQ29" s="263">
        <f t="shared" si="35"/>
        <v>-2.62020899613848E-4</v>
      </c>
      <c r="BR29" s="263">
        <f t="shared" si="36"/>
        <v>2.0015946921793468E-4</v>
      </c>
      <c r="BS29" s="18" t="e">
        <f t="shared" si="89"/>
        <v>#DIV/0!</v>
      </c>
      <c r="BT29" s="18" t="e">
        <f t="shared" si="90"/>
        <v>#DIV/0!</v>
      </c>
      <c r="BU29" s="18" t="e">
        <f t="shared" si="91"/>
        <v>#DIV/0!</v>
      </c>
      <c r="BV29" s="18" t="e">
        <f t="shared" si="92"/>
        <v>#DIV/0!</v>
      </c>
      <c r="BW29" s="19" t="e">
        <f t="shared" si="93"/>
        <v>#DIV/0!</v>
      </c>
      <c r="BX29" s="19" t="e">
        <f t="shared" si="94"/>
        <v>#DIV/0!</v>
      </c>
      <c r="BY29" s="20" t="e">
        <f t="shared" si="95"/>
        <v>#DIV/0!</v>
      </c>
      <c r="BZ29" s="18" t="e">
        <f t="shared" si="96"/>
        <v>#DIV/0!</v>
      </c>
      <c r="CA29" s="19">
        <f t="shared" si="57"/>
        <v>4.9388614429463438</v>
      </c>
      <c r="CB29" s="207">
        <f t="shared" si="58"/>
        <v>6.3118282122260467</v>
      </c>
      <c r="CC29" s="19">
        <f t="shared" si="59"/>
        <v>9.9985772639558934E-4</v>
      </c>
      <c r="CD29" s="201">
        <f t="shared" si="60"/>
        <v>1.4876579055213623E-2</v>
      </c>
      <c r="CE29" s="30">
        <f t="shared" si="97"/>
        <v>38</v>
      </c>
      <c r="CF29" s="18">
        <f t="shared" si="98"/>
        <v>61.774482758620721</v>
      </c>
      <c r="CG29" s="18">
        <f t="shared" si="98"/>
        <v>112.37931034482759</v>
      </c>
      <c r="CH29" s="18">
        <f t="shared" si="99"/>
        <v>113.43103448275862</v>
      </c>
      <c r="CI29" s="16">
        <f t="shared" si="100"/>
        <v>0.18138170498084291</v>
      </c>
      <c r="CJ29" s="16">
        <f t="shared" si="101"/>
        <v>95.224137931034477</v>
      </c>
      <c r="CK29" s="17">
        <f t="shared" si="102"/>
        <v>39.11724137931035</v>
      </c>
      <c r="CL29" s="17">
        <f t="shared" si="103"/>
        <v>73.460344827586226</v>
      </c>
      <c r="CM29" s="17">
        <f t="shared" si="104"/>
        <v>100.47068965517242</v>
      </c>
      <c r="CN29" s="17">
        <f t="shared" si="105"/>
        <v>120.95172413793104</v>
      </c>
      <c r="CO29" s="17">
        <f t="shared" si="52"/>
        <v>1.3158524904214522E-2</v>
      </c>
      <c r="CP29" s="17">
        <f t="shared" si="53"/>
        <v>29.179310344827595</v>
      </c>
      <c r="CQ29" s="263">
        <f t="shared" si="106"/>
        <v>4.9995275888133029E-3</v>
      </c>
      <c r="CR29" s="263">
        <f t="shared" si="106"/>
        <v>4.962915721844291E-3</v>
      </c>
      <c r="CS29" s="263">
        <f t="shared" si="106"/>
        <v>-3.0930715197956654E-5</v>
      </c>
      <c r="CT29" s="17" t="e">
        <f t="shared" si="106"/>
        <v>#DIV/0!</v>
      </c>
      <c r="CU29" s="17" t="e">
        <f t="shared" si="107"/>
        <v>#DIV/0!</v>
      </c>
      <c r="CV29" s="21" t="e">
        <f t="shared" si="108"/>
        <v>#DIV/0!</v>
      </c>
      <c r="CW29" s="17" t="e">
        <f t="shared" si="109"/>
        <v>#DIV/0!</v>
      </c>
      <c r="CX29" s="205">
        <f t="shared" si="110"/>
        <v>5.6253448275861953</v>
      </c>
      <c r="CY29" s="22">
        <f t="shared" si="56"/>
        <v>7.938218390804606E-3</v>
      </c>
    </row>
    <row r="30" spans="1:103" ht="11.25" customHeight="1">
      <c r="A30" s="82" t="s">
        <v>139</v>
      </c>
      <c r="B30" s="160">
        <v>36</v>
      </c>
      <c r="C30" s="257">
        <v>61.8</v>
      </c>
      <c r="D30" s="160">
        <v>113</v>
      </c>
      <c r="E30" s="160">
        <v>113</v>
      </c>
      <c r="F30" s="39">
        <v>0.18541666666666667</v>
      </c>
      <c r="G30" s="113">
        <f>220.73+8.87+22.1+35.3+52.95+39.75+61.8+57.48+119.17</f>
        <v>618.15</v>
      </c>
      <c r="H30" s="135">
        <v>160.9</v>
      </c>
      <c r="I30" s="135">
        <v>322.89999999999998</v>
      </c>
      <c r="J30" s="135">
        <v>485</v>
      </c>
      <c r="K30" s="159">
        <v>603.9</v>
      </c>
      <c r="L30" s="135">
        <f t="shared" si="1"/>
        <v>14.25</v>
      </c>
      <c r="M30" s="211">
        <f>30.89+123.51</f>
        <v>154.4</v>
      </c>
      <c r="N30" s="135">
        <v>41.7</v>
      </c>
      <c r="O30" s="135">
        <v>83.7</v>
      </c>
      <c r="P30" s="135">
        <v>125.6</v>
      </c>
      <c r="Q30" s="159">
        <v>156.30000000000001</v>
      </c>
      <c r="R30" s="136">
        <f t="shared" si="2"/>
        <v>-1.9000000000000057</v>
      </c>
      <c r="S30" s="212">
        <v>106</v>
      </c>
      <c r="T30" s="161">
        <v>37.4</v>
      </c>
      <c r="U30" s="161">
        <v>71.2</v>
      </c>
      <c r="V30" s="161">
        <v>97.9</v>
      </c>
      <c r="W30" s="161">
        <v>117.5</v>
      </c>
      <c r="X30" s="184">
        <v>0.62291666666666667</v>
      </c>
      <c r="Y30" s="186">
        <v>0.63680555555555551</v>
      </c>
      <c r="Z30" s="184">
        <f t="shared" si="3"/>
        <v>1.388888888888884E-2</v>
      </c>
      <c r="AA30" s="161">
        <v>29.1</v>
      </c>
      <c r="AB30" s="260">
        <v>5.0347222222222225E-3</v>
      </c>
      <c r="AC30" s="260">
        <v>5.0810185185185186E-3</v>
      </c>
      <c r="AD30" s="260">
        <f t="shared" si="4"/>
        <v>4.6296296296296016E-5</v>
      </c>
      <c r="AE30" s="57"/>
      <c r="AF30" s="57"/>
      <c r="AG30" s="2"/>
      <c r="AH30" s="57"/>
      <c r="AI30" s="155">
        <v>1354.88</v>
      </c>
      <c r="AJ30" s="155">
        <v>1349.39</v>
      </c>
      <c r="AK30" s="225">
        <f t="shared" si="5"/>
        <v>5.4900000000000091</v>
      </c>
      <c r="AL30" s="191">
        <v>0.6875</v>
      </c>
      <c r="AM30" s="191">
        <v>0.69444444444444453</v>
      </c>
      <c r="AN30" s="227">
        <f t="shared" si="6"/>
        <v>6.9444444444445308E-3</v>
      </c>
      <c r="AO30" s="74">
        <f t="shared" si="73"/>
        <v>28.089877583208697</v>
      </c>
      <c r="AP30" s="15">
        <f t="shared" si="74"/>
        <v>47.910122416791303</v>
      </c>
      <c r="AQ30" s="18">
        <f t="shared" si="9"/>
        <v>61.691860138971634</v>
      </c>
      <c r="AR30" s="18">
        <f t="shared" si="10"/>
        <v>61.857105378269807</v>
      </c>
      <c r="AS30" s="15">
        <f t="shared" si="75"/>
        <v>109.94095976728137</v>
      </c>
      <c r="AT30" s="15">
        <f t="shared" si="76"/>
        <v>114.8176609223738</v>
      </c>
      <c r="AU30" s="15">
        <f t="shared" si="77"/>
        <v>111.93239626243108</v>
      </c>
      <c r="AV30" s="15">
        <f t="shared" si="78"/>
        <v>114.92967270308615</v>
      </c>
      <c r="AW30" s="16">
        <f t="shared" si="79"/>
        <v>0.17368036968193748</v>
      </c>
      <c r="AX30" s="16">
        <f t="shared" si="80"/>
        <v>0.18908304027974834</v>
      </c>
      <c r="AY30" s="16">
        <f t="shared" si="17"/>
        <v>56.437095452304185</v>
      </c>
      <c r="AZ30" s="16">
        <f t="shared" si="18"/>
        <v>134.01118040976476</v>
      </c>
      <c r="BA30" s="17">
        <f t="shared" si="81"/>
        <v>35.424087856897714</v>
      </c>
      <c r="BB30" s="17">
        <f t="shared" si="82"/>
        <v>42.810394901722987</v>
      </c>
      <c r="BC30" s="17">
        <f t="shared" si="83"/>
        <v>68.667936470774464</v>
      </c>
      <c r="BD30" s="17">
        <f t="shared" si="84"/>
        <v>78.252753184397989</v>
      </c>
      <c r="BE30" s="17">
        <f t="shared" si="85"/>
        <v>94.547228197183259</v>
      </c>
      <c r="BF30" s="17">
        <f t="shared" si="86"/>
        <v>106.39415111316158</v>
      </c>
      <c r="BG30" s="17">
        <f t="shared" si="87"/>
        <v>114.2973449594912</v>
      </c>
      <c r="BH30" s="17">
        <f t="shared" si="88"/>
        <v>127.60610331637088</v>
      </c>
      <c r="BI30" s="17">
        <f t="shared" si="27"/>
        <v>1.1625982470516784E-2</v>
      </c>
      <c r="BJ30" s="17">
        <f t="shared" si="28"/>
        <v>1.4691067337912261E-2</v>
      </c>
      <c r="BK30" s="17">
        <f t="shared" si="29"/>
        <v>28.696690452912026</v>
      </c>
      <c r="BL30" s="17">
        <f t="shared" si="30"/>
        <v>29.661930236743164</v>
      </c>
      <c r="BM30" s="263">
        <f t="shared" si="31"/>
        <v>4.6322196240640304E-3</v>
      </c>
      <c r="BN30" s="263">
        <f t="shared" si="32"/>
        <v>5.2936118196245515E-3</v>
      </c>
      <c r="BO30" s="263">
        <f t="shared" si="33"/>
        <v>4.6579973341037062E-3</v>
      </c>
      <c r="BP30" s="263">
        <f t="shared" si="34"/>
        <v>5.3410578435228997E-3</v>
      </c>
      <c r="BQ30" s="263">
        <f t="shared" si="35"/>
        <v>-2.62020899613848E-4</v>
      </c>
      <c r="BR30" s="263">
        <f t="shared" si="36"/>
        <v>2.0015946921793468E-4</v>
      </c>
      <c r="BS30" s="18" t="e">
        <f t="shared" si="89"/>
        <v>#DIV/0!</v>
      </c>
      <c r="BT30" s="18" t="e">
        <f t="shared" si="90"/>
        <v>#DIV/0!</v>
      </c>
      <c r="BU30" s="18" t="e">
        <f t="shared" si="91"/>
        <v>#DIV/0!</v>
      </c>
      <c r="BV30" s="18" t="e">
        <f t="shared" si="92"/>
        <v>#DIV/0!</v>
      </c>
      <c r="BW30" s="19" t="e">
        <f t="shared" si="93"/>
        <v>#DIV/0!</v>
      </c>
      <c r="BX30" s="19" t="e">
        <f t="shared" si="94"/>
        <v>#DIV/0!</v>
      </c>
      <c r="BY30" s="20" t="e">
        <f t="shared" si="95"/>
        <v>#DIV/0!</v>
      </c>
      <c r="BZ30" s="18" t="e">
        <f t="shared" si="96"/>
        <v>#DIV/0!</v>
      </c>
      <c r="CA30" s="19">
        <f t="shared" si="57"/>
        <v>4.9388614429463438</v>
      </c>
      <c r="CB30" s="207">
        <f t="shared" si="58"/>
        <v>6.3118282122260467</v>
      </c>
      <c r="CC30" s="19">
        <f t="shared" si="59"/>
        <v>9.9985772639558934E-4</v>
      </c>
      <c r="CD30" s="201">
        <f t="shared" si="60"/>
        <v>1.4876579055213623E-2</v>
      </c>
      <c r="CE30" s="30">
        <f t="shared" si="97"/>
        <v>38</v>
      </c>
      <c r="CF30" s="18">
        <f t="shared" si="98"/>
        <v>61.774482758620721</v>
      </c>
      <c r="CG30" s="18">
        <f t="shared" si="98"/>
        <v>112.37931034482759</v>
      </c>
      <c r="CH30" s="18">
        <f t="shared" si="99"/>
        <v>113.43103448275862</v>
      </c>
      <c r="CI30" s="16">
        <f t="shared" si="100"/>
        <v>0.18138170498084291</v>
      </c>
      <c r="CJ30" s="16">
        <f t="shared" si="101"/>
        <v>95.224137931034477</v>
      </c>
      <c r="CK30" s="17">
        <f t="shared" si="102"/>
        <v>39.11724137931035</v>
      </c>
      <c r="CL30" s="17">
        <f t="shared" si="103"/>
        <v>73.460344827586226</v>
      </c>
      <c r="CM30" s="17">
        <f t="shared" si="104"/>
        <v>100.47068965517242</v>
      </c>
      <c r="CN30" s="17">
        <f t="shared" si="105"/>
        <v>120.95172413793104</v>
      </c>
      <c r="CO30" s="17">
        <f t="shared" si="52"/>
        <v>1.3158524904214522E-2</v>
      </c>
      <c r="CP30" s="17">
        <f t="shared" si="53"/>
        <v>29.179310344827595</v>
      </c>
      <c r="CQ30" s="263">
        <f t="shared" si="106"/>
        <v>4.9995275888133029E-3</v>
      </c>
      <c r="CR30" s="263">
        <f t="shared" si="106"/>
        <v>4.962915721844291E-3</v>
      </c>
      <c r="CS30" s="263">
        <f t="shared" si="106"/>
        <v>-3.0930715197956654E-5</v>
      </c>
      <c r="CT30" s="17" t="e">
        <f t="shared" si="106"/>
        <v>#DIV/0!</v>
      </c>
      <c r="CU30" s="17" t="e">
        <f t="shared" si="107"/>
        <v>#DIV/0!</v>
      </c>
      <c r="CV30" s="21" t="e">
        <f t="shared" si="108"/>
        <v>#DIV/0!</v>
      </c>
      <c r="CW30" s="17" t="e">
        <f t="shared" si="109"/>
        <v>#DIV/0!</v>
      </c>
      <c r="CX30" s="205">
        <f t="shared" si="110"/>
        <v>5.6253448275861953</v>
      </c>
      <c r="CY30" s="22">
        <f t="shared" si="56"/>
        <v>7.938218390804606E-3</v>
      </c>
    </row>
    <row r="31" spans="1:103" ht="11.25" customHeight="1">
      <c r="A31" s="82" t="s">
        <v>140</v>
      </c>
      <c r="B31" s="160">
        <v>37</v>
      </c>
      <c r="C31" s="257">
        <v>61.75</v>
      </c>
      <c r="D31" s="160">
        <v>113</v>
      </c>
      <c r="E31" s="160">
        <v>114</v>
      </c>
      <c r="F31" s="162">
        <v>0.18611111111111112</v>
      </c>
      <c r="G31" s="113">
        <f>220.81+8.88+22.05+35.31+52.94+39.66+61.75+57.39+119.22</f>
        <v>618.01</v>
      </c>
      <c r="H31" s="135">
        <v>161.19999999999999</v>
      </c>
      <c r="I31" s="135">
        <v>323</v>
      </c>
      <c r="J31" s="135">
        <v>484.9</v>
      </c>
      <c r="K31" s="159">
        <v>602.79999999999995</v>
      </c>
      <c r="L31" s="135">
        <f t="shared" si="1"/>
        <v>15.210000000000036</v>
      </c>
      <c r="M31" s="211">
        <f>123.65+30.85</f>
        <v>154.5</v>
      </c>
      <c r="N31" s="135">
        <v>41.8</v>
      </c>
      <c r="O31" s="135">
        <v>83.7</v>
      </c>
      <c r="P31" s="135">
        <v>125.7</v>
      </c>
      <c r="Q31" s="159">
        <v>156.19999999999999</v>
      </c>
      <c r="R31" s="136">
        <f t="shared" si="2"/>
        <v>-1.6999999999999886</v>
      </c>
      <c r="S31" s="212">
        <v>70</v>
      </c>
      <c r="T31" s="161">
        <v>37.4</v>
      </c>
      <c r="U31" s="161">
        <v>71.099999999999994</v>
      </c>
      <c r="V31" s="161">
        <v>97.6</v>
      </c>
      <c r="W31" s="161">
        <v>116.9</v>
      </c>
      <c r="X31" s="186">
        <v>0.62361111111111112</v>
      </c>
      <c r="Y31" s="186">
        <v>0.63749999999999996</v>
      </c>
      <c r="Z31" s="184">
        <f t="shared" si="3"/>
        <v>1.388888888888884E-2</v>
      </c>
      <c r="AA31" s="161">
        <v>29.3</v>
      </c>
      <c r="AB31" s="260">
        <v>4.9884259259259265E-3</v>
      </c>
      <c r="AC31" s="260">
        <v>5.0115740740740737E-3</v>
      </c>
      <c r="AD31" s="260">
        <f t="shared" si="4"/>
        <v>2.3148148148147141E-5</v>
      </c>
      <c r="AE31" s="57"/>
      <c r="AF31" s="57"/>
      <c r="AG31" s="2"/>
      <c r="AH31" s="57"/>
      <c r="AI31" s="155">
        <v>1354.86</v>
      </c>
      <c r="AJ31" s="155">
        <v>1349.53</v>
      </c>
      <c r="AK31" s="225">
        <f t="shared" si="5"/>
        <v>5.3299999999999272</v>
      </c>
      <c r="AL31" s="191">
        <v>0.68472222222222223</v>
      </c>
      <c r="AM31" s="191">
        <v>0.69097222222222221</v>
      </c>
      <c r="AN31" s="227">
        <f t="shared" si="6"/>
        <v>6.2499999999999778E-3</v>
      </c>
      <c r="AO31" s="74">
        <f t="shared" si="73"/>
        <v>28.089877583208697</v>
      </c>
      <c r="AP31" s="15">
        <f t="shared" si="74"/>
        <v>47.910122416791303</v>
      </c>
      <c r="AQ31" s="18">
        <f t="shared" si="9"/>
        <v>61.691860138971634</v>
      </c>
      <c r="AR31" s="18">
        <f t="shared" si="10"/>
        <v>61.857105378269807</v>
      </c>
      <c r="AS31" s="15">
        <f t="shared" si="75"/>
        <v>109.94095976728137</v>
      </c>
      <c r="AT31" s="15">
        <f t="shared" si="76"/>
        <v>114.8176609223738</v>
      </c>
      <c r="AU31" s="15">
        <f t="shared" si="77"/>
        <v>111.93239626243108</v>
      </c>
      <c r="AV31" s="15">
        <f t="shared" si="78"/>
        <v>114.92967270308615</v>
      </c>
      <c r="AW31" s="16">
        <f t="shared" si="79"/>
        <v>0.17368036968193748</v>
      </c>
      <c r="AX31" s="16">
        <f t="shared" si="80"/>
        <v>0.18908304027974834</v>
      </c>
      <c r="AY31" s="16">
        <f t="shared" si="17"/>
        <v>56.437095452304185</v>
      </c>
      <c r="AZ31" s="16">
        <f t="shared" si="18"/>
        <v>134.01118040976476</v>
      </c>
      <c r="BA31" s="17">
        <f t="shared" si="81"/>
        <v>35.424087856897714</v>
      </c>
      <c r="BB31" s="17">
        <f t="shared" si="82"/>
        <v>42.810394901722987</v>
      </c>
      <c r="BC31" s="17">
        <f t="shared" si="83"/>
        <v>68.667936470774464</v>
      </c>
      <c r="BD31" s="17">
        <f t="shared" si="84"/>
        <v>78.252753184397989</v>
      </c>
      <c r="BE31" s="17">
        <f t="shared" si="85"/>
        <v>94.547228197183259</v>
      </c>
      <c r="BF31" s="17">
        <f t="shared" si="86"/>
        <v>106.39415111316158</v>
      </c>
      <c r="BG31" s="17">
        <f t="shared" si="87"/>
        <v>114.2973449594912</v>
      </c>
      <c r="BH31" s="17">
        <f t="shared" si="88"/>
        <v>127.60610331637088</v>
      </c>
      <c r="BI31" s="17">
        <f t="shared" si="27"/>
        <v>1.1625982470516784E-2</v>
      </c>
      <c r="BJ31" s="17">
        <f t="shared" si="28"/>
        <v>1.4691067337912261E-2</v>
      </c>
      <c r="BK31" s="17">
        <f t="shared" si="29"/>
        <v>28.696690452912026</v>
      </c>
      <c r="BL31" s="17">
        <f t="shared" si="30"/>
        <v>29.661930236743164</v>
      </c>
      <c r="BM31" s="263">
        <f t="shared" si="31"/>
        <v>4.6322196240640304E-3</v>
      </c>
      <c r="BN31" s="263">
        <f t="shared" si="32"/>
        <v>5.2936118196245515E-3</v>
      </c>
      <c r="BO31" s="263">
        <f t="shared" si="33"/>
        <v>4.6579973341037062E-3</v>
      </c>
      <c r="BP31" s="263">
        <f t="shared" si="34"/>
        <v>5.3410578435228997E-3</v>
      </c>
      <c r="BQ31" s="263">
        <f t="shared" si="35"/>
        <v>-2.62020899613848E-4</v>
      </c>
      <c r="BR31" s="263">
        <f t="shared" si="36"/>
        <v>2.0015946921793468E-4</v>
      </c>
      <c r="BS31" s="18" t="e">
        <f t="shared" si="89"/>
        <v>#DIV/0!</v>
      </c>
      <c r="BT31" s="18" t="e">
        <f t="shared" si="90"/>
        <v>#DIV/0!</v>
      </c>
      <c r="BU31" s="18" t="e">
        <f t="shared" si="91"/>
        <v>#DIV/0!</v>
      </c>
      <c r="BV31" s="18" t="e">
        <f t="shared" si="92"/>
        <v>#DIV/0!</v>
      </c>
      <c r="BW31" s="19" t="e">
        <f t="shared" si="93"/>
        <v>#DIV/0!</v>
      </c>
      <c r="BX31" s="19" t="e">
        <f t="shared" si="94"/>
        <v>#DIV/0!</v>
      </c>
      <c r="BY31" s="20" t="e">
        <f t="shared" si="95"/>
        <v>#DIV/0!</v>
      </c>
      <c r="BZ31" s="18" t="e">
        <f t="shared" si="96"/>
        <v>#DIV/0!</v>
      </c>
      <c r="CA31" s="19">
        <f t="shared" si="57"/>
        <v>4.9388614429463438</v>
      </c>
      <c r="CB31" s="207">
        <f t="shared" si="58"/>
        <v>6.3118282122260467</v>
      </c>
      <c r="CC31" s="19">
        <f t="shared" si="59"/>
        <v>9.9985772639558934E-4</v>
      </c>
      <c r="CD31" s="201">
        <f t="shared" si="60"/>
        <v>1.4876579055213623E-2</v>
      </c>
      <c r="CE31" s="30">
        <f t="shared" si="97"/>
        <v>38</v>
      </c>
      <c r="CF31" s="18">
        <f t="shared" si="98"/>
        <v>61.774482758620721</v>
      </c>
      <c r="CG31" s="18">
        <f t="shared" si="98"/>
        <v>112.37931034482759</v>
      </c>
      <c r="CH31" s="18">
        <f t="shared" si="99"/>
        <v>113.43103448275862</v>
      </c>
      <c r="CI31" s="16">
        <f t="shared" si="100"/>
        <v>0.18138170498084291</v>
      </c>
      <c r="CJ31" s="16">
        <f t="shared" si="101"/>
        <v>95.224137931034477</v>
      </c>
      <c r="CK31" s="17">
        <f t="shared" si="102"/>
        <v>39.11724137931035</v>
      </c>
      <c r="CL31" s="17">
        <f t="shared" si="103"/>
        <v>73.460344827586226</v>
      </c>
      <c r="CM31" s="17">
        <f t="shared" si="104"/>
        <v>100.47068965517242</v>
      </c>
      <c r="CN31" s="17">
        <f t="shared" si="105"/>
        <v>120.95172413793104</v>
      </c>
      <c r="CO31" s="17">
        <f t="shared" si="52"/>
        <v>1.3158524904214522E-2</v>
      </c>
      <c r="CP31" s="17">
        <f t="shared" si="53"/>
        <v>29.179310344827595</v>
      </c>
      <c r="CQ31" s="263">
        <f t="shared" si="106"/>
        <v>4.9995275888133029E-3</v>
      </c>
      <c r="CR31" s="263">
        <f t="shared" si="106"/>
        <v>4.962915721844291E-3</v>
      </c>
      <c r="CS31" s="263">
        <f t="shared" si="106"/>
        <v>-3.0930715197956654E-5</v>
      </c>
      <c r="CT31" s="17" t="e">
        <f t="shared" si="106"/>
        <v>#DIV/0!</v>
      </c>
      <c r="CU31" s="17" t="e">
        <f t="shared" si="107"/>
        <v>#DIV/0!</v>
      </c>
      <c r="CV31" s="21" t="e">
        <f t="shared" si="108"/>
        <v>#DIV/0!</v>
      </c>
      <c r="CW31" s="17" t="e">
        <f t="shared" si="109"/>
        <v>#DIV/0!</v>
      </c>
      <c r="CX31" s="205">
        <f t="shared" si="110"/>
        <v>5.6253448275861953</v>
      </c>
      <c r="CY31" s="22">
        <f t="shared" si="56"/>
        <v>7.938218390804606E-3</v>
      </c>
    </row>
    <row r="32" spans="1:103" ht="11.25" customHeight="1">
      <c r="A32" s="82" t="s">
        <v>141</v>
      </c>
      <c r="B32" s="160">
        <v>36</v>
      </c>
      <c r="C32" s="257">
        <v>61.75</v>
      </c>
      <c r="D32" s="160">
        <v>113</v>
      </c>
      <c r="E32" s="160">
        <v>113</v>
      </c>
      <c r="F32" s="162">
        <v>0.18402777777777779</v>
      </c>
      <c r="G32" s="274">
        <f>220.53+8.87+22.07+35.39+52.95+39.79+61.75+57.37+119.19</f>
        <v>617.91000000000008</v>
      </c>
      <c r="H32" s="159">
        <v>161.30000000000001</v>
      </c>
      <c r="I32" s="159">
        <v>323.39999999999998</v>
      </c>
      <c r="J32" s="159">
        <v>485.5</v>
      </c>
      <c r="K32" s="159">
        <v>602.6</v>
      </c>
      <c r="L32" s="135">
        <f t="shared" si="1"/>
        <v>15.310000000000059</v>
      </c>
      <c r="M32" s="271">
        <f>30.89+123.53</f>
        <v>154.42000000000002</v>
      </c>
      <c r="N32" s="159">
        <v>41.8</v>
      </c>
      <c r="O32" s="159">
        <v>83.7</v>
      </c>
      <c r="P32" s="159">
        <v>125.7</v>
      </c>
      <c r="Q32" s="159">
        <v>155.9</v>
      </c>
      <c r="R32" s="136">
        <f t="shared" si="2"/>
        <v>-1.4799999999999898</v>
      </c>
      <c r="S32" s="272">
        <v>97</v>
      </c>
      <c r="T32" s="161">
        <v>37.6</v>
      </c>
      <c r="U32" s="161">
        <v>71.900000000000006</v>
      </c>
      <c r="V32" s="161">
        <v>98.4</v>
      </c>
      <c r="W32" s="161">
        <v>118.5</v>
      </c>
      <c r="X32" s="184">
        <v>0.62152777777777779</v>
      </c>
      <c r="Y32" s="186">
        <v>0.63472222222222219</v>
      </c>
      <c r="Z32" s="184">
        <f t="shared" si="3"/>
        <v>1.3194444444444398E-2</v>
      </c>
      <c r="AA32" s="161">
        <v>29.2</v>
      </c>
      <c r="AB32" s="260">
        <v>4.9652777777777777E-3</v>
      </c>
      <c r="AC32" s="260">
        <v>4.9652777777777777E-3</v>
      </c>
      <c r="AD32" s="273">
        <f t="shared" si="4"/>
        <v>0</v>
      </c>
      <c r="AE32" s="166"/>
      <c r="AF32" s="166"/>
      <c r="AG32" s="222"/>
      <c r="AH32" s="166"/>
      <c r="AI32" s="155">
        <v>1354.59</v>
      </c>
      <c r="AJ32" s="155">
        <v>1348.83</v>
      </c>
      <c r="AK32" s="225">
        <f t="shared" si="5"/>
        <v>5.7599999999999909</v>
      </c>
      <c r="AL32" s="196">
        <v>0.68333333333333324</v>
      </c>
      <c r="AM32" s="196">
        <v>0.69444444444444453</v>
      </c>
      <c r="AN32" s="227">
        <f t="shared" si="6"/>
        <v>1.1111111111111294E-2</v>
      </c>
      <c r="AO32" s="74">
        <f>B$66-B$67</f>
        <v>28.089877583208697</v>
      </c>
      <c r="AP32" s="15">
        <f>B$66+B$67</f>
        <v>47.910122416791303</v>
      </c>
      <c r="AQ32" s="18">
        <f t="shared" si="9"/>
        <v>61.691860138971634</v>
      </c>
      <c r="AR32" s="18">
        <f t="shared" si="10"/>
        <v>61.857105378269807</v>
      </c>
      <c r="AS32" s="15">
        <f>D$66-D$67</f>
        <v>109.94095976728137</v>
      </c>
      <c r="AT32" s="15">
        <f>D$66+D$67</f>
        <v>114.8176609223738</v>
      </c>
      <c r="AU32" s="15">
        <f>E$66-E$67</f>
        <v>111.93239626243108</v>
      </c>
      <c r="AV32" s="15">
        <f>E$66+E$67</f>
        <v>114.92967270308615</v>
      </c>
      <c r="AW32" s="16">
        <f>F$66-F$67</f>
        <v>0.17368036968193748</v>
      </c>
      <c r="AX32" s="16">
        <f>F$66+F$67</f>
        <v>0.18908304027974834</v>
      </c>
      <c r="AY32" s="16">
        <f t="shared" si="17"/>
        <v>56.437095452304185</v>
      </c>
      <c r="AZ32" s="16">
        <f t="shared" si="18"/>
        <v>134.01118040976476</v>
      </c>
      <c r="BA32" s="17">
        <f>T$66-T$67</f>
        <v>35.424087856897714</v>
      </c>
      <c r="BB32" s="17">
        <f>T$66+T$67</f>
        <v>42.810394901722987</v>
      </c>
      <c r="BC32" s="17">
        <f>U$66-U$67</f>
        <v>68.667936470774464</v>
      </c>
      <c r="BD32" s="17">
        <f>U$66+U$67</f>
        <v>78.252753184397989</v>
      </c>
      <c r="BE32" s="17">
        <f>V$66-V$67</f>
        <v>94.547228197183259</v>
      </c>
      <c r="BF32" s="17">
        <f>V$66+V$67</f>
        <v>106.39415111316158</v>
      </c>
      <c r="BG32" s="17">
        <f>W$66-W$67</f>
        <v>114.2973449594912</v>
      </c>
      <c r="BH32" s="17">
        <f>W$66+W$67</f>
        <v>127.60610331637088</v>
      </c>
      <c r="BI32" s="17">
        <f t="shared" si="27"/>
        <v>1.1625982470516784E-2</v>
      </c>
      <c r="BJ32" s="17">
        <f t="shared" si="28"/>
        <v>1.4691067337912261E-2</v>
      </c>
      <c r="BK32" s="17">
        <f t="shared" si="29"/>
        <v>28.696690452912026</v>
      </c>
      <c r="BL32" s="17">
        <f t="shared" si="30"/>
        <v>29.661930236743164</v>
      </c>
      <c r="BM32" s="263">
        <f t="shared" si="31"/>
        <v>4.6322196240640304E-3</v>
      </c>
      <c r="BN32" s="263">
        <f t="shared" si="32"/>
        <v>5.2936118196245515E-3</v>
      </c>
      <c r="BO32" s="263">
        <f t="shared" si="33"/>
        <v>4.6579973341037062E-3</v>
      </c>
      <c r="BP32" s="263">
        <f t="shared" si="34"/>
        <v>5.3410578435228997E-3</v>
      </c>
      <c r="BQ32" s="263">
        <f t="shared" si="35"/>
        <v>-2.62020899613848E-4</v>
      </c>
      <c r="BR32" s="263">
        <f t="shared" si="36"/>
        <v>2.0015946921793468E-4</v>
      </c>
      <c r="BS32" s="18" t="e">
        <f>AE$66-AE$67</f>
        <v>#DIV/0!</v>
      </c>
      <c r="BT32" s="18" t="e">
        <f>AE$66+AE$67</f>
        <v>#DIV/0!</v>
      </c>
      <c r="BU32" s="18" t="e">
        <f>AF$66-AF$67</f>
        <v>#DIV/0!</v>
      </c>
      <c r="BV32" s="18" t="e">
        <f>AF$66+AF$67</f>
        <v>#DIV/0!</v>
      </c>
      <c r="BW32" s="19" t="e">
        <f>AG$66-AG$67</f>
        <v>#DIV/0!</v>
      </c>
      <c r="BX32" s="19" t="e">
        <f>AG$66+AG$67</f>
        <v>#DIV/0!</v>
      </c>
      <c r="BY32" s="20" t="e">
        <f>AH$66-AH$67</f>
        <v>#DIV/0!</v>
      </c>
      <c r="BZ32" s="18" t="e">
        <f>AH$66+AH$67</f>
        <v>#DIV/0!</v>
      </c>
      <c r="CA32" s="19">
        <f t="shared" si="57"/>
        <v>4.9388614429463438</v>
      </c>
      <c r="CB32" s="207">
        <f t="shared" si="58"/>
        <v>6.3118282122260467</v>
      </c>
      <c r="CC32" s="19">
        <f t="shared" si="59"/>
        <v>9.9985772639558934E-4</v>
      </c>
      <c r="CD32" s="201">
        <f t="shared" si="60"/>
        <v>1.4876579055213623E-2</v>
      </c>
      <c r="CE32" s="30">
        <f t="shared" ref="CE32:CI34" si="111">B$66</f>
        <v>38</v>
      </c>
      <c r="CF32" s="18">
        <f t="shared" si="111"/>
        <v>61.774482758620721</v>
      </c>
      <c r="CG32" s="18">
        <f t="shared" si="111"/>
        <v>112.37931034482759</v>
      </c>
      <c r="CH32" s="18">
        <f t="shared" si="111"/>
        <v>113.43103448275862</v>
      </c>
      <c r="CI32" s="16">
        <f t="shared" si="111"/>
        <v>0.18138170498084291</v>
      </c>
      <c r="CJ32" s="16">
        <f t="shared" si="101"/>
        <v>95.224137931034477</v>
      </c>
      <c r="CK32" s="17">
        <f t="shared" ref="CK32:CN34" si="112">T$66</f>
        <v>39.11724137931035</v>
      </c>
      <c r="CL32" s="17">
        <f t="shared" si="112"/>
        <v>73.460344827586226</v>
      </c>
      <c r="CM32" s="17">
        <f t="shared" si="112"/>
        <v>100.47068965517242</v>
      </c>
      <c r="CN32" s="17">
        <f t="shared" si="112"/>
        <v>120.95172413793104</v>
      </c>
      <c r="CO32" s="17">
        <f t="shared" si="52"/>
        <v>1.3158524904214522E-2</v>
      </c>
      <c r="CP32" s="17">
        <f t="shared" si="53"/>
        <v>29.179310344827595</v>
      </c>
      <c r="CQ32" s="263">
        <f t="shared" ref="CQ32:CW34" si="113">AB$66</f>
        <v>4.9995275888133029E-3</v>
      </c>
      <c r="CR32" s="263">
        <f t="shared" si="113"/>
        <v>4.962915721844291E-3</v>
      </c>
      <c r="CS32" s="263">
        <f t="shared" si="113"/>
        <v>-3.0930715197956654E-5</v>
      </c>
      <c r="CT32" s="17" t="e">
        <f t="shared" si="113"/>
        <v>#DIV/0!</v>
      </c>
      <c r="CU32" s="17" t="e">
        <f t="shared" si="113"/>
        <v>#DIV/0!</v>
      </c>
      <c r="CV32" s="21" t="e">
        <f t="shared" si="113"/>
        <v>#DIV/0!</v>
      </c>
      <c r="CW32" s="17" t="e">
        <f t="shared" si="113"/>
        <v>#DIV/0!</v>
      </c>
      <c r="CX32" s="205">
        <f>AK$66</f>
        <v>5.6253448275861953</v>
      </c>
      <c r="CY32" s="22">
        <f t="shared" si="56"/>
        <v>7.938218390804606E-3</v>
      </c>
    </row>
    <row r="33" spans="1:103" ht="11.25" customHeight="1">
      <c r="A33" s="82" t="s">
        <v>142</v>
      </c>
      <c r="B33" s="160">
        <v>35</v>
      </c>
      <c r="C33" s="257">
        <v>61.81</v>
      </c>
      <c r="D33" s="160">
        <v>113</v>
      </c>
      <c r="E33" s="160">
        <v>113</v>
      </c>
      <c r="F33" s="162">
        <v>0.18402777777777779</v>
      </c>
      <c r="G33" s="274">
        <f>220.65+8.86+22.08+35.35+52.91+39.67+61.81+57.43+119.14</f>
        <v>617.90000000000009</v>
      </c>
      <c r="H33" s="159">
        <v>161</v>
      </c>
      <c r="I33" s="159">
        <v>322.8</v>
      </c>
      <c r="J33" s="159">
        <v>484.5</v>
      </c>
      <c r="K33" s="159">
        <v>602</v>
      </c>
      <c r="L33" s="135">
        <f t="shared" si="1"/>
        <v>15.900000000000091</v>
      </c>
      <c r="M33" s="271">
        <f>30.86+123.51</f>
        <v>154.37</v>
      </c>
      <c r="N33" s="159">
        <v>41.8</v>
      </c>
      <c r="O33" s="159">
        <v>83.7</v>
      </c>
      <c r="P33" s="159">
        <v>125.7</v>
      </c>
      <c r="Q33" s="159">
        <v>156.69999999999999</v>
      </c>
      <c r="R33" s="136">
        <f t="shared" si="2"/>
        <v>-2.3299999999999841</v>
      </c>
      <c r="S33" s="272">
        <v>101</v>
      </c>
      <c r="T33" s="161">
        <v>37.700000000000003</v>
      </c>
      <c r="U33" s="161">
        <v>71.900000000000006</v>
      </c>
      <c r="V33" s="161">
        <v>98.5</v>
      </c>
      <c r="W33" s="161">
        <v>118.3</v>
      </c>
      <c r="X33" s="186">
        <v>0.62152777777777779</v>
      </c>
      <c r="Y33" s="186">
        <v>0.63541666666666663</v>
      </c>
      <c r="Z33" s="184">
        <f t="shared" si="3"/>
        <v>1.388888888888884E-2</v>
      </c>
      <c r="AA33" s="161">
        <v>29.4</v>
      </c>
      <c r="AB33" s="273">
        <v>5.0000000000000001E-3</v>
      </c>
      <c r="AC33" s="273">
        <v>5.0115740740740737E-3</v>
      </c>
      <c r="AD33" s="273">
        <f t="shared" si="4"/>
        <v>1.157407407407357E-5</v>
      </c>
      <c r="AE33" s="166"/>
      <c r="AF33" s="166"/>
      <c r="AG33" s="222"/>
      <c r="AH33" s="166"/>
      <c r="AI33" s="155">
        <v>1354.56</v>
      </c>
      <c r="AJ33" s="155">
        <v>1349.32</v>
      </c>
      <c r="AK33" s="225">
        <f t="shared" si="5"/>
        <v>5.2400000000000091</v>
      </c>
      <c r="AL33" s="196">
        <v>0.68402777777777779</v>
      </c>
      <c r="AM33" s="196">
        <v>0.69097222222222221</v>
      </c>
      <c r="AN33" s="227">
        <f t="shared" si="6"/>
        <v>6.9444444444444198E-3</v>
      </c>
      <c r="AO33" s="74">
        <f>B$66-B$67</f>
        <v>28.089877583208697</v>
      </c>
      <c r="AP33" s="15">
        <f>B$66+B$67</f>
        <v>47.910122416791303</v>
      </c>
      <c r="AQ33" s="18">
        <f t="shared" si="9"/>
        <v>61.691860138971634</v>
      </c>
      <c r="AR33" s="18">
        <f t="shared" si="10"/>
        <v>61.857105378269807</v>
      </c>
      <c r="AS33" s="15">
        <f>D$66-D$67</f>
        <v>109.94095976728137</v>
      </c>
      <c r="AT33" s="15">
        <f>D$66+D$67</f>
        <v>114.8176609223738</v>
      </c>
      <c r="AU33" s="15">
        <f>E$66-E$67</f>
        <v>111.93239626243108</v>
      </c>
      <c r="AV33" s="15">
        <f>E$66+E$67</f>
        <v>114.92967270308615</v>
      </c>
      <c r="AW33" s="16">
        <f>F$66-F$67</f>
        <v>0.17368036968193748</v>
      </c>
      <c r="AX33" s="16">
        <f>F$66+F$67</f>
        <v>0.18908304027974834</v>
      </c>
      <c r="AY33" s="16">
        <f t="shared" si="17"/>
        <v>56.437095452304185</v>
      </c>
      <c r="AZ33" s="16">
        <f t="shared" si="18"/>
        <v>134.01118040976476</v>
      </c>
      <c r="BA33" s="17">
        <f>T$66-T$67</f>
        <v>35.424087856897714</v>
      </c>
      <c r="BB33" s="17">
        <f>T$66+T$67</f>
        <v>42.810394901722987</v>
      </c>
      <c r="BC33" s="17">
        <f>U$66-U$67</f>
        <v>68.667936470774464</v>
      </c>
      <c r="BD33" s="17">
        <f>U$66+U$67</f>
        <v>78.252753184397989</v>
      </c>
      <c r="BE33" s="17">
        <f>V$66-V$67</f>
        <v>94.547228197183259</v>
      </c>
      <c r="BF33" s="17">
        <f>V$66+V$67</f>
        <v>106.39415111316158</v>
      </c>
      <c r="BG33" s="17">
        <f>W$66-W$67</f>
        <v>114.2973449594912</v>
      </c>
      <c r="BH33" s="17">
        <f>W$66+W$67</f>
        <v>127.60610331637088</v>
      </c>
      <c r="BI33" s="17">
        <f t="shared" si="27"/>
        <v>1.1625982470516784E-2</v>
      </c>
      <c r="BJ33" s="17">
        <f t="shared" si="28"/>
        <v>1.4691067337912261E-2</v>
      </c>
      <c r="BK33" s="17">
        <f t="shared" si="29"/>
        <v>28.696690452912026</v>
      </c>
      <c r="BL33" s="17">
        <f t="shared" si="30"/>
        <v>29.661930236743164</v>
      </c>
      <c r="BM33" s="263">
        <f t="shared" si="31"/>
        <v>4.6322196240640304E-3</v>
      </c>
      <c r="BN33" s="263">
        <f t="shared" si="32"/>
        <v>5.2936118196245515E-3</v>
      </c>
      <c r="BO33" s="263">
        <f t="shared" si="33"/>
        <v>4.6579973341037062E-3</v>
      </c>
      <c r="BP33" s="263">
        <f t="shared" si="34"/>
        <v>5.3410578435228997E-3</v>
      </c>
      <c r="BQ33" s="263">
        <f t="shared" si="35"/>
        <v>-2.62020899613848E-4</v>
      </c>
      <c r="BR33" s="263">
        <f t="shared" si="36"/>
        <v>2.0015946921793468E-4</v>
      </c>
      <c r="BS33" s="18" t="e">
        <f>AE$66-AE$67</f>
        <v>#DIV/0!</v>
      </c>
      <c r="BT33" s="18" t="e">
        <f>AE$66+AE$67</f>
        <v>#DIV/0!</v>
      </c>
      <c r="BU33" s="18" t="e">
        <f>AF$66-AF$67</f>
        <v>#DIV/0!</v>
      </c>
      <c r="BV33" s="18" t="e">
        <f>AF$66+AF$67</f>
        <v>#DIV/0!</v>
      </c>
      <c r="BW33" s="19" t="e">
        <f>AG$66-AG$67</f>
        <v>#DIV/0!</v>
      </c>
      <c r="BX33" s="19" t="e">
        <f>AG$66+AG$67</f>
        <v>#DIV/0!</v>
      </c>
      <c r="BY33" s="20" t="e">
        <f>AH$66-AH$67</f>
        <v>#DIV/0!</v>
      </c>
      <c r="BZ33" s="18" t="e">
        <f>AH$66+AH$67</f>
        <v>#DIV/0!</v>
      </c>
      <c r="CA33" s="19">
        <f t="shared" si="57"/>
        <v>4.9388614429463438</v>
      </c>
      <c r="CB33" s="207">
        <f t="shared" si="58"/>
        <v>6.3118282122260467</v>
      </c>
      <c r="CC33" s="19">
        <f t="shared" si="59"/>
        <v>9.9985772639558934E-4</v>
      </c>
      <c r="CD33" s="201">
        <f t="shared" si="60"/>
        <v>1.4876579055213623E-2</v>
      </c>
      <c r="CE33" s="30">
        <f t="shared" si="111"/>
        <v>38</v>
      </c>
      <c r="CF33" s="18">
        <f t="shared" si="111"/>
        <v>61.774482758620721</v>
      </c>
      <c r="CG33" s="18">
        <f t="shared" si="111"/>
        <v>112.37931034482759</v>
      </c>
      <c r="CH33" s="18">
        <f t="shared" si="111"/>
        <v>113.43103448275862</v>
      </c>
      <c r="CI33" s="16">
        <f t="shared" si="111"/>
        <v>0.18138170498084291</v>
      </c>
      <c r="CJ33" s="16">
        <f t="shared" si="101"/>
        <v>95.224137931034477</v>
      </c>
      <c r="CK33" s="17">
        <f t="shared" si="112"/>
        <v>39.11724137931035</v>
      </c>
      <c r="CL33" s="17">
        <f t="shared" si="112"/>
        <v>73.460344827586226</v>
      </c>
      <c r="CM33" s="17">
        <f t="shared" si="112"/>
        <v>100.47068965517242</v>
      </c>
      <c r="CN33" s="17">
        <f t="shared" si="112"/>
        <v>120.95172413793104</v>
      </c>
      <c r="CO33" s="17">
        <f t="shared" si="52"/>
        <v>1.3158524904214522E-2</v>
      </c>
      <c r="CP33" s="17">
        <f t="shared" si="53"/>
        <v>29.179310344827595</v>
      </c>
      <c r="CQ33" s="263">
        <f t="shared" si="113"/>
        <v>4.9995275888133029E-3</v>
      </c>
      <c r="CR33" s="263">
        <f t="shared" si="113"/>
        <v>4.962915721844291E-3</v>
      </c>
      <c r="CS33" s="263">
        <f t="shared" si="113"/>
        <v>-3.0930715197956654E-5</v>
      </c>
      <c r="CT33" s="17" t="e">
        <f t="shared" si="113"/>
        <v>#DIV/0!</v>
      </c>
      <c r="CU33" s="17" t="e">
        <f t="shared" si="113"/>
        <v>#DIV/0!</v>
      </c>
      <c r="CV33" s="21" t="e">
        <f t="shared" si="113"/>
        <v>#DIV/0!</v>
      </c>
      <c r="CW33" s="17" t="e">
        <f t="shared" si="113"/>
        <v>#DIV/0!</v>
      </c>
      <c r="CX33" s="205">
        <f>AK$66</f>
        <v>5.6253448275861953</v>
      </c>
      <c r="CY33" s="22">
        <f t="shared" si="56"/>
        <v>7.938218390804606E-3</v>
      </c>
    </row>
    <row r="34" spans="1:103" ht="11.25" customHeight="1">
      <c r="A34" s="82" t="s">
        <v>143</v>
      </c>
      <c r="B34" s="160">
        <v>34</v>
      </c>
      <c r="C34" s="257">
        <v>61.77</v>
      </c>
      <c r="D34" s="160">
        <v>113</v>
      </c>
      <c r="E34" s="160">
        <v>113</v>
      </c>
      <c r="F34" s="162">
        <v>0.18402777777777779</v>
      </c>
      <c r="G34" s="274">
        <f>220.59+8.86+22.1+35.37+52.97+39.72+61.77+57.38+119.23</f>
        <v>617.99</v>
      </c>
      <c r="H34" s="159">
        <v>161</v>
      </c>
      <c r="I34" s="159">
        <v>322.89999999999998</v>
      </c>
      <c r="J34" s="159">
        <v>484.9</v>
      </c>
      <c r="K34" s="159">
        <v>601.9</v>
      </c>
      <c r="L34" s="135">
        <f t="shared" si="1"/>
        <v>16.090000000000032</v>
      </c>
      <c r="M34" s="271">
        <f>30.85+123.62</f>
        <v>154.47</v>
      </c>
      <c r="N34" s="159">
        <v>41.8</v>
      </c>
      <c r="O34" s="159">
        <v>83.7</v>
      </c>
      <c r="P34" s="159">
        <v>125.6</v>
      </c>
      <c r="Q34" s="159">
        <v>156.69999999999999</v>
      </c>
      <c r="R34" s="136">
        <f t="shared" si="2"/>
        <v>-2.2299999999999898</v>
      </c>
      <c r="S34" s="272">
        <v>98</v>
      </c>
      <c r="T34" s="161">
        <v>38.299999999999997</v>
      </c>
      <c r="U34" s="161">
        <v>72</v>
      </c>
      <c r="V34" s="161">
        <v>98.5</v>
      </c>
      <c r="W34" s="161">
        <v>118.5</v>
      </c>
      <c r="X34" s="186">
        <v>0.62152777777777779</v>
      </c>
      <c r="Y34" s="186">
        <v>0.63541666666666663</v>
      </c>
      <c r="Z34" s="184">
        <f t="shared" si="3"/>
        <v>1.388888888888884E-2</v>
      </c>
      <c r="AA34" s="161">
        <v>29.2</v>
      </c>
      <c r="AB34" s="273">
        <v>5.0000000000000001E-3</v>
      </c>
      <c r="AC34" s="273">
        <v>4.9537037037037041E-3</v>
      </c>
      <c r="AD34" s="273">
        <f t="shared" si="4"/>
        <v>-4.6296296296296016E-5</v>
      </c>
      <c r="AE34" s="166"/>
      <c r="AF34" s="166"/>
      <c r="AG34" s="222"/>
      <c r="AH34" s="166"/>
      <c r="AI34" s="155">
        <v>1354.68</v>
      </c>
      <c r="AJ34" s="155">
        <v>1349.21</v>
      </c>
      <c r="AK34" s="225">
        <f t="shared" si="5"/>
        <v>5.4700000000000273</v>
      </c>
      <c r="AL34" s="196">
        <v>0.68402777777777779</v>
      </c>
      <c r="AM34" s="196">
        <v>0.69097222222222221</v>
      </c>
      <c r="AN34" s="227">
        <f t="shared" si="6"/>
        <v>6.9444444444444198E-3</v>
      </c>
      <c r="AO34" s="74">
        <f>B$66-B$67</f>
        <v>28.089877583208697</v>
      </c>
      <c r="AP34" s="15">
        <f>B$66+B$67</f>
        <v>47.910122416791303</v>
      </c>
      <c r="AQ34" s="18">
        <f t="shared" ref="AQ34:AQ65" si="114">C$66-C$67</f>
        <v>61.691860138971634</v>
      </c>
      <c r="AR34" s="18">
        <f t="shared" ref="AR34:AR65" si="115">C$66+C$67</f>
        <v>61.857105378269807</v>
      </c>
      <c r="AS34" s="15">
        <f>D$66-D$67</f>
        <v>109.94095976728137</v>
      </c>
      <c r="AT34" s="15">
        <f>D$66+D$67</f>
        <v>114.8176609223738</v>
      </c>
      <c r="AU34" s="15">
        <f>E$66-E$67</f>
        <v>111.93239626243108</v>
      </c>
      <c r="AV34" s="15">
        <f>E$66+E$67</f>
        <v>114.92967270308615</v>
      </c>
      <c r="AW34" s="16">
        <f>F$66-F$67</f>
        <v>0.17368036968193748</v>
      </c>
      <c r="AX34" s="16">
        <f>F$66+F$67</f>
        <v>0.18908304027974834</v>
      </c>
      <c r="AY34" s="16">
        <f t="shared" ref="AY34:AY65" si="116">S$66-S$67</f>
        <v>56.437095452304185</v>
      </c>
      <c r="AZ34" s="16">
        <f t="shared" ref="AZ34:AZ65" si="117">S$66+S$67</f>
        <v>134.01118040976476</v>
      </c>
      <c r="BA34" s="17">
        <f>T$66-T$67</f>
        <v>35.424087856897714</v>
      </c>
      <c r="BB34" s="17">
        <f>T$66+T$67</f>
        <v>42.810394901722987</v>
      </c>
      <c r="BC34" s="17">
        <f>U$66-U$67</f>
        <v>68.667936470774464</v>
      </c>
      <c r="BD34" s="17">
        <f>U$66+U$67</f>
        <v>78.252753184397989</v>
      </c>
      <c r="BE34" s="17">
        <f>V$66-V$67</f>
        <v>94.547228197183259</v>
      </c>
      <c r="BF34" s="17">
        <f>V$66+V$67</f>
        <v>106.39415111316158</v>
      </c>
      <c r="BG34" s="17">
        <f>W$66-W$67</f>
        <v>114.2973449594912</v>
      </c>
      <c r="BH34" s="17">
        <f>W$66+W$67</f>
        <v>127.60610331637088</v>
      </c>
      <c r="BI34" s="17">
        <f t="shared" ref="BI34:BI65" si="118">Z$66-Z$67</f>
        <v>1.1625982470516784E-2</v>
      </c>
      <c r="BJ34" s="17">
        <f t="shared" ref="BJ34:BJ65" si="119">Z$66+Z$67</f>
        <v>1.4691067337912261E-2</v>
      </c>
      <c r="BK34" s="17">
        <f t="shared" ref="BK34:BK65" si="120">AA$66-AA$67</f>
        <v>28.696690452912026</v>
      </c>
      <c r="BL34" s="17">
        <f t="shared" ref="BL34:BL65" si="121">AA$66+AA$67</f>
        <v>29.661930236743164</v>
      </c>
      <c r="BM34" s="263">
        <f t="shared" ref="BM34:BM65" si="122">AC$66-AC$67</f>
        <v>4.6322196240640304E-3</v>
      </c>
      <c r="BN34" s="263">
        <f t="shared" ref="BN34:BN65" si="123">AC$66+AC$67</f>
        <v>5.2936118196245515E-3</v>
      </c>
      <c r="BO34" s="263">
        <f t="shared" ref="BO34:BO65" si="124">AB$66-AB$67</f>
        <v>4.6579973341037062E-3</v>
      </c>
      <c r="BP34" s="263">
        <f t="shared" ref="BP34:BP65" si="125">AB$66+AB$67</f>
        <v>5.3410578435228997E-3</v>
      </c>
      <c r="BQ34" s="263">
        <f t="shared" ref="BQ34:BQ65" si="126">AD$66-AD$67</f>
        <v>-2.62020899613848E-4</v>
      </c>
      <c r="BR34" s="263">
        <f t="shared" ref="BR34:BR65" si="127">AD$66+AD$67</f>
        <v>2.0015946921793468E-4</v>
      </c>
      <c r="BS34" s="18" t="e">
        <f>AE$66-AE$67</f>
        <v>#DIV/0!</v>
      </c>
      <c r="BT34" s="18" t="e">
        <f>AE$66+AE$67</f>
        <v>#DIV/0!</v>
      </c>
      <c r="BU34" s="18" t="e">
        <f>AF$66-AF$67</f>
        <v>#DIV/0!</v>
      </c>
      <c r="BV34" s="18" t="e">
        <f>AF$66+AF$67</f>
        <v>#DIV/0!</v>
      </c>
      <c r="BW34" s="19" t="e">
        <f>AG$66-AG$67</f>
        <v>#DIV/0!</v>
      </c>
      <c r="BX34" s="19" t="e">
        <f>AG$66+AG$67</f>
        <v>#DIV/0!</v>
      </c>
      <c r="BY34" s="20" t="e">
        <f>AH$66-AH$67</f>
        <v>#DIV/0!</v>
      </c>
      <c r="BZ34" s="18" t="e">
        <f>AH$66+AH$67</f>
        <v>#DIV/0!</v>
      </c>
      <c r="CA34" s="19">
        <f t="shared" si="57"/>
        <v>4.9388614429463438</v>
      </c>
      <c r="CB34" s="207">
        <f t="shared" si="58"/>
        <v>6.3118282122260467</v>
      </c>
      <c r="CC34" s="19">
        <f t="shared" si="59"/>
        <v>9.9985772639558934E-4</v>
      </c>
      <c r="CD34" s="201">
        <f t="shared" si="60"/>
        <v>1.4876579055213623E-2</v>
      </c>
      <c r="CE34" s="30">
        <f t="shared" si="111"/>
        <v>38</v>
      </c>
      <c r="CF34" s="18">
        <f t="shared" si="111"/>
        <v>61.774482758620721</v>
      </c>
      <c r="CG34" s="18">
        <f t="shared" si="111"/>
        <v>112.37931034482759</v>
      </c>
      <c r="CH34" s="18">
        <f t="shared" si="111"/>
        <v>113.43103448275862</v>
      </c>
      <c r="CI34" s="16">
        <f t="shared" si="111"/>
        <v>0.18138170498084291</v>
      </c>
      <c r="CJ34" s="16">
        <f t="shared" ref="CJ34:CJ65" si="128">S$66</f>
        <v>95.224137931034477</v>
      </c>
      <c r="CK34" s="17">
        <f t="shared" si="112"/>
        <v>39.11724137931035</v>
      </c>
      <c r="CL34" s="17">
        <f t="shared" si="112"/>
        <v>73.460344827586226</v>
      </c>
      <c r="CM34" s="17">
        <f t="shared" si="112"/>
        <v>100.47068965517242</v>
      </c>
      <c r="CN34" s="17">
        <f t="shared" si="112"/>
        <v>120.95172413793104</v>
      </c>
      <c r="CO34" s="17">
        <f t="shared" ref="CO34:CO65" si="129">Z$66</f>
        <v>1.3158524904214522E-2</v>
      </c>
      <c r="CP34" s="17">
        <f t="shared" ref="CP34:CP65" si="130">AA$66</f>
        <v>29.179310344827595</v>
      </c>
      <c r="CQ34" s="263">
        <f t="shared" si="113"/>
        <v>4.9995275888133029E-3</v>
      </c>
      <c r="CR34" s="263">
        <f t="shared" si="113"/>
        <v>4.962915721844291E-3</v>
      </c>
      <c r="CS34" s="263">
        <f t="shared" si="113"/>
        <v>-3.0930715197956654E-5</v>
      </c>
      <c r="CT34" s="17" t="e">
        <f t="shared" si="113"/>
        <v>#DIV/0!</v>
      </c>
      <c r="CU34" s="17" t="e">
        <f t="shared" si="113"/>
        <v>#DIV/0!</v>
      </c>
      <c r="CV34" s="21" t="e">
        <f t="shared" si="113"/>
        <v>#DIV/0!</v>
      </c>
      <c r="CW34" s="17" t="e">
        <f t="shared" si="113"/>
        <v>#DIV/0!</v>
      </c>
      <c r="CX34" s="205">
        <f>AK$66</f>
        <v>5.6253448275861953</v>
      </c>
      <c r="CY34" s="22">
        <f t="shared" ref="CY34:CY65" si="131">AN$66</f>
        <v>7.938218390804606E-3</v>
      </c>
    </row>
    <row r="35" spans="1:103" ht="11.25" customHeight="1">
      <c r="A35" s="82" t="s">
        <v>144</v>
      </c>
      <c r="B35" s="160">
        <v>40</v>
      </c>
      <c r="C35" s="257">
        <v>61.76</v>
      </c>
      <c r="D35" s="160">
        <v>114</v>
      </c>
      <c r="E35" s="160">
        <v>113</v>
      </c>
      <c r="F35" s="162">
        <v>0.18402777777777779</v>
      </c>
      <c r="G35" s="274">
        <f>220.73+8.86+22.11+35.31+52.98+39.78+61.76+57.38+119.09</f>
        <v>618</v>
      </c>
      <c r="H35" s="159">
        <v>161.4</v>
      </c>
      <c r="I35" s="159">
        <v>323.60000000000002</v>
      </c>
      <c r="J35" s="159">
        <v>485.7</v>
      </c>
      <c r="K35" s="159">
        <v>609.5</v>
      </c>
      <c r="L35" s="135">
        <f t="shared" si="1"/>
        <v>8.5</v>
      </c>
      <c r="M35" s="271">
        <f>30.89+123.5</f>
        <v>154.38999999999999</v>
      </c>
      <c r="N35" s="159">
        <v>41.8</v>
      </c>
      <c r="O35" s="159">
        <v>83.7</v>
      </c>
      <c r="P35" s="159">
        <v>125.7</v>
      </c>
      <c r="Q35" s="159">
        <v>155.6</v>
      </c>
      <c r="R35" s="136">
        <f t="shared" si="2"/>
        <v>-1.210000000000008</v>
      </c>
      <c r="S35" s="272">
        <v>95</v>
      </c>
      <c r="T35" s="161">
        <v>37.299999999999997</v>
      </c>
      <c r="U35" s="161">
        <v>71.3</v>
      </c>
      <c r="V35" s="161">
        <v>98.5</v>
      </c>
      <c r="W35" s="161">
        <v>118.5</v>
      </c>
      <c r="X35" s="186">
        <v>0.62152777777777779</v>
      </c>
      <c r="Y35" s="186">
        <v>0.63472222222222219</v>
      </c>
      <c r="Z35" s="184">
        <f t="shared" si="3"/>
        <v>1.3194444444444398E-2</v>
      </c>
      <c r="AA35" s="161">
        <v>29.2</v>
      </c>
      <c r="AB35" s="273">
        <v>5.1504629629629635E-3</v>
      </c>
      <c r="AC35" s="260">
        <v>5.0347222222222225E-3</v>
      </c>
      <c r="AD35" s="273">
        <f t="shared" si="4"/>
        <v>-1.1574074074074091E-4</v>
      </c>
      <c r="AE35" s="166"/>
      <c r="AF35" s="166"/>
      <c r="AG35" s="222"/>
      <c r="AH35" s="166"/>
      <c r="AI35" s="155">
        <v>1354.68</v>
      </c>
      <c r="AJ35" s="155">
        <v>1348.98</v>
      </c>
      <c r="AK35" s="225">
        <f t="shared" si="5"/>
        <v>5.7000000000000455</v>
      </c>
      <c r="AL35" s="196">
        <v>0.68611111111111101</v>
      </c>
      <c r="AM35" s="196">
        <v>0.69444444444444453</v>
      </c>
      <c r="AN35" s="227">
        <f t="shared" si="6"/>
        <v>8.3333333333335258E-3</v>
      </c>
      <c r="AO35" s="74">
        <f t="shared" ref="AO35:AO65" si="132">B$66-B$67</f>
        <v>28.089877583208697</v>
      </c>
      <c r="AP35" s="15">
        <f t="shared" ref="AP35:AP65" si="133">B$66+B$67</f>
        <v>47.910122416791303</v>
      </c>
      <c r="AQ35" s="18">
        <f t="shared" si="114"/>
        <v>61.691860138971634</v>
      </c>
      <c r="AR35" s="18">
        <f t="shared" si="115"/>
        <v>61.857105378269807</v>
      </c>
      <c r="AS35" s="15">
        <f t="shared" ref="AS35:AS65" si="134">D$66-D$67</f>
        <v>109.94095976728137</v>
      </c>
      <c r="AT35" s="15">
        <f t="shared" ref="AT35:AT65" si="135">D$66+D$67</f>
        <v>114.8176609223738</v>
      </c>
      <c r="AU35" s="15">
        <f t="shared" ref="AU35:AU65" si="136">E$66-E$67</f>
        <v>111.93239626243108</v>
      </c>
      <c r="AV35" s="15">
        <f t="shared" ref="AV35:AV65" si="137">E$66+E$67</f>
        <v>114.92967270308615</v>
      </c>
      <c r="AW35" s="16">
        <f t="shared" ref="AW35:AW65" si="138">F$66-F$67</f>
        <v>0.17368036968193748</v>
      </c>
      <c r="AX35" s="16">
        <f t="shared" ref="AX35:AX65" si="139">F$66+F$67</f>
        <v>0.18908304027974834</v>
      </c>
      <c r="AY35" s="16">
        <f t="shared" si="116"/>
        <v>56.437095452304185</v>
      </c>
      <c r="AZ35" s="16">
        <f t="shared" si="117"/>
        <v>134.01118040976476</v>
      </c>
      <c r="BA35" s="17">
        <f t="shared" ref="BA35:BA65" si="140">T$66-T$67</f>
        <v>35.424087856897714</v>
      </c>
      <c r="BB35" s="17">
        <f t="shared" ref="BB35:BB65" si="141">T$66+T$67</f>
        <v>42.810394901722987</v>
      </c>
      <c r="BC35" s="17">
        <f t="shared" ref="BC35:BC65" si="142">U$66-U$67</f>
        <v>68.667936470774464</v>
      </c>
      <c r="BD35" s="17">
        <f t="shared" ref="BD35:BD65" si="143">U$66+U$67</f>
        <v>78.252753184397989</v>
      </c>
      <c r="BE35" s="17">
        <f t="shared" ref="BE35:BE65" si="144">V$66-V$67</f>
        <v>94.547228197183259</v>
      </c>
      <c r="BF35" s="17">
        <f t="shared" ref="BF35:BF65" si="145">V$66+V$67</f>
        <v>106.39415111316158</v>
      </c>
      <c r="BG35" s="17">
        <f t="shared" ref="BG35:BG65" si="146">W$66-W$67</f>
        <v>114.2973449594912</v>
      </c>
      <c r="BH35" s="17">
        <f t="shared" ref="BH35:BH65" si="147">W$66+W$67</f>
        <v>127.60610331637088</v>
      </c>
      <c r="BI35" s="17">
        <f t="shared" si="118"/>
        <v>1.1625982470516784E-2</v>
      </c>
      <c r="BJ35" s="17">
        <f t="shared" si="119"/>
        <v>1.4691067337912261E-2</v>
      </c>
      <c r="BK35" s="17">
        <f t="shared" si="120"/>
        <v>28.696690452912026</v>
      </c>
      <c r="BL35" s="17">
        <f t="shared" si="121"/>
        <v>29.661930236743164</v>
      </c>
      <c r="BM35" s="263">
        <f t="shared" si="122"/>
        <v>4.6322196240640304E-3</v>
      </c>
      <c r="BN35" s="263">
        <f t="shared" si="123"/>
        <v>5.2936118196245515E-3</v>
      </c>
      <c r="BO35" s="263">
        <f t="shared" si="124"/>
        <v>4.6579973341037062E-3</v>
      </c>
      <c r="BP35" s="263">
        <f t="shared" si="125"/>
        <v>5.3410578435228997E-3</v>
      </c>
      <c r="BQ35" s="263">
        <f t="shared" si="126"/>
        <v>-2.62020899613848E-4</v>
      </c>
      <c r="BR35" s="263">
        <f t="shared" si="127"/>
        <v>2.0015946921793468E-4</v>
      </c>
      <c r="BS35" s="18" t="e">
        <f t="shared" ref="BS35:BS65" si="148">AE$66-AE$67</f>
        <v>#DIV/0!</v>
      </c>
      <c r="BT35" s="18" t="e">
        <f t="shared" ref="BT35:BT65" si="149">AE$66+AE$67</f>
        <v>#DIV/0!</v>
      </c>
      <c r="BU35" s="18" t="e">
        <f t="shared" ref="BU35:BU65" si="150">AF$66-AF$67</f>
        <v>#DIV/0!</v>
      </c>
      <c r="BV35" s="18" t="e">
        <f t="shared" ref="BV35:BV65" si="151">AF$66+AF$67</f>
        <v>#DIV/0!</v>
      </c>
      <c r="BW35" s="19" t="e">
        <f t="shared" ref="BW35:BW65" si="152">AG$66-AG$67</f>
        <v>#DIV/0!</v>
      </c>
      <c r="BX35" s="19" t="e">
        <f t="shared" ref="BX35:BX65" si="153">AG$66+AG$67</f>
        <v>#DIV/0!</v>
      </c>
      <c r="BY35" s="20" t="e">
        <f t="shared" ref="BY35:BY65" si="154">AH$66-AH$67</f>
        <v>#DIV/0!</v>
      </c>
      <c r="BZ35" s="18" t="e">
        <f t="shared" ref="BZ35:BZ65" si="155">AH$66+AH$67</f>
        <v>#DIV/0!</v>
      </c>
      <c r="CA35" s="19">
        <f t="shared" si="57"/>
        <v>4.9388614429463438</v>
      </c>
      <c r="CB35" s="207">
        <f t="shared" si="58"/>
        <v>6.3118282122260467</v>
      </c>
      <c r="CC35" s="19">
        <f t="shared" si="59"/>
        <v>9.9985772639558934E-4</v>
      </c>
      <c r="CD35" s="201">
        <f t="shared" si="60"/>
        <v>1.4876579055213623E-2</v>
      </c>
      <c r="CE35" s="30">
        <f t="shared" ref="CE35:CE65" si="156">B$66</f>
        <v>38</v>
      </c>
      <c r="CF35" s="18">
        <f t="shared" ref="CF35:CF65" si="157">C$66</f>
        <v>61.774482758620721</v>
      </c>
      <c r="CG35" s="18">
        <f t="shared" ref="CG35:CG65" si="158">D$66</f>
        <v>112.37931034482759</v>
      </c>
      <c r="CH35" s="18">
        <f t="shared" ref="CH35:CH65" si="159">E$66</f>
        <v>113.43103448275862</v>
      </c>
      <c r="CI35" s="16">
        <f t="shared" ref="CI35:CI65" si="160">F$66</f>
        <v>0.18138170498084291</v>
      </c>
      <c r="CJ35" s="16">
        <f t="shared" si="128"/>
        <v>95.224137931034477</v>
      </c>
      <c r="CK35" s="17">
        <f t="shared" ref="CK35:CK65" si="161">T$66</f>
        <v>39.11724137931035</v>
      </c>
      <c r="CL35" s="17">
        <f t="shared" ref="CL35:CL65" si="162">U$66</f>
        <v>73.460344827586226</v>
      </c>
      <c r="CM35" s="17">
        <f t="shared" ref="CM35:CM65" si="163">V$66</f>
        <v>100.47068965517242</v>
      </c>
      <c r="CN35" s="17">
        <f t="shared" ref="CN35:CN65" si="164">W$66</f>
        <v>120.95172413793104</v>
      </c>
      <c r="CO35" s="17">
        <f t="shared" si="129"/>
        <v>1.3158524904214522E-2</v>
      </c>
      <c r="CP35" s="17">
        <f t="shared" si="130"/>
        <v>29.179310344827595</v>
      </c>
      <c r="CQ35" s="263">
        <f t="shared" ref="CQ35:CQ65" si="165">AB$66</f>
        <v>4.9995275888133029E-3</v>
      </c>
      <c r="CR35" s="263">
        <f t="shared" ref="CR35:CR65" si="166">AC$66</f>
        <v>4.962915721844291E-3</v>
      </c>
      <c r="CS35" s="263">
        <f t="shared" ref="CS35:CS65" si="167">AD$66</f>
        <v>-3.0930715197956654E-5</v>
      </c>
      <c r="CT35" s="17" t="e">
        <f t="shared" ref="CT35:CT65" si="168">AE$66</f>
        <v>#DIV/0!</v>
      </c>
      <c r="CU35" s="17" t="e">
        <f t="shared" ref="CU35:CU65" si="169">AF$66</f>
        <v>#DIV/0!</v>
      </c>
      <c r="CV35" s="21" t="e">
        <f t="shared" ref="CV35:CV65" si="170">AG$66</f>
        <v>#DIV/0!</v>
      </c>
      <c r="CW35" s="17" t="e">
        <f t="shared" ref="CW35:CW65" si="171">AH$66</f>
        <v>#DIV/0!</v>
      </c>
      <c r="CX35" s="205">
        <f t="shared" ref="CX35:CX65" si="172">AK$66</f>
        <v>5.6253448275861953</v>
      </c>
      <c r="CY35" s="22">
        <f t="shared" si="131"/>
        <v>7.938218390804606E-3</v>
      </c>
    </row>
    <row r="36" spans="1:103" ht="11.25" customHeight="1">
      <c r="A36" s="82" t="s">
        <v>145</v>
      </c>
      <c r="B36" s="160">
        <v>38</v>
      </c>
      <c r="C36" s="257">
        <v>61.78</v>
      </c>
      <c r="D36" s="160">
        <v>113</v>
      </c>
      <c r="E36" s="160">
        <v>113</v>
      </c>
      <c r="F36" s="162">
        <v>0.18402777777777779</v>
      </c>
      <c r="G36" s="274">
        <f>220.68+8.86+22.1+35.33+52.98+39.84+61.78+57.45+119.2</f>
        <v>618.22</v>
      </c>
      <c r="H36" s="159">
        <v>161.4</v>
      </c>
      <c r="I36" s="159">
        <v>323.3</v>
      </c>
      <c r="J36" s="159">
        <v>485.3</v>
      </c>
      <c r="K36" s="159">
        <v>603.70000000000005</v>
      </c>
      <c r="L36" s="135">
        <f t="shared" si="1"/>
        <v>14.519999999999982</v>
      </c>
      <c r="M36" s="271">
        <f>30.92+123.51</f>
        <v>154.43</v>
      </c>
      <c r="N36" s="159">
        <v>41.7</v>
      </c>
      <c r="O36" s="159">
        <v>83.7</v>
      </c>
      <c r="P36" s="159">
        <v>125.6</v>
      </c>
      <c r="Q36" s="159">
        <v>156.19999999999999</v>
      </c>
      <c r="R36" s="136">
        <f t="shared" si="2"/>
        <v>-1.7699999999999818</v>
      </c>
      <c r="S36" s="272">
        <v>96</v>
      </c>
      <c r="T36" s="161">
        <v>38.1</v>
      </c>
      <c r="U36" s="161">
        <v>72.3</v>
      </c>
      <c r="V36" s="161">
        <v>98.7</v>
      </c>
      <c r="W36" s="161">
        <v>118.8</v>
      </c>
      <c r="X36" s="186">
        <v>0.62152777777777779</v>
      </c>
      <c r="Y36" s="186">
        <v>0.63541666666666663</v>
      </c>
      <c r="Z36" s="184">
        <f t="shared" si="3"/>
        <v>1.388888888888884E-2</v>
      </c>
      <c r="AA36" s="161">
        <v>29.2</v>
      </c>
      <c r="AB36" s="273">
        <v>5.1504629629629635E-3</v>
      </c>
      <c r="AC36" s="273">
        <v>5.0578703703703706E-3</v>
      </c>
      <c r="AD36" s="273">
        <f t="shared" si="4"/>
        <v>-9.25925925925929E-5</v>
      </c>
      <c r="AE36" s="166"/>
      <c r="AF36" s="166"/>
      <c r="AG36" s="222"/>
      <c r="AH36" s="166"/>
      <c r="AI36" s="155">
        <v>1354.88</v>
      </c>
      <c r="AJ36" s="155">
        <v>1349.22</v>
      </c>
      <c r="AK36" s="225">
        <f t="shared" si="5"/>
        <v>5.6600000000000819</v>
      </c>
      <c r="AL36" s="196">
        <v>0.68472222222222223</v>
      </c>
      <c r="AM36" s="196">
        <v>0.69444444444444453</v>
      </c>
      <c r="AN36" s="227">
        <f t="shared" si="6"/>
        <v>9.7222222222222987E-3</v>
      </c>
      <c r="AO36" s="74">
        <f t="shared" si="132"/>
        <v>28.089877583208697</v>
      </c>
      <c r="AP36" s="15">
        <f t="shared" si="133"/>
        <v>47.910122416791303</v>
      </c>
      <c r="AQ36" s="18">
        <f t="shared" si="114"/>
        <v>61.691860138971634</v>
      </c>
      <c r="AR36" s="18">
        <f t="shared" si="115"/>
        <v>61.857105378269807</v>
      </c>
      <c r="AS36" s="15">
        <f t="shared" si="134"/>
        <v>109.94095976728137</v>
      </c>
      <c r="AT36" s="15">
        <f t="shared" si="135"/>
        <v>114.8176609223738</v>
      </c>
      <c r="AU36" s="15">
        <f t="shared" si="136"/>
        <v>111.93239626243108</v>
      </c>
      <c r="AV36" s="15">
        <f t="shared" si="137"/>
        <v>114.92967270308615</v>
      </c>
      <c r="AW36" s="16">
        <f t="shared" si="138"/>
        <v>0.17368036968193748</v>
      </c>
      <c r="AX36" s="16">
        <f t="shared" si="139"/>
        <v>0.18908304027974834</v>
      </c>
      <c r="AY36" s="16">
        <f t="shared" si="116"/>
        <v>56.437095452304185</v>
      </c>
      <c r="AZ36" s="16">
        <f t="shared" si="117"/>
        <v>134.01118040976476</v>
      </c>
      <c r="BA36" s="17">
        <f t="shared" si="140"/>
        <v>35.424087856897714</v>
      </c>
      <c r="BB36" s="17">
        <f t="shared" si="141"/>
        <v>42.810394901722987</v>
      </c>
      <c r="BC36" s="17">
        <f t="shared" si="142"/>
        <v>68.667936470774464</v>
      </c>
      <c r="BD36" s="17">
        <f t="shared" si="143"/>
        <v>78.252753184397989</v>
      </c>
      <c r="BE36" s="17">
        <f t="shared" si="144"/>
        <v>94.547228197183259</v>
      </c>
      <c r="BF36" s="17">
        <f t="shared" si="145"/>
        <v>106.39415111316158</v>
      </c>
      <c r="BG36" s="17">
        <f t="shared" si="146"/>
        <v>114.2973449594912</v>
      </c>
      <c r="BH36" s="17">
        <f t="shared" si="147"/>
        <v>127.60610331637088</v>
      </c>
      <c r="BI36" s="17">
        <f t="shared" si="118"/>
        <v>1.1625982470516784E-2</v>
      </c>
      <c r="BJ36" s="17">
        <f t="shared" si="119"/>
        <v>1.4691067337912261E-2</v>
      </c>
      <c r="BK36" s="17">
        <f t="shared" si="120"/>
        <v>28.696690452912026</v>
      </c>
      <c r="BL36" s="17">
        <f t="shared" si="121"/>
        <v>29.661930236743164</v>
      </c>
      <c r="BM36" s="263">
        <f t="shared" si="122"/>
        <v>4.6322196240640304E-3</v>
      </c>
      <c r="BN36" s="263">
        <f t="shared" si="123"/>
        <v>5.2936118196245515E-3</v>
      </c>
      <c r="BO36" s="263">
        <f t="shared" si="124"/>
        <v>4.6579973341037062E-3</v>
      </c>
      <c r="BP36" s="263">
        <f t="shared" si="125"/>
        <v>5.3410578435228997E-3</v>
      </c>
      <c r="BQ36" s="263">
        <f t="shared" si="126"/>
        <v>-2.62020899613848E-4</v>
      </c>
      <c r="BR36" s="263">
        <f t="shared" si="127"/>
        <v>2.0015946921793468E-4</v>
      </c>
      <c r="BS36" s="18" t="e">
        <f t="shared" si="148"/>
        <v>#DIV/0!</v>
      </c>
      <c r="BT36" s="18" t="e">
        <f t="shared" si="149"/>
        <v>#DIV/0!</v>
      </c>
      <c r="BU36" s="18" t="e">
        <f t="shared" si="150"/>
        <v>#DIV/0!</v>
      </c>
      <c r="BV36" s="18" t="e">
        <f t="shared" si="151"/>
        <v>#DIV/0!</v>
      </c>
      <c r="BW36" s="19" t="e">
        <f t="shared" si="152"/>
        <v>#DIV/0!</v>
      </c>
      <c r="BX36" s="19" t="e">
        <f t="shared" si="153"/>
        <v>#DIV/0!</v>
      </c>
      <c r="BY36" s="20" t="e">
        <f t="shared" si="154"/>
        <v>#DIV/0!</v>
      </c>
      <c r="BZ36" s="18" t="e">
        <f t="shared" si="155"/>
        <v>#DIV/0!</v>
      </c>
      <c r="CA36" s="19">
        <f t="shared" si="57"/>
        <v>4.9388614429463438</v>
      </c>
      <c r="CB36" s="207">
        <f t="shared" si="58"/>
        <v>6.3118282122260467</v>
      </c>
      <c r="CC36" s="19">
        <f t="shared" si="59"/>
        <v>9.9985772639558934E-4</v>
      </c>
      <c r="CD36" s="201">
        <f t="shared" si="60"/>
        <v>1.4876579055213623E-2</v>
      </c>
      <c r="CE36" s="30">
        <f t="shared" si="156"/>
        <v>38</v>
      </c>
      <c r="CF36" s="18">
        <f t="shared" si="157"/>
        <v>61.774482758620721</v>
      </c>
      <c r="CG36" s="18">
        <f t="shared" si="158"/>
        <v>112.37931034482759</v>
      </c>
      <c r="CH36" s="18">
        <f t="shared" si="159"/>
        <v>113.43103448275862</v>
      </c>
      <c r="CI36" s="16">
        <f t="shared" si="160"/>
        <v>0.18138170498084291</v>
      </c>
      <c r="CJ36" s="16">
        <f t="shared" si="128"/>
        <v>95.224137931034477</v>
      </c>
      <c r="CK36" s="17">
        <f t="shared" si="161"/>
        <v>39.11724137931035</v>
      </c>
      <c r="CL36" s="17">
        <f t="shared" si="162"/>
        <v>73.460344827586226</v>
      </c>
      <c r="CM36" s="17">
        <f t="shared" si="163"/>
        <v>100.47068965517242</v>
      </c>
      <c r="CN36" s="17">
        <f t="shared" si="164"/>
        <v>120.95172413793104</v>
      </c>
      <c r="CO36" s="17">
        <f t="shared" si="129"/>
        <v>1.3158524904214522E-2</v>
      </c>
      <c r="CP36" s="17">
        <f t="shared" si="130"/>
        <v>29.179310344827595</v>
      </c>
      <c r="CQ36" s="263">
        <f t="shared" si="165"/>
        <v>4.9995275888133029E-3</v>
      </c>
      <c r="CR36" s="263">
        <f t="shared" si="166"/>
        <v>4.962915721844291E-3</v>
      </c>
      <c r="CS36" s="263">
        <f t="shared" si="167"/>
        <v>-3.0930715197956654E-5</v>
      </c>
      <c r="CT36" s="17" t="e">
        <f t="shared" si="168"/>
        <v>#DIV/0!</v>
      </c>
      <c r="CU36" s="17" t="e">
        <f t="shared" si="169"/>
        <v>#DIV/0!</v>
      </c>
      <c r="CV36" s="21" t="e">
        <f t="shared" si="170"/>
        <v>#DIV/0!</v>
      </c>
      <c r="CW36" s="17" t="e">
        <f t="shared" si="171"/>
        <v>#DIV/0!</v>
      </c>
      <c r="CX36" s="205">
        <f t="shared" si="172"/>
        <v>5.6253448275861953</v>
      </c>
      <c r="CY36" s="22">
        <f t="shared" si="131"/>
        <v>7.938218390804606E-3</v>
      </c>
    </row>
    <row r="37" spans="1:103" ht="11.25" customHeight="1">
      <c r="A37" s="82" t="s">
        <v>146</v>
      </c>
      <c r="B37" s="160">
        <v>39</v>
      </c>
      <c r="C37" s="257">
        <v>61.75</v>
      </c>
      <c r="D37" s="160">
        <v>112</v>
      </c>
      <c r="E37" s="160">
        <v>113</v>
      </c>
      <c r="F37" s="162">
        <v>0.18124999999999999</v>
      </c>
      <c r="G37" s="274">
        <f>220.72+8.86+22.1+35.36+53.03+39.86+61.75+57.48+119.17</f>
        <v>618.32999999999993</v>
      </c>
      <c r="H37" s="159">
        <v>161.4</v>
      </c>
      <c r="I37" s="159">
        <v>323.39999999999998</v>
      </c>
      <c r="J37" s="159">
        <v>485.5</v>
      </c>
      <c r="K37" s="159">
        <v>598.79999999999995</v>
      </c>
      <c r="L37" s="135">
        <f t="shared" si="1"/>
        <v>19.529999999999973</v>
      </c>
      <c r="M37" s="271">
        <f>123.52+30.91</f>
        <v>154.43</v>
      </c>
      <c r="N37" s="159">
        <v>41.8</v>
      </c>
      <c r="O37" s="159">
        <v>83.7</v>
      </c>
      <c r="P37" s="159">
        <v>125.6</v>
      </c>
      <c r="Q37" s="159">
        <v>156.5</v>
      </c>
      <c r="R37" s="136">
        <f t="shared" si="2"/>
        <v>-2.0699999999999932</v>
      </c>
      <c r="S37" s="272">
        <v>102</v>
      </c>
      <c r="T37" s="161">
        <v>39.5</v>
      </c>
      <c r="U37" s="161">
        <v>73.8</v>
      </c>
      <c r="V37" s="161">
        <v>100.5</v>
      </c>
      <c r="W37" s="161">
        <v>121.5</v>
      </c>
      <c r="X37" s="186">
        <v>0.61875000000000002</v>
      </c>
      <c r="Y37" s="186">
        <v>0.63263888888888886</v>
      </c>
      <c r="Z37" s="184">
        <f t="shared" si="3"/>
        <v>1.388888888888884E-2</v>
      </c>
      <c r="AA37" s="161">
        <v>29.4</v>
      </c>
      <c r="AB37" s="260">
        <v>5.0115740740740737E-3</v>
      </c>
      <c r="AC37" s="260">
        <v>4.9652777777777777E-3</v>
      </c>
      <c r="AD37" s="273">
        <f t="shared" si="4"/>
        <v>-4.6296296296296016E-5</v>
      </c>
      <c r="AE37" s="166"/>
      <c r="AF37" s="166"/>
      <c r="AG37" s="222"/>
      <c r="AH37" s="166"/>
      <c r="AI37" s="155">
        <v>1355.01</v>
      </c>
      <c r="AJ37" s="155">
        <v>1349.21</v>
      </c>
      <c r="AK37" s="225">
        <f t="shared" si="5"/>
        <v>5.7999999999999545</v>
      </c>
      <c r="AL37" s="196">
        <v>0.68125000000000002</v>
      </c>
      <c r="AM37" s="196">
        <v>0.6875</v>
      </c>
      <c r="AN37" s="227">
        <f t="shared" si="6"/>
        <v>6.2499999999999778E-3</v>
      </c>
      <c r="AO37" s="74">
        <f t="shared" si="132"/>
        <v>28.089877583208697</v>
      </c>
      <c r="AP37" s="15">
        <f t="shared" si="133"/>
        <v>47.910122416791303</v>
      </c>
      <c r="AQ37" s="18">
        <f t="shared" si="114"/>
        <v>61.691860138971634</v>
      </c>
      <c r="AR37" s="18">
        <f t="shared" si="115"/>
        <v>61.857105378269807</v>
      </c>
      <c r="AS37" s="15">
        <f t="shared" si="134"/>
        <v>109.94095976728137</v>
      </c>
      <c r="AT37" s="15">
        <f t="shared" si="135"/>
        <v>114.8176609223738</v>
      </c>
      <c r="AU37" s="15">
        <f t="shared" si="136"/>
        <v>111.93239626243108</v>
      </c>
      <c r="AV37" s="15">
        <f t="shared" si="137"/>
        <v>114.92967270308615</v>
      </c>
      <c r="AW37" s="16">
        <f t="shared" si="138"/>
        <v>0.17368036968193748</v>
      </c>
      <c r="AX37" s="16">
        <f t="shared" si="139"/>
        <v>0.18908304027974834</v>
      </c>
      <c r="AY37" s="16">
        <f t="shared" si="116"/>
        <v>56.437095452304185</v>
      </c>
      <c r="AZ37" s="16">
        <f t="shared" si="117"/>
        <v>134.01118040976476</v>
      </c>
      <c r="BA37" s="17">
        <f t="shared" si="140"/>
        <v>35.424087856897714</v>
      </c>
      <c r="BB37" s="17">
        <f t="shared" si="141"/>
        <v>42.810394901722987</v>
      </c>
      <c r="BC37" s="17">
        <f t="shared" si="142"/>
        <v>68.667936470774464</v>
      </c>
      <c r="BD37" s="17">
        <f t="shared" si="143"/>
        <v>78.252753184397989</v>
      </c>
      <c r="BE37" s="17">
        <f t="shared" si="144"/>
        <v>94.547228197183259</v>
      </c>
      <c r="BF37" s="17">
        <f t="shared" si="145"/>
        <v>106.39415111316158</v>
      </c>
      <c r="BG37" s="17">
        <f t="shared" si="146"/>
        <v>114.2973449594912</v>
      </c>
      <c r="BH37" s="17">
        <f t="shared" si="147"/>
        <v>127.60610331637088</v>
      </c>
      <c r="BI37" s="17">
        <f t="shared" si="118"/>
        <v>1.1625982470516784E-2</v>
      </c>
      <c r="BJ37" s="17">
        <f t="shared" si="119"/>
        <v>1.4691067337912261E-2</v>
      </c>
      <c r="BK37" s="17">
        <f t="shared" si="120"/>
        <v>28.696690452912026</v>
      </c>
      <c r="BL37" s="17">
        <f t="shared" si="121"/>
        <v>29.661930236743164</v>
      </c>
      <c r="BM37" s="263">
        <f t="shared" si="122"/>
        <v>4.6322196240640304E-3</v>
      </c>
      <c r="BN37" s="263">
        <f t="shared" si="123"/>
        <v>5.2936118196245515E-3</v>
      </c>
      <c r="BO37" s="263">
        <f t="shared" si="124"/>
        <v>4.6579973341037062E-3</v>
      </c>
      <c r="BP37" s="263">
        <f t="shared" si="125"/>
        <v>5.3410578435228997E-3</v>
      </c>
      <c r="BQ37" s="263">
        <f t="shared" si="126"/>
        <v>-2.62020899613848E-4</v>
      </c>
      <c r="BR37" s="263">
        <f t="shared" si="127"/>
        <v>2.0015946921793468E-4</v>
      </c>
      <c r="BS37" s="18" t="e">
        <f t="shared" si="148"/>
        <v>#DIV/0!</v>
      </c>
      <c r="BT37" s="18" t="e">
        <f t="shared" si="149"/>
        <v>#DIV/0!</v>
      </c>
      <c r="BU37" s="18" t="e">
        <f t="shared" si="150"/>
        <v>#DIV/0!</v>
      </c>
      <c r="BV37" s="18" t="e">
        <f t="shared" si="151"/>
        <v>#DIV/0!</v>
      </c>
      <c r="BW37" s="19" t="e">
        <f t="shared" si="152"/>
        <v>#DIV/0!</v>
      </c>
      <c r="BX37" s="19" t="e">
        <f t="shared" si="153"/>
        <v>#DIV/0!</v>
      </c>
      <c r="BY37" s="20" t="e">
        <f t="shared" si="154"/>
        <v>#DIV/0!</v>
      </c>
      <c r="BZ37" s="18" t="e">
        <f t="shared" si="155"/>
        <v>#DIV/0!</v>
      </c>
      <c r="CA37" s="19">
        <f t="shared" si="57"/>
        <v>4.9388614429463438</v>
      </c>
      <c r="CB37" s="207">
        <f t="shared" si="58"/>
        <v>6.3118282122260467</v>
      </c>
      <c r="CC37" s="19">
        <f t="shared" si="59"/>
        <v>9.9985772639558934E-4</v>
      </c>
      <c r="CD37" s="201">
        <f t="shared" si="60"/>
        <v>1.4876579055213623E-2</v>
      </c>
      <c r="CE37" s="30">
        <f t="shared" si="156"/>
        <v>38</v>
      </c>
      <c r="CF37" s="18">
        <f t="shared" si="157"/>
        <v>61.774482758620721</v>
      </c>
      <c r="CG37" s="18">
        <f t="shared" si="158"/>
        <v>112.37931034482759</v>
      </c>
      <c r="CH37" s="18">
        <f t="shared" si="159"/>
        <v>113.43103448275862</v>
      </c>
      <c r="CI37" s="16">
        <f t="shared" si="160"/>
        <v>0.18138170498084291</v>
      </c>
      <c r="CJ37" s="16">
        <f t="shared" si="128"/>
        <v>95.224137931034477</v>
      </c>
      <c r="CK37" s="17">
        <f t="shared" si="161"/>
        <v>39.11724137931035</v>
      </c>
      <c r="CL37" s="17">
        <f t="shared" si="162"/>
        <v>73.460344827586226</v>
      </c>
      <c r="CM37" s="17">
        <f t="shared" si="163"/>
        <v>100.47068965517242</v>
      </c>
      <c r="CN37" s="17">
        <f t="shared" si="164"/>
        <v>120.95172413793104</v>
      </c>
      <c r="CO37" s="17">
        <f t="shared" si="129"/>
        <v>1.3158524904214522E-2</v>
      </c>
      <c r="CP37" s="17">
        <f t="shared" si="130"/>
        <v>29.179310344827595</v>
      </c>
      <c r="CQ37" s="263">
        <f t="shared" si="165"/>
        <v>4.9995275888133029E-3</v>
      </c>
      <c r="CR37" s="263">
        <f t="shared" si="166"/>
        <v>4.962915721844291E-3</v>
      </c>
      <c r="CS37" s="263">
        <f t="shared" si="167"/>
        <v>-3.0930715197956654E-5</v>
      </c>
      <c r="CT37" s="17" t="e">
        <f t="shared" si="168"/>
        <v>#DIV/0!</v>
      </c>
      <c r="CU37" s="17" t="e">
        <f t="shared" si="169"/>
        <v>#DIV/0!</v>
      </c>
      <c r="CV37" s="21" t="e">
        <f t="shared" si="170"/>
        <v>#DIV/0!</v>
      </c>
      <c r="CW37" s="17" t="e">
        <f t="shared" si="171"/>
        <v>#DIV/0!</v>
      </c>
      <c r="CX37" s="205">
        <f t="shared" si="172"/>
        <v>5.6253448275861953</v>
      </c>
      <c r="CY37" s="22">
        <f t="shared" si="131"/>
        <v>7.938218390804606E-3</v>
      </c>
    </row>
    <row r="38" spans="1:103" ht="11.25" customHeight="1">
      <c r="A38" s="82" t="s">
        <v>147</v>
      </c>
      <c r="B38" s="160">
        <v>36</v>
      </c>
      <c r="C38" s="257">
        <v>61.73</v>
      </c>
      <c r="D38" s="160">
        <v>113</v>
      </c>
      <c r="E38" s="160">
        <v>114</v>
      </c>
      <c r="F38" s="162">
        <v>0.18263888888888891</v>
      </c>
      <c r="G38" s="274">
        <f>220.75+8.86+22.12+35.31+52.98+39.85+61.73+57.43+119.17</f>
        <v>618.20000000000005</v>
      </c>
      <c r="H38" s="159">
        <v>161.1</v>
      </c>
      <c r="I38" s="159">
        <v>323</v>
      </c>
      <c r="J38" s="159">
        <v>484.9</v>
      </c>
      <c r="K38" s="159">
        <v>601.20000000000005</v>
      </c>
      <c r="L38" s="135">
        <f t="shared" si="1"/>
        <v>17</v>
      </c>
      <c r="M38" s="271">
        <f>123.49+30.94</f>
        <v>154.43</v>
      </c>
      <c r="N38" s="159">
        <v>41.8</v>
      </c>
      <c r="O38" s="159">
        <v>83.7</v>
      </c>
      <c r="P38" s="159">
        <v>125.7</v>
      </c>
      <c r="Q38" s="159">
        <v>157.1</v>
      </c>
      <c r="R38" s="136">
        <f t="shared" si="2"/>
        <v>-2.6699999999999875</v>
      </c>
      <c r="S38" s="272">
        <v>103</v>
      </c>
      <c r="T38" s="161">
        <v>39.1</v>
      </c>
      <c r="U38" s="161">
        <v>73.099999999999994</v>
      </c>
      <c r="V38" s="161">
        <v>99.5</v>
      </c>
      <c r="W38" s="161">
        <v>120.1</v>
      </c>
      <c r="X38" s="186">
        <v>0.62013888888888891</v>
      </c>
      <c r="Y38" s="186">
        <v>0.63402777777777775</v>
      </c>
      <c r="Z38" s="184">
        <f t="shared" si="3"/>
        <v>1.388888888888884E-2</v>
      </c>
      <c r="AA38" s="161">
        <v>29.2</v>
      </c>
      <c r="AB38" s="260">
        <v>4.9537037037037041E-3</v>
      </c>
      <c r="AC38" s="260">
        <v>4.9074074074074072E-3</v>
      </c>
      <c r="AD38" s="273">
        <f t="shared" si="4"/>
        <v>-4.6296296296296884E-5</v>
      </c>
      <c r="AE38" s="166"/>
      <c r="AF38" s="166"/>
      <c r="AG38" s="222"/>
      <c r="AH38" s="166"/>
      <c r="AI38" s="155">
        <v>1354.93</v>
      </c>
      <c r="AJ38" s="155">
        <v>1349.38</v>
      </c>
      <c r="AK38" s="225">
        <f t="shared" si="5"/>
        <v>5.5499999999999545</v>
      </c>
      <c r="AL38" s="196">
        <v>0.68402777777777779</v>
      </c>
      <c r="AM38" s="196">
        <v>0.68958333333333333</v>
      </c>
      <c r="AN38" s="227">
        <f t="shared" si="6"/>
        <v>5.5555555555555358E-3</v>
      </c>
      <c r="AO38" s="74">
        <f t="shared" si="132"/>
        <v>28.089877583208697</v>
      </c>
      <c r="AP38" s="15">
        <f t="shared" si="133"/>
        <v>47.910122416791303</v>
      </c>
      <c r="AQ38" s="18">
        <f t="shared" si="114"/>
        <v>61.691860138971634</v>
      </c>
      <c r="AR38" s="18">
        <f t="shared" si="115"/>
        <v>61.857105378269807</v>
      </c>
      <c r="AS38" s="15">
        <f t="shared" si="134"/>
        <v>109.94095976728137</v>
      </c>
      <c r="AT38" s="15">
        <f t="shared" si="135"/>
        <v>114.8176609223738</v>
      </c>
      <c r="AU38" s="15">
        <f t="shared" si="136"/>
        <v>111.93239626243108</v>
      </c>
      <c r="AV38" s="15">
        <f t="shared" si="137"/>
        <v>114.92967270308615</v>
      </c>
      <c r="AW38" s="16">
        <f t="shared" si="138"/>
        <v>0.17368036968193748</v>
      </c>
      <c r="AX38" s="16">
        <f t="shared" si="139"/>
        <v>0.18908304027974834</v>
      </c>
      <c r="AY38" s="16">
        <f t="shared" si="116"/>
        <v>56.437095452304185</v>
      </c>
      <c r="AZ38" s="16">
        <f t="shared" si="117"/>
        <v>134.01118040976476</v>
      </c>
      <c r="BA38" s="17">
        <f t="shared" si="140"/>
        <v>35.424087856897714</v>
      </c>
      <c r="BB38" s="17">
        <f t="shared" si="141"/>
        <v>42.810394901722987</v>
      </c>
      <c r="BC38" s="17">
        <f t="shared" si="142"/>
        <v>68.667936470774464</v>
      </c>
      <c r="BD38" s="17">
        <f t="shared" si="143"/>
        <v>78.252753184397989</v>
      </c>
      <c r="BE38" s="17">
        <f t="shared" si="144"/>
        <v>94.547228197183259</v>
      </c>
      <c r="BF38" s="17">
        <f t="shared" si="145"/>
        <v>106.39415111316158</v>
      </c>
      <c r="BG38" s="17">
        <f t="shared" si="146"/>
        <v>114.2973449594912</v>
      </c>
      <c r="BH38" s="17">
        <f t="shared" si="147"/>
        <v>127.60610331637088</v>
      </c>
      <c r="BI38" s="17">
        <f t="shared" si="118"/>
        <v>1.1625982470516784E-2</v>
      </c>
      <c r="BJ38" s="17">
        <f t="shared" si="119"/>
        <v>1.4691067337912261E-2</v>
      </c>
      <c r="BK38" s="17">
        <f t="shared" si="120"/>
        <v>28.696690452912026</v>
      </c>
      <c r="BL38" s="17">
        <f t="shared" si="121"/>
        <v>29.661930236743164</v>
      </c>
      <c r="BM38" s="263">
        <f t="shared" si="122"/>
        <v>4.6322196240640304E-3</v>
      </c>
      <c r="BN38" s="263">
        <f t="shared" si="123"/>
        <v>5.2936118196245515E-3</v>
      </c>
      <c r="BO38" s="263">
        <f t="shared" si="124"/>
        <v>4.6579973341037062E-3</v>
      </c>
      <c r="BP38" s="263">
        <f t="shared" si="125"/>
        <v>5.3410578435228997E-3</v>
      </c>
      <c r="BQ38" s="263">
        <f t="shared" si="126"/>
        <v>-2.62020899613848E-4</v>
      </c>
      <c r="BR38" s="263">
        <f t="shared" si="127"/>
        <v>2.0015946921793468E-4</v>
      </c>
      <c r="BS38" s="18" t="e">
        <f t="shared" si="148"/>
        <v>#DIV/0!</v>
      </c>
      <c r="BT38" s="18" t="e">
        <f t="shared" si="149"/>
        <v>#DIV/0!</v>
      </c>
      <c r="BU38" s="18" t="e">
        <f t="shared" si="150"/>
        <v>#DIV/0!</v>
      </c>
      <c r="BV38" s="18" t="e">
        <f t="shared" si="151"/>
        <v>#DIV/0!</v>
      </c>
      <c r="BW38" s="19" t="e">
        <f t="shared" si="152"/>
        <v>#DIV/0!</v>
      </c>
      <c r="BX38" s="19" t="e">
        <f t="shared" si="153"/>
        <v>#DIV/0!</v>
      </c>
      <c r="BY38" s="20" t="e">
        <f t="shared" si="154"/>
        <v>#DIV/0!</v>
      </c>
      <c r="BZ38" s="18" t="e">
        <f t="shared" si="155"/>
        <v>#DIV/0!</v>
      </c>
      <c r="CA38" s="19">
        <f t="shared" si="57"/>
        <v>4.9388614429463438</v>
      </c>
      <c r="CB38" s="207">
        <f t="shared" si="58"/>
        <v>6.3118282122260467</v>
      </c>
      <c r="CC38" s="19">
        <f t="shared" si="59"/>
        <v>9.9985772639558934E-4</v>
      </c>
      <c r="CD38" s="201">
        <f t="shared" si="60"/>
        <v>1.4876579055213623E-2</v>
      </c>
      <c r="CE38" s="30">
        <f t="shared" si="156"/>
        <v>38</v>
      </c>
      <c r="CF38" s="18">
        <f t="shared" si="157"/>
        <v>61.774482758620721</v>
      </c>
      <c r="CG38" s="18">
        <f t="shared" si="158"/>
        <v>112.37931034482759</v>
      </c>
      <c r="CH38" s="18">
        <f t="shared" si="159"/>
        <v>113.43103448275862</v>
      </c>
      <c r="CI38" s="16">
        <f t="shared" si="160"/>
        <v>0.18138170498084291</v>
      </c>
      <c r="CJ38" s="16">
        <f t="shared" si="128"/>
        <v>95.224137931034477</v>
      </c>
      <c r="CK38" s="17">
        <f t="shared" si="161"/>
        <v>39.11724137931035</v>
      </c>
      <c r="CL38" s="17">
        <f t="shared" si="162"/>
        <v>73.460344827586226</v>
      </c>
      <c r="CM38" s="17">
        <f t="shared" si="163"/>
        <v>100.47068965517242</v>
      </c>
      <c r="CN38" s="17">
        <f t="shared" si="164"/>
        <v>120.95172413793104</v>
      </c>
      <c r="CO38" s="17">
        <f t="shared" si="129"/>
        <v>1.3158524904214522E-2</v>
      </c>
      <c r="CP38" s="17">
        <f t="shared" si="130"/>
        <v>29.179310344827595</v>
      </c>
      <c r="CQ38" s="263">
        <f t="shared" si="165"/>
        <v>4.9995275888133029E-3</v>
      </c>
      <c r="CR38" s="263">
        <f t="shared" si="166"/>
        <v>4.962915721844291E-3</v>
      </c>
      <c r="CS38" s="263">
        <f t="shared" si="167"/>
        <v>-3.0930715197956654E-5</v>
      </c>
      <c r="CT38" s="17" t="e">
        <f t="shared" si="168"/>
        <v>#DIV/0!</v>
      </c>
      <c r="CU38" s="17" t="e">
        <f t="shared" si="169"/>
        <v>#DIV/0!</v>
      </c>
      <c r="CV38" s="21" t="e">
        <f t="shared" si="170"/>
        <v>#DIV/0!</v>
      </c>
      <c r="CW38" s="17" t="e">
        <f t="shared" si="171"/>
        <v>#DIV/0!</v>
      </c>
      <c r="CX38" s="205">
        <f t="shared" si="172"/>
        <v>5.6253448275861953</v>
      </c>
      <c r="CY38" s="22">
        <f t="shared" si="131"/>
        <v>7.938218390804606E-3</v>
      </c>
    </row>
    <row r="39" spans="1:103" ht="11.25" customHeight="1">
      <c r="A39" s="82" t="s">
        <v>148</v>
      </c>
      <c r="B39" s="160">
        <v>36</v>
      </c>
      <c r="C39" s="257">
        <v>61.82</v>
      </c>
      <c r="D39" s="160">
        <v>113</v>
      </c>
      <c r="E39" s="160">
        <v>113</v>
      </c>
      <c r="F39" s="162">
        <v>0.18194444444444444</v>
      </c>
      <c r="G39" s="274">
        <f>220.83+8.85+22.08+35.29+53.01+39.76+61.82+57.51+119.2</f>
        <v>618.35</v>
      </c>
      <c r="H39" s="159">
        <v>161.69999999999999</v>
      </c>
      <c r="I39" s="159">
        <v>324.10000000000002</v>
      </c>
      <c r="J39" s="159">
        <v>486.5</v>
      </c>
      <c r="K39" s="159">
        <v>602.29999999999995</v>
      </c>
      <c r="L39" s="135">
        <f t="shared" si="1"/>
        <v>16.050000000000068</v>
      </c>
      <c r="M39" s="271">
        <f>30.89+123.62</f>
        <v>154.51</v>
      </c>
      <c r="N39" s="159">
        <v>41.8</v>
      </c>
      <c r="O39" s="159">
        <v>83.7</v>
      </c>
      <c r="P39" s="159">
        <v>125.6</v>
      </c>
      <c r="Q39" s="159">
        <v>156.30000000000001</v>
      </c>
      <c r="R39" s="136">
        <f t="shared" si="2"/>
        <v>-1.7900000000000205</v>
      </c>
      <c r="S39" s="272">
        <v>103</v>
      </c>
      <c r="T39" s="161">
        <v>39.9</v>
      </c>
      <c r="U39" s="161">
        <v>73.400000000000006</v>
      </c>
      <c r="V39" s="161">
        <v>100.1</v>
      </c>
      <c r="W39" s="161">
        <v>120.7</v>
      </c>
      <c r="X39" s="186">
        <v>0.61944444444444446</v>
      </c>
      <c r="Y39" s="186">
        <v>0.6333333333333333</v>
      </c>
      <c r="Z39" s="184">
        <f t="shared" si="3"/>
        <v>1.388888888888884E-2</v>
      </c>
      <c r="AA39" s="161">
        <v>29.2</v>
      </c>
      <c r="AB39" s="260">
        <v>5.0462962962962961E-3</v>
      </c>
      <c r="AC39" s="260">
        <v>4.9652777777777777E-3</v>
      </c>
      <c r="AD39" s="273">
        <f t="shared" si="4"/>
        <v>-8.1018518518518462E-5</v>
      </c>
      <c r="AE39" s="166"/>
      <c r="AF39" s="166"/>
      <c r="AG39" s="222"/>
      <c r="AH39" s="166"/>
      <c r="AI39" s="155">
        <v>1355.17</v>
      </c>
      <c r="AJ39" s="155">
        <v>1349.62</v>
      </c>
      <c r="AK39" s="225">
        <f t="shared" si="5"/>
        <v>5.5500000000001819</v>
      </c>
      <c r="AL39" s="196">
        <v>0.68055555555555547</v>
      </c>
      <c r="AM39" s="196">
        <v>0.68680555555555556</v>
      </c>
      <c r="AN39" s="227">
        <f t="shared" si="6"/>
        <v>6.2500000000000888E-3</v>
      </c>
      <c r="AO39" s="74">
        <f t="shared" si="132"/>
        <v>28.089877583208697</v>
      </c>
      <c r="AP39" s="15">
        <f t="shared" si="133"/>
        <v>47.910122416791303</v>
      </c>
      <c r="AQ39" s="18">
        <f t="shared" si="114"/>
        <v>61.691860138971634</v>
      </c>
      <c r="AR39" s="18">
        <f t="shared" si="115"/>
        <v>61.857105378269807</v>
      </c>
      <c r="AS39" s="15">
        <f t="shared" si="134"/>
        <v>109.94095976728137</v>
      </c>
      <c r="AT39" s="15">
        <f t="shared" si="135"/>
        <v>114.8176609223738</v>
      </c>
      <c r="AU39" s="15">
        <f t="shared" si="136"/>
        <v>111.93239626243108</v>
      </c>
      <c r="AV39" s="15">
        <f t="shared" si="137"/>
        <v>114.92967270308615</v>
      </c>
      <c r="AW39" s="16">
        <f t="shared" si="138"/>
        <v>0.17368036968193748</v>
      </c>
      <c r="AX39" s="16">
        <f t="shared" si="139"/>
        <v>0.18908304027974834</v>
      </c>
      <c r="AY39" s="16">
        <f t="shared" si="116"/>
        <v>56.437095452304185</v>
      </c>
      <c r="AZ39" s="16">
        <f t="shared" si="117"/>
        <v>134.01118040976476</v>
      </c>
      <c r="BA39" s="17">
        <f t="shared" si="140"/>
        <v>35.424087856897714</v>
      </c>
      <c r="BB39" s="17">
        <f t="shared" si="141"/>
        <v>42.810394901722987</v>
      </c>
      <c r="BC39" s="17">
        <f t="shared" si="142"/>
        <v>68.667936470774464</v>
      </c>
      <c r="BD39" s="17">
        <f t="shared" si="143"/>
        <v>78.252753184397989</v>
      </c>
      <c r="BE39" s="17">
        <f t="shared" si="144"/>
        <v>94.547228197183259</v>
      </c>
      <c r="BF39" s="17">
        <f t="shared" si="145"/>
        <v>106.39415111316158</v>
      </c>
      <c r="BG39" s="17">
        <f t="shared" si="146"/>
        <v>114.2973449594912</v>
      </c>
      <c r="BH39" s="17">
        <f t="shared" si="147"/>
        <v>127.60610331637088</v>
      </c>
      <c r="BI39" s="17">
        <f t="shared" si="118"/>
        <v>1.1625982470516784E-2</v>
      </c>
      <c r="BJ39" s="17">
        <f t="shared" si="119"/>
        <v>1.4691067337912261E-2</v>
      </c>
      <c r="BK39" s="17">
        <f t="shared" si="120"/>
        <v>28.696690452912026</v>
      </c>
      <c r="BL39" s="17">
        <f t="shared" si="121"/>
        <v>29.661930236743164</v>
      </c>
      <c r="BM39" s="263">
        <f t="shared" si="122"/>
        <v>4.6322196240640304E-3</v>
      </c>
      <c r="BN39" s="263">
        <f t="shared" si="123"/>
        <v>5.2936118196245515E-3</v>
      </c>
      <c r="BO39" s="263">
        <f t="shared" si="124"/>
        <v>4.6579973341037062E-3</v>
      </c>
      <c r="BP39" s="263">
        <f t="shared" si="125"/>
        <v>5.3410578435228997E-3</v>
      </c>
      <c r="BQ39" s="263">
        <f t="shared" si="126"/>
        <v>-2.62020899613848E-4</v>
      </c>
      <c r="BR39" s="263">
        <f t="shared" si="127"/>
        <v>2.0015946921793468E-4</v>
      </c>
      <c r="BS39" s="18" t="e">
        <f t="shared" si="148"/>
        <v>#DIV/0!</v>
      </c>
      <c r="BT39" s="18" t="e">
        <f t="shared" si="149"/>
        <v>#DIV/0!</v>
      </c>
      <c r="BU39" s="18" t="e">
        <f t="shared" si="150"/>
        <v>#DIV/0!</v>
      </c>
      <c r="BV39" s="18" t="e">
        <f t="shared" si="151"/>
        <v>#DIV/0!</v>
      </c>
      <c r="BW39" s="19" t="e">
        <f t="shared" si="152"/>
        <v>#DIV/0!</v>
      </c>
      <c r="BX39" s="19" t="e">
        <f t="shared" si="153"/>
        <v>#DIV/0!</v>
      </c>
      <c r="BY39" s="20" t="e">
        <f t="shared" si="154"/>
        <v>#DIV/0!</v>
      </c>
      <c r="BZ39" s="18" t="e">
        <f t="shared" si="155"/>
        <v>#DIV/0!</v>
      </c>
      <c r="CA39" s="19">
        <f t="shared" si="57"/>
        <v>4.9388614429463438</v>
      </c>
      <c r="CB39" s="207">
        <f t="shared" si="58"/>
        <v>6.3118282122260467</v>
      </c>
      <c r="CC39" s="19">
        <f t="shared" si="59"/>
        <v>9.9985772639558934E-4</v>
      </c>
      <c r="CD39" s="201">
        <f t="shared" si="60"/>
        <v>1.4876579055213623E-2</v>
      </c>
      <c r="CE39" s="30">
        <f t="shared" si="156"/>
        <v>38</v>
      </c>
      <c r="CF39" s="18">
        <f t="shared" si="157"/>
        <v>61.774482758620721</v>
      </c>
      <c r="CG39" s="18">
        <f t="shared" si="158"/>
        <v>112.37931034482759</v>
      </c>
      <c r="CH39" s="18">
        <f t="shared" si="159"/>
        <v>113.43103448275862</v>
      </c>
      <c r="CI39" s="16">
        <f t="shared" si="160"/>
        <v>0.18138170498084291</v>
      </c>
      <c r="CJ39" s="16">
        <f t="shared" si="128"/>
        <v>95.224137931034477</v>
      </c>
      <c r="CK39" s="17">
        <f t="shared" si="161"/>
        <v>39.11724137931035</v>
      </c>
      <c r="CL39" s="17">
        <f t="shared" si="162"/>
        <v>73.460344827586226</v>
      </c>
      <c r="CM39" s="17">
        <f t="shared" si="163"/>
        <v>100.47068965517242</v>
      </c>
      <c r="CN39" s="17">
        <f t="shared" si="164"/>
        <v>120.95172413793104</v>
      </c>
      <c r="CO39" s="17">
        <f t="shared" si="129"/>
        <v>1.3158524904214522E-2</v>
      </c>
      <c r="CP39" s="17">
        <f t="shared" si="130"/>
        <v>29.179310344827595</v>
      </c>
      <c r="CQ39" s="263">
        <f t="shared" si="165"/>
        <v>4.9995275888133029E-3</v>
      </c>
      <c r="CR39" s="263">
        <f t="shared" si="166"/>
        <v>4.962915721844291E-3</v>
      </c>
      <c r="CS39" s="263">
        <f t="shared" si="167"/>
        <v>-3.0930715197956654E-5</v>
      </c>
      <c r="CT39" s="17" t="e">
        <f t="shared" si="168"/>
        <v>#DIV/0!</v>
      </c>
      <c r="CU39" s="17" t="e">
        <f t="shared" si="169"/>
        <v>#DIV/0!</v>
      </c>
      <c r="CV39" s="21" t="e">
        <f t="shared" si="170"/>
        <v>#DIV/0!</v>
      </c>
      <c r="CW39" s="17" t="e">
        <f t="shared" si="171"/>
        <v>#DIV/0!</v>
      </c>
      <c r="CX39" s="205">
        <f t="shared" si="172"/>
        <v>5.6253448275861953</v>
      </c>
      <c r="CY39" s="22">
        <f t="shared" si="131"/>
        <v>7.938218390804606E-3</v>
      </c>
    </row>
    <row r="40" spans="1:103" ht="11.25" customHeight="1">
      <c r="A40" s="82" t="s">
        <v>149</v>
      </c>
      <c r="B40" s="160">
        <v>36</v>
      </c>
      <c r="C40" s="257">
        <v>61.76</v>
      </c>
      <c r="D40" s="160">
        <v>113</v>
      </c>
      <c r="E40" s="160">
        <v>113</v>
      </c>
      <c r="F40" s="162">
        <v>0.18333333333333335</v>
      </c>
      <c r="G40" s="274">
        <f>220.85+8.87+22.08+35.33+53.02+39.78+61.76+57.51+119.09</f>
        <v>618.29</v>
      </c>
      <c r="H40" s="159">
        <v>161.69999999999999</v>
      </c>
      <c r="I40" s="159">
        <v>324.3</v>
      </c>
      <c r="J40" s="159">
        <v>486.8</v>
      </c>
      <c r="K40" s="159">
        <v>601.4</v>
      </c>
      <c r="L40" s="135">
        <f t="shared" si="1"/>
        <v>16.889999999999986</v>
      </c>
      <c r="M40" s="271">
        <f>123.51+30.89</f>
        <v>154.4</v>
      </c>
      <c r="N40" s="159">
        <v>41.8</v>
      </c>
      <c r="O40" s="159">
        <v>83.8</v>
      </c>
      <c r="P40" s="159">
        <v>125.7</v>
      </c>
      <c r="Q40" s="159">
        <v>156.1</v>
      </c>
      <c r="R40" s="136">
        <f t="shared" si="2"/>
        <v>-1.6999999999999886</v>
      </c>
      <c r="S40" s="272">
        <v>104</v>
      </c>
      <c r="T40" s="161">
        <v>39.5</v>
      </c>
      <c r="U40" s="161">
        <v>73.2</v>
      </c>
      <c r="V40" s="161">
        <v>99.4</v>
      </c>
      <c r="W40" s="161">
        <v>119.3</v>
      </c>
      <c r="X40" s="186">
        <v>0.62083333333333335</v>
      </c>
      <c r="Y40" s="186">
        <v>0.63472222222222219</v>
      </c>
      <c r="Z40" s="184">
        <f t="shared" si="3"/>
        <v>1.388888888888884E-2</v>
      </c>
      <c r="AA40" s="161">
        <v>29.2</v>
      </c>
      <c r="AB40" s="273">
        <v>5.1504629629629635E-3</v>
      </c>
      <c r="AC40" s="273">
        <v>5.0925925925925921E-3</v>
      </c>
      <c r="AD40" s="273">
        <f t="shared" si="4"/>
        <v>-5.7870370370371321E-5</v>
      </c>
      <c r="AE40" s="166"/>
      <c r="AF40" s="166"/>
      <c r="AG40" s="222"/>
      <c r="AH40" s="166"/>
      <c r="AI40" s="155">
        <v>1354.9</v>
      </c>
      <c r="AJ40" s="155">
        <v>1349.36</v>
      </c>
      <c r="AK40" s="225">
        <f t="shared" si="5"/>
        <v>5.540000000000191</v>
      </c>
      <c r="AL40" s="196">
        <v>0.68055555555555547</v>
      </c>
      <c r="AM40" s="196">
        <v>0.6875</v>
      </c>
      <c r="AN40" s="227">
        <f t="shared" si="6"/>
        <v>6.9444444444445308E-3</v>
      </c>
      <c r="AO40" s="74">
        <f t="shared" si="132"/>
        <v>28.089877583208697</v>
      </c>
      <c r="AP40" s="15">
        <f t="shared" si="133"/>
        <v>47.910122416791303</v>
      </c>
      <c r="AQ40" s="18">
        <f t="shared" si="114"/>
        <v>61.691860138971634</v>
      </c>
      <c r="AR40" s="18">
        <f t="shared" si="115"/>
        <v>61.857105378269807</v>
      </c>
      <c r="AS40" s="15">
        <f t="shared" si="134"/>
        <v>109.94095976728137</v>
      </c>
      <c r="AT40" s="15">
        <f t="shared" si="135"/>
        <v>114.8176609223738</v>
      </c>
      <c r="AU40" s="15">
        <f t="shared" si="136"/>
        <v>111.93239626243108</v>
      </c>
      <c r="AV40" s="15">
        <f t="shared" si="137"/>
        <v>114.92967270308615</v>
      </c>
      <c r="AW40" s="16">
        <f t="shared" si="138"/>
        <v>0.17368036968193748</v>
      </c>
      <c r="AX40" s="16">
        <f t="shared" si="139"/>
        <v>0.18908304027974834</v>
      </c>
      <c r="AY40" s="16">
        <f t="shared" si="116"/>
        <v>56.437095452304185</v>
      </c>
      <c r="AZ40" s="16">
        <f t="shared" si="117"/>
        <v>134.01118040976476</v>
      </c>
      <c r="BA40" s="17">
        <f t="shared" si="140"/>
        <v>35.424087856897714</v>
      </c>
      <c r="BB40" s="17">
        <f t="shared" si="141"/>
        <v>42.810394901722987</v>
      </c>
      <c r="BC40" s="17">
        <f t="shared" si="142"/>
        <v>68.667936470774464</v>
      </c>
      <c r="BD40" s="17">
        <f t="shared" si="143"/>
        <v>78.252753184397989</v>
      </c>
      <c r="BE40" s="17">
        <f t="shared" si="144"/>
        <v>94.547228197183259</v>
      </c>
      <c r="BF40" s="17">
        <f t="shared" si="145"/>
        <v>106.39415111316158</v>
      </c>
      <c r="BG40" s="17">
        <f t="shared" si="146"/>
        <v>114.2973449594912</v>
      </c>
      <c r="BH40" s="17">
        <f t="shared" si="147"/>
        <v>127.60610331637088</v>
      </c>
      <c r="BI40" s="17">
        <f t="shared" si="118"/>
        <v>1.1625982470516784E-2</v>
      </c>
      <c r="BJ40" s="17">
        <f t="shared" si="119"/>
        <v>1.4691067337912261E-2</v>
      </c>
      <c r="BK40" s="17">
        <f t="shared" si="120"/>
        <v>28.696690452912026</v>
      </c>
      <c r="BL40" s="17">
        <f t="shared" si="121"/>
        <v>29.661930236743164</v>
      </c>
      <c r="BM40" s="263">
        <f t="shared" si="122"/>
        <v>4.6322196240640304E-3</v>
      </c>
      <c r="BN40" s="263">
        <f t="shared" si="123"/>
        <v>5.2936118196245515E-3</v>
      </c>
      <c r="BO40" s="263">
        <f t="shared" si="124"/>
        <v>4.6579973341037062E-3</v>
      </c>
      <c r="BP40" s="263">
        <f t="shared" si="125"/>
        <v>5.3410578435228997E-3</v>
      </c>
      <c r="BQ40" s="263">
        <f t="shared" si="126"/>
        <v>-2.62020899613848E-4</v>
      </c>
      <c r="BR40" s="263">
        <f t="shared" si="127"/>
        <v>2.0015946921793468E-4</v>
      </c>
      <c r="BS40" s="18" t="e">
        <f t="shared" si="148"/>
        <v>#DIV/0!</v>
      </c>
      <c r="BT40" s="18" t="e">
        <f t="shared" si="149"/>
        <v>#DIV/0!</v>
      </c>
      <c r="BU40" s="18" t="e">
        <f t="shared" si="150"/>
        <v>#DIV/0!</v>
      </c>
      <c r="BV40" s="18" t="e">
        <f t="shared" si="151"/>
        <v>#DIV/0!</v>
      </c>
      <c r="BW40" s="19" t="e">
        <f t="shared" si="152"/>
        <v>#DIV/0!</v>
      </c>
      <c r="BX40" s="19" t="e">
        <f t="shared" si="153"/>
        <v>#DIV/0!</v>
      </c>
      <c r="BY40" s="20" t="e">
        <f t="shared" si="154"/>
        <v>#DIV/0!</v>
      </c>
      <c r="BZ40" s="18" t="e">
        <f t="shared" si="155"/>
        <v>#DIV/0!</v>
      </c>
      <c r="CA40" s="19">
        <f t="shared" si="57"/>
        <v>4.9388614429463438</v>
      </c>
      <c r="CB40" s="207">
        <f t="shared" si="58"/>
        <v>6.3118282122260467</v>
      </c>
      <c r="CC40" s="19">
        <f t="shared" si="59"/>
        <v>9.9985772639558934E-4</v>
      </c>
      <c r="CD40" s="201">
        <f t="shared" si="60"/>
        <v>1.4876579055213623E-2</v>
      </c>
      <c r="CE40" s="30">
        <f t="shared" si="156"/>
        <v>38</v>
      </c>
      <c r="CF40" s="18">
        <f t="shared" si="157"/>
        <v>61.774482758620721</v>
      </c>
      <c r="CG40" s="18">
        <f t="shared" si="158"/>
        <v>112.37931034482759</v>
      </c>
      <c r="CH40" s="18">
        <f t="shared" si="159"/>
        <v>113.43103448275862</v>
      </c>
      <c r="CI40" s="16">
        <f t="shared" si="160"/>
        <v>0.18138170498084291</v>
      </c>
      <c r="CJ40" s="16">
        <f t="shared" si="128"/>
        <v>95.224137931034477</v>
      </c>
      <c r="CK40" s="17">
        <f t="shared" si="161"/>
        <v>39.11724137931035</v>
      </c>
      <c r="CL40" s="17">
        <f t="shared" si="162"/>
        <v>73.460344827586226</v>
      </c>
      <c r="CM40" s="17">
        <f t="shared" si="163"/>
        <v>100.47068965517242</v>
      </c>
      <c r="CN40" s="17">
        <f t="shared" si="164"/>
        <v>120.95172413793104</v>
      </c>
      <c r="CO40" s="17">
        <f t="shared" si="129"/>
        <v>1.3158524904214522E-2</v>
      </c>
      <c r="CP40" s="17">
        <f t="shared" si="130"/>
        <v>29.179310344827595</v>
      </c>
      <c r="CQ40" s="263">
        <f t="shared" si="165"/>
        <v>4.9995275888133029E-3</v>
      </c>
      <c r="CR40" s="263">
        <f t="shared" si="166"/>
        <v>4.962915721844291E-3</v>
      </c>
      <c r="CS40" s="263">
        <f t="shared" si="167"/>
        <v>-3.0930715197956654E-5</v>
      </c>
      <c r="CT40" s="17" t="e">
        <f t="shared" si="168"/>
        <v>#DIV/0!</v>
      </c>
      <c r="CU40" s="17" t="e">
        <f t="shared" si="169"/>
        <v>#DIV/0!</v>
      </c>
      <c r="CV40" s="21" t="e">
        <f t="shared" si="170"/>
        <v>#DIV/0!</v>
      </c>
      <c r="CW40" s="17" t="e">
        <f t="shared" si="171"/>
        <v>#DIV/0!</v>
      </c>
      <c r="CX40" s="205">
        <f t="shared" si="172"/>
        <v>5.6253448275861953</v>
      </c>
      <c r="CY40" s="22">
        <f t="shared" si="131"/>
        <v>7.938218390804606E-3</v>
      </c>
    </row>
    <row r="41" spans="1:103" ht="11.25" customHeight="1">
      <c r="A41" s="82" t="s">
        <v>150</v>
      </c>
      <c r="B41" s="160">
        <v>38</v>
      </c>
      <c r="C41" s="257">
        <v>61.77</v>
      </c>
      <c r="D41" s="160">
        <v>112</v>
      </c>
      <c r="E41" s="160">
        <v>113</v>
      </c>
      <c r="F41" s="162">
        <v>0.18124999999999999</v>
      </c>
      <c r="G41" s="274">
        <f>220.66+8.9+22.11+35.35+53.05+39.78+61.77+57.37+119.09</f>
        <v>618.08000000000004</v>
      </c>
      <c r="H41" s="159">
        <v>162.1</v>
      </c>
      <c r="I41" s="159">
        <v>324.8</v>
      </c>
      <c r="J41" s="159">
        <v>487.6</v>
      </c>
      <c r="K41" s="159">
        <v>599.1</v>
      </c>
      <c r="L41" s="135">
        <f t="shared" si="1"/>
        <v>18.980000000000018</v>
      </c>
      <c r="M41" s="271">
        <f>30.92+123.55</f>
        <v>154.47</v>
      </c>
      <c r="N41" s="159">
        <v>41.8</v>
      </c>
      <c r="O41" s="159">
        <v>83.7</v>
      </c>
      <c r="P41" s="159">
        <v>125.7</v>
      </c>
      <c r="Q41" s="159">
        <v>156</v>
      </c>
      <c r="R41" s="136">
        <f t="shared" si="2"/>
        <v>-1.5300000000000011</v>
      </c>
      <c r="S41" s="272">
        <v>108</v>
      </c>
      <c r="T41" s="161">
        <v>40.799999999999997</v>
      </c>
      <c r="U41" s="161">
        <v>74.400000000000006</v>
      </c>
      <c r="V41" s="161">
        <v>100.9</v>
      </c>
      <c r="W41" s="161">
        <v>121.2</v>
      </c>
      <c r="X41" s="186">
        <v>0.61875000000000002</v>
      </c>
      <c r="Y41" s="186">
        <v>0.63194444444444442</v>
      </c>
      <c r="Z41" s="184">
        <f t="shared" si="3"/>
        <v>1.3194444444444398E-2</v>
      </c>
      <c r="AA41" s="161">
        <v>29.2</v>
      </c>
      <c r="AB41" s="260">
        <v>5.1273148148148146E-3</v>
      </c>
      <c r="AC41" s="260">
        <v>5.138888888888889E-3</v>
      </c>
      <c r="AD41" s="273">
        <f t="shared" si="4"/>
        <v>1.1574074074074438E-5</v>
      </c>
      <c r="AE41" s="166"/>
      <c r="AF41" s="166"/>
      <c r="AG41" s="222"/>
      <c r="AH41" s="166"/>
      <c r="AI41" s="155">
        <v>1354.87</v>
      </c>
      <c r="AJ41" s="155">
        <v>1349.1</v>
      </c>
      <c r="AK41" s="225">
        <f t="shared" si="5"/>
        <v>5.7699999999999818</v>
      </c>
      <c r="AL41" s="196">
        <v>0.67986111111111114</v>
      </c>
      <c r="AM41" s="196">
        <v>0.68680555555555556</v>
      </c>
      <c r="AN41" s="227">
        <f t="shared" si="6"/>
        <v>6.9444444444444198E-3</v>
      </c>
      <c r="AO41" s="74">
        <f t="shared" si="132"/>
        <v>28.089877583208697</v>
      </c>
      <c r="AP41" s="15">
        <f t="shared" si="133"/>
        <v>47.910122416791303</v>
      </c>
      <c r="AQ41" s="18">
        <f t="shared" si="114"/>
        <v>61.691860138971634</v>
      </c>
      <c r="AR41" s="18">
        <f t="shared" si="115"/>
        <v>61.857105378269807</v>
      </c>
      <c r="AS41" s="15">
        <f t="shared" si="134"/>
        <v>109.94095976728137</v>
      </c>
      <c r="AT41" s="15">
        <f t="shared" si="135"/>
        <v>114.8176609223738</v>
      </c>
      <c r="AU41" s="15">
        <f t="shared" si="136"/>
        <v>111.93239626243108</v>
      </c>
      <c r="AV41" s="15">
        <f t="shared" si="137"/>
        <v>114.92967270308615</v>
      </c>
      <c r="AW41" s="16">
        <f t="shared" si="138"/>
        <v>0.17368036968193748</v>
      </c>
      <c r="AX41" s="16">
        <f t="shared" si="139"/>
        <v>0.18908304027974834</v>
      </c>
      <c r="AY41" s="16">
        <f t="shared" si="116"/>
        <v>56.437095452304185</v>
      </c>
      <c r="AZ41" s="16">
        <f t="shared" si="117"/>
        <v>134.01118040976476</v>
      </c>
      <c r="BA41" s="17">
        <f t="shared" si="140"/>
        <v>35.424087856897714</v>
      </c>
      <c r="BB41" s="17">
        <f t="shared" si="141"/>
        <v>42.810394901722987</v>
      </c>
      <c r="BC41" s="17">
        <f t="shared" si="142"/>
        <v>68.667936470774464</v>
      </c>
      <c r="BD41" s="17">
        <f t="shared" si="143"/>
        <v>78.252753184397989</v>
      </c>
      <c r="BE41" s="17">
        <f t="shared" si="144"/>
        <v>94.547228197183259</v>
      </c>
      <c r="BF41" s="17">
        <f t="shared" si="145"/>
        <v>106.39415111316158</v>
      </c>
      <c r="BG41" s="17">
        <f t="shared" si="146"/>
        <v>114.2973449594912</v>
      </c>
      <c r="BH41" s="17">
        <f t="shared" si="147"/>
        <v>127.60610331637088</v>
      </c>
      <c r="BI41" s="17">
        <f t="shared" si="118"/>
        <v>1.1625982470516784E-2</v>
      </c>
      <c r="BJ41" s="17">
        <f t="shared" si="119"/>
        <v>1.4691067337912261E-2</v>
      </c>
      <c r="BK41" s="17">
        <f t="shared" si="120"/>
        <v>28.696690452912026</v>
      </c>
      <c r="BL41" s="17">
        <f t="shared" si="121"/>
        <v>29.661930236743164</v>
      </c>
      <c r="BM41" s="263">
        <f t="shared" si="122"/>
        <v>4.6322196240640304E-3</v>
      </c>
      <c r="BN41" s="263">
        <f t="shared" si="123"/>
        <v>5.2936118196245515E-3</v>
      </c>
      <c r="BO41" s="263">
        <f t="shared" si="124"/>
        <v>4.6579973341037062E-3</v>
      </c>
      <c r="BP41" s="263">
        <f t="shared" si="125"/>
        <v>5.3410578435228997E-3</v>
      </c>
      <c r="BQ41" s="263">
        <f t="shared" si="126"/>
        <v>-2.62020899613848E-4</v>
      </c>
      <c r="BR41" s="263">
        <f t="shared" si="127"/>
        <v>2.0015946921793468E-4</v>
      </c>
      <c r="BS41" s="18" t="e">
        <f t="shared" si="148"/>
        <v>#DIV/0!</v>
      </c>
      <c r="BT41" s="18" t="e">
        <f t="shared" si="149"/>
        <v>#DIV/0!</v>
      </c>
      <c r="BU41" s="18" t="e">
        <f t="shared" si="150"/>
        <v>#DIV/0!</v>
      </c>
      <c r="BV41" s="18" t="e">
        <f t="shared" si="151"/>
        <v>#DIV/0!</v>
      </c>
      <c r="BW41" s="19" t="e">
        <f t="shared" si="152"/>
        <v>#DIV/0!</v>
      </c>
      <c r="BX41" s="19" t="e">
        <f t="shared" si="153"/>
        <v>#DIV/0!</v>
      </c>
      <c r="BY41" s="20" t="e">
        <f t="shared" si="154"/>
        <v>#DIV/0!</v>
      </c>
      <c r="BZ41" s="18" t="e">
        <f t="shared" si="155"/>
        <v>#DIV/0!</v>
      </c>
      <c r="CA41" s="19">
        <f t="shared" si="57"/>
        <v>4.9388614429463438</v>
      </c>
      <c r="CB41" s="207">
        <f t="shared" si="58"/>
        <v>6.3118282122260467</v>
      </c>
      <c r="CC41" s="19">
        <f t="shared" si="59"/>
        <v>9.9985772639558934E-4</v>
      </c>
      <c r="CD41" s="201">
        <f t="shared" si="60"/>
        <v>1.4876579055213623E-2</v>
      </c>
      <c r="CE41" s="30">
        <f t="shared" si="156"/>
        <v>38</v>
      </c>
      <c r="CF41" s="18">
        <f t="shared" si="157"/>
        <v>61.774482758620721</v>
      </c>
      <c r="CG41" s="18">
        <f t="shared" si="158"/>
        <v>112.37931034482759</v>
      </c>
      <c r="CH41" s="18">
        <f t="shared" si="159"/>
        <v>113.43103448275862</v>
      </c>
      <c r="CI41" s="16">
        <f t="shared" si="160"/>
        <v>0.18138170498084291</v>
      </c>
      <c r="CJ41" s="16">
        <f t="shared" si="128"/>
        <v>95.224137931034477</v>
      </c>
      <c r="CK41" s="17">
        <f t="shared" si="161"/>
        <v>39.11724137931035</v>
      </c>
      <c r="CL41" s="17">
        <f t="shared" si="162"/>
        <v>73.460344827586226</v>
      </c>
      <c r="CM41" s="17">
        <f t="shared" si="163"/>
        <v>100.47068965517242</v>
      </c>
      <c r="CN41" s="17">
        <f t="shared" si="164"/>
        <v>120.95172413793104</v>
      </c>
      <c r="CO41" s="17">
        <f t="shared" si="129"/>
        <v>1.3158524904214522E-2</v>
      </c>
      <c r="CP41" s="17">
        <f t="shared" si="130"/>
        <v>29.179310344827595</v>
      </c>
      <c r="CQ41" s="263">
        <f t="shared" si="165"/>
        <v>4.9995275888133029E-3</v>
      </c>
      <c r="CR41" s="263">
        <f t="shared" si="166"/>
        <v>4.962915721844291E-3</v>
      </c>
      <c r="CS41" s="263">
        <f t="shared" si="167"/>
        <v>-3.0930715197956654E-5</v>
      </c>
      <c r="CT41" s="17" t="e">
        <f t="shared" si="168"/>
        <v>#DIV/0!</v>
      </c>
      <c r="CU41" s="17" t="e">
        <f t="shared" si="169"/>
        <v>#DIV/0!</v>
      </c>
      <c r="CV41" s="21" t="e">
        <f t="shared" si="170"/>
        <v>#DIV/0!</v>
      </c>
      <c r="CW41" s="17" t="e">
        <f t="shared" si="171"/>
        <v>#DIV/0!</v>
      </c>
      <c r="CX41" s="205">
        <f t="shared" si="172"/>
        <v>5.6253448275861953</v>
      </c>
      <c r="CY41" s="22">
        <f t="shared" si="131"/>
        <v>7.938218390804606E-3</v>
      </c>
    </row>
    <row r="42" spans="1:103" ht="11.25" customHeight="1">
      <c r="A42" s="82" t="s">
        <v>151</v>
      </c>
      <c r="B42" s="160">
        <v>36</v>
      </c>
      <c r="C42" s="257">
        <v>61.82</v>
      </c>
      <c r="D42" s="160">
        <v>113</v>
      </c>
      <c r="E42" s="160">
        <v>113</v>
      </c>
      <c r="F42" s="162">
        <v>0.18055555555555555</v>
      </c>
      <c r="G42" s="274">
        <f>220.87+8.89+22.08+35.36+53.02+39.79+61.82+57.47+119.17</f>
        <v>618.46999999999991</v>
      </c>
      <c r="H42" s="159">
        <v>161.80000000000001</v>
      </c>
      <c r="I42" s="159">
        <v>324.39999999999998</v>
      </c>
      <c r="J42" s="159">
        <v>487.2</v>
      </c>
      <c r="K42" s="159">
        <v>601.9</v>
      </c>
      <c r="L42" s="135">
        <f>G42-K42</f>
        <v>16.569999999999936</v>
      </c>
      <c r="M42" s="271">
        <f>30.91+123.58</f>
        <v>154.49</v>
      </c>
      <c r="N42" s="159">
        <v>41.8</v>
      </c>
      <c r="O42" s="159">
        <v>83.8</v>
      </c>
      <c r="P42" s="159">
        <v>125.7</v>
      </c>
      <c r="Q42" s="159">
        <v>156.30000000000001</v>
      </c>
      <c r="R42" s="136">
        <f>M42-Q42</f>
        <v>-1.8100000000000023</v>
      </c>
      <c r="S42" s="272">
        <v>95</v>
      </c>
      <c r="T42" s="161">
        <v>40.1</v>
      </c>
      <c r="U42" s="161">
        <v>74.400000000000006</v>
      </c>
      <c r="V42" s="161">
        <v>101.3</v>
      </c>
      <c r="W42" s="161">
        <v>122</v>
      </c>
      <c r="X42" s="186">
        <v>0.61805555555555558</v>
      </c>
      <c r="Y42" s="186">
        <v>0.63194444444444442</v>
      </c>
      <c r="Z42" s="184">
        <f>Y42-X42</f>
        <v>1.388888888888884E-2</v>
      </c>
      <c r="AA42" s="161">
        <v>29</v>
      </c>
      <c r="AB42" s="260">
        <v>4.7916666666666672E-3</v>
      </c>
      <c r="AC42" s="260">
        <v>4.7916666666666672E-3</v>
      </c>
      <c r="AD42" s="273">
        <f>AC42-AB42</f>
        <v>0</v>
      </c>
      <c r="AE42" s="166"/>
      <c r="AF42" s="166"/>
      <c r="AG42" s="222"/>
      <c r="AH42" s="166"/>
      <c r="AI42" s="155">
        <v>1355.28</v>
      </c>
      <c r="AJ42" s="155">
        <v>1349.39</v>
      </c>
      <c r="AK42" s="225">
        <f>AI42-AJ42</f>
        <v>5.8899999999998727</v>
      </c>
      <c r="AL42" s="196">
        <v>0.6777777777777777</v>
      </c>
      <c r="AM42" s="196">
        <v>0.6875</v>
      </c>
      <c r="AN42" s="227">
        <f>AM42-AL42</f>
        <v>9.7222222222222987E-3</v>
      </c>
      <c r="AO42" s="74">
        <f t="shared" si="132"/>
        <v>28.089877583208697</v>
      </c>
      <c r="AP42" s="15">
        <f t="shared" si="133"/>
        <v>47.910122416791303</v>
      </c>
      <c r="AQ42" s="18">
        <f t="shared" si="114"/>
        <v>61.691860138971634</v>
      </c>
      <c r="AR42" s="18">
        <f t="shared" si="115"/>
        <v>61.857105378269807</v>
      </c>
      <c r="AS42" s="15">
        <f t="shared" si="134"/>
        <v>109.94095976728137</v>
      </c>
      <c r="AT42" s="15">
        <f t="shared" si="135"/>
        <v>114.8176609223738</v>
      </c>
      <c r="AU42" s="15">
        <f t="shared" si="136"/>
        <v>111.93239626243108</v>
      </c>
      <c r="AV42" s="15">
        <f t="shared" si="137"/>
        <v>114.92967270308615</v>
      </c>
      <c r="AW42" s="16">
        <f t="shared" si="138"/>
        <v>0.17368036968193748</v>
      </c>
      <c r="AX42" s="16">
        <f t="shared" si="139"/>
        <v>0.18908304027974834</v>
      </c>
      <c r="AY42" s="16">
        <f t="shared" si="116"/>
        <v>56.437095452304185</v>
      </c>
      <c r="AZ42" s="16">
        <f t="shared" si="117"/>
        <v>134.01118040976476</v>
      </c>
      <c r="BA42" s="17">
        <f t="shared" si="140"/>
        <v>35.424087856897714</v>
      </c>
      <c r="BB42" s="17">
        <f t="shared" si="141"/>
        <v>42.810394901722987</v>
      </c>
      <c r="BC42" s="17">
        <f t="shared" si="142"/>
        <v>68.667936470774464</v>
      </c>
      <c r="BD42" s="17">
        <f t="shared" si="143"/>
        <v>78.252753184397989</v>
      </c>
      <c r="BE42" s="17">
        <f t="shared" si="144"/>
        <v>94.547228197183259</v>
      </c>
      <c r="BF42" s="17">
        <f t="shared" si="145"/>
        <v>106.39415111316158</v>
      </c>
      <c r="BG42" s="17">
        <f t="shared" si="146"/>
        <v>114.2973449594912</v>
      </c>
      <c r="BH42" s="17">
        <f t="shared" si="147"/>
        <v>127.60610331637088</v>
      </c>
      <c r="BI42" s="17">
        <f t="shared" si="118"/>
        <v>1.1625982470516784E-2</v>
      </c>
      <c r="BJ42" s="17">
        <f t="shared" si="119"/>
        <v>1.4691067337912261E-2</v>
      </c>
      <c r="BK42" s="17">
        <f t="shared" si="120"/>
        <v>28.696690452912026</v>
      </c>
      <c r="BL42" s="17">
        <f t="shared" si="121"/>
        <v>29.661930236743164</v>
      </c>
      <c r="BM42" s="263">
        <f t="shared" si="122"/>
        <v>4.6322196240640304E-3</v>
      </c>
      <c r="BN42" s="263">
        <f t="shared" si="123"/>
        <v>5.2936118196245515E-3</v>
      </c>
      <c r="BO42" s="263">
        <f t="shared" si="124"/>
        <v>4.6579973341037062E-3</v>
      </c>
      <c r="BP42" s="263">
        <f t="shared" si="125"/>
        <v>5.3410578435228997E-3</v>
      </c>
      <c r="BQ42" s="263">
        <f t="shared" si="126"/>
        <v>-2.62020899613848E-4</v>
      </c>
      <c r="BR42" s="263">
        <f t="shared" si="127"/>
        <v>2.0015946921793468E-4</v>
      </c>
      <c r="BS42" s="18" t="e">
        <f t="shared" si="148"/>
        <v>#DIV/0!</v>
      </c>
      <c r="BT42" s="18" t="e">
        <f t="shared" si="149"/>
        <v>#DIV/0!</v>
      </c>
      <c r="BU42" s="18" t="e">
        <f t="shared" si="150"/>
        <v>#DIV/0!</v>
      </c>
      <c r="BV42" s="18" t="e">
        <f t="shared" si="151"/>
        <v>#DIV/0!</v>
      </c>
      <c r="BW42" s="19" t="e">
        <f t="shared" si="152"/>
        <v>#DIV/0!</v>
      </c>
      <c r="BX42" s="19" t="e">
        <f t="shared" si="153"/>
        <v>#DIV/0!</v>
      </c>
      <c r="BY42" s="20" t="e">
        <f t="shared" si="154"/>
        <v>#DIV/0!</v>
      </c>
      <c r="BZ42" s="18" t="e">
        <f t="shared" si="155"/>
        <v>#DIV/0!</v>
      </c>
      <c r="CA42" s="19">
        <f t="shared" si="57"/>
        <v>4.9388614429463438</v>
      </c>
      <c r="CB42" s="207">
        <f t="shared" si="58"/>
        <v>6.3118282122260467</v>
      </c>
      <c r="CC42" s="19">
        <f t="shared" si="59"/>
        <v>9.9985772639558934E-4</v>
      </c>
      <c r="CD42" s="201">
        <f t="shared" si="60"/>
        <v>1.4876579055213623E-2</v>
      </c>
      <c r="CE42" s="30">
        <f t="shared" si="156"/>
        <v>38</v>
      </c>
      <c r="CF42" s="18">
        <f t="shared" si="157"/>
        <v>61.774482758620721</v>
      </c>
      <c r="CG42" s="18">
        <f t="shared" si="158"/>
        <v>112.37931034482759</v>
      </c>
      <c r="CH42" s="18">
        <f t="shared" si="159"/>
        <v>113.43103448275862</v>
      </c>
      <c r="CI42" s="16">
        <f t="shared" si="160"/>
        <v>0.18138170498084291</v>
      </c>
      <c r="CJ42" s="16">
        <f t="shared" si="128"/>
        <v>95.224137931034477</v>
      </c>
      <c r="CK42" s="17">
        <f t="shared" si="161"/>
        <v>39.11724137931035</v>
      </c>
      <c r="CL42" s="17">
        <f t="shared" si="162"/>
        <v>73.460344827586226</v>
      </c>
      <c r="CM42" s="17">
        <f t="shared" si="163"/>
        <v>100.47068965517242</v>
      </c>
      <c r="CN42" s="17">
        <f t="shared" si="164"/>
        <v>120.95172413793104</v>
      </c>
      <c r="CO42" s="17">
        <f t="shared" si="129"/>
        <v>1.3158524904214522E-2</v>
      </c>
      <c r="CP42" s="17">
        <f t="shared" si="130"/>
        <v>29.179310344827595</v>
      </c>
      <c r="CQ42" s="263">
        <f t="shared" si="165"/>
        <v>4.9995275888133029E-3</v>
      </c>
      <c r="CR42" s="263">
        <f t="shared" si="166"/>
        <v>4.962915721844291E-3</v>
      </c>
      <c r="CS42" s="263">
        <f t="shared" si="167"/>
        <v>-3.0930715197956654E-5</v>
      </c>
      <c r="CT42" s="17" t="e">
        <f t="shared" si="168"/>
        <v>#DIV/0!</v>
      </c>
      <c r="CU42" s="17" t="e">
        <f t="shared" si="169"/>
        <v>#DIV/0!</v>
      </c>
      <c r="CV42" s="21" t="e">
        <f t="shared" si="170"/>
        <v>#DIV/0!</v>
      </c>
      <c r="CW42" s="17" t="e">
        <f t="shared" si="171"/>
        <v>#DIV/0!</v>
      </c>
      <c r="CX42" s="205">
        <f t="shared" si="172"/>
        <v>5.6253448275861953</v>
      </c>
      <c r="CY42" s="22">
        <f t="shared" si="131"/>
        <v>7.938218390804606E-3</v>
      </c>
    </row>
    <row r="43" spans="1:103" ht="11.25" customHeight="1">
      <c r="A43" s="82" t="s">
        <v>152</v>
      </c>
      <c r="B43" s="160">
        <v>38</v>
      </c>
      <c r="C43" s="257">
        <v>61.8</v>
      </c>
      <c r="D43" s="160">
        <v>114</v>
      </c>
      <c r="E43" s="160">
        <v>113</v>
      </c>
      <c r="F43" s="162">
        <v>0.18194444444444444</v>
      </c>
      <c r="G43" s="274">
        <f>220.89+8.87+22.09+35.35+53.01+39.81+61.8+57.36+119.28</f>
        <v>618.46</v>
      </c>
      <c r="H43" s="159">
        <v>162.1</v>
      </c>
      <c r="I43" s="159">
        <v>324.89999999999998</v>
      </c>
      <c r="J43" s="159">
        <v>487.5</v>
      </c>
      <c r="K43" s="159">
        <v>608.70000000000005</v>
      </c>
      <c r="L43" s="135">
        <f>G43-K43</f>
        <v>9.7599999999999909</v>
      </c>
      <c r="M43" s="271">
        <f>30.92+123.61</f>
        <v>154.53</v>
      </c>
      <c r="N43" s="159">
        <v>41.7</v>
      </c>
      <c r="O43" s="159">
        <v>83.7</v>
      </c>
      <c r="P43" s="159">
        <v>125.6</v>
      </c>
      <c r="Q43" s="159">
        <v>156.30000000000001</v>
      </c>
      <c r="R43" s="136">
        <f>M43-Q43</f>
        <v>-1.7700000000000102</v>
      </c>
      <c r="S43" s="272">
        <v>108</v>
      </c>
      <c r="T43" s="161">
        <v>38.799999999999997</v>
      </c>
      <c r="U43" s="161">
        <v>73.2</v>
      </c>
      <c r="V43" s="161">
        <v>100</v>
      </c>
      <c r="W43" s="161">
        <v>120.3</v>
      </c>
      <c r="X43" s="186">
        <v>0.61944444444444446</v>
      </c>
      <c r="Y43" s="186">
        <v>0.63263888888888886</v>
      </c>
      <c r="Z43" s="184">
        <f>Y43-X43</f>
        <v>1.3194444444444398E-2</v>
      </c>
      <c r="AA43" s="161">
        <v>29.2</v>
      </c>
      <c r="AB43" s="260">
        <v>5.115740740740741E-3</v>
      </c>
      <c r="AC43" s="273">
        <v>5.0578703703703706E-3</v>
      </c>
      <c r="AD43" s="273">
        <f>AC43-AB43</f>
        <v>-5.7870370370370454E-5</v>
      </c>
      <c r="AE43" s="166"/>
      <c r="AF43" s="166"/>
      <c r="AG43" s="222"/>
      <c r="AH43" s="166"/>
      <c r="AI43" s="155">
        <v>1355.22</v>
      </c>
      <c r="AJ43" s="155">
        <v>1349.18</v>
      </c>
      <c r="AK43" s="225">
        <f>AI43-AJ43</f>
        <v>6.0399999999999636</v>
      </c>
      <c r="AL43" s="196">
        <v>0.67986111111111114</v>
      </c>
      <c r="AM43" s="196">
        <v>0.6875</v>
      </c>
      <c r="AN43" s="227">
        <f>AM43-AL43</f>
        <v>7.6388888888888618E-3</v>
      </c>
      <c r="AO43" s="74">
        <f t="shared" si="132"/>
        <v>28.089877583208697</v>
      </c>
      <c r="AP43" s="15">
        <f t="shared" si="133"/>
        <v>47.910122416791303</v>
      </c>
      <c r="AQ43" s="18">
        <f t="shared" si="114"/>
        <v>61.691860138971634</v>
      </c>
      <c r="AR43" s="18">
        <f t="shared" si="115"/>
        <v>61.857105378269807</v>
      </c>
      <c r="AS43" s="15">
        <f t="shared" si="134"/>
        <v>109.94095976728137</v>
      </c>
      <c r="AT43" s="15">
        <f t="shared" si="135"/>
        <v>114.8176609223738</v>
      </c>
      <c r="AU43" s="15">
        <f t="shared" si="136"/>
        <v>111.93239626243108</v>
      </c>
      <c r="AV43" s="15">
        <f t="shared" si="137"/>
        <v>114.92967270308615</v>
      </c>
      <c r="AW43" s="16">
        <f t="shared" si="138"/>
        <v>0.17368036968193748</v>
      </c>
      <c r="AX43" s="16">
        <f t="shared" si="139"/>
        <v>0.18908304027974834</v>
      </c>
      <c r="AY43" s="16">
        <f t="shared" si="116"/>
        <v>56.437095452304185</v>
      </c>
      <c r="AZ43" s="16">
        <f t="shared" si="117"/>
        <v>134.01118040976476</v>
      </c>
      <c r="BA43" s="17">
        <f t="shared" si="140"/>
        <v>35.424087856897714</v>
      </c>
      <c r="BB43" s="17">
        <f t="shared" si="141"/>
        <v>42.810394901722987</v>
      </c>
      <c r="BC43" s="17">
        <f t="shared" si="142"/>
        <v>68.667936470774464</v>
      </c>
      <c r="BD43" s="17">
        <f t="shared" si="143"/>
        <v>78.252753184397989</v>
      </c>
      <c r="BE43" s="17">
        <f t="shared" si="144"/>
        <v>94.547228197183259</v>
      </c>
      <c r="BF43" s="17">
        <f t="shared" si="145"/>
        <v>106.39415111316158</v>
      </c>
      <c r="BG43" s="17">
        <f t="shared" si="146"/>
        <v>114.2973449594912</v>
      </c>
      <c r="BH43" s="17">
        <f t="shared" si="147"/>
        <v>127.60610331637088</v>
      </c>
      <c r="BI43" s="17">
        <f t="shared" si="118"/>
        <v>1.1625982470516784E-2</v>
      </c>
      <c r="BJ43" s="17">
        <f t="shared" si="119"/>
        <v>1.4691067337912261E-2</v>
      </c>
      <c r="BK43" s="17">
        <f t="shared" si="120"/>
        <v>28.696690452912026</v>
      </c>
      <c r="BL43" s="17">
        <f t="shared" si="121"/>
        <v>29.661930236743164</v>
      </c>
      <c r="BM43" s="263">
        <f t="shared" si="122"/>
        <v>4.6322196240640304E-3</v>
      </c>
      <c r="BN43" s="263">
        <f t="shared" si="123"/>
        <v>5.2936118196245515E-3</v>
      </c>
      <c r="BO43" s="263">
        <f t="shared" si="124"/>
        <v>4.6579973341037062E-3</v>
      </c>
      <c r="BP43" s="263">
        <f t="shared" si="125"/>
        <v>5.3410578435228997E-3</v>
      </c>
      <c r="BQ43" s="263">
        <f t="shared" si="126"/>
        <v>-2.62020899613848E-4</v>
      </c>
      <c r="BR43" s="263">
        <f t="shared" si="127"/>
        <v>2.0015946921793468E-4</v>
      </c>
      <c r="BS43" s="18" t="e">
        <f t="shared" si="148"/>
        <v>#DIV/0!</v>
      </c>
      <c r="BT43" s="18" t="e">
        <f t="shared" si="149"/>
        <v>#DIV/0!</v>
      </c>
      <c r="BU43" s="18" t="e">
        <f t="shared" si="150"/>
        <v>#DIV/0!</v>
      </c>
      <c r="BV43" s="18" t="e">
        <f t="shared" si="151"/>
        <v>#DIV/0!</v>
      </c>
      <c r="BW43" s="19" t="e">
        <f t="shared" si="152"/>
        <v>#DIV/0!</v>
      </c>
      <c r="BX43" s="19" t="e">
        <f t="shared" si="153"/>
        <v>#DIV/0!</v>
      </c>
      <c r="BY43" s="20" t="e">
        <f t="shared" si="154"/>
        <v>#DIV/0!</v>
      </c>
      <c r="BZ43" s="18" t="e">
        <f t="shared" si="155"/>
        <v>#DIV/0!</v>
      </c>
      <c r="CA43" s="19">
        <f t="shared" si="57"/>
        <v>4.9388614429463438</v>
      </c>
      <c r="CB43" s="207">
        <f t="shared" si="58"/>
        <v>6.3118282122260467</v>
      </c>
      <c r="CC43" s="19">
        <f t="shared" si="59"/>
        <v>9.9985772639558934E-4</v>
      </c>
      <c r="CD43" s="201">
        <f t="shared" si="60"/>
        <v>1.4876579055213623E-2</v>
      </c>
      <c r="CE43" s="30">
        <f t="shared" si="156"/>
        <v>38</v>
      </c>
      <c r="CF43" s="18">
        <f t="shared" si="157"/>
        <v>61.774482758620721</v>
      </c>
      <c r="CG43" s="18">
        <f t="shared" si="158"/>
        <v>112.37931034482759</v>
      </c>
      <c r="CH43" s="18">
        <f t="shared" si="159"/>
        <v>113.43103448275862</v>
      </c>
      <c r="CI43" s="16">
        <f t="shared" si="160"/>
        <v>0.18138170498084291</v>
      </c>
      <c r="CJ43" s="16">
        <f t="shared" si="128"/>
        <v>95.224137931034477</v>
      </c>
      <c r="CK43" s="17">
        <f t="shared" si="161"/>
        <v>39.11724137931035</v>
      </c>
      <c r="CL43" s="17">
        <f t="shared" si="162"/>
        <v>73.460344827586226</v>
      </c>
      <c r="CM43" s="17">
        <f t="shared" si="163"/>
        <v>100.47068965517242</v>
      </c>
      <c r="CN43" s="17">
        <f t="shared" si="164"/>
        <v>120.95172413793104</v>
      </c>
      <c r="CO43" s="17">
        <f t="shared" si="129"/>
        <v>1.3158524904214522E-2</v>
      </c>
      <c r="CP43" s="17">
        <f t="shared" si="130"/>
        <v>29.179310344827595</v>
      </c>
      <c r="CQ43" s="263">
        <f t="shared" si="165"/>
        <v>4.9995275888133029E-3</v>
      </c>
      <c r="CR43" s="263">
        <f t="shared" si="166"/>
        <v>4.962915721844291E-3</v>
      </c>
      <c r="CS43" s="263">
        <f t="shared" si="167"/>
        <v>-3.0930715197956654E-5</v>
      </c>
      <c r="CT43" s="17" t="e">
        <f t="shared" si="168"/>
        <v>#DIV/0!</v>
      </c>
      <c r="CU43" s="17" t="e">
        <f t="shared" si="169"/>
        <v>#DIV/0!</v>
      </c>
      <c r="CV43" s="21" t="e">
        <f t="shared" si="170"/>
        <v>#DIV/0!</v>
      </c>
      <c r="CW43" s="17" t="e">
        <f t="shared" si="171"/>
        <v>#DIV/0!</v>
      </c>
      <c r="CX43" s="205">
        <f t="shared" si="172"/>
        <v>5.6253448275861953</v>
      </c>
      <c r="CY43" s="22">
        <f t="shared" si="131"/>
        <v>7.938218390804606E-3</v>
      </c>
    </row>
    <row r="44" spans="1:103" ht="11.25" customHeight="1">
      <c r="A44" s="82" t="s">
        <v>153</v>
      </c>
      <c r="B44" s="160">
        <v>38</v>
      </c>
      <c r="C44" s="257">
        <v>61.78</v>
      </c>
      <c r="D44" s="160">
        <v>111</v>
      </c>
      <c r="E44" s="160">
        <v>113</v>
      </c>
      <c r="F44" s="162">
        <v>0.17986111111111111</v>
      </c>
      <c r="G44" s="274">
        <f>221.03+8.86+22.08+35.29+53.06+39.83+61.78+57.43+119.12</f>
        <v>618.48</v>
      </c>
      <c r="H44" s="159">
        <v>161.9</v>
      </c>
      <c r="I44" s="159">
        <v>324.7</v>
      </c>
      <c r="J44" s="159">
        <v>487.6</v>
      </c>
      <c r="K44" s="159">
        <v>600.20000000000005</v>
      </c>
      <c r="L44" s="135">
        <f>G44-K44</f>
        <v>18.279999999999973</v>
      </c>
      <c r="M44" s="271">
        <f>30.93+123.59</f>
        <v>154.52000000000001</v>
      </c>
      <c r="N44" s="159">
        <v>41.8</v>
      </c>
      <c r="O44" s="159">
        <v>83.7</v>
      </c>
      <c r="P44" s="159">
        <v>125.7</v>
      </c>
      <c r="Q44" s="159">
        <v>156.5</v>
      </c>
      <c r="R44" s="136">
        <f>M44-Q44</f>
        <v>-1.9799999999999898</v>
      </c>
      <c r="S44" s="272">
        <v>103</v>
      </c>
      <c r="T44" s="161">
        <v>40.5</v>
      </c>
      <c r="U44" s="161">
        <v>74.7</v>
      </c>
      <c r="V44" s="161">
        <v>102</v>
      </c>
      <c r="W44" s="161">
        <v>122.1</v>
      </c>
      <c r="X44" s="186">
        <v>0.61736111111111114</v>
      </c>
      <c r="Y44" s="186">
        <v>0.63055555555555554</v>
      </c>
      <c r="Z44" s="184">
        <f>Y44-X44</f>
        <v>1.3194444444444398E-2</v>
      </c>
      <c r="AA44" s="161">
        <v>29.2</v>
      </c>
      <c r="AB44" s="260">
        <v>5.0694444444444441E-3</v>
      </c>
      <c r="AC44" s="273">
        <v>5.1041666666666666E-3</v>
      </c>
      <c r="AD44" s="273">
        <f>AC44-AB44</f>
        <v>3.4722222222222446E-5</v>
      </c>
      <c r="AE44" s="166"/>
      <c r="AF44" s="166"/>
      <c r="AG44" s="222"/>
      <c r="AH44" s="166"/>
      <c r="AI44" s="155">
        <v>1355.28</v>
      </c>
      <c r="AJ44" s="155">
        <v>1349.56</v>
      </c>
      <c r="AK44" s="225">
        <f>AI44-AJ44</f>
        <v>5.7200000000000273</v>
      </c>
      <c r="AL44" s="196">
        <v>0.6777777777777777</v>
      </c>
      <c r="AM44" s="196">
        <v>0.69444444444444453</v>
      </c>
      <c r="AN44" s="227">
        <f>AM44-AL44</f>
        <v>1.6666666666666829E-2</v>
      </c>
      <c r="AO44" s="74">
        <f t="shared" si="132"/>
        <v>28.089877583208697</v>
      </c>
      <c r="AP44" s="15">
        <f t="shared" si="133"/>
        <v>47.910122416791303</v>
      </c>
      <c r="AQ44" s="18">
        <f t="shared" si="114"/>
        <v>61.691860138971634</v>
      </c>
      <c r="AR44" s="18">
        <f t="shared" si="115"/>
        <v>61.857105378269807</v>
      </c>
      <c r="AS44" s="15">
        <f t="shared" si="134"/>
        <v>109.94095976728137</v>
      </c>
      <c r="AT44" s="15">
        <f t="shared" si="135"/>
        <v>114.8176609223738</v>
      </c>
      <c r="AU44" s="15">
        <f t="shared" si="136"/>
        <v>111.93239626243108</v>
      </c>
      <c r="AV44" s="15">
        <f t="shared" si="137"/>
        <v>114.92967270308615</v>
      </c>
      <c r="AW44" s="16">
        <f t="shared" si="138"/>
        <v>0.17368036968193748</v>
      </c>
      <c r="AX44" s="16">
        <f t="shared" si="139"/>
        <v>0.18908304027974834</v>
      </c>
      <c r="AY44" s="16">
        <f t="shared" si="116"/>
        <v>56.437095452304185</v>
      </c>
      <c r="AZ44" s="16">
        <f t="shared" si="117"/>
        <v>134.01118040976476</v>
      </c>
      <c r="BA44" s="17">
        <f t="shared" si="140"/>
        <v>35.424087856897714</v>
      </c>
      <c r="BB44" s="17">
        <f t="shared" si="141"/>
        <v>42.810394901722987</v>
      </c>
      <c r="BC44" s="17">
        <f t="shared" si="142"/>
        <v>68.667936470774464</v>
      </c>
      <c r="BD44" s="17">
        <f t="shared" si="143"/>
        <v>78.252753184397989</v>
      </c>
      <c r="BE44" s="17">
        <f t="shared" si="144"/>
        <v>94.547228197183259</v>
      </c>
      <c r="BF44" s="17">
        <f t="shared" si="145"/>
        <v>106.39415111316158</v>
      </c>
      <c r="BG44" s="17">
        <f t="shared" si="146"/>
        <v>114.2973449594912</v>
      </c>
      <c r="BH44" s="17">
        <f t="shared" si="147"/>
        <v>127.60610331637088</v>
      </c>
      <c r="BI44" s="17">
        <f t="shared" si="118"/>
        <v>1.1625982470516784E-2</v>
      </c>
      <c r="BJ44" s="17">
        <f t="shared" si="119"/>
        <v>1.4691067337912261E-2</v>
      </c>
      <c r="BK44" s="17">
        <f t="shared" si="120"/>
        <v>28.696690452912026</v>
      </c>
      <c r="BL44" s="17">
        <f t="shared" si="121"/>
        <v>29.661930236743164</v>
      </c>
      <c r="BM44" s="263">
        <f t="shared" si="122"/>
        <v>4.6322196240640304E-3</v>
      </c>
      <c r="BN44" s="263">
        <f t="shared" si="123"/>
        <v>5.2936118196245515E-3</v>
      </c>
      <c r="BO44" s="263">
        <f t="shared" si="124"/>
        <v>4.6579973341037062E-3</v>
      </c>
      <c r="BP44" s="263">
        <f t="shared" si="125"/>
        <v>5.3410578435228997E-3</v>
      </c>
      <c r="BQ44" s="263">
        <f t="shared" si="126"/>
        <v>-2.62020899613848E-4</v>
      </c>
      <c r="BR44" s="263">
        <f t="shared" si="127"/>
        <v>2.0015946921793468E-4</v>
      </c>
      <c r="BS44" s="18" t="e">
        <f t="shared" si="148"/>
        <v>#DIV/0!</v>
      </c>
      <c r="BT44" s="18" t="e">
        <f t="shared" si="149"/>
        <v>#DIV/0!</v>
      </c>
      <c r="BU44" s="18" t="e">
        <f t="shared" si="150"/>
        <v>#DIV/0!</v>
      </c>
      <c r="BV44" s="18" t="e">
        <f t="shared" si="151"/>
        <v>#DIV/0!</v>
      </c>
      <c r="BW44" s="19" t="e">
        <f t="shared" si="152"/>
        <v>#DIV/0!</v>
      </c>
      <c r="BX44" s="19" t="e">
        <f t="shared" si="153"/>
        <v>#DIV/0!</v>
      </c>
      <c r="BY44" s="20" t="e">
        <f t="shared" si="154"/>
        <v>#DIV/0!</v>
      </c>
      <c r="BZ44" s="18" t="e">
        <f t="shared" si="155"/>
        <v>#DIV/0!</v>
      </c>
      <c r="CA44" s="19">
        <f t="shared" si="57"/>
        <v>4.9388614429463438</v>
      </c>
      <c r="CB44" s="207">
        <f t="shared" si="58"/>
        <v>6.3118282122260467</v>
      </c>
      <c r="CC44" s="19">
        <f t="shared" si="59"/>
        <v>9.9985772639558934E-4</v>
      </c>
      <c r="CD44" s="201">
        <f t="shared" si="60"/>
        <v>1.4876579055213623E-2</v>
      </c>
      <c r="CE44" s="30">
        <f t="shared" si="156"/>
        <v>38</v>
      </c>
      <c r="CF44" s="18">
        <f t="shared" si="157"/>
        <v>61.774482758620721</v>
      </c>
      <c r="CG44" s="18">
        <f t="shared" si="158"/>
        <v>112.37931034482759</v>
      </c>
      <c r="CH44" s="18">
        <f t="shared" si="159"/>
        <v>113.43103448275862</v>
      </c>
      <c r="CI44" s="16">
        <f t="shared" si="160"/>
        <v>0.18138170498084291</v>
      </c>
      <c r="CJ44" s="16">
        <f t="shared" si="128"/>
        <v>95.224137931034477</v>
      </c>
      <c r="CK44" s="17">
        <f t="shared" si="161"/>
        <v>39.11724137931035</v>
      </c>
      <c r="CL44" s="17">
        <f t="shared" si="162"/>
        <v>73.460344827586226</v>
      </c>
      <c r="CM44" s="17">
        <f t="shared" si="163"/>
        <v>100.47068965517242</v>
      </c>
      <c r="CN44" s="17">
        <f t="shared" si="164"/>
        <v>120.95172413793104</v>
      </c>
      <c r="CO44" s="17">
        <f t="shared" si="129"/>
        <v>1.3158524904214522E-2</v>
      </c>
      <c r="CP44" s="17">
        <f t="shared" si="130"/>
        <v>29.179310344827595</v>
      </c>
      <c r="CQ44" s="263">
        <f t="shared" si="165"/>
        <v>4.9995275888133029E-3</v>
      </c>
      <c r="CR44" s="263">
        <f t="shared" si="166"/>
        <v>4.962915721844291E-3</v>
      </c>
      <c r="CS44" s="263">
        <f t="shared" si="167"/>
        <v>-3.0930715197956654E-5</v>
      </c>
      <c r="CT44" s="17" t="e">
        <f t="shared" si="168"/>
        <v>#DIV/0!</v>
      </c>
      <c r="CU44" s="17" t="e">
        <f t="shared" si="169"/>
        <v>#DIV/0!</v>
      </c>
      <c r="CV44" s="21" t="e">
        <f t="shared" si="170"/>
        <v>#DIV/0!</v>
      </c>
      <c r="CW44" s="17" t="e">
        <f t="shared" si="171"/>
        <v>#DIV/0!</v>
      </c>
      <c r="CX44" s="205">
        <f t="shared" si="172"/>
        <v>5.6253448275861953</v>
      </c>
      <c r="CY44" s="22">
        <f t="shared" si="131"/>
        <v>7.938218390804606E-3</v>
      </c>
    </row>
    <row r="45" spans="1:103" ht="11.25" customHeight="1">
      <c r="A45" s="82" t="s">
        <v>154</v>
      </c>
      <c r="B45" s="160">
        <v>44</v>
      </c>
      <c r="C45" s="257">
        <v>61.75</v>
      </c>
      <c r="D45" s="160">
        <v>112</v>
      </c>
      <c r="E45" s="160">
        <v>113</v>
      </c>
      <c r="F45" s="162">
        <v>0.17986111111111111</v>
      </c>
      <c r="G45" s="274">
        <f>220.69+8.86+22.07+35.32+53.07+39.77+61.75+119.21+57.53</f>
        <v>618.27</v>
      </c>
      <c r="H45" s="159">
        <v>162.30000000000001</v>
      </c>
      <c r="I45" s="159">
        <v>325.39999999999998</v>
      </c>
      <c r="J45" s="159">
        <v>488.5</v>
      </c>
      <c r="K45" s="159">
        <v>599.70000000000005</v>
      </c>
      <c r="L45" s="135">
        <f>G45-K45</f>
        <v>18.569999999999936</v>
      </c>
      <c r="M45" s="271">
        <f>30.94+123.61</f>
        <v>154.55000000000001</v>
      </c>
      <c r="N45" s="159">
        <v>41.8</v>
      </c>
      <c r="O45" s="159">
        <v>83.8</v>
      </c>
      <c r="P45" s="159">
        <v>125.7</v>
      </c>
      <c r="Q45" s="159">
        <v>156.9</v>
      </c>
      <c r="R45" s="136">
        <f>M45-Q45</f>
        <v>-2.3499999999999943</v>
      </c>
      <c r="S45" s="272">
        <v>102</v>
      </c>
      <c r="T45" s="161">
        <v>40.299999999999997</v>
      </c>
      <c r="U45" s="161">
        <v>74.5</v>
      </c>
      <c r="V45" s="161">
        <v>101.9</v>
      </c>
      <c r="W45" s="161">
        <v>122.2</v>
      </c>
      <c r="X45" s="186">
        <v>0.61736111111111114</v>
      </c>
      <c r="Y45" s="186">
        <v>0.63055555555555554</v>
      </c>
      <c r="Z45" s="184">
        <f>Y45-X45</f>
        <v>1.3194444444444398E-2</v>
      </c>
      <c r="AA45" s="161">
        <v>29.2</v>
      </c>
      <c r="AB45" s="260">
        <v>5.0231481481481481E-3</v>
      </c>
      <c r="AC45" s="260">
        <v>5.162037037037037E-3</v>
      </c>
      <c r="AD45" s="273">
        <f>AC45-AB45</f>
        <v>1.3888888888888892E-4</v>
      </c>
      <c r="AE45" s="166"/>
      <c r="AF45" s="166"/>
      <c r="AG45" s="222"/>
      <c r="AH45" s="166"/>
      <c r="AI45" s="155">
        <v>1355.06</v>
      </c>
      <c r="AJ45" s="155">
        <v>1349.49</v>
      </c>
      <c r="AK45" s="225">
        <f>AI45-AJ45</f>
        <v>5.5699999999999363</v>
      </c>
      <c r="AL45" s="196">
        <v>0.67847222222222225</v>
      </c>
      <c r="AM45" s="196">
        <v>0.6875</v>
      </c>
      <c r="AN45" s="227">
        <f>AM45-AL45</f>
        <v>9.0277777777777457E-3</v>
      </c>
      <c r="AO45" s="74">
        <f t="shared" si="132"/>
        <v>28.089877583208697</v>
      </c>
      <c r="AP45" s="15">
        <f t="shared" si="133"/>
        <v>47.910122416791303</v>
      </c>
      <c r="AQ45" s="18">
        <f t="shared" si="114"/>
        <v>61.691860138971634</v>
      </c>
      <c r="AR45" s="18">
        <f t="shared" si="115"/>
        <v>61.857105378269807</v>
      </c>
      <c r="AS45" s="15">
        <f t="shared" si="134"/>
        <v>109.94095976728137</v>
      </c>
      <c r="AT45" s="15">
        <f t="shared" si="135"/>
        <v>114.8176609223738</v>
      </c>
      <c r="AU45" s="15">
        <f t="shared" si="136"/>
        <v>111.93239626243108</v>
      </c>
      <c r="AV45" s="15">
        <f t="shared" si="137"/>
        <v>114.92967270308615</v>
      </c>
      <c r="AW45" s="16">
        <f t="shared" si="138"/>
        <v>0.17368036968193748</v>
      </c>
      <c r="AX45" s="16">
        <f t="shared" si="139"/>
        <v>0.18908304027974834</v>
      </c>
      <c r="AY45" s="16">
        <f t="shared" si="116"/>
        <v>56.437095452304185</v>
      </c>
      <c r="AZ45" s="16">
        <f t="shared" si="117"/>
        <v>134.01118040976476</v>
      </c>
      <c r="BA45" s="17">
        <f t="shared" si="140"/>
        <v>35.424087856897714</v>
      </c>
      <c r="BB45" s="17">
        <f t="shared" si="141"/>
        <v>42.810394901722987</v>
      </c>
      <c r="BC45" s="17">
        <f t="shared" si="142"/>
        <v>68.667936470774464</v>
      </c>
      <c r="BD45" s="17">
        <f t="shared" si="143"/>
        <v>78.252753184397989</v>
      </c>
      <c r="BE45" s="17">
        <f t="shared" si="144"/>
        <v>94.547228197183259</v>
      </c>
      <c r="BF45" s="17">
        <f t="shared" si="145"/>
        <v>106.39415111316158</v>
      </c>
      <c r="BG45" s="17">
        <f t="shared" si="146"/>
        <v>114.2973449594912</v>
      </c>
      <c r="BH45" s="17">
        <f t="shared" si="147"/>
        <v>127.60610331637088</v>
      </c>
      <c r="BI45" s="17">
        <f t="shared" si="118"/>
        <v>1.1625982470516784E-2</v>
      </c>
      <c r="BJ45" s="17">
        <f t="shared" si="119"/>
        <v>1.4691067337912261E-2</v>
      </c>
      <c r="BK45" s="17">
        <f t="shared" si="120"/>
        <v>28.696690452912026</v>
      </c>
      <c r="BL45" s="17">
        <f t="shared" si="121"/>
        <v>29.661930236743164</v>
      </c>
      <c r="BM45" s="263">
        <f t="shared" si="122"/>
        <v>4.6322196240640304E-3</v>
      </c>
      <c r="BN45" s="263">
        <f t="shared" si="123"/>
        <v>5.2936118196245515E-3</v>
      </c>
      <c r="BO45" s="263">
        <f t="shared" si="124"/>
        <v>4.6579973341037062E-3</v>
      </c>
      <c r="BP45" s="263">
        <f t="shared" si="125"/>
        <v>5.3410578435228997E-3</v>
      </c>
      <c r="BQ45" s="263">
        <f t="shared" si="126"/>
        <v>-2.62020899613848E-4</v>
      </c>
      <c r="BR45" s="263">
        <f t="shared" si="127"/>
        <v>2.0015946921793468E-4</v>
      </c>
      <c r="BS45" s="18" t="e">
        <f t="shared" si="148"/>
        <v>#DIV/0!</v>
      </c>
      <c r="BT45" s="18" t="e">
        <f t="shared" si="149"/>
        <v>#DIV/0!</v>
      </c>
      <c r="BU45" s="18" t="e">
        <f t="shared" si="150"/>
        <v>#DIV/0!</v>
      </c>
      <c r="BV45" s="18" t="e">
        <f t="shared" si="151"/>
        <v>#DIV/0!</v>
      </c>
      <c r="BW45" s="19" t="e">
        <f t="shared" si="152"/>
        <v>#DIV/0!</v>
      </c>
      <c r="BX45" s="19" t="e">
        <f t="shared" si="153"/>
        <v>#DIV/0!</v>
      </c>
      <c r="BY45" s="20" t="e">
        <f t="shared" si="154"/>
        <v>#DIV/0!</v>
      </c>
      <c r="BZ45" s="18" t="e">
        <f t="shared" si="155"/>
        <v>#DIV/0!</v>
      </c>
      <c r="CA45" s="19">
        <f t="shared" si="57"/>
        <v>4.9388614429463438</v>
      </c>
      <c r="CB45" s="207">
        <f t="shared" si="58"/>
        <v>6.3118282122260467</v>
      </c>
      <c r="CC45" s="19">
        <f t="shared" si="59"/>
        <v>9.9985772639558934E-4</v>
      </c>
      <c r="CD45" s="201">
        <f t="shared" si="60"/>
        <v>1.4876579055213623E-2</v>
      </c>
      <c r="CE45" s="30">
        <f t="shared" si="156"/>
        <v>38</v>
      </c>
      <c r="CF45" s="18">
        <f t="shared" si="157"/>
        <v>61.774482758620721</v>
      </c>
      <c r="CG45" s="18">
        <f t="shared" si="158"/>
        <v>112.37931034482759</v>
      </c>
      <c r="CH45" s="18">
        <f t="shared" si="159"/>
        <v>113.43103448275862</v>
      </c>
      <c r="CI45" s="16">
        <f t="shared" si="160"/>
        <v>0.18138170498084291</v>
      </c>
      <c r="CJ45" s="16">
        <f t="shared" si="128"/>
        <v>95.224137931034477</v>
      </c>
      <c r="CK45" s="17">
        <f t="shared" si="161"/>
        <v>39.11724137931035</v>
      </c>
      <c r="CL45" s="17">
        <f t="shared" si="162"/>
        <v>73.460344827586226</v>
      </c>
      <c r="CM45" s="17">
        <f t="shared" si="163"/>
        <v>100.47068965517242</v>
      </c>
      <c r="CN45" s="17">
        <f t="shared" si="164"/>
        <v>120.95172413793104</v>
      </c>
      <c r="CO45" s="17">
        <f t="shared" si="129"/>
        <v>1.3158524904214522E-2</v>
      </c>
      <c r="CP45" s="17">
        <f t="shared" si="130"/>
        <v>29.179310344827595</v>
      </c>
      <c r="CQ45" s="263">
        <f t="shared" si="165"/>
        <v>4.9995275888133029E-3</v>
      </c>
      <c r="CR45" s="263">
        <f t="shared" si="166"/>
        <v>4.962915721844291E-3</v>
      </c>
      <c r="CS45" s="263">
        <f t="shared" si="167"/>
        <v>-3.0930715197956654E-5</v>
      </c>
      <c r="CT45" s="17" t="e">
        <f t="shared" si="168"/>
        <v>#DIV/0!</v>
      </c>
      <c r="CU45" s="17" t="e">
        <f t="shared" si="169"/>
        <v>#DIV/0!</v>
      </c>
      <c r="CV45" s="21" t="e">
        <f t="shared" si="170"/>
        <v>#DIV/0!</v>
      </c>
      <c r="CW45" s="17" t="e">
        <f t="shared" si="171"/>
        <v>#DIV/0!</v>
      </c>
      <c r="CX45" s="205">
        <f t="shared" si="172"/>
        <v>5.6253448275861953</v>
      </c>
      <c r="CY45" s="22">
        <f t="shared" si="131"/>
        <v>7.938218390804606E-3</v>
      </c>
    </row>
    <row r="46" spans="1:103" ht="11.25" customHeight="1">
      <c r="A46" s="82" t="s">
        <v>155</v>
      </c>
      <c r="B46" s="160">
        <v>40</v>
      </c>
      <c r="C46" s="257">
        <v>61.75</v>
      </c>
      <c r="D46" s="160">
        <v>112</v>
      </c>
      <c r="E46" s="160">
        <v>113</v>
      </c>
      <c r="F46" s="162">
        <v>0.17847222222222223</v>
      </c>
      <c r="G46" s="274">
        <f>220.69+8.84+22.12+35.37+53.01+39.81+61.75+57.45+119.16</f>
        <v>618.19999999999993</v>
      </c>
      <c r="H46" s="159">
        <v>162.19999999999999</v>
      </c>
      <c r="I46" s="159">
        <v>325.3</v>
      </c>
      <c r="J46" s="159">
        <v>488.4</v>
      </c>
      <c r="K46" s="159">
        <v>599.70000000000005</v>
      </c>
      <c r="L46" s="135">
        <f t="shared" ref="L46:L51" si="173">G46-K46</f>
        <v>18.499999999999886</v>
      </c>
      <c r="M46" s="271">
        <f>30.9+123.55</f>
        <v>154.44999999999999</v>
      </c>
      <c r="N46" s="159">
        <v>41.8</v>
      </c>
      <c r="O46" s="159">
        <v>83.7</v>
      </c>
      <c r="P46" s="159">
        <v>125.7</v>
      </c>
      <c r="Q46" s="159">
        <v>156.5</v>
      </c>
      <c r="R46" s="136">
        <f t="shared" ref="R46:R51" si="174">M46-Q46</f>
        <v>-2.0500000000000114</v>
      </c>
      <c r="S46" s="272">
        <v>103</v>
      </c>
      <c r="T46" s="161">
        <v>40.1</v>
      </c>
      <c r="U46" s="161">
        <v>75</v>
      </c>
      <c r="V46" s="161">
        <v>102.9</v>
      </c>
      <c r="W46" s="161">
        <v>123.5</v>
      </c>
      <c r="X46" s="186">
        <v>0.61597222222222225</v>
      </c>
      <c r="Y46" s="186">
        <v>0.62847222222222221</v>
      </c>
      <c r="Z46" s="184">
        <f t="shared" ref="Z46:Z51" si="175">Y46-X46</f>
        <v>1.2499999999999956E-2</v>
      </c>
      <c r="AA46" s="161">
        <v>29.1</v>
      </c>
      <c r="AB46" s="260">
        <v>5.1041666666666666E-3</v>
      </c>
      <c r="AC46" s="273">
        <v>5.0231481481481481E-3</v>
      </c>
      <c r="AD46" s="273">
        <f t="shared" ref="AD46:AD51" si="176">AC46-AB46</f>
        <v>-8.1018518518518462E-5</v>
      </c>
      <c r="AE46" s="166"/>
      <c r="AF46" s="166"/>
      <c r="AG46" s="222"/>
      <c r="AH46" s="166"/>
      <c r="AI46" s="155">
        <v>1354.97</v>
      </c>
      <c r="AJ46" s="155">
        <v>1349.37</v>
      </c>
      <c r="AK46" s="225">
        <f t="shared" ref="AK46:AK51" si="177">AI46-AJ46</f>
        <v>5.6000000000001364</v>
      </c>
      <c r="AL46" s="196">
        <v>0.6777777777777777</v>
      </c>
      <c r="AM46" s="196">
        <v>0.68611111111111101</v>
      </c>
      <c r="AN46" s="227">
        <f t="shared" ref="AN46:AN51" si="178">AM46-AL46</f>
        <v>8.3333333333333037E-3</v>
      </c>
      <c r="AO46" s="74">
        <f t="shared" si="132"/>
        <v>28.089877583208697</v>
      </c>
      <c r="AP46" s="15">
        <f t="shared" si="133"/>
        <v>47.910122416791303</v>
      </c>
      <c r="AQ46" s="18">
        <f t="shared" si="114"/>
        <v>61.691860138971634</v>
      </c>
      <c r="AR46" s="18">
        <f t="shared" si="115"/>
        <v>61.857105378269807</v>
      </c>
      <c r="AS46" s="15">
        <f t="shared" si="134"/>
        <v>109.94095976728137</v>
      </c>
      <c r="AT46" s="15">
        <f t="shared" si="135"/>
        <v>114.8176609223738</v>
      </c>
      <c r="AU46" s="15">
        <f t="shared" si="136"/>
        <v>111.93239626243108</v>
      </c>
      <c r="AV46" s="15">
        <f t="shared" si="137"/>
        <v>114.92967270308615</v>
      </c>
      <c r="AW46" s="16">
        <f t="shared" si="138"/>
        <v>0.17368036968193748</v>
      </c>
      <c r="AX46" s="16">
        <f t="shared" si="139"/>
        <v>0.18908304027974834</v>
      </c>
      <c r="AY46" s="16">
        <f t="shared" si="116"/>
        <v>56.437095452304185</v>
      </c>
      <c r="AZ46" s="16">
        <f t="shared" si="117"/>
        <v>134.01118040976476</v>
      </c>
      <c r="BA46" s="17">
        <f t="shared" si="140"/>
        <v>35.424087856897714</v>
      </c>
      <c r="BB46" s="17">
        <f t="shared" si="141"/>
        <v>42.810394901722987</v>
      </c>
      <c r="BC46" s="17">
        <f t="shared" si="142"/>
        <v>68.667936470774464</v>
      </c>
      <c r="BD46" s="17">
        <f t="shared" si="143"/>
        <v>78.252753184397989</v>
      </c>
      <c r="BE46" s="17">
        <f t="shared" si="144"/>
        <v>94.547228197183259</v>
      </c>
      <c r="BF46" s="17">
        <f t="shared" si="145"/>
        <v>106.39415111316158</v>
      </c>
      <c r="BG46" s="17">
        <f t="shared" si="146"/>
        <v>114.2973449594912</v>
      </c>
      <c r="BH46" s="17">
        <f t="shared" si="147"/>
        <v>127.60610331637088</v>
      </c>
      <c r="BI46" s="17">
        <f t="shared" si="118"/>
        <v>1.1625982470516784E-2</v>
      </c>
      <c r="BJ46" s="17">
        <f t="shared" si="119"/>
        <v>1.4691067337912261E-2</v>
      </c>
      <c r="BK46" s="17">
        <f t="shared" si="120"/>
        <v>28.696690452912026</v>
      </c>
      <c r="BL46" s="17">
        <f t="shared" si="121"/>
        <v>29.661930236743164</v>
      </c>
      <c r="BM46" s="263">
        <f t="shared" si="122"/>
        <v>4.6322196240640304E-3</v>
      </c>
      <c r="BN46" s="263">
        <f t="shared" si="123"/>
        <v>5.2936118196245515E-3</v>
      </c>
      <c r="BO46" s="263">
        <f t="shared" si="124"/>
        <v>4.6579973341037062E-3</v>
      </c>
      <c r="BP46" s="263">
        <f t="shared" si="125"/>
        <v>5.3410578435228997E-3</v>
      </c>
      <c r="BQ46" s="263">
        <f t="shared" si="126"/>
        <v>-2.62020899613848E-4</v>
      </c>
      <c r="BR46" s="263">
        <f t="shared" si="127"/>
        <v>2.0015946921793468E-4</v>
      </c>
      <c r="BS46" s="18" t="e">
        <f t="shared" si="148"/>
        <v>#DIV/0!</v>
      </c>
      <c r="BT46" s="18" t="e">
        <f t="shared" si="149"/>
        <v>#DIV/0!</v>
      </c>
      <c r="BU46" s="18" t="e">
        <f t="shared" si="150"/>
        <v>#DIV/0!</v>
      </c>
      <c r="BV46" s="18" t="e">
        <f t="shared" si="151"/>
        <v>#DIV/0!</v>
      </c>
      <c r="BW46" s="19" t="e">
        <f t="shared" si="152"/>
        <v>#DIV/0!</v>
      </c>
      <c r="BX46" s="19" t="e">
        <f t="shared" si="153"/>
        <v>#DIV/0!</v>
      </c>
      <c r="BY46" s="20" t="e">
        <f t="shared" si="154"/>
        <v>#DIV/0!</v>
      </c>
      <c r="BZ46" s="18" t="e">
        <f t="shared" si="155"/>
        <v>#DIV/0!</v>
      </c>
      <c r="CA46" s="19">
        <f t="shared" si="57"/>
        <v>4.9388614429463438</v>
      </c>
      <c r="CB46" s="207">
        <f t="shared" si="58"/>
        <v>6.3118282122260467</v>
      </c>
      <c r="CC46" s="19">
        <f t="shared" si="59"/>
        <v>9.9985772639558934E-4</v>
      </c>
      <c r="CD46" s="201">
        <f t="shared" si="60"/>
        <v>1.4876579055213623E-2</v>
      </c>
      <c r="CE46" s="30">
        <f t="shared" si="156"/>
        <v>38</v>
      </c>
      <c r="CF46" s="18">
        <f t="shared" si="157"/>
        <v>61.774482758620721</v>
      </c>
      <c r="CG46" s="18">
        <f t="shared" si="158"/>
        <v>112.37931034482759</v>
      </c>
      <c r="CH46" s="18">
        <f t="shared" si="159"/>
        <v>113.43103448275862</v>
      </c>
      <c r="CI46" s="16">
        <f t="shared" si="160"/>
        <v>0.18138170498084291</v>
      </c>
      <c r="CJ46" s="16">
        <f t="shared" si="128"/>
        <v>95.224137931034477</v>
      </c>
      <c r="CK46" s="17">
        <f t="shared" si="161"/>
        <v>39.11724137931035</v>
      </c>
      <c r="CL46" s="17">
        <f t="shared" si="162"/>
        <v>73.460344827586226</v>
      </c>
      <c r="CM46" s="17">
        <f t="shared" si="163"/>
        <v>100.47068965517242</v>
      </c>
      <c r="CN46" s="17">
        <f t="shared" si="164"/>
        <v>120.95172413793104</v>
      </c>
      <c r="CO46" s="17">
        <f t="shared" si="129"/>
        <v>1.3158524904214522E-2</v>
      </c>
      <c r="CP46" s="17">
        <f t="shared" si="130"/>
        <v>29.179310344827595</v>
      </c>
      <c r="CQ46" s="263">
        <f t="shared" si="165"/>
        <v>4.9995275888133029E-3</v>
      </c>
      <c r="CR46" s="263">
        <f t="shared" si="166"/>
        <v>4.962915721844291E-3</v>
      </c>
      <c r="CS46" s="263">
        <f t="shared" si="167"/>
        <v>-3.0930715197956654E-5</v>
      </c>
      <c r="CT46" s="17" t="e">
        <f t="shared" si="168"/>
        <v>#DIV/0!</v>
      </c>
      <c r="CU46" s="17" t="e">
        <f t="shared" si="169"/>
        <v>#DIV/0!</v>
      </c>
      <c r="CV46" s="21" t="e">
        <f t="shared" si="170"/>
        <v>#DIV/0!</v>
      </c>
      <c r="CW46" s="17" t="e">
        <f t="shared" si="171"/>
        <v>#DIV/0!</v>
      </c>
      <c r="CX46" s="205">
        <f t="shared" si="172"/>
        <v>5.6253448275861953</v>
      </c>
      <c r="CY46" s="22">
        <f t="shared" si="131"/>
        <v>7.938218390804606E-3</v>
      </c>
    </row>
    <row r="47" spans="1:103" ht="11.25" customHeight="1">
      <c r="A47" s="82" t="s">
        <v>156</v>
      </c>
      <c r="B47" s="160">
        <v>47</v>
      </c>
      <c r="C47" s="257">
        <v>61.74</v>
      </c>
      <c r="D47" s="160">
        <v>113</v>
      </c>
      <c r="E47" s="160">
        <v>114</v>
      </c>
      <c r="F47" s="162">
        <v>0.18194444444444444</v>
      </c>
      <c r="G47" s="274">
        <f>220.63+8.89+22.06+35.3+52.99+39.82+61.74+57.36+119.13</f>
        <v>617.92000000000007</v>
      </c>
      <c r="H47" s="159">
        <v>161.9</v>
      </c>
      <c r="I47" s="159">
        <v>324.60000000000002</v>
      </c>
      <c r="J47" s="159">
        <v>487.2</v>
      </c>
      <c r="K47" s="159">
        <v>603.9</v>
      </c>
      <c r="L47" s="135">
        <f t="shared" si="173"/>
        <v>14.020000000000095</v>
      </c>
      <c r="M47" s="271">
        <f>30.91+123.51</f>
        <v>154.42000000000002</v>
      </c>
      <c r="N47" s="159">
        <v>41.8</v>
      </c>
      <c r="O47" s="159">
        <v>83.7</v>
      </c>
      <c r="P47" s="159">
        <v>125.7</v>
      </c>
      <c r="Q47" s="159">
        <v>156.5</v>
      </c>
      <c r="R47" s="136">
        <f t="shared" si="174"/>
        <v>-2.0799999999999841</v>
      </c>
      <c r="S47" s="272">
        <v>103</v>
      </c>
      <c r="T47" s="161">
        <v>39.799999999999997</v>
      </c>
      <c r="U47" s="161">
        <v>74</v>
      </c>
      <c r="V47" s="161">
        <v>100.6</v>
      </c>
      <c r="W47" s="161">
        <v>120.6</v>
      </c>
      <c r="X47" s="186">
        <v>0.61944444444444446</v>
      </c>
      <c r="Y47" s="186">
        <v>0.63263888888888886</v>
      </c>
      <c r="Z47" s="184">
        <f t="shared" si="175"/>
        <v>1.3194444444444398E-2</v>
      </c>
      <c r="AA47" s="161">
        <v>29.4</v>
      </c>
      <c r="AB47" s="260">
        <v>5.0694444444444441E-3</v>
      </c>
      <c r="AC47" s="273">
        <v>4.8958333333333328E-3</v>
      </c>
      <c r="AD47" s="273">
        <f t="shared" si="176"/>
        <v>-1.7361111111111136E-4</v>
      </c>
      <c r="AE47" s="166"/>
      <c r="AF47" s="166"/>
      <c r="AG47" s="222"/>
      <c r="AH47" s="166"/>
      <c r="AI47" s="155">
        <v>1354.55</v>
      </c>
      <c r="AJ47" s="155">
        <v>1349.16</v>
      </c>
      <c r="AK47" s="225">
        <f t="shared" si="177"/>
        <v>5.3899999999998727</v>
      </c>
      <c r="AL47" s="196">
        <v>0.68125000000000002</v>
      </c>
      <c r="AM47" s="196">
        <v>0.6875</v>
      </c>
      <c r="AN47" s="227">
        <f t="shared" si="178"/>
        <v>6.2499999999999778E-3</v>
      </c>
      <c r="AO47" s="74">
        <f t="shared" si="132"/>
        <v>28.089877583208697</v>
      </c>
      <c r="AP47" s="15">
        <f t="shared" si="133"/>
        <v>47.910122416791303</v>
      </c>
      <c r="AQ47" s="18">
        <f t="shared" si="114"/>
        <v>61.691860138971634</v>
      </c>
      <c r="AR47" s="18">
        <f t="shared" si="115"/>
        <v>61.857105378269807</v>
      </c>
      <c r="AS47" s="15">
        <f t="shared" si="134"/>
        <v>109.94095976728137</v>
      </c>
      <c r="AT47" s="15">
        <f t="shared" si="135"/>
        <v>114.8176609223738</v>
      </c>
      <c r="AU47" s="15">
        <f t="shared" si="136"/>
        <v>111.93239626243108</v>
      </c>
      <c r="AV47" s="15">
        <f t="shared" si="137"/>
        <v>114.92967270308615</v>
      </c>
      <c r="AW47" s="16">
        <f t="shared" si="138"/>
        <v>0.17368036968193748</v>
      </c>
      <c r="AX47" s="16">
        <f t="shared" si="139"/>
        <v>0.18908304027974834</v>
      </c>
      <c r="AY47" s="16">
        <f t="shared" si="116"/>
        <v>56.437095452304185</v>
      </c>
      <c r="AZ47" s="16">
        <f t="shared" si="117"/>
        <v>134.01118040976476</v>
      </c>
      <c r="BA47" s="17">
        <f t="shared" si="140"/>
        <v>35.424087856897714</v>
      </c>
      <c r="BB47" s="17">
        <f t="shared" si="141"/>
        <v>42.810394901722987</v>
      </c>
      <c r="BC47" s="17">
        <f t="shared" si="142"/>
        <v>68.667936470774464</v>
      </c>
      <c r="BD47" s="17">
        <f t="shared" si="143"/>
        <v>78.252753184397989</v>
      </c>
      <c r="BE47" s="17">
        <f t="shared" si="144"/>
        <v>94.547228197183259</v>
      </c>
      <c r="BF47" s="17">
        <f t="shared" si="145"/>
        <v>106.39415111316158</v>
      </c>
      <c r="BG47" s="17">
        <f t="shared" si="146"/>
        <v>114.2973449594912</v>
      </c>
      <c r="BH47" s="17">
        <f t="shared" si="147"/>
        <v>127.60610331637088</v>
      </c>
      <c r="BI47" s="17">
        <f t="shared" si="118"/>
        <v>1.1625982470516784E-2</v>
      </c>
      <c r="BJ47" s="17">
        <f t="shared" si="119"/>
        <v>1.4691067337912261E-2</v>
      </c>
      <c r="BK47" s="17">
        <f t="shared" si="120"/>
        <v>28.696690452912026</v>
      </c>
      <c r="BL47" s="17">
        <f t="shared" si="121"/>
        <v>29.661930236743164</v>
      </c>
      <c r="BM47" s="263">
        <f t="shared" si="122"/>
        <v>4.6322196240640304E-3</v>
      </c>
      <c r="BN47" s="263">
        <f t="shared" si="123"/>
        <v>5.2936118196245515E-3</v>
      </c>
      <c r="BO47" s="263">
        <f t="shared" si="124"/>
        <v>4.6579973341037062E-3</v>
      </c>
      <c r="BP47" s="263">
        <f t="shared" si="125"/>
        <v>5.3410578435228997E-3</v>
      </c>
      <c r="BQ47" s="263">
        <f t="shared" si="126"/>
        <v>-2.62020899613848E-4</v>
      </c>
      <c r="BR47" s="263">
        <f t="shared" si="127"/>
        <v>2.0015946921793468E-4</v>
      </c>
      <c r="BS47" s="18" t="e">
        <f t="shared" si="148"/>
        <v>#DIV/0!</v>
      </c>
      <c r="BT47" s="18" t="e">
        <f t="shared" si="149"/>
        <v>#DIV/0!</v>
      </c>
      <c r="BU47" s="18" t="e">
        <f t="shared" si="150"/>
        <v>#DIV/0!</v>
      </c>
      <c r="BV47" s="18" t="e">
        <f t="shared" si="151"/>
        <v>#DIV/0!</v>
      </c>
      <c r="BW47" s="19" t="e">
        <f t="shared" si="152"/>
        <v>#DIV/0!</v>
      </c>
      <c r="BX47" s="19" t="e">
        <f t="shared" si="153"/>
        <v>#DIV/0!</v>
      </c>
      <c r="BY47" s="20" t="e">
        <f t="shared" si="154"/>
        <v>#DIV/0!</v>
      </c>
      <c r="BZ47" s="18" t="e">
        <f t="shared" si="155"/>
        <v>#DIV/0!</v>
      </c>
      <c r="CA47" s="19">
        <f t="shared" si="57"/>
        <v>4.9388614429463438</v>
      </c>
      <c r="CB47" s="207">
        <f t="shared" si="58"/>
        <v>6.3118282122260467</v>
      </c>
      <c r="CC47" s="19">
        <f t="shared" si="59"/>
        <v>9.9985772639558934E-4</v>
      </c>
      <c r="CD47" s="201">
        <f t="shared" si="60"/>
        <v>1.4876579055213623E-2</v>
      </c>
      <c r="CE47" s="30">
        <f t="shared" si="156"/>
        <v>38</v>
      </c>
      <c r="CF47" s="18">
        <f t="shared" si="157"/>
        <v>61.774482758620721</v>
      </c>
      <c r="CG47" s="18">
        <f t="shared" si="158"/>
        <v>112.37931034482759</v>
      </c>
      <c r="CH47" s="18">
        <f t="shared" si="159"/>
        <v>113.43103448275862</v>
      </c>
      <c r="CI47" s="16">
        <f t="shared" si="160"/>
        <v>0.18138170498084291</v>
      </c>
      <c r="CJ47" s="16">
        <f t="shared" si="128"/>
        <v>95.224137931034477</v>
      </c>
      <c r="CK47" s="17">
        <f t="shared" si="161"/>
        <v>39.11724137931035</v>
      </c>
      <c r="CL47" s="17">
        <f t="shared" si="162"/>
        <v>73.460344827586226</v>
      </c>
      <c r="CM47" s="17">
        <f t="shared" si="163"/>
        <v>100.47068965517242</v>
      </c>
      <c r="CN47" s="17">
        <f t="shared" si="164"/>
        <v>120.95172413793104</v>
      </c>
      <c r="CO47" s="17">
        <f t="shared" si="129"/>
        <v>1.3158524904214522E-2</v>
      </c>
      <c r="CP47" s="17">
        <f t="shared" si="130"/>
        <v>29.179310344827595</v>
      </c>
      <c r="CQ47" s="263">
        <f t="shared" si="165"/>
        <v>4.9995275888133029E-3</v>
      </c>
      <c r="CR47" s="263">
        <f t="shared" si="166"/>
        <v>4.962915721844291E-3</v>
      </c>
      <c r="CS47" s="263">
        <f t="shared" si="167"/>
        <v>-3.0930715197956654E-5</v>
      </c>
      <c r="CT47" s="17" t="e">
        <f t="shared" si="168"/>
        <v>#DIV/0!</v>
      </c>
      <c r="CU47" s="17" t="e">
        <f t="shared" si="169"/>
        <v>#DIV/0!</v>
      </c>
      <c r="CV47" s="21" t="e">
        <f t="shared" si="170"/>
        <v>#DIV/0!</v>
      </c>
      <c r="CW47" s="17" t="e">
        <f t="shared" si="171"/>
        <v>#DIV/0!</v>
      </c>
      <c r="CX47" s="205">
        <f t="shared" si="172"/>
        <v>5.6253448275861953</v>
      </c>
      <c r="CY47" s="22">
        <f t="shared" si="131"/>
        <v>7.938218390804606E-3</v>
      </c>
    </row>
    <row r="48" spans="1:103" ht="11.25" customHeight="1">
      <c r="A48" s="82" t="s">
        <v>157</v>
      </c>
      <c r="B48" s="160">
        <v>38</v>
      </c>
      <c r="C48" s="257">
        <v>61.76</v>
      </c>
      <c r="D48" s="160">
        <v>111</v>
      </c>
      <c r="E48" s="160">
        <v>113</v>
      </c>
      <c r="F48" s="162">
        <v>0.17916666666666667</v>
      </c>
      <c r="G48" s="274">
        <f>220.7+8.84+22.09+35.38+53.05+39.81+61.76+57.49+119.17</f>
        <v>618.29</v>
      </c>
      <c r="H48" s="159">
        <v>162.19999999999999</v>
      </c>
      <c r="I48" s="159">
        <v>325.2</v>
      </c>
      <c r="J48" s="159">
        <v>488.3</v>
      </c>
      <c r="K48" s="159">
        <v>597.5</v>
      </c>
      <c r="L48" s="135">
        <f t="shared" si="173"/>
        <v>20.789999999999964</v>
      </c>
      <c r="M48" s="271">
        <f>30.91+123.54</f>
        <v>154.45000000000002</v>
      </c>
      <c r="N48" s="159">
        <v>41.8</v>
      </c>
      <c r="O48" s="159">
        <v>83.7</v>
      </c>
      <c r="P48" s="159">
        <v>125.6</v>
      </c>
      <c r="Q48" s="159">
        <v>156.69999999999999</v>
      </c>
      <c r="R48" s="136">
        <f t="shared" si="174"/>
        <v>-2.2499999999999716</v>
      </c>
      <c r="S48" s="272">
        <v>71</v>
      </c>
      <c r="T48" s="161">
        <v>40.700000000000003</v>
      </c>
      <c r="U48" s="161">
        <v>75.2</v>
      </c>
      <c r="V48" s="161">
        <v>102.8</v>
      </c>
      <c r="W48" s="161">
        <v>122.9</v>
      </c>
      <c r="X48" s="186">
        <v>0.6166666666666667</v>
      </c>
      <c r="Y48" s="186">
        <v>0.62986111111111109</v>
      </c>
      <c r="Z48" s="184">
        <f t="shared" si="175"/>
        <v>1.3194444444444398E-2</v>
      </c>
      <c r="AA48" s="161">
        <v>29.1</v>
      </c>
      <c r="AB48" s="260">
        <v>5.0810185185185186E-3</v>
      </c>
      <c r="AC48" s="260">
        <v>5.0694444444444441E-3</v>
      </c>
      <c r="AD48" s="273">
        <f t="shared" si="176"/>
        <v>-1.1574074074074438E-5</v>
      </c>
      <c r="AE48" s="166"/>
      <c r="AF48" s="166"/>
      <c r="AG48" s="222"/>
      <c r="AH48" s="166"/>
      <c r="AI48" s="155">
        <v>1355</v>
      </c>
      <c r="AJ48" s="155">
        <v>1349.44</v>
      </c>
      <c r="AK48" s="225">
        <f t="shared" si="177"/>
        <v>5.5599999999999454</v>
      </c>
      <c r="AL48" s="196">
        <v>0.6777777777777777</v>
      </c>
      <c r="AM48" s="196">
        <v>0.68402777777777779</v>
      </c>
      <c r="AN48" s="227">
        <f t="shared" si="178"/>
        <v>6.2500000000000888E-3</v>
      </c>
      <c r="AO48" s="74">
        <f t="shared" si="132"/>
        <v>28.089877583208697</v>
      </c>
      <c r="AP48" s="15">
        <f t="shared" si="133"/>
        <v>47.910122416791303</v>
      </c>
      <c r="AQ48" s="18">
        <f t="shared" si="114"/>
        <v>61.691860138971634</v>
      </c>
      <c r="AR48" s="18">
        <f t="shared" si="115"/>
        <v>61.857105378269807</v>
      </c>
      <c r="AS48" s="15">
        <f t="shared" si="134"/>
        <v>109.94095976728137</v>
      </c>
      <c r="AT48" s="15">
        <f t="shared" si="135"/>
        <v>114.8176609223738</v>
      </c>
      <c r="AU48" s="15">
        <f t="shared" si="136"/>
        <v>111.93239626243108</v>
      </c>
      <c r="AV48" s="15">
        <f t="shared" si="137"/>
        <v>114.92967270308615</v>
      </c>
      <c r="AW48" s="16">
        <f t="shared" si="138"/>
        <v>0.17368036968193748</v>
      </c>
      <c r="AX48" s="16">
        <f t="shared" si="139"/>
        <v>0.18908304027974834</v>
      </c>
      <c r="AY48" s="16">
        <f t="shared" si="116"/>
        <v>56.437095452304185</v>
      </c>
      <c r="AZ48" s="16">
        <f t="shared" si="117"/>
        <v>134.01118040976476</v>
      </c>
      <c r="BA48" s="17">
        <f t="shared" si="140"/>
        <v>35.424087856897714</v>
      </c>
      <c r="BB48" s="17">
        <f t="shared" si="141"/>
        <v>42.810394901722987</v>
      </c>
      <c r="BC48" s="17">
        <f t="shared" si="142"/>
        <v>68.667936470774464</v>
      </c>
      <c r="BD48" s="17">
        <f t="shared" si="143"/>
        <v>78.252753184397989</v>
      </c>
      <c r="BE48" s="17">
        <f t="shared" si="144"/>
        <v>94.547228197183259</v>
      </c>
      <c r="BF48" s="17">
        <f t="shared" si="145"/>
        <v>106.39415111316158</v>
      </c>
      <c r="BG48" s="17">
        <f t="shared" si="146"/>
        <v>114.2973449594912</v>
      </c>
      <c r="BH48" s="17">
        <f t="shared" si="147"/>
        <v>127.60610331637088</v>
      </c>
      <c r="BI48" s="17">
        <f t="shared" si="118"/>
        <v>1.1625982470516784E-2</v>
      </c>
      <c r="BJ48" s="17">
        <f t="shared" si="119"/>
        <v>1.4691067337912261E-2</v>
      </c>
      <c r="BK48" s="17">
        <f t="shared" si="120"/>
        <v>28.696690452912026</v>
      </c>
      <c r="BL48" s="17">
        <f t="shared" si="121"/>
        <v>29.661930236743164</v>
      </c>
      <c r="BM48" s="263">
        <f t="shared" si="122"/>
        <v>4.6322196240640304E-3</v>
      </c>
      <c r="BN48" s="263">
        <f t="shared" si="123"/>
        <v>5.2936118196245515E-3</v>
      </c>
      <c r="BO48" s="263">
        <f t="shared" si="124"/>
        <v>4.6579973341037062E-3</v>
      </c>
      <c r="BP48" s="263">
        <f t="shared" si="125"/>
        <v>5.3410578435228997E-3</v>
      </c>
      <c r="BQ48" s="263">
        <f t="shared" si="126"/>
        <v>-2.62020899613848E-4</v>
      </c>
      <c r="BR48" s="263">
        <f t="shared" si="127"/>
        <v>2.0015946921793468E-4</v>
      </c>
      <c r="BS48" s="18" t="e">
        <f t="shared" si="148"/>
        <v>#DIV/0!</v>
      </c>
      <c r="BT48" s="18" t="e">
        <f t="shared" si="149"/>
        <v>#DIV/0!</v>
      </c>
      <c r="BU48" s="18" t="e">
        <f t="shared" si="150"/>
        <v>#DIV/0!</v>
      </c>
      <c r="BV48" s="18" t="e">
        <f t="shared" si="151"/>
        <v>#DIV/0!</v>
      </c>
      <c r="BW48" s="19" t="e">
        <f t="shared" si="152"/>
        <v>#DIV/0!</v>
      </c>
      <c r="BX48" s="19" t="e">
        <f t="shared" si="153"/>
        <v>#DIV/0!</v>
      </c>
      <c r="BY48" s="20" t="e">
        <f t="shared" si="154"/>
        <v>#DIV/0!</v>
      </c>
      <c r="BZ48" s="18" t="e">
        <f t="shared" si="155"/>
        <v>#DIV/0!</v>
      </c>
      <c r="CA48" s="19">
        <f t="shared" si="57"/>
        <v>4.9388614429463438</v>
      </c>
      <c r="CB48" s="207">
        <f t="shared" si="58"/>
        <v>6.3118282122260467</v>
      </c>
      <c r="CC48" s="19">
        <f t="shared" si="59"/>
        <v>9.9985772639558934E-4</v>
      </c>
      <c r="CD48" s="201">
        <f t="shared" si="60"/>
        <v>1.4876579055213623E-2</v>
      </c>
      <c r="CE48" s="30">
        <f t="shared" si="156"/>
        <v>38</v>
      </c>
      <c r="CF48" s="18">
        <f t="shared" si="157"/>
        <v>61.774482758620721</v>
      </c>
      <c r="CG48" s="18">
        <f t="shared" si="158"/>
        <v>112.37931034482759</v>
      </c>
      <c r="CH48" s="18">
        <f t="shared" si="159"/>
        <v>113.43103448275862</v>
      </c>
      <c r="CI48" s="16">
        <f t="shared" si="160"/>
        <v>0.18138170498084291</v>
      </c>
      <c r="CJ48" s="16">
        <f t="shared" si="128"/>
        <v>95.224137931034477</v>
      </c>
      <c r="CK48" s="17">
        <f t="shared" si="161"/>
        <v>39.11724137931035</v>
      </c>
      <c r="CL48" s="17">
        <f t="shared" si="162"/>
        <v>73.460344827586226</v>
      </c>
      <c r="CM48" s="17">
        <f t="shared" si="163"/>
        <v>100.47068965517242</v>
      </c>
      <c r="CN48" s="17">
        <f t="shared" si="164"/>
        <v>120.95172413793104</v>
      </c>
      <c r="CO48" s="17">
        <f t="shared" si="129"/>
        <v>1.3158524904214522E-2</v>
      </c>
      <c r="CP48" s="17">
        <f t="shared" si="130"/>
        <v>29.179310344827595</v>
      </c>
      <c r="CQ48" s="263">
        <f t="shared" si="165"/>
        <v>4.9995275888133029E-3</v>
      </c>
      <c r="CR48" s="263">
        <f t="shared" si="166"/>
        <v>4.962915721844291E-3</v>
      </c>
      <c r="CS48" s="263">
        <f t="shared" si="167"/>
        <v>-3.0930715197956654E-5</v>
      </c>
      <c r="CT48" s="17" t="e">
        <f t="shared" si="168"/>
        <v>#DIV/0!</v>
      </c>
      <c r="CU48" s="17" t="e">
        <f t="shared" si="169"/>
        <v>#DIV/0!</v>
      </c>
      <c r="CV48" s="21" t="e">
        <f t="shared" si="170"/>
        <v>#DIV/0!</v>
      </c>
      <c r="CW48" s="17" t="e">
        <f t="shared" si="171"/>
        <v>#DIV/0!</v>
      </c>
      <c r="CX48" s="205">
        <f t="shared" si="172"/>
        <v>5.6253448275861953</v>
      </c>
      <c r="CY48" s="22">
        <f t="shared" si="131"/>
        <v>7.938218390804606E-3</v>
      </c>
    </row>
    <row r="49" spans="1:103" ht="11.25" customHeight="1">
      <c r="A49" s="82" t="s">
        <v>158</v>
      </c>
      <c r="B49" s="160">
        <v>42</v>
      </c>
      <c r="C49" s="257">
        <v>61.75</v>
      </c>
      <c r="D49" s="160">
        <v>112</v>
      </c>
      <c r="E49" s="160">
        <v>113</v>
      </c>
      <c r="F49" s="162">
        <v>0.17916666666666667</v>
      </c>
      <c r="G49" s="274">
        <f>220.74+8.9+22.09+35.38+52.99+39.78+61.75+57.52+119.21</f>
        <v>618.36</v>
      </c>
      <c r="H49" s="159">
        <v>162.69999999999999</v>
      </c>
      <c r="I49" s="159">
        <v>326.3</v>
      </c>
      <c r="J49" s="159">
        <v>489.7</v>
      </c>
      <c r="K49" s="159">
        <v>601.70000000000005</v>
      </c>
      <c r="L49" s="135">
        <f t="shared" si="173"/>
        <v>16.659999999999968</v>
      </c>
      <c r="M49" s="271">
        <f>30.89+123.66</f>
        <v>154.55000000000001</v>
      </c>
      <c r="N49" s="159">
        <v>41.8</v>
      </c>
      <c r="O49" s="159">
        <v>83.8</v>
      </c>
      <c r="P49" s="159">
        <v>125.7</v>
      </c>
      <c r="Q49" s="159">
        <v>156.80000000000001</v>
      </c>
      <c r="R49" s="136">
        <f t="shared" si="174"/>
        <v>-2.25</v>
      </c>
      <c r="S49" s="272">
        <v>92</v>
      </c>
      <c r="T49" s="161">
        <v>39.799999999999997</v>
      </c>
      <c r="U49" s="161">
        <v>74.599999999999994</v>
      </c>
      <c r="V49" s="161">
        <v>102.1</v>
      </c>
      <c r="W49" s="161">
        <v>123.2</v>
      </c>
      <c r="X49" s="186">
        <v>0.6166666666666667</v>
      </c>
      <c r="Y49" s="186">
        <v>0.62986111111111109</v>
      </c>
      <c r="Z49" s="184">
        <f t="shared" si="175"/>
        <v>1.3194444444444398E-2</v>
      </c>
      <c r="AA49" s="161">
        <v>29.2</v>
      </c>
      <c r="AB49" s="260">
        <v>4.9768518518518521E-3</v>
      </c>
      <c r="AC49" s="260">
        <v>4.7916666666666672E-3</v>
      </c>
      <c r="AD49" s="273">
        <f t="shared" si="176"/>
        <v>-1.8518518518518493E-4</v>
      </c>
      <c r="AE49" s="166"/>
      <c r="AF49" s="166"/>
      <c r="AG49" s="222"/>
      <c r="AH49" s="166"/>
      <c r="AI49" s="155">
        <v>1355.24</v>
      </c>
      <c r="AJ49" s="155">
        <v>1349.72</v>
      </c>
      <c r="AK49" s="225">
        <f t="shared" si="177"/>
        <v>5.5199999999999818</v>
      </c>
      <c r="AL49" s="196">
        <v>0.67986111111111114</v>
      </c>
      <c r="AM49" s="196">
        <v>0.68611111111111101</v>
      </c>
      <c r="AN49" s="227">
        <f t="shared" si="178"/>
        <v>6.2499999999998668E-3</v>
      </c>
      <c r="AO49" s="74">
        <f t="shared" si="132"/>
        <v>28.089877583208697</v>
      </c>
      <c r="AP49" s="15">
        <f t="shared" si="133"/>
        <v>47.910122416791303</v>
      </c>
      <c r="AQ49" s="18">
        <f t="shared" si="114"/>
        <v>61.691860138971634</v>
      </c>
      <c r="AR49" s="18">
        <f t="shared" si="115"/>
        <v>61.857105378269807</v>
      </c>
      <c r="AS49" s="15">
        <f t="shared" si="134"/>
        <v>109.94095976728137</v>
      </c>
      <c r="AT49" s="15">
        <f t="shared" si="135"/>
        <v>114.8176609223738</v>
      </c>
      <c r="AU49" s="15">
        <f t="shared" si="136"/>
        <v>111.93239626243108</v>
      </c>
      <c r="AV49" s="15">
        <f t="shared" si="137"/>
        <v>114.92967270308615</v>
      </c>
      <c r="AW49" s="16">
        <f t="shared" si="138"/>
        <v>0.17368036968193748</v>
      </c>
      <c r="AX49" s="16">
        <f t="shared" si="139"/>
        <v>0.18908304027974834</v>
      </c>
      <c r="AY49" s="16">
        <f t="shared" si="116"/>
        <v>56.437095452304185</v>
      </c>
      <c r="AZ49" s="16">
        <f t="shared" si="117"/>
        <v>134.01118040976476</v>
      </c>
      <c r="BA49" s="17">
        <f t="shared" si="140"/>
        <v>35.424087856897714</v>
      </c>
      <c r="BB49" s="17">
        <f t="shared" si="141"/>
        <v>42.810394901722987</v>
      </c>
      <c r="BC49" s="17">
        <f t="shared" si="142"/>
        <v>68.667936470774464</v>
      </c>
      <c r="BD49" s="17">
        <f t="shared" si="143"/>
        <v>78.252753184397989</v>
      </c>
      <c r="BE49" s="17">
        <f t="shared" si="144"/>
        <v>94.547228197183259</v>
      </c>
      <c r="BF49" s="17">
        <f t="shared" si="145"/>
        <v>106.39415111316158</v>
      </c>
      <c r="BG49" s="17">
        <f t="shared" si="146"/>
        <v>114.2973449594912</v>
      </c>
      <c r="BH49" s="17">
        <f t="shared" si="147"/>
        <v>127.60610331637088</v>
      </c>
      <c r="BI49" s="17">
        <f t="shared" si="118"/>
        <v>1.1625982470516784E-2</v>
      </c>
      <c r="BJ49" s="17">
        <f t="shared" si="119"/>
        <v>1.4691067337912261E-2</v>
      </c>
      <c r="BK49" s="17">
        <f t="shared" si="120"/>
        <v>28.696690452912026</v>
      </c>
      <c r="BL49" s="17">
        <f t="shared" si="121"/>
        <v>29.661930236743164</v>
      </c>
      <c r="BM49" s="263">
        <f t="shared" si="122"/>
        <v>4.6322196240640304E-3</v>
      </c>
      <c r="BN49" s="263">
        <f t="shared" si="123"/>
        <v>5.2936118196245515E-3</v>
      </c>
      <c r="BO49" s="263">
        <f t="shared" si="124"/>
        <v>4.6579973341037062E-3</v>
      </c>
      <c r="BP49" s="263">
        <f t="shared" si="125"/>
        <v>5.3410578435228997E-3</v>
      </c>
      <c r="BQ49" s="263">
        <f t="shared" si="126"/>
        <v>-2.62020899613848E-4</v>
      </c>
      <c r="BR49" s="263">
        <f t="shared" si="127"/>
        <v>2.0015946921793468E-4</v>
      </c>
      <c r="BS49" s="18" t="e">
        <f t="shared" si="148"/>
        <v>#DIV/0!</v>
      </c>
      <c r="BT49" s="18" t="e">
        <f t="shared" si="149"/>
        <v>#DIV/0!</v>
      </c>
      <c r="BU49" s="18" t="e">
        <f t="shared" si="150"/>
        <v>#DIV/0!</v>
      </c>
      <c r="BV49" s="18" t="e">
        <f t="shared" si="151"/>
        <v>#DIV/0!</v>
      </c>
      <c r="BW49" s="19" t="e">
        <f t="shared" si="152"/>
        <v>#DIV/0!</v>
      </c>
      <c r="BX49" s="19" t="e">
        <f t="shared" si="153"/>
        <v>#DIV/0!</v>
      </c>
      <c r="BY49" s="20" t="e">
        <f t="shared" si="154"/>
        <v>#DIV/0!</v>
      </c>
      <c r="BZ49" s="18" t="e">
        <f t="shared" si="155"/>
        <v>#DIV/0!</v>
      </c>
      <c r="CA49" s="19">
        <f t="shared" si="57"/>
        <v>4.9388614429463438</v>
      </c>
      <c r="CB49" s="207">
        <f t="shared" si="58"/>
        <v>6.3118282122260467</v>
      </c>
      <c r="CC49" s="19">
        <f t="shared" si="59"/>
        <v>9.9985772639558934E-4</v>
      </c>
      <c r="CD49" s="201">
        <f t="shared" si="60"/>
        <v>1.4876579055213623E-2</v>
      </c>
      <c r="CE49" s="30">
        <f t="shared" si="156"/>
        <v>38</v>
      </c>
      <c r="CF49" s="18">
        <f t="shared" si="157"/>
        <v>61.774482758620721</v>
      </c>
      <c r="CG49" s="18">
        <f t="shared" si="158"/>
        <v>112.37931034482759</v>
      </c>
      <c r="CH49" s="18">
        <f t="shared" si="159"/>
        <v>113.43103448275862</v>
      </c>
      <c r="CI49" s="16">
        <f t="shared" si="160"/>
        <v>0.18138170498084291</v>
      </c>
      <c r="CJ49" s="16">
        <f t="shared" si="128"/>
        <v>95.224137931034477</v>
      </c>
      <c r="CK49" s="17">
        <f t="shared" si="161"/>
        <v>39.11724137931035</v>
      </c>
      <c r="CL49" s="17">
        <f t="shared" si="162"/>
        <v>73.460344827586226</v>
      </c>
      <c r="CM49" s="17">
        <f t="shared" si="163"/>
        <v>100.47068965517242</v>
      </c>
      <c r="CN49" s="17">
        <f t="shared" si="164"/>
        <v>120.95172413793104</v>
      </c>
      <c r="CO49" s="17">
        <f t="shared" si="129"/>
        <v>1.3158524904214522E-2</v>
      </c>
      <c r="CP49" s="17">
        <f t="shared" si="130"/>
        <v>29.179310344827595</v>
      </c>
      <c r="CQ49" s="263">
        <f t="shared" si="165"/>
        <v>4.9995275888133029E-3</v>
      </c>
      <c r="CR49" s="263">
        <f t="shared" si="166"/>
        <v>4.962915721844291E-3</v>
      </c>
      <c r="CS49" s="263">
        <f t="shared" si="167"/>
        <v>-3.0930715197956654E-5</v>
      </c>
      <c r="CT49" s="17" t="e">
        <f t="shared" si="168"/>
        <v>#DIV/0!</v>
      </c>
      <c r="CU49" s="17" t="e">
        <f t="shared" si="169"/>
        <v>#DIV/0!</v>
      </c>
      <c r="CV49" s="21" t="e">
        <f t="shared" si="170"/>
        <v>#DIV/0!</v>
      </c>
      <c r="CW49" s="17" t="e">
        <f t="shared" si="171"/>
        <v>#DIV/0!</v>
      </c>
      <c r="CX49" s="205">
        <f t="shared" si="172"/>
        <v>5.6253448275861953</v>
      </c>
      <c r="CY49" s="22">
        <f t="shared" si="131"/>
        <v>7.938218390804606E-3</v>
      </c>
    </row>
    <row r="50" spans="1:103" ht="11.25" customHeight="1">
      <c r="A50" s="82" t="s">
        <v>159</v>
      </c>
      <c r="B50" s="160">
        <v>45</v>
      </c>
      <c r="C50" s="257">
        <v>61.8</v>
      </c>
      <c r="D50" s="160">
        <v>111</v>
      </c>
      <c r="E50" s="160">
        <v>114</v>
      </c>
      <c r="F50" s="162">
        <v>0.17708333333333334</v>
      </c>
      <c r="G50" s="274">
        <f>220.69+8.86+22.07+35.32+53.04+39.84+61.8+57.49+119.13</f>
        <v>618.24</v>
      </c>
      <c r="H50" s="159">
        <v>162.5</v>
      </c>
      <c r="I50" s="159">
        <v>325.8</v>
      </c>
      <c r="J50" s="159">
        <v>489</v>
      </c>
      <c r="K50" s="159">
        <v>597</v>
      </c>
      <c r="L50" s="135">
        <f t="shared" si="173"/>
        <v>21.240000000000009</v>
      </c>
      <c r="M50" s="271">
        <f>30.93+123.51</f>
        <v>154.44</v>
      </c>
      <c r="N50" s="159">
        <v>41.8</v>
      </c>
      <c r="O50" s="159">
        <v>83.7</v>
      </c>
      <c r="P50" s="159">
        <v>125.7</v>
      </c>
      <c r="Q50" s="159">
        <v>157.19999999999999</v>
      </c>
      <c r="R50" s="136">
        <f t="shared" si="174"/>
        <v>-2.7599999999999909</v>
      </c>
      <c r="S50" s="272">
        <v>104</v>
      </c>
      <c r="T50" s="161">
        <v>40.799999999999997</v>
      </c>
      <c r="U50" s="161">
        <v>76.8</v>
      </c>
      <c r="V50" s="161">
        <v>103.7</v>
      </c>
      <c r="W50" s="161">
        <v>124.6</v>
      </c>
      <c r="X50" s="186">
        <v>0.61458333333333337</v>
      </c>
      <c r="Y50" s="186">
        <v>0.62777777777777777</v>
      </c>
      <c r="Z50" s="184">
        <f t="shared" si="175"/>
        <v>1.3194444444444398E-2</v>
      </c>
      <c r="AA50" s="161">
        <v>29.4</v>
      </c>
      <c r="AB50" s="260">
        <v>4.8032407407407407E-3</v>
      </c>
      <c r="AC50" s="260">
        <v>4.8495370370370368E-3</v>
      </c>
      <c r="AD50" s="273">
        <f t="shared" si="176"/>
        <v>4.6296296296296016E-5</v>
      </c>
      <c r="AE50" s="166"/>
      <c r="AF50" s="166"/>
      <c r="AG50" s="222"/>
      <c r="AH50" s="166"/>
      <c r="AI50" s="155">
        <v>1354.91</v>
      </c>
      <c r="AJ50" s="155">
        <v>1349.14</v>
      </c>
      <c r="AK50" s="225">
        <f t="shared" si="177"/>
        <v>5.7699999999999818</v>
      </c>
      <c r="AL50" s="196">
        <v>0.6743055555555556</v>
      </c>
      <c r="AM50" s="196">
        <v>0.68055555555555547</v>
      </c>
      <c r="AN50" s="227">
        <f t="shared" si="178"/>
        <v>6.2499999999998668E-3</v>
      </c>
      <c r="AO50" s="74">
        <f t="shared" si="132"/>
        <v>28.089877583208697</v>
      </c>
      <c r="AP50" s="15">
        <f t="shared" si="133"/>
        <v>47.910122416791303</v>
      </c>
      <c r="AQ50" s="18">
        <f t="shared" si="114"/>
        <v>61.691860138971634</v>
      </c>
      <c r="AR50" s="18">
        <f t="shared" si="115"/>
        <v>61.857105378269807</v>
      </c>
      <c r="AS50" s="15">
        <f t="shared" si="134"/>
        <v>109.94095976728137</v>
      </c>
      <c r="AT50" s="15">
        <f t="shared" si="135"/>
        <v>114.8176609223738</v>
      </c>
      <c r="AU50" s="15">
        <f t="shared" si="136"/>
        <v>111.93239626243108</v>
      </c>
      <c r="AV50" s="15">
        <f t="shared" si="137"/>
        <v>114.92967270308615</v>
      </c>
      <c r="AW50" s="16">
        <f t="shared" si="138"/>
        <v>0.17368036968193748</v>
      </c>
      <c r="AX50" s="16">
        <f t="shared" si="139"/>
        <v>0.18908304027974834</v>
      </c>
      <c r="AY50" s="16">
        <f t="shared" si="116"/>
        <v>56.437095452304185</v>
      </c>
      <c r="AZ50" s="16">
        <f t="shared" si="117"/>
        <v>134.01118040976476</v>
      </c>
      <c r="BA50" s="17">
        <f t="shared" si="140"/>
        <v>35.424087856897714</v>
      </c>
      <c r="BB50" s="17">
        <f t="shared" si="141"/>
        <v>42.810394901722987</v>
      </c>
      <c r="BC50" s="17">
        <f t="shared" si="142"/>
        <v>68.667936470774464</v>
      </c>
      <c r="BD50" s="17">
        <f t="shared" si="143"/>
        <v>78.252753184397989</v>
      </c>
      <c r="BE50" s="17">
        <f t="shared" si="144"/>
        <v>94.547228197183259</v>
      </c>
      <c r="BF50" s="17">
        <f t="shared" si="145"/>
        <v>106.39415111316158</v>
      </c>
      <c r="BG50" s="17">
        <f t="shared" si="146"/>
        <v>114.2973449594912</v>
      </c>
      <c r="BH50" s="17">
        <f t="shared" si="147"/>
        <v>127.60610331637088</v>
      </c>
      <c r="BI50" s="17">
        <f t="shared" si="118"/>
        <v>1.1625982470516784E-2</v>
      </c>
      <c r="BJ50" s="17">
        <f t="shared" si="119"/>
        <v>1.4691067337912261E-2</v>
      </c>
      <c r="BK50" s="17">
        <f t="shared" si="120"/>
        <v>28.696690452912026</v>
      </c>
      <c r="BL50" s="17">
        <f t="shared" si="121"/>
        <v>29.661930236743164</v>
      </c>
      <c r="BM50" s="263">
        <f t="shared" si="122"/>
        <v>4.6322196240640304E-3</v>
      </c>
      <c r="BN50" s="263">
        <f t="shared" si="123"/>
        <v>5.2936118196245515E-3</v>
      </c>
      <c r="BO50" s="263">
        <f t="shared" si="124"/>
        <v>4.6579973341037062E-3</v>
      </c>
      <c r="BP50" s="263">
        <f t="shared" si="125"/>
        <v>5.3410578435228997E-3</v>
      </c>
      <c r="BQ50" s="263">
        <f t="shared" si="126"/>
        <v>-2.62020899613848E-4</v>
      </c>
      <c r="BR50" s="263">
        <f t="shared" si="127"/>
        <v>2.0015946921793468E-4</v>
      </c>
      <c r="BS50" s="18" t="e">
        <f t="shared" si="148"/>
        <v>#DIV/0!</v>
      </c>
      <c r="BT50" s="18" t="e">
        <f t="shared" si="149"/>
        <v>#DIV/0!</v>
      </c>
      <c r="BU50" s="18" t="e">
        <f t="shared" si="150"/>
        <v>#DIV/0!</v>
      </c>
      <c r="BV50" s="18" t="e">
        <f t="shared" si="151"/>
        <v>#DIV/0!</v>
      </c>
      <c r="BW50" s="19" t="e">
        <f t="shared" si="152"/>
        <v>#DIV/0!</v>
      </c>
      <c r="BX50" s="19" t="e">
        <f t="shared" si="153"/>
        <v>#DIV/0!</v>
      </c>
      <c r="BY50" s="20" t="e">
        <f t="shared" si="154"/>
        <v>#DIV/0!</v>
      </c>
      <c r="BZ50" s="18" t="e">
        <f t="shared" si="155"/>
        <v>#DIV/0!</v>
      </c>
      <c r="CA50" s="19">
        <f t="shared" si="57"/>
        <v>4.9388614429463438</v>
      </c>
      <c r="CB50" s="207">
        <f t="shared" si="58"/>
        <v>6.3118282122260467</v>
      </c>
      <c r="CC50" s="19">
        <f t="shared" si="59"/>
        <v>9.9985772639558934E-4</v>
      </c>
      <c r="CD50" s="201">
        <f t="shared" si="60"/>
        <v>1.4876579055213623E-2</v>
      </c>
      <c r="CE50" s="30">
        <f t="shared" si="156"/>
        <v>38</v>
      </c>
      <c r="CF50" s="18">
        <f t="shared" si="157"/>
        <v>61.774482758620721</v>
      </c>
      <c r="CG50" s="18">
        <f t="shared" si="158"/>
        <v>112.37931034482759</v>
      </c>
      <c r="CH50" s="18">
        <f t="shared" si="159"/>
        <v>113.43103448275862</v>
      </c>
      <c r="CI50" s="16">
        <f t="shared" si="160"/>
        <v>0.18138170498084291</v>
      </c>
      <c r="CJ50" s="16">
        <f t="shared" si="128"/>
        <v>95.224137931034477</v>
      </c>
      <c r="CK50" s="17">
        <f t="shared" si="161"/>
        <v>39.11724137931035</v>
      </c>
      <c r="CL50" s="17">
        <f t="shared" si="162"/>
        <v>73.460344827586226</v>
      </c>
      <c r="CM50" s="17">
        <f t="shared" si="163"/>
        <v>100.47068965517242</v>
      </c>
      <c r="CN50" s="17">
        <f t="shared" si="164"/>
        <v>120.95172413793104</v>
      </c>
      <c r="CO50" s="17">
        <f t="shared" si="129"/>
        <v>1.3158524904214522E-2</v>
      </c>
      <c r="CP50" s="17">
        <f t="shared" si="130"/>
        <v>29.179310344827595</v>
      </c>
      <c r="CQ50" s="263">
        <f t="shared" si="165"/>
        <v>4.9995275888133029E-3</v>
      </c>
      <c r="CR50" s="263">
        <f t="shared" si="166"/>
        <v>4.962915721844291E-3</v>
      </c>
      <c r="CS50" s="263">
        <f t="shared" si="167"/>
        <v>-3.0930715197956654E-5</v>
      </c>
      <c r="CT50" s="17" t="e">
        <f t="shared" si="168"/>
        <v>#DIV/0!</v>
      </c>
      <c r="CU50" s="17" t="e">
        <f t="shared" si="169"/>
        <v>#DIV/0!</v>
      </c>
      <c r="CV50" s="21" t="e">
        <f t="shared" si="170"/>
        <v>#DIV/0!</v>
      </c>
      <c r="CW50" s="17" t="e">
        <f t="shared" si="171"/>
        <v>#DIV/0!</v>
      </c>
      <c r="CX50" s="205">
        <f t="shared" si="172"/>
        <v>5.6253448275861953</v>
      </c>
      <c r="CY50" s="22">
        <f t="shared" si="131"/>
        <v>7.938218390804606E-3</v>
      </c>
    </row>
    <row r="51" spans="1:103" ht="11.25" customHeight="1">
      <c r="A51" s="82" t="s">
        <v>160</v>
      </c>
      <c r="B51" s="160">
        <v>44</v>
      </c>
      <c r="C51" s="257">
        <v>61.78</v>
      </c>
      <c r="D51" s="160">
        <v>112</v>
      </c>
      <c r="E51" s="160">
        <v>114</v>
      </c>
      <c r="F51" s="162">
        <v>0.17777777777777778</v>
      </c>
      <c r="G51" s="274">
        <f>220.71+8.87+22.05+35.35+53.07+39.84+61.78+57.48+119.19</f>
        <v>618.33999999999992</v>
      </c>
      <c r="H51" s="159">
        <v>162.6</v>
      </c>
      <c r="I51" s="159">
        <v>326</v>
      </c>
      <c r="J51" s="159">
        <v>489.4</v>
      </c>
      <c r="K51" s="159">
        <v>598.6</v>
      </c>
      <c r="L51" s="135">
        <f t="shared" si="173"/>
        <v>19.739999999999895</v>
      </c>
      <c r="M51" s="271">
        <f>30.93+123.55</f>
        <v>154.47999999999999</v>
      </c>
      <c r="N51" s="159">
        <v>41.8</v>
      </c>
      <c r="O51" s="159">
        <v>83.7</v>
      </c>
      <c r="P51" s="159">
        <v>125.7</v>
      </c>
      <c r="Q51" s="159">
        <v>157.1</v>
      </c>
      <c r="R51" s="136">
        <f t="shared" si="174"/>
        <v>-2.6200000000000045</v>
      </c>
      <c r="S51" s="272">
        <v>106</v>
      </c>
      <c r="T51" s="161">
        <v>40.700000000000003</v>
      </c>
      <c r="U51" s="161">
        <v>75.599999999999994</v>
      </c>
      <c r="V51" s="161">
        <v>103.3</v>
      </c>
      <c r="W51" s="161">
        <v>123.9</v>
      </c>
      <c r="X51" s="186">
        <v>0.61527777777777781</v>
      </c>
      <c r="Y51" s="186">
        <v>0.62847222222222221</v>
      </c>
      <c r="Z51" s="184">
        <f t="shared" si="175"/>
        <v>1.3194444444444398E-2</v>
      </c>
      <c r="AA51" s="161">
        <v>29.2</v>
      </c>
      <c r="AB51" s="260">
        <v>4.8148148148148152E-3</v>
      </c>
      <c r="AC51" s="260">
        <v>4.9074074074074072E-3</v>
      </c>
      <c r="AD51" s="273">
        <f t="shared" si="176"/>
        <v>9.2592592592592032E-5</v>
      </c>
      <c r="AE51" s="166"/>
      <c r="AF51" s="166"/>
      <c r="AG51" s="222"/>
      <c r="AH51" s="166"/>
      <c r="AI51" s="155">
        <v>1355.1</v>
      </c>
      <c r="AJ51" s="155">
        <v>1349.57</v>
      </c>
      <c r="AK51" s="225">
        <f t="shared" si="177"/>
        <v>5.5299999999999727</v>
      </c>
      <c r="AL51" s="196">
        <v>0.67708333333333337</v>
      </c>
      <c r="AM51" s="196">
        <v>0.68402777777777779</v>
      </c>
      <c r="AN51" s="227">
        <f t="shared" si="178"/>
        <v>6.9444444444444198E-3</v>
      </c>
      <c r="AO51" s="74">
        <f t="shared" si="132"/>
        <v>28.089877583208697</v>
      </c>
      <c r="AP51" s="15">
        <f t="shared" si="133"/>
        <v>47.910122416791303</v>
      </c>
      <c r="AQ51" s="18">
        <f t="shared" si="114"/>
        <v>61.691860138971634</v>
      </c>
      <c r="AR51" s="18">
        <f t="shared" si="115"/>
        <v>61.857105378269807</v>
      </c>
      <c r="AS51" s="15">
        <f t="shared" si="134"/>
        <v>109.94095976728137</v>
      </c>
      <c r="AT51" s="15">
        <f t="shared" si="135"/>
        <v>114.8176609223738</v>
      </c>
      <c r="AU51" s="15">
        <f t="shared" si="136"/>
        <v>111.93239626243108</v>
      </c>
      <c r="AV51" s="15">
        <f t="shared" si="137"/>
        <v>114.92967270308615</v>
      </c>
      <c r="AW51" s="16">
        <f t="shared" si="138"/>
        <v>0.17368036968193748</v>
      </c>
      <c r="AX51" s="16">
        <f t="shared" si="139"/>
        <v>0.18908304027974834</v>
      </c>
      <c r="AY51" s="16">
        <f t="shared" si="116"/>
        <v>56.437095452304185</v>
      </c>
      <c r="AZ51" s="16">
        <f t="shared" si="117"/>
        <v>134.01118040976476</v>
      </c>
      <c r="BA51" s="17">
        <f t="shared" si="140"/>
        <v>35.424087856897714</v>
      </c>
      <c r="BB51" s="17">
        <f t="shared" si="141"/>
        <v>42.810394901722987</v>
      </c>
      <c r="BC51" s="17">
        <f t="shared" si="142"/>
        <v>68.667936470774464</v>
      </c>
      <c r="BD51" s="17">
        <f t="shared" si="143"/>
        <v>78.252753184397989</v>
      </c>
      <c r="BE51" s="17">
        <f t="shared" si="144"/>
        <v>94.547228197183259</v>
      </c>
      <c r="BF51" s="17">
        <f t="shared" si="145"/>
        <v>106.39415111316158</v>
      </c>
      <c r="BG51" s="17">
        <f t="shared" si="146"/>
        <v>114.2973449594912</v>
      </c>
      <c r="BH51" s="17">
        <f t="shared" si="147"/>
        <v>127.60610331637088</v>
      </c>
      <c r="BI51" s="17">
        <f t="shared" si="118"/>
        <v>1.1625982470516784E-2</v>
      </c>
      <c r="BJ51" s="17">
        <f t="shared" si="119"/>
        <v>1.4691067337912261E-2</v>
      </c>
      <c r="BK51" s="17">
        <f t="shared" si="120"/>
        <v>28.696690452912026</v>
      </c>
      <c r="BL51" s="17">
        <f t="shared" si="121"/>
        <v>29.661930236743164</v>
      </c>
      <c r="BM51" s="263">
        <f t="shared" si="122"/>
        <v>4.6322196240640304E-3</v>
      </c>
      <c r="BN51" s="263">
        <f t="shared" si="123"/>
        <v>5.2936118196245515E-3</v>
      </c>
      <c r="BO51" s="263">
        <f t="shared" si="124"/>
        <v>4.6579973341037062E-3</v>
      </c>
      <c r="BP51" s="263">
        <f t="shared" si="125"/>
        <v>5.3410578435228997E-3</v>
      </c>
      <c r="BQ51" s="263">
        <f t="shared" si="126"/>
        <v>-2.62020899613848E-4</v>
      </c>
      <c r="BR51" s="263">
        <f t="shared" si="127"/>
        <v>2.0015946921793468E-4</v>
      </c>
      <c r="BS51" s="18" t="e">
        <f t="shared" si="148"/>
        <v>#DIV/0!</v>
      </c>
      <c r="BT51" s="18" t="e">
        <f t="shared" si="149"/>
        <v>#DIV/0!</v>
      </c>
      <c r="BU51" s="18" t="e">
        <f t="shared" si="150"/>
        <v>#DIV/0!</v>
      </c>
      <c r="BV51" s="18" t="e">
        <f t="shared" si="151"/>
        <v>#DIV/0!</v>
      </c>
      <c r="BW51" s="19" t="e">
        <f t="shared" si="152"/>
        <v>#DIV/0!</v>
      </c>
      <c r="BX51" s="19" t="e">
        <f t="shared" si="153"/>
        <v>#DIV/0!</v>
      </c>
      <c r="BY51" s="20" t="e">
        <f t="shared" si="154"/>
        <v>#DIV/0!</v>
      </c>
      <c r="BZ51" s="18" t="e">
        <f t="shared" si="155"/>
        <v>#DIV/0!</v>
      </c>
      <c r="CA51" s="19">
        <f t="shared" si="57"/>
        <v>4.9388614429463438</v>
      </c>
      <c r="CB51" s="207">
        <f t="shared" si="58"/>
        <v>6.3118282122260467</v>
      </c>
      <c r="CC51" s="19">
        <f t="shared" si="59"/>
        <v>9.9985772639558934E-4</v>
      </c>
      <c r="CD51" s="201">
        <f t="shared" si="60"/>
        <v>1.4876579055213623E-2</v>
      </c>
      <c r="CE51" s="30">
        <f t="shared" si="156"/>
        <v>38</v>
      </c>
      <c r="CF51" s="18">
        <f t="shared" si="157"/>
        <v>61.774482758620721</v>
      </c>
      <c r="CG51" s="18">
        <f t="shared" si="158"/>
        <v>112.37931034482759</v>
      </c>
      <c r="CH51" s="18">
        <f t="shared" si="159"/>
        <v>113.43103448275862</v>
      </c>
      <c r="CI51" s="16">
        <f t="shared" si="160"/>
        <v>0.18138170498084291</v>
      </c>
      <c r="CJ51" s="16">
        <f t="shared" si="128"/>
        <v>95.224137931034477</v>
      </c>
      <c r="CK51" s="17">
        <f t="shared" si="161"/>
        <v>39.11724137931035</v>
      </c>
      <c r="CL51" s="17">
        <f t="shared" si="162"/>
        <v>73.460344827586226</v>
      </c>
      <c r="CM51" s="17">
        <f t="shared" si="163"/>
        <v>100.47068965517242</v>
      </c>
      <c r="CN51" s="17">
        <f t="shared" si="164"/>
        <v>120.95172413793104</v>
      </c>
      <c r="CO51" s="17">
        <f t="shared" si="129"/>
        <v>1.3158524904214522E-2</v>
      </c>
      <c r="CP51" s="17">
        <f t="shared" si="130"/>
        <v>29.179310344827595</v>
      </c>
      <c r="CQ51" s="263">
        <f t="shared" si="165"/>
        <v>4.9995275888133029E-3</v>
      </c>
      <c r="CR51" s="263">
        <f t="shared" si="166"/>
        <v>4.962915721844291E-3</v>
      </c>
      <c r="CS51" s="263">
        <f t="shared" si="167"/>
        <v>-3.0930715197956654E-5</v>
      </c>
      <c r="CT51" s="17" t="e">
        <f t="shared" si="168"/>
        <v>#DIV/0!</v>
      </c>
      <c r="CU51" s="17" t="e">
        <f t="shared" si="169"/>
        <v>#DIV/0!</v>
      </c>
      <c r="CV51" s="21" t="e">
        <f t="shared" si="170"/>
        <v>#DIV/0!</v>
      </c>
      <c r="CW51" s="17" t="e">
        <f t="shared" si="171"/>
        <v>#DIV/0!</v>
      </c>
      <c r="CX51" s="205">
        <f t="shared" si="172"/>
        <v>5.6253448275861953</v>
      </c>
      <c r="CY51" s="22">
        <f t="shared" si="131"/>
        <v>7.938218390804606E-3</v>
      </c>
    </row>
    <row r="52" spans="1:103" ht="11.25" customHeight="1">
      <c r="A52" s="82" t="s">
        <v>161</v>
      </c>
      <c r="B52" s="160">
        <v>40</v>
      </c>
      <c r="C52" s="257">
        <v>61.8</v>
      </c>
      <c r="D52" s="160">
        <v>111</v>
      </c>
      <c r="E52" s="160">
        <v>114</v>
      </c>
      <c r="F52" s="162">
        <v>0.17777777777777778</v>
      </c>
      <c r="G52" s="274">
        <f>220.72+8.87+22.09+35.31+53.04+39.85+61.8+57.51+119.13</f>
        <v>618.32000000000005</v>
      </c>
      <c r="H52" s="159">
        <v>162.5</v>
      </c>
      <c r="I52" s="159">
        <v>325.8</v>
      </c>
      <c r="J52" s="159">
        <v>489.1</v>
      </c>
      <c r="K52" s="159">
        <v>595.70000000000005</v>
      </c>
      <c r="L52" s="135">
        <f>G52-K52</f>
        <v>22.620000000000005</v>
      </c>
      <c r="M52" s="271">
        <f>30.92+123.58</f>
        <v>154.5</v>
      </c>
      <c r="N52" s="159">
        <v>41.8</v>
      </c>
      <c r="O52" s="159">
        <v>83.7</v>
      </c>
      <c r="P52" s="159">
        <v>125.7</v>
      </c>
      <c r="Q52" s="159">
        <v>157.30000000000001</v>
      </c>
      <c r="R52" s="136">
        <f>M52-Q52</f>
        <v>-2.8000000000000114</v>
      </c>
      <c r="S52" s="272">
        <v>88</v>
      </c>
      <c r="T52" s="161">
        <v>42.3</v>
      </c>
      <c r="U52" s="161">
        <v>76.400000000000006</v>
      </c>
      <c r="V52" s="161">
        <v>104.1</v>
      </c>
      <c r="W52" s="161">
        <v>124.1</v>
      </c>
      <c r="X52" s="186">
        <v>0.61527777777777781</v>
      </c>
      <c r="Y52" s="186">
        <v>0.62847222222222221</v>
      </c>
      <c r="Z52" s="184">
        <f>Y52-X52</f>
        <v>1.3194444444444398E-2</v>
      </c>
      <c r="AA52" s="161">
        <v>29.5</v>
      </c>
      <c r="AB52" s="260">
        <v>4.9652777777777777E-3</v>
      </c>
      <c r="AC52" s="273">
        <v>4.9421296296296288E-3</v>
      </c>
      <c r="AD52" s="273">
        <f>AC52-AB52</f>
        <v>-2.3148148148148875E-5</v>
      </c>
      <c r="AE52" s="166"/>
      <c r="AF52" s="166"/>
      <c r="AG52" s="222"/>
      <c r="AH52" s="166"/>
      <c r="AI52" s="155">
        <v>1355.1</v>
      </c>
      <c r="AJ52" s="155">
        <v>1349.65</v>
      </c>
      <c r="AK52" s="225">
        <f>AI52-AJ52</f>
        <v>5.4499999999998181</v>
      </c>
      <c r="AL52" s="196">
        <v>0.67500000000000004</v>
      </c>
      <c r="AM52" s="196">
        <v>0.68402777777777779</v>
      </c>
      <c r="AN52" s="227">
        <f>AM52-AL52</f>
        <v>9.0277777777777457E-3</v>
      </c>
      <c r="AO52" s="74">
        <f t="shared" si="132"/>
        <v>28.089877583208697</v>
      </c>
      <c r="AP52" s="15">
        <f t="shared" si="133"/>
        <v>47.910122416791303</v>
      </c>
      <c r="AQ52" s="18">
        <f t="shared" si="114"/>
        <v>61.691860138971634</v>
      </c>
      <c r="AR52" s="18">
        <f t="shared" si="115"/>
        <v>61.857105378269807</v>
      </c>
      <c r="AS52" s="15">
        <f t="shared" si="134"/>
        <v>109.94095976728137</v>
      </c>
      <c r="AT52" s="15">
        <f t="shared" si="135"/>
        <v>114.8176609223738</v>
      </c>
      <c r="AU52" s="15">
        <f t="shared" si="136"/>
        <v>111.93239626243108</v>
      </c>
      <c r="AV52" s="15">
        <f t="shared" si="137"/>
        <v>114.92967270308615</v>
      </c>
      <c r="AW52" s="16">
        <f t="shared" si="138"/>
        <v>0.17368036968193748</v>
      </c>
      <c r="AX52" s="16">
        <f t="shared" si="139"/>
        <v>0.18908304027974834</v>
      </c>
      <c r="AY52" s="16">
        <f t="shared" si="116"/>
        <v>56.437095452304185</v>
      </c>
      <c r="AZ52" s="16">
        <f t="shared" si="117"/>
        <v>134.01118040976476</v>
      </c>
      <c r="BA52" s="17">
        <f t="shared" si="140"/>
        <v>35.424087856897714</v>
      </c>
      <c r="BB52" s="17">
        <f t="shared" si="141"/>
        <v>42.810394901722987</v>
      </c>
      <c r="BC52" s="17">
        <f t="shared" si="142"/>
        <v>68.667936470774464</v>
      </c>
      <c r="BD52" s="17">
        <f t="shared" si="143"/>
        <v>78.252753184397989</v>
      </c>
      <c r="BE52" s="17">
        <f t="shared" si="144"/>
        <v>94.547228197183259</v>
      </c>
      <c r="BF52" s="17">
        <f t="shared" si="145"/>
        <v>106.39415111316158</v>
      </c>
      <c r="BG52" s="17">
        <f t="shared" si="146"/>
        <v>114.2973449594912</v>
      </c>
      <c r="BH52" s="17">
        <f t="shared" si="147"/>
        <v>127.60610331637088</v>
      </c>
      <c r="BI52" s="17">
        <f t="shared" si="118"/>
        <v>1.1625982470516784E-2</v>
      </c>
      <c r="BJ52" s="17">
        <f t="shared" si="119"/>
        <v>1.4691067337912261E-2</v>
      </c>
      <c r="BK52" s="17">
        <f t="shared" si="120"/>
        <v>28.696690452912026</v>
      </c>
      <c r="BL52" s="17">
        <f t="shared" si="121"/>
        <v>29.661930236743164</v>
      </c>
      <c r="BM52" s="263">
        <f t="shared" si="122"/>
        <v>4.6322196240640304E-3</v>
      </c>
      <c r="BN52" s="263">
        <f t="shared" si="123"/>
        <v>5.2936118196245515E-3</v>
      </c>
      <c r="BO52" s="263">
        <f t="shared" si="124"/>
        <v>4.6579973341037062E-3</v>
      </c>
      <c r="BP52" s="263">
        <f t="shared" si="125"/>
        <v>5.3410578435228997E-3</v>
      </c>
      <c r="BQ52" s="263">
        <f t="shared" si="126"/>
        <v>-2.62020899613848E-4</v>
      </c>
      <c r="BR52" s="263">
        <f t="shared" si="127"/>
        <v>2.0015946921793468E-4</v>
      </c>
      <c r="BS52" s="18" t="e">
        <f t="shared" si="148"/>
        <v>#DIV/0!</v>
      </c>
      <c r="BT52" s="18" t="e">
        <f t="shared" si="149"/>
        <v>#DIV/0!</v>
      </c>
      <c r="BU52" s="18" t="e">
        <f t="shared" si="150"/>
        <v>#DIV/0!</v>
      </c>
      <c r="BV52" s="18" t="e">
        <f t="shared" si="151"/>
        <v>#DIV/0!</v>
      </c>
      <c r="BW52" s="19" t="e">
        <f t="shared" si="152"/>
        <v>#DIV/0!</v>
      </c>
      <c r="BX52" s="19" t="e">
        <f t="shared" si="153"/>
        <v>#DIV/0!</v>
      </c>
      <c r="BY52" s="20" t="e">
        <f t="shared" si="154"/>
        <v>#DIV/0!</v>
      </c>
      <c r="BZ52" s="18" t="e">
        <f t="shared" si="155"/>
        <v>#DIV/0!</v>
      </c>
      <c r="CA52" s="19">
        <f t="shared" si="57"/>
        <v>4.9388614429463438</v>
      </c>
      <c r="CB52" s="207">
        <f t="shared" si="58"/>
        <v>6.3118282122260467</v>
      </c>
      <c r="CC52" s="19">
        <f t="shared" si="59"/>
        <v>9.9985772639558934E-4</v>
      </c>
      <c r="CD52" s="201">
        <f t="shared" si="60"/>
        <v>1.4876579055213623E-2</v>
      </c>
      <c r="CE52" s="30">
        <f t="shared" si="156"/>
        <v>38</v>
      </c>
      <c r="CF52" s="18">
        <f t="shared" si="157"/>
        <v>61.774482758620721</v>
      </c>
      <c r="CG52" s="18">
        <f t="shared" si="158"/>
        <v>112.37931034482759</v>
      </c>
      <c r="CH52" s="18">
        <f t="shared" si="159"/>
        <v>113.43103448275862</v>
      </c>
      <c r="CI52" s="16">
        <f t="shared" si="160"/>
        <v>0.18138170498084291</v>
      </c>
      <c r="CJ52" s="16">
        <f t="shared" si="128"/>
        <v>95.224137931034477</v>
      </c>
      <c r="CK52" s="17">
        <f t="shared" si="161"/>
        <v>39.11724137931035</v>
      </c>
      <c r="CL52" s="17">
        <f t="shared" si="162"/>
        <v>73.460344827586226</v>
      </c>
      <c r="CM52" s="17">
        <f t="shared" si="163"/>
        <v>100.47068965517242</v>
      </c>
      <c r="CN52" s="17">
        <f t="shared" si="164"/>
        <v>120.95172413793104</v>
      </c>
      <c r="CO52" s="17">
        <f t="shared" si="129"/>
        <v>1.3158524904214522E-2</v>
      </c>
      <c r="CP52" s="17">
        <f t="shared" si="130"/>
        <v>29.179310344827595</v>
      </c>
      <c r="CQ52" s="263">
        <f t="shared" si="165"/>
        <v>4.9995275888133029E-3</v>
      </c>
      <c r="CR52" s="263">
        <f t="shared" si="166"/>
        <v>4.962915721844291E-3</v>
      </c>
      <c r="CS52" s="263">
        <f t="shared" si="167"/>
        <v>-3.0930715197956654E-5</v>
      </c>
      <c r="CT52" s="17" t="e">
        <f t="shared" si="168"/>
        <v>#DIV/0!</v>
      </c>
      <c r="CU52" s="17" t="e">
        <f t="shared" si="169"/>
        <v>#DIV/0!</v>
      </c>
      <c r="CV52" s="21" t="e">
        <f t="shared" si="170"/>
        <v>#DIV/0!</v>
      </c>
      <c r="CW52" s="17" t="e">
        <f t="shared" si="171"/>
        <v>#DIV/0!</v>
      </c>
      <c r="CX52" s="205">
        <f t="shared" si="172"/>
        <v>5.6253448275861953</v>
      </c>
      <c r="CY52" s="22">
        <f t="shared" si="131"/>
        <v>7.938218390804606E-3</v>
      </c>
    </row>
    <row r="53" spans="1:103" ht="11.25" customHeight="1">
      <c r="A53" s="82" t="s">
        <v>162</v>
      </c>
      <c r="B53" s="160">
        <v>36</v>
      </c>
      <c r="C53" s="257">
        <v>61.75</v>
      </c>
      <c r="D53" s="160">
        <v>112</v>
      </c>
      <c r="E53" s="160">
        <v>114</v>
      </c>
      <c r="F53" s="162">
        <v>0.17708333333333334</v>
      </c>
      <c r="G53" s="274">
        <f>220.79+8.85+22.12+35.42+53.05+39.82+61.75+57.44+119.15</f>
        <v>618.39</v>
      </c>
      <c r="H53" s="159">
        <v>162</v>
      </c>
      <c r="I53" s="159">
        <v>324.7</v>
      </c>
      <c r="J53" s="159">
        <v>487.4</v>
      </c>
      <c r="K53" s="159">
        <v>597.4</v>
      </c>
      <c r="L53" s="135">
        <f>G53-K53</f>
        <v>20.990000000000009</v>
      </c>
      <c r="M53" s="271">
        <f>30.89+123.6</f>
        <v>154.49</v>
      </c>
      <c r="N53" s="159">
        <v>41.8</v>
      </c>
      <c r="O53" s="159">
        <v>83.7</v>
      </c>
      <c r="P53" s="159">
        <v>125.6</v>
      </c>
      <c r="Q53" s="159">
        <v>156.9</v>
      </c>
      <c r="R53" s="136">
        <f>M53-Q53</f>
        <v>-2.4099999999999966</v>
      </c>
      <c r="S53" s="272">
        <v>96</v>
      </c>
      <c r="T53" s="161">
        <v>40.700000000000003</v>
      </c>
      <c r="U53" s="161">
        <v>76.099999999999994</v>
      </c>
      <c r="V53" s="161">
        <v>103.5</v>
      </c>
      <c r="W53" s="161">
        <v>124.5</v>
      </c>
      <c r="X53" s="186">
        <v>0.61458333333333337</v>
      </c>
      <c r="Y53" s="186">
        <v>0.62708333333333333</v>
      </c>
      <c r="Z53" s="184">
        <f>Y53-X53</f>
        <v>1.2499999999999956E-2</v>
      </c>
      <c r="AA53" s="161">
        <v>29.1</v>
      </c>
      <c r="AB53" s="260">
        <v>5.2546296296296299E-3</v>
      </c>
      <c r="AC53" s="260">
        <v>4.9768518518518521E-3</v>
      </c>
      <c r="AD53" s="273">
        <f>AC53-AB53</f>
        <v>-2.7777777777777783E-4</v>
      </c>
      <c r="AE53" s="166"/>
      <c r="AF53" s="166"/>
      <c r="AG53" s="222"/>
      <c r="AH53" s="166"/>
      <c r="AI53" s="155">
        <v>1355.17</v>
      </c>
      <c r="AJ53" s="155">
        <v>1349.53</v>
      </c>
      <c r="AK53" s="225">
        <f>AI53-AJ53</f>
        <v>5.6400000000001</v>
      </c>
      <c r="AL53" s="196">
        <v>0.67361111111111116</v>
      </c>
      <c r="AM53" s="196">
        <v>0.68402777777777779</v>
      </c>
      <c r="AN53" s="227">
        <f>AM53-AL53</f>
        <v>1.041666666666663E-2</v>
      </c>
      <c r="AO53" s="74">
        <f t="shared" si="132"/>
        <v>28.089877583208697</v>
      </c>
      <c r="AP53" s="15">
        <f t="shared" si="133"/>
        <v>47.910122416791303</v>
      </c>
      <c r="AQ53" s="18">
        <f t="shared" si="114"/>
        <v>61.691860138971634</v>
      </c>
      <c r="AR53" s="18">
        <f t="shared" si="115"/>
        <v>61.857105378269807</v>
      </c>
      <c r="AS53" s="15">
        <f t="shared" si="134"/>
        <v>109.94095976728137</v>
      </c>
      <c r="AT53" s="15">
        <f t="shared" si="135"/>
        <v>114.8176609223738</v>
      </c>
      <c r="AU53" s="15">
        <f t="shared" si="136"/>
        <v>111.93239626243108</v>
      </c>
      <c r="AV53" s="15">
        <f t="shared" si="137"/>
        <v>114.92967270308615</v>
      </c>
      <c r="AW53" s="16">
        <f t="shared" si="138"/>
        <v>0.17368036968193748</v>
      </c>
      <c r="AX53" s="16">
        <f t="shared" si="139"/>
        <v>0.18908304027974834</v>
      </c>
      <c r="AY53" s="16">
        <f t="shared" si="116"/>
        <v>56.437095452304185</v>
      </c>
      <c r="AZ53" s="16">
        <f t="shared" si="117"/>
        <v>134.01118040976476</v>
      </c>
      <c r="BA53" s="17">
        <f t="shared" si="140"/>
        <v>35.424087856897714</v>
      </c>
      <c r="BB53" s="17">
        <f t="shared" si="141"/>
        <v>42.810394901722987</v>
      </c>
      <c r="BC53" s="17">
        <f t="shared" si="142"/>
        <v>68.667936470774464</v>
      </c>
      <c r="BD53" s="17">
        <f t="shared" si="143"/>
        <v>78.252753184397989</v>
      </c>
      <c r="BE53" s="17">
        <f t="shared" si="144"/>
        <v>94.547228197183259</v>
      </c>
      <c r="BF53" s="17">
        <f t="shared" si="145"/>
        <v>106.39415111316158</v>
      </c>
      <c r="BG53" s="17">
        <f t="shared" si="146"/>
        <v>114.2973449594912</v>
      </c>
      <c r="BH53" s="17">
        <f t="shared" si="147"/>
        <v>127.60610331637088</v>
      </c>
      <c r="BI53" s="17">
        <f t="shared" si="118"/>
        <v>1.1625982470516784E-2</v>
      </c>
      <c r="BJ53" s="17">
        <f t="shared" si="119"/>
        <v>1.4691067337912261E-2</v>
      </c>
      <c r="BK53" s="17">
        <f t="shared" si="120"/>
        <v>28.696690452912026</v>
      </c>
      <c r="BL53" s="17">
        <f t="shared" si="121"/>
        <v>29.661930236743164</v>
      </c>
      <c r="BM53" s="263">
        <f t="shared" si="122"/>
        <v>4.6322196240640304E-3</v>
      </c>
      <c r="BN53" s="263">
        <f t="shared" si="123"/>
        <v>5.2936118196245515E-3</v>
      </c>
      <c r="BO53" s="263">
        <f t="shared" si="124"/>
        <v>4.6579973341037062E-3</v>
      </c>
      <c r="BP53" s="263">
        <f t="shared" si="125"/>
        <v>5.3410578435228997E-3</v>
      </c>
      <c r="BQ53" s="263">
        <f t="shared" si="126"/>
        <v>-2.62020899613848E-4</v>
      </c>
      <c r="BR53" s="263">
        <f t="shared" si="127"/>
        <v>2.0015946921793468E-4</v>
      </c>
      <c r="BS53" s="18" t="e">
        <f t="shared" si="148"/>
        <v>#DIV/0!</v>
      </c>
      <c r="BT53" s="18" t="e">
        <f t="shared" si="149"/>
        <v>#DIV/0!</v>
      </c>
      <c r="BU53" s="18" t="e">
        <f t="shared" si="150"/>
        <v>#DIV/0!</v>
      </c>
      <c r="BV53" s="18" t="e">
        <f t="shared" si="151"/>
        <v>#DIV/0!</v>
      </c>
      <c r="BW53" s="19" t="e">
        <f t="shared" si="152"/>
        <v>#DIV/0!</v>
      </c>
      <c r="BX53" s="19" t="e">
        <f t="shared" si="153"/>
        <v>#DIV/0!</v>
      </c>
      <c r="BY53" s="20" t="e">
        <f t="shared" si="154"/>
        <v>#DIV/0!</v>
      </c>
      <c r="BZ53" s="18" t="e">
        <f t="shared" si="155"/>
        <v>#DIV/0!</v>
      </c>
      <c r="CA53" s="19">
        <f t="shared" si="57"/>
        <v>4.9388614429463438</v>
      </c>
      <c r="CB53" s="207">
        <f t="shared" si="58"/>
        <v>6.3118282122260467</v>
      </c>
      <c r="CC53" s="19">
        <f t="shared" si="59"/>
        <v>9.9985772639558934E-4</v>
      </c>
      <c r="CD53" s="201">
        <f t="shared" si="60"/>
        <v>1.4876579055213623E-2</v>
      </c>
      <c r="CE53" s="30">
        <f t="shared" si="156"/>
        <v>38</v>
      </c>
      <c r="CF53" s="18">
        <f t="shared" si="157"/>
        <v>61.774482758620721</v>
      </c>
      <c r="CG53" s="18">
        <f t="shared" si="158"/>
        <v>112.37931034482759</v>
      </c>
      <c r="CH53" s="18">
        <f t="shared" si="159"/>
        <v>113.43103448275862</v>
      </c>
      <c r="CI53" s="16">
        <f t="shared" si="160"/>
        <v>0.18138170498084291</v>
      </c>
      <c r="CJ53" s="16">
        <f t="shared" si="128"/>
        <v>95.224137931034477</v>
      </c>
      <c r="CK53" s="17">
        <f t="shared" si="161"/>
        <v>39.11724137931035</v>
      </c>
      <c r="CL53" s="17">
        <f t="shared" si="162"/>
        <v>73.460344827586226</v>
      </c>
      <c r="CM53" s="17">
        <f t="shared" si="163"/>
        <v>100.47068965517242</v>
      </c>
      <c r="CN53" s="17">
        <f t="shared" si="164"/>
        <v>120.95172413793104</v>
      </c>
      <c r="CO53" s="17">
        <f t="shared" si="129"/>
        <v>1.3158524904214522E-2</v>
      </c>
      <c r="CP53" s="17">
        <f t="shared" si="130"/>
        <v>29.179310344827595</v>
      </c>
      <c r="CQ53" s="263">
        <f t="shared" si="165"/>
        <v>4.9995275888133029E-3</v>
      </c>
      <c r="CR53" s="263">
        <f t="shared" si="166"/>
        <v>4.962915721844291E-3</v>
      </c>
      <c r="CS53" s="263">
        <f t="shared" si="167"/>
        <v>-3.0930715197956654E-5</v>
      </c>
      <c r="CT53" s="17" t="e">
        <f t="shared" si="168"/>
        <v>#DIV/0!</v>
      </c>
      <c r="CU53" s="17" t="e">
        <f t="shared" si="169"/>
        <v>#DIV/0!</v>
      </c>
      <c r="CV53" s="21" t="e">
        <f t="shared" si="170"/>
        <v>#DIV/0!</v>
      </c>
      <c r="CW53" s="17" t="e">
        <f t="shared" si="171"/>
        <v>#DIV/0!</v>
      </c>
      <c r="CX53" s="205">
        <f t="shared" si="172"/>
        <v>5.6253448275861953</v>
      </c>
      <c r="CY53" s="22">
        <f t="shared" si="131"/>
        <v>7.938218390804606E-3</v>
      </c>
    </row>
    <row r="54" spans="1:103" ht="11.25" customHeight="1">
      <c r="A54" s="82" t="s">
        <v>163</v>
      </c>
      <c r="B54" s="160">
        <v>35</v>
      </c>
      <c r="C54" s="257">
        <v>61.82</v>
      </c>
      <c r="D54" s="160">
        <v>112</v>
      </c>
      <c r="E54" s="160">
        <v>114</v>
      </c>
      <c r="F54" s="162">
        <v>0.17847222222222223</v>
      </c>
      <c r="G54" s="274">
        <f>220.89+8.84+22.09+35.33+53.03+39.84+61.82+57.57+119.23</f>
        <v>618.64</v>
      </c>
      <c r="H54" s="159">
        <v>162.19999999999999</v>
      </c>
      <c r="I54" s="159">
        <v>325.10000000000002</v>
      </c>
      <c r="J54" s="159">
        <v>488.1</v>
      </c>
      <c r="K54" s="159">
        <v>598.29999999999995</v>
      </c>
      <c r="L54" s="135">
        <f>G54-K54</f>
        <v>20.340000000000032</v>
      </c>
      <c r="M54" s="271">
        <f>30.92+123.62</f>
        <v>154.54000000000002</v>
      </c>
      <c r="N54" s="159">
        <v>41.8</v>
      </c>
      <c r="O54" s="159">
        <v>83.7</v>
      </c>
      <c r="P54" s="159">
        <v>125.6</v>
      </c>
      <c r="Q54" s="159">
        <v>157.19999999999999</v>
      </c>
      <c r="R54" s="136">
        <f>M54-Q54</f>
        <v>-2.6599999999999682</v>
      </c>
      <c r="S54" s="272">
        <v>75</v>
      </c>
      <c r="T54" s="161">
        <v>40.6</v>
      </c>
      <c r="U54" s="161">
        <v>75.8</v>
      </c>
      <c r="V54" s="161">
        <v>103.7</v>
      </c>
      <c r="W54" s="161">
        <v>124.2</v>
      </c>
      <c r="X54" s="186">
        <v>0.61597222222222225</v>
      </c>
      <c r="Y54" s="186">
        <v>0.62847222222222221</v>
      </c>
      <c r="Z54" s="184">
        <f>Y54-X54</f>
        <v>1.2499999999999956E-2</v>
      </c>
      <c r="AA54" s="161">
        <v>29.1</v>
      </c>
      <c r="AB54" s="260">
        <v>5.138888888888889E-3</v>
      </c>
      <c r="AC54" s="260">
        <v>5.0694444444444441E-3</v>
      </c>
      <c r="AD54" s="273">
        <f>AC54-AB54</f>
        <v>-6.9444444444444892E-5</v>
      </c>
      <c r="AE54" s="166"/>
      <c r="AF54" s="166"/>
      <c r="AG54" s="222"/>
      <c r="AH54" s="166"/>
      <c r="AI54" s="155">
        <v>1355.52</v>
      </c>
      <c r="AJ54" s="155">
        <v>1349.65</v>
      </c>
      <c r="AK54" s="225">
        <f>AI54-AJ54</f>
        <v>5.8699999999998909</v>
      </c>
      <c r="AL54" s="196">
        <v>0.67500000000000004</v>
      </c>
      <c r="AM54" s="196">
        <v>0.68402777777777779</v>
      </c>
      <c r="AN54" s="227">
        <f>AM54-AL54</f>
        <v>9.0277777777777457E-3</v>
      </c>
      <c r="AO54" s="74">
        <f t="shared" si="132"/>
        <v>28.089877583208697</v>
      </c>
      <c r="AP54" s="15">
        <f t="shared" si="133"/>
        <v>47.910122416791303</v>
      </c>
      <c r="AQ54" s="18">
        <f t="shared" si="114"/>
        <v>61.691860138971634</v>
      </c>
      <c r="AR54" s="18">
        <f t="shared" si="115"/>
        <v>61.857105378269807</v>
      </c>
      <c r="AS54" s="15">
        <f t="shared" si="134"/>
        <v>109.94095976728137</v>
      </c>
      <c r="AT54" s="15">
        <f t="shared" si="135"/>
        <v>114.8176609223738</v>
      </c>
      <c r="AU54" s="15">
        <f t="shared" si="136"/>
        <v>111.93239626243108</v>
      </c>
      <c r="AV54" s="15">
        <f t="shared" si="137"/>
        <v>114.92967270308615</v>
      </c>
      <c r="AW54" s="16">
        <f t="shared" si="138"/>
        <v>0.17368036968193748</v>
      </c>
      <c r="AX54" s="16">
        <f t="shared" si="139"/>
        <v>0.18908304027974834</v>
      </c>
      <c r="AY54" s="16">
        <f t="shared" si="116"/>
        <v>56.437095452304185</v>
      </c>
      <c r="AZ54" s="16">
        <f t="shared" si="117"/>
        <v>134.01118040976476</v>
      </c>
      <c r="BA54" s="17">
        <f t="shared" si="140"/>
        <v>35.424087856897714</v>
      </c>
      <c r="BB54" s="17">
        <f t="shared" si="141"/>
        <v>42.810394901722987</v>
      </c>
      <c r="BC54" s="17">
        <f t="shared" si="142"/>
        <v>68.667936470774464</v>
      </c>
      <c r="BD54" s="17">
        <f t="shared" si="143"/>
        <v>78.252753184397989</v>
      </c>
      <c r="BE54" s="17">
        <f t="shared" si="144"/>
        <v>94.547228197183259</v>
      </c>
      <c r="BF54" s="17">
        <f t="shared" si="145"/>
        <v>106.39415111316158</v>
      </c>
      <c r="BG54" s="17">
        <f t="shared" si="146"/>
        <v>114.2973449594912</v>
      </c>
      <c r="BH54" s="17">
        <f t="shared" si="147"/>
        <v>127.60610331637088</v>
      </c>
      <c r="BI54" s="17">
        <f t="shared" si="118"/>
        <v>1.1625982470516784E-2</v>
      </c>
      <c r="BJ54" s="17">
        <f t="shared" si="119"/>
        <v>1.4691067337912261E-2</v>
      </c>
      <c r="BK54" s="17">
        <f t="shared" si="120"/>
        <v>28.696690452912026</v>
      </c>
      <c r="BL54" s="17">
        <f t="shared" si="121"/>
        <v>29.661930236743164</v>
      </c>
      <c r="BM54" s="263">
        <f t="shared" si="122"/>
        <v>4.6322196240640304E-3</v>
      </c>
      <c r="BN54" s="263">
        <f t="shared" si="123"/>
        <v>5.2936118196245515E-3</v>
      </c>
      <c r="BO54" s="263">
        <f t="shared" si="124"/>
        <v>4.6579973341037062E-3</v>
      </c>
      <c r="BP54" s="263">
        <f t="shared" si="125"/>
        <v>5.3410578435228997E-3</v>
      </c>
      <c r="BQ54" s="263">
        <f t="shared" si="126"/>
        <v>-2.62020899613848E-4</v>
      </c>
      <c r="BR54" s="263">
        <f t="shared" si="127"/>
        <v>2.0015946921793468E-4</v>
      </c>
      <c r="BS54" s="18" t="e">
        <f t="shared" si="148"/>
        <v>#DIV/0!</v>
      </c>
      <c r="BT54" s="18" t="e">
        <f t="shared" si="149"/>
        <v>#DIV/0!</v>
      </c>
      <c r="BU54" s="18" t="e">
        <f t="shared" si="150"/>
        <v>#DIV/0!</v>
      </c>
      <c r="BV54" s="18" t="e">
        <f t="shared" si="151"/>
        <v>#DIV/0!</v>
      </c>
      <c r="BW54" s="19" t="e">
        <f t="shared" si="152"/>
        <v>#DIV/0!</v>
      </c>
      <c r="BX54" s="19" t="e">
        <f t="shared" si="153"/>
        <v>#DIV/0!</v>
      </c>
      <c r="BY54" s="20" t="e">
        <f t="shared" si="154"/>
        <v>#DIV/0!</v>
      </c>
      <c r="BZ54" s="18" t="e">
        <f t="shared" si="155"/>
        <v>#DIV/0!</v>
      </c>
      <c r="CA54" s="19">
        <f t="shared" si="57"/>
        <v>4.9388614429463438</v>
      </c>
      <c r="CB54" s="207">
        <f t="shared" si="58"/>
        <v>6.3118282122260467</v>
      </c>
      <c r="CC54" s="19">
        <f t="shared" si="59"/>
        <v>9.9985772639558934E-4</v>
      </c>
      <c r="CD54" s="201">
        <f t="shared" si="60"/>
        <v>1.4876579055213623E-2</v>
      </c>
      <c r="CE54" s="30">
        <f t="shared" si="156"/>
        <v>38</v>
      </c>
      <c r="CF54" s="18">
        <f t="shared" si="157"/>
        <v>61.774482758620721</v>
      </c>
      <c r="CG54" s="18">
        <f t="shared" si="158"/>
        <v>112.37931034482759</v>
      </c>
      <c r="CH54" s="18">
        <f t="shared" si="159"/>
        <v>113.43103448275862</v>
      </c>
      <c r="CI54" s="16">
        <f t="shared" si="160"/>
        <v>0.18138170498084291</v>
      </c>
      <c r="CJ54" s="16">
        <f t="shared" si="128"/>
        <v>95.224137931034477</v>
      </c>
      <c r="CK54" s="17">
        <f t="shared" si="161"/>
        <v>39.11724137931035</v>
      </c>
      <c r="CL54" s="17">
        <f t="shared" si="162"/>
        <v>73.460344827586226</v>
      </c>
      <c r="CM54" s="17">
        <f t="shared" si="163"/>
        <v>100.47068965517242</v>
      </c>
      <c r="CN54" s="17">
        <f t="shared" si="164"/>
        <v>120.95172413793104</v>
      </c>
      <c r="CO54" s="17">
        <f t="shared" si="129"/>
        <v>1.3158524904214522E-2</v>
      </c>
      <c r="CP54" s="17">
        <f t="shared" si="130"/>
        <v>29.179310344827595</v>
      </c>
      <c r="CQ54" s="263">
        <f t="shared" si="165"/>
        <v>4.9995275888133029E-3</v>
      </c>
      <c r="CR54" s="263">
        <f t="shared" si="166"/>
        <v>4.962915721844291E-3</v>
      </c>
      <c r="CS54" s="263">
        <f t="shared" si="167"/>
        <v>-3.0930715197956654E-5</v>
      </c>
      <c r="CT54" s="17" t="e">
        <f t="shared" si="168"/>
        <v>#DIV/0!</v>
      </c>
      <c r="CU54" s="17" t="e">
        <f t="shared" si="169"/>
        <v>#DIV/0!</v>
      </c>
      <c r="CV54" s="21" t="e">
        <f t="shared" si="170"/>
        <v>#DIV/0!</v>
      </c>
      <c r="CW54" s="17" t="e">
        <f t="shared" si="171"/>
        <v>#DIV/0!</v>
      </c>
      <c r="CX54" s="205">
        <f t="shared" si="172"/>
        <v>5.6253448275861953</v>
      </c>
      <c r="CY54" s="22">
        <f t="shared" si="131"/>
        <v>7.938218390804606E-3</v>
      </c>
    </row>
    <row r="55" spans="1:103" ht="11.25" customHeight="1">
      <c r="A55" s="82" t="s">
        <v>164</v>
      </c>
      <c r="B55" s="160">
        <v>36</v>
      </c>
      <c r="C55" s="257">
        <v>61.77</v>
      </c>
      <c r="D55" s="160">
        <v>112</v>
      </c>
      <c r="E55" s="160">
        <v>114</v>
      </c>
      <c r="F55" s="162">
        <v>0.17986111111111111</v>
      </c>
      <c r="G55" s="274">
        <f>220.8+8.87+22.09+35.34+53.09+39.83+61.77+57.53+119.16</f>
        <v>618.48</v>
      </c>
      <c r="H55" s="159">
        <v>161.80000000000001</v>
      </c>
      <c r="I55" s="159">
        <v>324.60000000000002</v>
      </c>
      <c r="J55" s="159">
        <v>487.3</v>
      </c>
      <c r="K55" s="159">
        <v>602.79999999999995</v>
      </c>
      <c r="L55" s="135">
        <f t="shared" ref="L55:L63" si="179">G55-K55</f>
        <v>15.680000000000064</v>
      </c>
      <c r="M55" s="271">
        <f>30.92+123.54</f>
        <v>154.46</v>
      </c>
      <c r="N55" s="159">
        <v>41.8</v>
      </c>
      <c r="O55" s="159">
        <v>83.7</v>
      </c>
      <c r="P55" s="159">
        <v>125.6</v>
      </c>
      <c r="Q55" s="159">
        <v>157.1</v>
      </c>
      <c r="R55" s="136">
        <f t="shared" ref="R55:R63" si="180">M55-Q55</f>
        <v>-2.6399999999999864</v>
      </c>
      <c r="S55" s="272">
        <v>82</v>
      </c>
      <c r="T55" s="161">
        <v>39.299999999999997</v>
      </c>
      <c r="U55" s="161">
        <v>74.5</v>
      </c>
      <c r="V55" s="161">
        <v>101.3</v>
      </c>
      <c r="W55" s="161">
        <v>122.5</v>
      </c>
      <c r="X55" s="186">
        <v>0.61736111111111114</v>
      </c>
      <c r="Y55" s="186">
        <v>0.62986111111111109</v>
      </c>
      <c r="Z55" s="184">
        <f t="shared" ref="Z55:Z63" si="181">Y55-X55</f>
        <v>1.2499999999999956E-2</v>
      </c>
      <c r="AA55" s="161">
        <v>29.1</v>
      </c>
      <c r="AB55" s="273">
        <v>5.0578703703703706E-3</v>
      </c>
      <c r="AC55" s="260">
        <v>4.8842592592592592E-3</v>
      </c>
      <c r="AD55" s="273">
        <f t="shared" ref="AD55:AD61" si="182">AC55-AB55</f>
        <v>-1.7361111111111136E-4</v>
      </c>
      <c r="AE55" s="166"/>
      <c r="AF55" s="166"/>
      <c r="AG55" s="222"/>
      <c r="AH55" s="166"/>
      <c r="AI55" s="155">
        <v>1355.24</v>
      </c>
      <c r="AJ55" s="155">
        <v>1349.21</v>
      </c>
      <c r="AK55" s="225">
        <f t="shared" ref="AK55:AK63" si="183">AI55-AJ55</f>
        <v>6.0299999999999727</v>
      </c>
      <c r="AL55" s="196">
        <v>0.67569444444444438</v>
      </c>
      <c r="AM55" s="196">
        <v>0.6875</v>
      </c>
      <c r="AN55" s="227">
        <f t="shared" ref="AN55:AN63" si="184">AM55-AL55</f>
        <v>1.1805555555555625E-2</v>
      </c>
      <c r="AO55" s="74">
        <f t="shared" si="132"/>
        <v>28.089877583208697</v>
      </c>
      <c r="AP55" s="15">
        <f t="shared" si="133"/>
        <v>47.910122416791303</v>
      </c>
      <c r="AQ55" s="18">
        <f t="shared" si="114"/>
        <v>61.691860138971634</v>
      </c>
      <c r="AR55" s="18">
        <f t="shared" si="115"/>
        <v>61.857105378269807</v>
      </c>
      <c r="AS55" s="15">
        <f t="shared" si="134"/>
        <v>109.94095976728137</v>
      </c>
      <c r="AT55" s="15">
        <f t="shared" si="135"/>
        <v>114.8176609223738</v>
      </c>
      <c r="AU55" s="15">
        <f t="shared" si="136"/>
        <v>111.93239626243108</v>
      </c>
      <c r="AV55" s="15">
        <f t="shared" si="137"/>
        <v>114.92967270308615</v>
      </c>
      <c r="AW55" s="16">
        <f t="shared" si="138"/>
        <v>0.17368036968193748</v>
      </c>
      <c r="AX55" s="16">
        <f t="shared" si="139"/>
        <v>0.18908304027974834</v>
      </c>
      <c r="AY55" s="16">
        <f t="shared" si="116"/>
        <v>56.437095452304185</v>
      </c>
      <c r="AZ55" s="16">
        <f t="shared" si="117"/>
        <v>134.01118040976476</v>
      </c>
      <c r="BA55" s="17">
        <f t="shared" si="140"/>
        <v>35.424087856897714</v>
      </c>
      <c r="BB55" s="17">
        <f t="shared" si="141"/>
        <v>42.810394901722987</v>
      </c>
      <c r="BC55" s="17">
        <f t="shared" si="142"/>
        <v>68.667936470774464</v>
      </c>
      <c r="BD55" s="17">
        <f t="shared" si="143"/>
        <v>78.252753184397989</v>
      </c>
      <c r="BE55" s="17">
        <f t="shared" si="144"/>
        <v>94.547228197183259</v>
      </c>
      <c r="BF55" s="17">
        <f t="shared" si="145"/>
        <v>106.39415111316158</v>
      </c>
      <c r="BG55" s="17">
        <f t="shared" si="146"/>
        <v>114.2973449594912</v>
      </c>
      <c r="BH55" s="17">
        <f t="shared" si="147"/>
        <v>127.60610331637088</v>
      </c>
      <c r="BI55" s="17">
        <f t="shared" si="118"/>
        <v>1.1625982470516784E-2</v>
      </c>
      <c r="BJ55" s="17">
        <f t="shared" si="119"/>
        <v>1.4691067337912261E-2</v>
      </c>
      <c r="BK55" s="17">
        <f t="shared" si="120"/>
        <v>28.696690452912026</v>
      </c>
      <c r="BL55" s="17">
        <f t="shared" si="121"/>
        <v>29.661930236743164</v>
      </c>
      <c r="BM55" s="263">
        <f t="shared" si="122"/>
        <v>4.6322196240640304E-3</v>
      </c>
      <c r="BN55" s="263">
        <f t="shared" si="123"/>
        <v>5.2936118196245515E-3</v>
      </c>
      <c r="BO55" s="263">
        <f t="shared" si="124"/>
        <v>4.6579973341037062E-3</v>
      </c>
      <c r="BP55" s="263">
        <f t="shared" si="125"/>
        <v>5.3410578435228997E-3</v>
      </c>
      <c r="BQ55" s="263">
        <f t="shared" si="126"/>
        <v>-2.62020899613848E-4</v>
      </c>
      <c r="BR55" s="263">
        <f t="shared" si="127"/>
        <v>2.0015946921793468E-4</v>
      </c>
      <c r="BS55" s="18" t="e">
        <f t="shared" si="148"/>
        <v>#DIV/0!</v>
      </c>
      <c r="BT55" s="18" t="e">
        <f t="shared" si="149"/>
        <v>#DIV/0!</v>
      </c>
      <c r="BU55" s="18" t="e">
        <f t="shared" si="150"/>
        <v>#DIV/0!</v>
      </c>
      <c r="BV55" s="18" t="e">
        <f t="shared" si="151"/>
        <v>#DIV/0!</v>
      </c>
      <c r="BW55" s="19" t="e">
        <f t="shared" si="152"/>
        <v>#DIV/0!</v>
      </c>
      <c r="BX55" s="19" t="e">
        <f t="shared" si="153"/>
        <v>#DIV/0!</v>
      </c>
      <c r="BY55" s="20" t="e">
        <f t="shared" si="154"/>
        <v>#DIV/0!</v>
      </c>
      <c r="BZ55" s="18" t="e">
        <f t="shared" si="155"/>
        <v>#DIV/0!</v>
      </c>
      <c r="CA55" s="19">
        <f t="shared" si="57"/>
        <v>4.9388614429463438</v>
      </c>
      <c r="CB55" s="207">
        <f t="shared" si="58"/>
        <v>6.3118282122260467</v>
      </c>
      <c r="CC55" s="19">
        <f t="shared" si="59"/>
        <v>9.9985772639558934E-4</v>
      </c>
      <c r="CD55" s="201">
        <f t="shared" si="60"/>
        <v>1.4876579055213623E-2</v>
      </c>
      <c r="CE55" s="30">
        <f t="shared" si="156"/>
        <v>38</v>
      </c>
      <c r="CF55" s="18">
        <f t="shared" si="157"/>
        <v>61.774482758620721</v>
      </c>
      <c r="CG55" s="18">
        <f t="shared" si="158"/>
        <v>112.37931034482759</v>
      </c>
      <c r="CH55" s="18">
        <f t="shared" si="159"/>
        <v>113.43103448275862</v>
      </c>
      <c r="CI55" s="16">
        <f t="shared" si="160"/>
        <v>0.18138170498084291</v>
      </c>
      <c r="CJ55" s="16">
        <f t="shared" si="128"/>
        <v>95.224137931034477</v>
      </c>
      <c r="CK55" s="17">
        <f t="shared" si="161"/>
        <v>39.11724137931035</v>
      </c>
      <c r="CL55" s="17">
        <f t="shared" si="162"/>
        <v>73.460344827586226</v>
      </c>
      <c r="CM55" s="17">
        <f t="shared" si="163"/>
        <v>100.47068965517242</v>
      </c>
      <c r="CN55" s="17">
        <f t="shared" si="164"/>
        <v>120.95172413793104</v>
      </c>
      <c r="CO55" s="17">
        <f t="shared" si="129"/>
        <v>1.3158524904214522E-2</v>
      </c>
      <c r="CP55" s="17">
        <f t="shared" si="130"/>
        <v>29.179310344827595</v>
      </c>
      <c r="CQ55" s="263">
        <f t="shared" si="165"/>
        <v>4.9995275888133029E-3</v>
      </c>
      <c r="CR55" s="263">
        <f t="shared" si="166"/>
        <v>4.962915721844291E-3</v>
      </c>
      <c r="CS55" s="263">
        <f t="shared" si="167"/>
        <v>-3.0930715197956654E-5</v>
      </c>
      <c r="CT55" s="17" t="e">
        <f t="shared" si="168"/>
        <v>#DIV/0!</v>
      </c>
      <c r="CU55" s="17" t="e">
        <f t="shared" si="169"/>
        <v>#DIV/0!</v>
      </c>
      <c r="CV55" s="21" t="e">
        <f t="shared" si="170"/>
        <v>#DIV/0!</v>
      </c>
      <c r="CW55" s="17" t="e">
        <f t="shared" si="171"/>
        <v>#DIV/0!</v>
      </c>
      <c r="CX55" s="205">
        <f t="shared" si="172"/>
        <v>5.6253448275861953</v>
      </c>
      <c r="CY55" s="22">
        <f t="shared" si="131"/>
        <v>7.938218390804606E-3</v>
      </c>
    </row>
    <row r="56" spans="1:103" ht="11.25" customHeight="1">
      <c r="A56" s="82" t="s">
        <v>165</v>
      </c>
      <c r="B56" s="160">
        <v>34</v>
      </c>
      <c r="C56" s="257">
        <v>61.8</v>
      </c>
      <c r="D56" s="160">
        <v>112</v>
      </c>
      <c r="E56" s="160">
        <v>114</v>
      </c>
      <c r="F56" s="162">
        <v>0.17708333333333334</v>
      </c>
      <c r="G56" s="274">
        <f>220.72+8.9+22.09+35.33+53.09+39.84+61.8+57.5+119.14</f>
        <v>618.41000000000008</v>
      </c>
      <c r="H56" s="159">
        <v>162</v>
      </c>
      <c r="I56" s="159">
        <v>324.89999999999998</v>
      </c>
      <c r="J56" s="159">
        <v>487.7</v>
      </c>
      <c r="K56" s="159">
        <v>598.79999999999995</v>
      </c>
      <c r="L56" s="135">
        <f t="shared" si="179"/>
        <v>19.610000000000127</v>
      </c>
      <c r="M56" s="271">
        <f>30.92+123.54</f>
        <v>154.46</v>
      </c>
      <c r="N56" s="159">
        <v>41.7</v>
      </c>
      <c r="O56" s="159">
        <v>83.7</v>
      </c>
      <c r="P56" s="159">
        <v>125.6</v>
      </c>
      <c r="Q56" s="159">
        <v>157.4</v>
      </c>
      <c r="R56" s="136">
        <f t="shared" si="180"/>
        <v>-2.9399999999999977</v>
      </c>
      <c r="S56" s="272">
        <v>63</v>
      </c>
      <c r="T56" s="161">
        <v>40.4</v>
      </c>
      <c r="U56" s="161">
        <v>75.900000000000006</v>
      </c>
      <c r="V56" s="161">
        <v>103.5</v>
      </c>
      <c r="W56" s="161">
        <v>124.6</v>
      </c>
      <c r="X56" s="186">
        <v>0.61458333333333337</v>
      </c>
      <c r="Y56" s="186">
        <v>0.62708333333333333</v>
      </c>
      <c r="Z56" s="184">
        <f t="shared" si="181"/>
        <v>1.2499999999999956E-2</v>
      </c>
      <c r="AA56" s="161">
        <v>29.2</v>
      </c>
      <c r="AB56" s="260">
        <v>4.7222222222222223E-3</v>
      </c>
      <c r="AC56" s="260">
        <v>4.8726851851851856E-3</v>
      </c>
      <c r="AD56" s="273">
        <f t="shared" si="182"/>
        <v>1.5046296296296335E-4</v>
      </c>
      <c r="AE56" s="166"/>
      <c r="AF56" s="166"/>
      <c r="AG56" s="222"/>
      <c r="AH56" s="166"/>
      <c r="AI56" s="155">
        <v>1355.12</v>
      </c>
      <c r="AJ56" s="155">
        <v>1348.85</v>
      </c>
      <c r="AK56" s="225">
        <f t="shared" si="183"/>
        <v>6.2699999999999818</v>
      </c>
      <c r="AL56" s="196">
        <v>0.67152777777777783</v>
      </c>
      <c r="AM56" s="196">
        <v>0.68055555555555547</v>
      </c>
      <c r="AN56" s="227">
        <f t="shared" si="184"/>
        <v>9.0277777777776347E-3</v>
      </c>
      <c r="AO56" s="74">
        <f t="shared" si="132"/>
        <v>28.089877583208697</v>
      </c>
      <c r="AP56" s="15">
        <f t="shared" si="133"/>
        <v>47.910122416791303</v>
      </c>
      <c r="AQ56" s="18">
        <f t="shared" si="114"/>
        <v>61.691860138971634</v>
      </c>
      <c r="AR56" s="18">
        <f t="shared" si="115"/>
        <v>61.857105378269807</v>
      </c>
      <c r="AS56" s="15">
        <f t="shared" si="134"/>
        <v>109.94095976728137</v>
      </c>
      <c r="AT56" s="15">
        <f t="shared" si="135"/>
        <v>114.8176609223738</v>
      </c>
      <c r="AU56" s="15">
        <f t="shared" si="136"/>
        <v>111.93239626243108</v>
      </c>
      <c r="AV56" s="15">
        <f t="shared" si="137"/>
        <v>114.92967270308615</v>
      </c>
      <c r="AW56" s="16">
        <f t="shared" si="138"/>
        <v>0.17368036968193748</v>
      </c>
      <c r="AX56" s="16">
        <f t="shared" si="139"/>
        <v>0.18908304027974834</v>
      </c>
      <c r="AY56" s="16">
        <f t="shared" si="116"/>
        <v>56.437095452304185</v>
      </c>
      <c r="AZ56" s="16">
        <f t="shared" si="117"/>
        <v>134.01118040976476</v>
      </c>
      <c r="BA56" s="17">
        <f t="shared" si="140"/>
        <v>35.424087856897714</v>
      </c>
      <c r="BB56" s="17">
        <f t="shared" si="141"/>
        <v>42.810394901722987</v>
      </c>
      <c r="BC56" s="17">
        <f t="shared" si="142"/>
        <v>68.667936470774464</v>
      </c>
      <c r="BD56" s="17">
        <f t="shared" si="143"/>
        <v>78.252753184397989</v>
      </c>
      <c r="BE56" s="17">
        <f t="shared" si="144"/>
        <v>94.547228197183259</v>
      </c>
      <c r="BF56" s="17">
        <f t="shared" si="145"/>
        <v>106.39415111316158</v>
      </c>
      <c r="BG56" s="17">
        <f t="shared" si="146"/>
        <v>114.2973449594912</v>
      </c>
      <c r="BH56" s="17">
        <f t="shared" si="147"/>
        <v>127.60610331637088</v>
      </c>
      <c r="BI56" s="17">
        <f t="shared" si="118"/>
        <v>1.1625982470516784E-2</v>
      </c>
      <c r="BJ56" s="17">
        <f t="shared" si="119"/>
        <v>1.4691067337912261E-2</v>
      </c>
      <c r="BK56" s="17">
        <f t="shared" si="120"/>
        <v>28.696690452912026</v>
      </c>
      <c r="BL56" s="17">
        <f t="shared" si="121"/>
        <v>29.661930236743164</v>
      </c>
      <c r="BM56" s="263">
        <f t="shared" si="122"/>
        <v>4.6322196240640304E-3</v>
      </c>
      <c r="BN56" s="263">
        <f t="shared" si="123"/>
        <v>5.2936118196245515E-3</v>
      </c>
      <c r="BO56" s="263">
        <f t="shared" si="124"/>
        <v>4.6579973341037062E-3</v>
      </c>
      <c r="BP56" s="263">
        <f t="shared" si="125"/>
        <v>5.3410578435228997E-3</v>
      </c>
      <c r="BQ56" s="263">
        <f t="shared" si="126"/>
        <v>-2.62020899613848E-4</v>
      </c>
      <c r="BR56" s="263">
        <f t="shared" si="127"/>
        <v>2.0015946921793468E-4</v>
      </c>
      <c r="BS56" s="18" t="e">
        <f t="shared" si="148"/>
        <v>#DIV/0!</v>
      </c>
      <c r="BT56" s="18" t="e">
        <f t="shared" si="149"/>
        <v>#DIV/0!</v>
      </c>
      <c r="BU56" s="18" t="e">
        <f t="shared" si="150"/>
        <v>#DIV/0!</v>
      </c>
      <c r="BV56" s="18" t="e">
        <f t="shared" si="151"/>
        <v>#DIV/0!</v>
      </c>
      <c r="BW56" s="19" t="e">
        <f t="shared" si="152"/>
        <v>#DIV/0!</v>
      </c>
      <c r="BX56" s="19" t="e">
        <f t="shared" si="153"/>
        <v>#DIV/0!</v>
      </c>
      <c r="BY56" s="20" t="e">
        <f t="shared" si="154"/>
        <v>#DIV/0!</v>
      </c>
      <c r="BZ56" s="18" t="e">
        <f t="shared" si="155"/>
        <v>#DIV/0!</v>
      </c>
      <c r="CA56" s="19">
        <f t="shared" si="57"/>
        <v>4.9388614429463438</v>
      </c>
      <c r="CB56" s="207">
        <f t="shared" si="58"/>
        <v>6.3118282122260467</v>
      </c>
      <c r="CC56" s="19">
        <f t="shared" si="59"/>
        <v>9.9985772639558934E-4</v>
      </c>
      <c r="CD56" s="201">
        <f t="shared" si="60"/>
        <v>1.4876579055213623E-2</v>
      </c>
      <c r="CE56" s="30">
        <f t="shared" si="156"/>
        <v>38</v>
      </c>
      <c r="CF56" s="18">
        <f t="shared" si="157"/>
        <v>61.774482758620721</v>
      </c>
      <c r="CG56" s="18">
        <f t="shared" si="158"/>
        <v>112.37931034482759</v>
      </c>
      <c r="CH56" s="18">
        <f t="shared" si="159"/>
        <v>113.43103448275862</v>
      </c>
      <c r="CI56" s="16">
        <f t="shared" si="160"/>
        <v>0.18138170498084291</v>
      </c>
      <c r="CJ56" s="16">
        <f t="shared" si="128"/>
        <v>95.224137931034477</v>
      </c>
      <c r="CK56" s="17">
        <f t="shared" si="161"/>
        <v>39.11724137931035</v>
      </c>
      <c r="CL56" s="17">
        <f t="shared" si="162"/>
        <v>73.460344827586226</v>
      </c>
      <c r="CM56" s="17">
        <f t="shared" si="163"/>
        <v>100.47068965517242</v>
      </c>
      <c r="CN56" s="17">
        <f t="shared" si="164"/>
        <v>120.95172413793104</v>
      </c>
      <c r="CO56" s="17">
        <f t="shared" si="129"/>
        <v>1.3158524904214522E-2</v>
      </c>
      <c r="CP56" s="17">
        <f t="shared" si="130"/>
        <v>29.179310344827595</v>
      </c>
      <c r="CQ56" s="263">
        <f t="shared" si="165"/>
        <v>4.9995275888133029E-3</v>
      </c>
      <c r="CR56" s="263">
        <f t="shared" si="166"/>
        <v>4.962915721844291E-3</v>
      </c>
      <c r="CS56" s="263">
        <f t="shared" si="167"/>
        <v>-3.0930715197956654E-5</v>
      </c>
      <c r="CT56" s="17" t="e">
        <f t="shared" si="168"/>
        <v>#DIV/0!</v>
      </c>
      <c r="CU56" s="17" t="e">
        <f t="shared" si="169"/>
        <v>#DIV/0!</v>
      </c>
      <c r="CV56" s="21" t="e">
        <f t="shared" si="170"/>
        <v>#DIV/0!</v>
      </c>
      <c r="CW56" s="17" t="e">
        <f t="shared" si="171"/>
        <v>#DIV/0!</v>
      </c>
      <c r="CX56" s="205">
        <f t="shared" si="172"/>
        <v>5.6253448275861953</v>
      </c>
      <c r="CY56" s="22">
        <f t="shared" si="131"/>
        <v>7.938218390804606E-3</v>
      </c>
    </row>
    <row r="57" spans="1:103" ht="11.25" customHeight="1">
      <c r="A57" s="82" t="s">
        <v>166</v>
      </c>
      <c r="B57" s="160">
        <v>36</v>
      </c>
      <c r="C57" s="257">
        <v>61.8</v>
      </c>
      <c r="D57" s="160">
        <v>113</v>
      </c>
      <c r="E57" s="160">
        <v>114</v>
      </c>
      <c r="F57" s="162">
        <v>0.17847222222222223</v>
      </c>
      <c r="G57" s="274">
        <f>220.77+8.87+22.1+35.37+53.04+39.84+61.8+57.55+119.2</f>
        <v>618.54000000000008</v>
      </c>
      <c r="H57" s="159">
        <v>162</v>
      </c>
      <c r="I57" s="159">
        <v>324.7</v>
      </c>
      <c r="J57" s="159">
        <v>487.4</v>
      </c>
      <c r="K57" s="159">
        <v>604.70000000000005</v>
      </c>
      <c r="L57" s="135">
        <f t="shared" si="179"/>
        <v>13.840000000000032</v>
      </c>
      <c r="M57" s="271">
        <f>30.93+123.57</f>
        <v>154.5</v>
      </c>
      <c r="N57" s="159">
        <v>41.8</v>
      </c>
      <c r="O57" s="159">
        <v>83.7</v>
      </c>
      <c r="P57" s="159">
        <v>125.7</v>
      </c>
      <c r="Q57" s="159">
        <v>157.4</v>
      </c>
      <c r="R57" s="136">
        <f t="shared" si="180"/>
        <v>-2.9000000000000057</v>
      </c>
      <c r="S57" s="272">
        <v>100</v>
      </c>
      <c r="T57" s="161">
        <v>38.9</v>
      </c>
      <c r="U57" s="161">
        <v>74.099999999999994</v>
      </c>
      <c r="V57" s="161">
        <v>101.9</v>
      </c>
      <c r="W57" s="161">
        <v>123.5</v>
      </c>
      <c r="X57" s="186">
        <v>0.61597222222222225</v>
      </c>
      <c r="Y57" s="186">
        <v>0.62847222222222221</v>
      </c>
      <c r="Z57" s="184">
        <f t="shared" si="181"/>
        <v>1.2499999999999956E-2</v>
      </c>
      <c r="AA57" s="161">
        <v>28.7</v>
      </c>
      <c r="AB57" s="260">
        <v>4.9884259259259265E-3</v>
      </c>
      <c r="AC57" s="273">
        <v>4.9421296296296288E-3</v>
      </c>
      <c r="AD57" s="273">
        <f t="shared" si="182"/>
        <v>-4.6296296296297751E-5</v>
      </c>
      <c r="AE57" s="166"/>
      <c r="AF57" s="166"/>
      <c r="AG57" s="222"/>
      <c r="AH57" s="166"/>
      <c r="AI57" s="155">
        <v>1355.34</v>
      </c>
      <c r="AJ57" s="155">
        <v>1349.29</v>
      </c>
      <c r="AK57" s="225">
        <f t="shared" si="183"/>
        <v>6.0499999999999545</v>
      </c>
      <c r="AL57" s="196">
        <v>0.6743055555555556</v>
      </c>
      <c r="AM57" s="196">
        <v>0.68402777777777779</v>
      </c>
      <c r="AN57" s="227">
        <f t="shared" si="184"/>
        <v>9.7222222222221877E-3</v>
      </c>
      <c r="AO57" s="74">
        <f t="shared" si="132"/>
        <v>28.089877583208697</v>
      </c>
      <c r="AP57" s="15">
        <f t="shared" si="133"/>
        <v>47.910122416791303</v>
      </c>
      <c r="AQ57" s="18">
        <f t="shared" si="114"/>
        <v>61.691860138971634</v>
      </c>
      <c r="AR57" s="18">
        <f t="shared" si="115"/>
        <v>61.857105378269807</v>
      </c>
      <c r="AS57" s="15">
        <f t="shared" si="134"/>
        <v>109.94095976728137</v>
      </c>
      <c r="AT57" s="15">
        <f t="shared" si="135"/>
        <v>114.8176609223738</v>
      </c>
      <c r="AU57" s="15">
        <f t="shared" si="136"/>
        <v>111.93239626243108</v>
      </c>
      <c r="AV57" s="15">
        <f t="shared" si="137"/>
        <v>114.92967270308615</v>
      </c>
      <c r="AW57" s="16">
        <f t="shared" si="138"/>
        <v>0.17368036968193748</v>
      </c>
      <c r="AX57" s="16">
        <f t="shared" si="139"/>
        <v>0.18908304027974834</v>
      </c>
      <c r="AY57" s="16">
        <f t="shared" si="116"/>
        <v>56.437095452304185</v>
      </c>
      <c r="AZ57" s="16">
        <f t="shared" si="117"/>
        <v>134.01118040976476</v>
      </c>
      <c r="BA57" s="17">
        <f t="shared" si="140"/>
        <v>35.424087856897714</v>
      </c>
      <c r="BB57" s="17">
        <f t="shared" si="141"/>
        <v>42.810394901722987</v>
      </c>
      <c r="BC57" s="17">
        <f t="shared" si="142"/>
        <v>68.667936470774464</v>
      </c>
      <c r="BD57" s="17">
        <f t="shared" si="143"/>
        <v>78.252753184397989</v>
      </c>
      <c r="BE57" s="17">
        <f t="shared" si="144"/>
        <v>94.547228197183259</v>
      </c>
      <c r="BF57" s="17">
        <f t="shared" si="145"/>
        <v>106.39415111316158</v>
      </c>
      <c r="BG57" s="17">
        <f t="shared" si="146"/>
        <v>114.2973449594912</v>
      </c>
      <c r="BH57" s="17">
        <f t="shared" si="147"/>
        <v>127.60610331637088</v>
      </c>
      <c r="BI57" s="17">
        <f t="shared" si="118"/>
        <v>1.1625982470516784E-2</v>
      </c>
      <c r="BJ57" s="17">
        <f t="shared" si="119"/>
        <v>1.4691067337912261E-2</v>
      </c>
      <c r="BK57" s="17">
        <f t="shared" si="120"/>
        <v>28.696690452912026</v>
      </c>
      <c r="BL57" s="17">
        <f t="shared" si="121"/>
        <v>29.661930236743164</v>
      </c>
      <c r="BM57" s="263">
        <f t="shared" si="122"/>
        <v>4.6322196240640304E-3</v>
      </c>
      <c r="BN57" s="263">
        <f t="shared" si="123"/>
        <v>5.2936118196245515E-3</v>
      </c>
      <c r="BO57" s="263">
        <f t="shared" si="124"/>
        <v>4.6579973341037062E-3</v>
      </c>
      <c r="BP57" s="263">
        <f t="shared" si="125"/>
        <v>5.3410578435228997E-3</v>
      </c>
      <c r="BQ57" s="263">
        <f t="shared" si="126"/>
        <v>-2.62020899613848E-4</v>
      </c>
      <c r="BR57" s="263">
        <f t="shared" si="127"/>
        <v>2.0015946921793468E-4</v>
      </c>
      <c r="BS57" s="18" t="e">
        <f t="shared" si="148"/>
        <v>#DIV/0!</v>
      </c>
      <c r="BT57" s="18" t="e">
        <f t="shared" si="149"/>
        <v>#DIV/0!</v>
      </c>
      <c r="BU57" s="18" t="e">
        <f t="shared" si="150"/>
        <v>#DIV/0!</v>
      </c>
      <c r="BV57" s="18" t="e">
        <f t="shared" si="151"/>
        <v>#DIV/0!</v>
      </c>
      <c r="BW57" s="19" t="e">
        <f t="shared" si="152"/>
        <v>#DIV/0!</v>
      </c>
      <c r="BX57" s="19" t="e">
        <f t="shared" si="153"/>
        <v>#DIV/0!</v>
      </c>
      <c r="BY57" s="20" t="e">
        <f t="shared" si="154"/>
        <v>#DIV/0!</v>
      </c>
      <c r="BZ57" s="18" t="e">
        <f t="shared" si="155"/>
        <v>#DIV/0!</v>
      </c>
      <c r="CA57" s="19">
        <f t="shared" si="57"/>
        <v>4.9388614429463438</v>
      </c>
      <c r="CB57" s="207">
        <f t="shared" si="58"/>
        <v>6.3118282122260467</v>
      </c>
      <c r="CC57" s="19">
        <f t="shared" si="59"/>
        <v>9.9985772639558934E-4</v>
      </c>
      <c r="CD57" s="201">
        <f t="shared" si="60"/>
        <v>1.4876579055213623E-2</v>
      </c>
      <c r="CE57" s="30">
        <f t="shared" si="156"/>
        <v>38</v>
      </c>
      <c r="CF57" s="18">
        <f t="shared" si="157"/>
        <v>61.774482758620721</v>
      </c>
      <c r="CG57" s="18">
        <f t="shared" si="158"/>
        <v>112.37931034482759</v>
      </c>
      <c r="CH57" s="18">
        <f t="shared" si="159"/>
        <v>113.43103448275862</v>
      </c>
      <c r="CI57" s="16">
        <f t="shared" si="160"/>
        <v>0.18138170498084291</v>
      </c>
      <c r="CJ57" s="16">
        <f t="shared" si="128"/>
        <v>95.224137931034477</v>
      </c>
      <c r="CK57" s="17">
        <f t="shared" si="161"/>
        <v>39.11724137931035</v>
      </c>
      <c r="CL57" s="17">
        <f t="shared" si="162"/>
        <v>73.460344827586226</v>
      </c>
      <c r="CM57" s="17">
        <f t="shared" si="163"/>
        <v>100.47068965517242</v>
      </c>
      <c r="CN57" s="17">
        <f t="shared" si="164"/>
        <v>120.95172413793104</v>
      </c>
      <c r="CO57" s="17">
        <f t="shared" si="129"/>
        <v>1.3158524904214522E-2</v>
      </c>
      <c r="CP57" s="17">
        <f t="shared" si="130"/>
        <v>29.179310344827595</v>
      </c>
      <c r="CQ57" s="263">
        <f t="shared" si="165"/>
        <v>4.9995275888133029E-3</v>
      </c>
      <c r="CR57" s="263">
        <f t="shared" si="166"/>
        <v>4.962915721844291E-3</v>
      </c>
      <c r="CS57" s="263">
        <f t="shared" si="167"/>
        <v>-3.0930715197956654E-5</v>
      </c>
      <c r="CT57" s="17" t="e">
        <f t="shared" si="168"/>
        <v>#DIV/0!</v>
      </c>
      <c r="CU57" s="17" t="e">
        <f t="shared" si="169"/>
        <v>#DIV/0!</v>
      </c>
      <c r="CV57" s="21" t="e">
        <f t="shared" si="170"/>
        <v>#DIV/0!</v>
      </c>
      <c r="CW57" s="17" t="e">
        <f t="shared" si="171"/>
        <v>#DIV/0!</v>
      </c>
      <c r="CX57" s="205">
        <f t="shared" si="172"/>
        <v>5.6253448275861953</v>
      </c>
      <c r="CY57" s="22">
        <f t="shared" si="131"/>
        <v>7.938218390804606E-3</v>
      </c>
    </row>
    <row r="58" spans="1:103" ht="11.25" customHeight="1">
      <c r="A58" s="82" t="s">
        <v>167</v>
      </c>
      <c r="B58" s="160">
        <v>40</v>
      </c>
      <c r="C58" s="257">
        <v>61.77</v>
      </c>
      <c r="D58" s="160">
        <v>112</v>
      </c>
      <c r="E58" s="160">
        <v>114</v>
      </c>
      <c r="F58" s="162">
        <v>0.17847222222222223</v>
      </c>
      <c r="G58" s="274">
        <f>220.79+8.86+22.12+35.34+53.02+39.78+61.77+57.5+119.15</f>
        <v>618.32999999999993</v>
      </c>
      <c r="H58" s="159">
        <v>161.9</v>
      </c>
      <c r="I58" s="159">
        <v>324.60000000000002</v>
      </c>
      <c r="J58" s="159">
        <v>487.3</v>
      </c>
      <c r="K58" s="159">
        <v>598.5</v>
      </c>
      <c r="L58" s="135">
        <f t="shared" si="179"/>
        <v>19.829999999999927</v>
      </c>
      <c r="M58" s="271">
        <f>30.9+123.58</f>
        <v>154.47999999999999</v>
      </c>
      <c r="N58" s="159">
        <v>41.8</v>
      </c>
      <c r="O58" s="159">
        <v>83.7</v>
      </c>
      <c r="P58" s="159">
        <v>125.7</v>
      </c>
      <c r="Q58" s="159">
        <v>157.4</v>
      </c>
      <c r="R58" s="136">
        <f t="shared" si="180"/>
        <v>-2.9200000000000159</v>
      </c>
      <c r="S58" s="272">
        <v>100</v>
      </c>
      <c r="T58" s="161">
        <v>40.5</v>
      </c>
      <c r="U58" s="161">
        <v>74.8</v>
      </c>
      <c r="V58" s="161">
        <v>101.9</v>
      </c>
      <c r="W58" s="161">
        <v>123.9</v>
      </c>
      <c r="X58" s="186">
        <v>0.61597222222222225</v>
      </c>
      <c r="Y58" s="186">
        <v>0.62847222222222221</v>
      </c>
      <c r="Z58" s="184">
        <f t="shared" si="181"/>
        <v>1.2499999999999956E-2</v>
      </c>
      <c r="AA58" s="161">
        <v>28.9</v>
      </c>
      <c r="AB58" s="260">
        <v>5.0000000000000001E-3</v>
      </c>
      <c r="AC58" s="273">
        <v>4.9768518518518521E-3</v>
      </c>
      <c r="AD58" s="273">
        <f t="shared" si="182"/>
        <v>-2.3148148148148008E-5</v>
      </c>
      <c r="AE58" s="166"/>
      <c r="AF58" s="166"/>
      <c r="AG58" s="222"/>
      <c r="AH58" s="166"/>
      <c r="AI58" s="155">
        <v>1355.05</v>
      </c>
      <c r="AJ58" s="155">
        <v>1349.36</v>
      </c>
      <c r="AK58" s="225">
        <f t="shared" si="183"/>
        <v>5.6900000000000546</v>
      </c>
      <c r="AL58" s="196">
        <v>0.67569444444444438</v>
      </c>
      <c r="AM58" s="196">
        <v>0.6875</v>
      </c>
      <c r="AN58" s="227">
        <f t="shared" si="184"/>
        <v>1.1805555555555625E-2</v>
      </c>
      <c r="AO58" s="74">
        <f t="shared" si="132"/>
        <v>28.089877583208697</v>
      </c>
      <c r="AP58" s="15">
        <f t="shared" si="133"/>
        <v>47.910122416791303</v>
      </c>
      <c r="AQ58" s="18">
        <f t="shared" si="114"/>
        <v>61.691860138971634</v>
      </c>
      <c r="AR58" s="18">
        <f t="shared" si="115"/>
        <v>61.857105378269807</v>
      </c>
      <c r="AS58" s="15">
        <f t="shared" si="134"/>
        <v>109.94095976728137</v>
      </c>
      <c r="AT58" s="15">
        <f t="shared" si="135"/>
        <v>114.8176609223738</v>
      </c>
      <c r="AU58" s="15">
        <f t="shared" si="136"/>
        <v>111.93239626243108</v>
      </c>
      <c r="AV58" s="15">
        <f t="shared" si="137"/>
        <v>114.92967270308615</v>
      </c>
      <c r="AW58" s="16">
        <f t="shared" si="138"/>
        <v>0.17368036968193748</v>
      </c>
      <c r="AX58" s="16">
        <f t="shared" si="139"/>
        <v>0.18908304027974834</v>
      </c>
      <c r="AY58" s="16">
        <f t="shared" si="116"/>
        <v>56.437095452304185</v>
      </c>
      <c r="AZ58" s="16">
        <f t="shared" si="117"/>
        <v>134.01118040976476</v>
      </c>
      <c r="BA58" s="17">
        <f t="shared" si="140"/>
        <v>35.424087856897714</v>
      </c>
      <c r="BB58" s="17">
        <f t="shared" si="141"/>
        <v>42.810394901722987</v>
      </c>
      <c r="BC58" s="17">
        <f t="shared" si="142"/>
        <v>68.667936470774464</v>
      </c>
      <c r="BD58" s="17">
        <f t="shared" si="143"/>
        <v>78.252753184397989</v>
      </c>
      <c r="BE58" s="17">
        <f t="shared" si="144"/>
        <v>94.547228197183259</v>
      </c>
      <c r="BF58" s="17">
        <f t="shared" si="145"/>
        <v>106.39415111316158</v>
      </c>
      <c r="BG58" s="17">
        <f t="shared" si="146"/>
        <v>114.2973449594912</v>
      </c>
      <c r="BH58" s="17">
        <f t="shared" si="147"/>
        <v>127.60610331637088</v>
      </c>
      <c r="BI58" s="17">
        <f t="shared" si="118"/>
        <v>1.1625982470516784E-2</v>
      </c>
      <c r="BJ58" s="17">
        <f t="shared" si="119"/>
        <v>1.4691067337912261E-2</v>
      </c>
      <c r="BK58" s="17">
        <f t="shared" si="120"/>
        <v>28.696690452912026</v>
      </c>
      <c r="BL58" s="17">
        <f t="shared" si="121"/>
        <v>29.661930236743164</v>
      </c>
      <c r="BM58" s="263">
        <f t="shared" si="122"/>
        <v>4.6322196240640304E-3</v>
      </c>
      <c r="BN58" s="263">
        <f t="shared" si="123"/>
        <v>5.2936118196245515E-3</v>
      </c>
      <c r="BO58" s="263">
        <f t="shared" si="124"/>
        <v>4.6579973341037062E-3</v>
      </c>
      <c r="BP58" s="263">
        <f t="shared" si="125"/>
        <v>5.3410578435228997E-3</v>
      </c>
      <c r="BQ58" s="263">
        <f t="shared" si="126"/>
        <v>-2.62020899613848E-4</v>
      </c>
      <c r="BR58" s="263">
        <f t="shared" si="127"/>
        <v>2.0015946921793468E-4</v>
      </c>
      <c r="BS58" s="18" t="e">
        <f t="shared" si="148"/>
        <v>#DIV/0!</v>
      </c>
      <c r="BT58" s="18" t="e">
        <f t="shared" si="149"/>
        <v>#DIV/0!</v>
      </c>
      <c r="BU58" s="18" t="e">
        <f t="shared" si="150"/>
        <v>#DIV/0!</v>
      </c>
      <c r="BV58" s="18" t="e">
        <f t="shared" si="151"/>
        <v>#DIV/0!</v>
      </c>
      <c r="BW58" s="19" t="e">
        <f t="shared" si="152"/>
        <v>#DIV/0!</v>
      </c>
      <c r="BX58" s="19" t="e">
        <f t="shared" si="153"/>
        <v>#DIV/0!</v>
      </c>
      <c r="BY58" s="20" t="e">
        <f t="shared" si="154"/>
        <v>#DIV/0!</v>
      </c>
      <c r="BZ58" s="18" t="e">
        <f t="shared" si="155"/>
        <v>#DIV/0!</v>
      </c>
      <c r="CA58" s="19">
        <f t="shared" si="57"/>
        <v>4.9388614429463438</v>
      </c>
      <c r="CB58" s="207">
        <f t="shared" si="58"/>
        <v>6.3118282122260467</v>
      </c>
      <c r="CC58" s="19">
        <f t="shared" si="59"/>
        <v>9.9985772639558934E-4</v>
      </c>
      <c r="CD58" s="201">
        <f t="shared" si="60"/>
        <v>1.4876579055213623E-2</v>
      </c>
      <c r="CE58" s="30">
        <f t="shared" si="156"/>
        <v>38</v>
      </c>
      <c r="CF58" s="18">
        <f t="shared" si="157"/>
        <v>61.774482758620721</v>
      </c>
      <c r="CG58" s="18">
        <f t="shared" si="158"/>
        <v>112.37931034482759</v>
      </c>
      <c r="CH58" s="18">
        <f t="shared" si="159"/>
        <v>113.43103448275862</v>
      </c>
      <c r="CI58" s="16">
        <f t="shared" si="160"/>
        <v>0.18138170498084291</v>
      </c>
      <c r="CJ58" s="16">
        <f t="shared" si="128"/>
        <v>95.224137931034477</v>
      </c>
      <c r="CK58" s="17">
        <f t="shared" si="161"/>
        <v>39.11724137931035</v>
      </c>
      <c r="CL58" s="17">
        <f t="shared" si="162"/>
        <v>73.460344827586226</v>
      </c>
      <c r="CM58" s="17">
        <f t="shared" si="163"/>
        <v>100.47068965517242</v>
      </c>
      <c r="CN58" s="17">
        <f t="shared" si="164"/>
        <v>120.95172413793104</v>
      </c>
      <c r="CO58" s="17">
        <f t="shared" si="129"/>
        <v>1.3158524904214522E-2</v>
      </c>
      <c r="CP58" s="17">
        <f t="shared" si="130"/>
        <v>29.179310344827595</v>
      </c>
      <c r="CQ58" s="263">
        <f t="shared" si="165"/>
        <v>4.9995275888133029E-3</v>
      </c>
      <c r="CR58" s="263">
        <f t="shared" si="166"/>
        <v>4.962915721844291E-3</v>
      </c>
      <c r="CS58" s="263">
        <f t="shared" si="167"/>
        <v>-3.0930715197956654E-5</v>
      </c>
      <c r="CT58" s="17" t="e">
        <f t="shared" si="168"/>
        <v>#DIV/0!</v>
      </c>
      <c r="CU58" s="17" t="e">
        <f t="shared" si="169"/>
        <v>#DIV/0!</v>
      </c>
      <c r="CV58" s="21" t="e">
        <f t="shared" si="170"/>
        <v>#DIV/0!</v>
      </c>
      <c r="CW58" s="17" t="e">
        <f t="shared" si="171"/>
        <v>#DIV/0!</v>
      </c>
      <c r="CX58" s="205">
        <f t="shared" si="172"/>
        <v>5.6253448275861953</v>
      </c>
      <c r="CY58" s="22">
        <f t="shared" si="131"/>
        <v>7.938218390804606E-3</v>
      </c>
    </row>
    <row r="59" spans="1:103" ht="11.25" customHeight="1">
      <c r="A59" s="82" t="s">
        <v>168</v>
      </c>
      <c r="B59" s="160">
        <v>37</v>
      </c>
      <c r="C59" s="257">
        <v>61.79</v>
      </c>
      <c r="D59" s="160">
        <v>112</v>
      </c>
      <c r="E59" s="160">
        <v>114</v>
      </c>
      <c r="F59" s="162">
        <v>0.17708333333333334</v>
      </c>
      <c r="G59" s="274">
        <f>220.82+8.88+22.1+35.37+53.05+39.84+61.79+57.5+119.27</f>
        <v>618.62</v>
      </c>
      <c r="H59" s="159">
        <v>162.19999999999999</v>
      </c>
      <c r="I59" s="159">
        <v>325.10000000000002</v>
      </c>
      <c r="J59" s="159">
        <v>488.1</v>
      </c>
      <c r="K59" s="159">
        <v>599.1</v>
      </c>
      <c r="L59" s="135">
        <f t="shared" si="179"/>
        <v>19.519999999999982</v>
      </c>
      <c r="M59" s="271">
        <f>30.92+123.5</f>
        <v>154.42000000000002</v>
      </c>
      <c r="N59" s="159">
        <v>41.7</v>
      </c>
      <c r="O59" s="159">
        <v>83.7</v>
      </c>
      <c r="P59" s="159">
        <v>125.6</v>
      </c>
      <c r="Q59" s="159">
        <v>157.1</v>
      </c>
      <c r="R59" s="136">
        <f t="shared" si="180"/>
        <v>-2.6799999999999784</v>
      </c>
      <c r="S59" s="272">
        <v>91</v>
      </c>
      <c r="T59" s="161">
        <v>40</v>
      </c>
      <c r="U59" s="161">
        <v>75.3</v>
      </c>
      <c r="V59" s="161">
        <v>103.9</v>
      </c>
      <c r="W59" s="161">
        <v>124.3</v>
      </c>
      <c r="X59" s="186">
        <v>0.61458333333333337</v>
      </c>
      <c r="Y59" s="186">
        <v>0.62708333333333333</v>
      </c>
      <c r="Z59" s="184">
        <f t="shared" si="181"/>
        <v>1.2499999999999956E-2</v>
      </c>
      <c r="AA59" s="161">
        <v>29.2</v>
      </c>
      <c r="AB59" s="260">
        <v>5.138888888888889E-3</v>
      </c>
      <c r="AC59" s="260">
        <v>5.1273148148148146E-3</v>
      </c>
      <c r="AD59" s="273">
        <f t="shared" si="182"/>
        <v>-1.1574074074074438E-5</v>
      </c>
      <c r="AE59" s="166"/>
      <c r="AF59" s="166"/>
      <c r="AG59" s="222"/>
      <c r="AH59" s="166"/>
      <c r="AI59" s="155">
        <v>1355.38</v>
      </c>
      <c r="AJ59" s="155">
        <v>1349.49</v>
      </c>
      <c r="AK59" s="225">
        <f t="shared" si="183"/>
        <v>5.8900000000001</v>
      </c>
      <c r="AL59" s="196">
        <v>0.67500000000000004</v>
      </c>
      <c r="AM59" s="196">
        <v>0.68402777777777779</v>
      </c>
      <c r="AN59" s="227">
        <f t="shared" si="184"/>
        <v>9.0277777777777457E-3</v>
      </c>
      <c r="AO59" s="74">
        <f t="shared" si="132"/>
        <v>28.089877583208697</v>
      </c>
      <c r="AP59" s="15">
        <f t="shared" si="133"/>
        <v>47.910122416791303</v>
      </c>
      <c r="AQ59" s="18">
        <f t="shared" si="114"/>
        <v>61.691860138971634</v>
      </c>
      <c r="AR59" s="18">
        <f t="shared" si="115"/>
        <v>61.857105378269807</v>
      </c>
      <c r="AS59" s="15">
        <f t="shared" si="134"/>
        <v>109.94095976728137</v>
      </c>
      <c r="AT59" s="15">
        <f t="shared" si="135"/>
        <v>114.8176609223738</v>
      </c>
      <c r="AU59" s="15">
        <f t="shared" si="136"/>
        <v>111.93239626243108</v>
      </c>
      <c r="AV59" s="15">
        <f t="shared" si="137"/>
        <v>114.92967270308615</v>
      </c>
      <c r="AW59" s="16">
        <f t="shared" si="138"/>
        <v>0.17368036968193748</v>
      </c>
      <c r="AX59" s="16">
        <f t="shared" si="139"/>
        <v>0.18908304027974834</v>
      </c>
      <c r="AY59" s="16">
        <f t="shared" si="116"/>
        <v>56.437095452304185</v>
      </c>
      <c r="AZ59" s="16">
        <f t="shared" si="117"/>
        <v>134.01118040976476</v>
      </c>
      <c r="BA59" s="17">
        <f t="shared" si="140"/>
        <v>35.424087856897714</v>
      </c>
      <c r="BB59" s="17">
        <f t="shared" si="141"/>
        <v>42.810394901722987</v>
      </c>
      <c r="BC59" s="17">
        <f t="shared" si="142"/>
        <v>68.667936470774464</v>
      </c>
      <c r="BD59" s="17">
        <f t="shared" si="143"/>
        <v>78.252753184397989</v>
      </c>
      <c r="BE59" s="17">
        <f t="shared" si="144"/>
        <v>94.547228197183259</v>
      </c>
      <c r="BF59" s="17">
        <f t="shared" si="145"/>
        <v>106.39415111316158</v>
      </c>
      <c r="BG59" s="17">
        <f t="shared" si="146"/>
        <v>114.2973449594912</v>
      </c>
      <c r="BH59" s="17">
        <f t="shared" si="147"/>
        <v>127.60610331637088</v>
      </c>
      <c r="BI59" s="17">
        <f t="shared" si="118"/>
        <v>1.1625982470516784E-2</v>
      </c>
      <c r="BJ59" s="17">
        <f t="shared" si="119"/>
        <v>1.4691067337912261E-2</v>
      </c>
      <c r="BK59" s="17">
        <f t="shared" si="120"/>
        <v>28.696690452912026</v>
      </c>
      <c r="BL59" s="17">
        <f t="shared" si="121"/>
        <v>29.661930236743164</v>
      </c>
      <c r="BM59" s="263">
        <f t="shared" si="122"/>
        <v>4.6322196240640304E-3</v>
      </c>
      <c r="BN59" s="263">
        <f t="shared" si="123"/>
        <v>5.2936118196245515E-3</v>
      </c>
      <c r="BO59" s="263">
        <f t="shared" si="124"/>
        <v>4.6579973341037062E-3</v>
      </c>
      <c r="BP59" s="263">
        <f t="shared" si="125"/>
        <v>5.3410578435228997E-3</v>
      </c>
      <c r="BQ59" s="263">
        <f t="shared" si="126"/>
        <v>-2.62020899613848E-4</v>
      </c>
      <c r="BR59" s="263">
        <f t="shared" si="127"/>
        <v>2.0015946921793468E-4</v>
      </c>
      <c r="BS59" s="18" t="e">
        <f t="shared" si="148"/>
        <v>#DIV/0!</v>
      </c>
      <c r="BT59" s="18" t="e">
        <f t="shared" si="149"/>
        <v>#DIV/0!</v>
      </c>
      <c r="BU59" s="18" t="e">
        <f t="shared" si="150"/>
        <v>#DIV/0!</v>
      </c>
      <c r="BV59" s="18" t="e">
        <f t="shared" si="151"/>
        <v>#DIV/0!</v>
      </c>
      <c r="BW59" s="19" t="e">
        <f t="shared" si="152"/>
        <v>#DIV/0!</v>
      </c>
      <c r="BX59" s="19" t="e">
        <f t="shared" si="153"/>
        <v>#DIV/0!</v>
      </c>
      <c r="BY59" s="20" t="e">
        <f t="shared" si="154"/>
        <v>#DIV/0!</v>
      </c>
      <c r="BZ59" s="18" t="e">
        <f t="shared" si="155"/>
        <v>#DIV/0!</v>
      </c>
      <c r="CA59" s="19">
        <f t="shared" si="57"/>
        <v>4.9388614429463438</v>
      </c>
      <c r="CB59" s="207">
        <f t="shared" si="58"/>
        <v>6.3118282122260467</v>
      </c>
      <c r="CC59" s="19">
        <f t="shared" si="59"/>
        <v>9.9985772639558934E-4</v>
      </c>
      <c r="CD59" s="201">
        <f t="shared" si="60"/>
        <v>1.4876579055213623E-2</v>
      </c>
      <c r="CE59" s="30">
        <f t="shared" si="156"/>
        <v>38</v>
      </c>
      <c r="CF59" s="18">
        <f t="shared" si="157"/>
        <v>61.774482758620721</v>
      </c>
      <c r="CG59" s="18">
        <f t="shared" si="158"/>
        <v>112.37931034482759</v>
      </c>
      <c r="CH59" s="18">
        <f t="shared" si="159"/>
        <v>113.43103448275862</v>
      </c>
      <c r="CI59" s="16">
        <f t="shared" si="160"/>
        <v>0.18138170498084291</v>
      </c>
      <c r="CJ59" s="16">
        <f t="shared" si="128"/>
        <v>95.224137931034477</v>
      </c>
      <c r="CK59" s="17">
        <f t="shared" si="161"/>
        <v>39.11724137931035</v>
      </c>
      <c r="CL59" s="17">
        <f t="shared" si="162"/>
        <v>73.460344827586226</v>
      </c>
      <c r="CM59" s="17">
        <f t="shared" si="163"/>
        <v>100.47068965517242</v>
      </c>
      <c r="CN59" s="17">
        <f t="shared" si="164"/>
        <v>120.95172413793104</v>
      </c>
      <c r="CO59" s="17">
        <f t="shared" si="129"/>
        <v>1.3158524904214522E-2</v>
      </c>
      <c r="CP59" s="17">
        <f t="shared" si="130"/>
        <v>29.179310344827595</v>
      </c>
      <c r="CQ59" s="263">
        <f t="shared" si="165"/>
        <v>4.9995275888133029E-3</v>
      </c>
      <c r="CR59" s="263">
        <f t="shared" si="166"/>
        <v>4.962915721844291E-3</v>
      </c>
      <c r="CS59" s="263">
        <f t="shared" si="167"/>
        <v>-3.0930715197956654E-5</v>
      </c>
      <c r="CT59" s="17" t="e">
        <f t="shared" si="168"/>
        <v>#DIV/0!</v>
      </c>
      <c r="CU59" s="17" t="e">
        <f t="shared" si="169"/>
        <v>#DIV/0!</v>
      </c>
      <c r="CV59" s="21" t="e">
        <f t="shared" si="170"/>
        <v>#DIV/0!</v>
      </c>
      <c r="CW59" s="17" t="e">
        <f t="shared" si="171"/>
        <v>#DIV/0!</v>
      </c>
      <c r="CX59" s="205">
        <f t="shared" si="172"/>
        <v>5.6253448275861953</v>
      </c>
      <c r="CY59" s="22">
        <f t="shared" si="131"/>
        <v>7.938218390804606E-3</v>
      </c>
    </row>
    <row r="60" spans="1:103" ht="11.25" customHeight="1">
      <c r="A60" s="82" t="s">
        <v>169</v>
      </c>
      <c r="B60" s="160">
        <v>40</v>
      </c>
      <c r="C60" s="257">
        <v>61.76</v>
      </c>
      <c r="D60" s="160">
        <v>112</v>
      </c>
      <c r="E60" s="160">
        <v>114</v>
      </c>
      <c r="F60" s="162">
        <v>0.17916666666666667</v>
      </c>
      <c r="G60" s="274">
        <f>220.75+8.88+22.1+35.33+53.05+39.79+61.76+57.46+119.13</f>
        <v>618.25</v>
      </c>
      <c r="H60" s="159">
        <v>162.5</v>
      </c>
      <c r="I60" s="159">
        <v>325.7</v>
      </c>
      <c r="J60" s="159">
        <v>488.8</v>
      </c>
      <c r="K60" s="159">
        <v>598.5</v>
      </c>
      <c r="L60" s="135">
        <f t="shared" si="179"/>
        <v>19.75</v>
      </c>
      <c r="M60" s="271">
        <f>30.91+123.64</f>
        <v>154.55000000000001</v>
      </c>
      <c r="N60" s="159">
        <v>41.8</v>
      </c>
      <c r="O60" s="159">
        <v>83.7</v>
      </c>
      <c r="P60" s="159">
        <v>125.7</v>
      </c>
      <c r="Q60" s="159">
        <v>156.9</v>
      </c>
      <c r="R60" s="136">
        <f t="shared" si="180"/>
        <v>-2.3499999999999943</v>
      </c>
      <c r="S60" s="272">
        <v>98</v>
      </c>
      <c r="T60" s="161">
        <v>40.799999999999997</v>
      </c>
      <c r="U60" s="161">
        <v>75</v>
      </c>
      <c r="V60" s="161">
        <v>102.7</v>
      </c>
      <c r="W60" s="161">
        <v>123</v>
      </c>
      <c r="X60" s="186">
        <v>0.6166666666666667</v>
      </c>
      <c r="Y60" s="186">
        <v>0.62916666666666665</v>
      </c>
      <c r="Z60" s="184">
        <f t="shared" si="181"/>
        <v>1.2499999999999956E-2</v>
      </c>
      <c r="AA60" s="161">
        <v>29.1</v>
      </c>
      <c r="AB60" s="260">
        <v>5.0115740740740737E-3</v>
      </c>
      <c r="AC60" s="273">
        <v>5.0115740740740737E-3</v>
      </c>
      <c r="AD60" s="273">
        <f t="shared" si="182"/>
        <v>0</v>
      </c>
      <c r="AE60" s="166"/>
      <c r="AF60" s="166"/>
      <c r="AG60" s="222"/>
      <c r="AH60" s="166"/>
      <c r="AI60" s="155">
        <v>1355.12</v>
      </c>
      <c r="AJ60" s="155">
        <v>1349.08</v>
      </c>
      <c r="AK60" s="225">
        <f t="shared" si="183"/>
        <v>6.0399999999999636</v>
      </c>
      <c r="AL60" s="196">
        <v>0.67638888888888893</v>
      </c>
      <c r="AM60" s="196">
        <v>0.68402777777777779</v>
      </c>
      <c r="AN60" s="227">
        <f t="shared" si="184"/>
        <v>7.6388888888888618E-3</v>
      </c>
      <c r="AO60" s="74">
        <f t="shared" si="132"/>
        <v>28.089877583208697</v>
      </c>
      <c r="AP60" s="15">
        <f t="shared" si="133"/>
        <v>47.910122416791303</v>
      </c>
      <c r="AQ60" s="18">
        <f t="shared" si="114"/>
        <v>61.691860138971634</v>
      </c>
      <c r="AR60" s="18">
        <f t="shared" si="115"/>
        <v>61.857105378269807</v>
      </c>
      <c r="AS60" s="15">
        <f t="shared" si="134"/>
        <v>109.94095976728137</v>
      </c>
      <c r="AT60" s="15">
        <f t="shared" si="135"/>
        <v>114.8176609223738</v>
      </c>
      <c r="AU60" s="15">
        <f t="shared" si="136"/>
        <v>111.93239626243108</v>
      </c>
      <c r="AV60" s="15">
        <f t="shared" si="137"/>
        <v>114.92967270308615</v>
      </c>
      <c r="AW60" s="16">
        <f t="shared" si="138"/>
        <v>0.17368036968193748</v>
      </c>
      <c r="AX60" s="16">
        <f t="shared" si="139"/>
        <v>0.18908304027974834</v>
      </c>
      <c r="AY60" s="16">
        <f t="shared" si="116"/>
        <v>56.437095452304185</v>
      </c>
      <c r="AZ60" s="16">
        <f t="shared" si="117"/>
        <v>134.01118040976476</v>
      </c>
      <c r="BA60" s="17">
        <f t="shared" si="140"/>
        <v>35.424087856897714</v>
      </c>
      <c r="BB60" s="17">
        <f t="shared" si="141"/>
        <v>42.810394901722987</v>
      </c>
      <c r="BC60" s="17">
        <f t="shared" si="142"/>
        <v>68.667936470774464</v>
      </c>
      <c r="BD60" s="17">
        <f t="shared" si="143"/>
        <v>78.252753184397989</v>
      </c>
      <c r="BE60" s="17">
        <f t="shared" si="144"/>
        <v>94.547228197183259</v>
      </c>
      <c r="BF60" s="17">
        <f t="shared" si="145"/>
        <v>106.39415111316158</v>
      </c>
      <c r="BG60" s="17">
        <f t="shared" si="146"/>
        <v>114.2973449594912</v>
      </c>
      <c r="BH60" s="17">
        <f t="shared" si="147"/>
        <v>127.60610331637088</v>
      </c>
      <c r="BI60" s="17">
        <f t="shared" si="118"/>
        <v>1.1625982470516784E-2</v>
      </c>
      <c r="BJ60" s="17">
        <f t="shared" si="119"/>
        <v>1.4691067337912261E-2</v>
      </c>
      <c r="BK60" s="17">
        <f t="shared" si="120"/>
        <v>28.696690452912026</v>
      </c>
      <c r="BL60" s="17">
        <f t="shared" si="121"/>
        <v>29.661930236743164</v>
      </c>
      <c r="BM60" s="263">
        <f t="shared" si="122"/>
        <v>4.6322196240640304E-3</v>
      </c>
      <c r="BN60" s="263">
        <f t="shared" si="123"/>
        <v>5.2936118196245515E-3</v>
      </c>
      <c r="BO60" s="263">
        <f t="shared" si="124"/>
        <v>4.6579973341037062E-3</v>
      </c>
      <c r="BP60" s="263">
        <f t="shared" si="125"/>
        <v>5.3410578435228997E-3</v>
      </c>
      <c r="BQ60" s="263">
        <f t="shared" si="126"/>
        <v>-2.62020899613848E-4</v>
      </c>
      <c r="BR60" s="263">
        <f t="shared" si="127"/>
        <v>2.0015946921793468E-4</v>
      </c>
      <c r="BS60" s="18" t="e">
        <f t="shared" si="148"/>
        <v>#DIV/0!</v>
      </c>
      <c r="BT60" s="18" t="e">
        <f t="shared" si="149"/>
        <v>#DIV/0!</v>
      </c>
      <c r="BU60" s="18" t="e">
        <f t="shared" si="150"/>
        <v>#DIV/0!</v>
      </c>
      <c r="BV60" s="18" t="e">
        <f t="shared" si="151"/>
        <v>#DIV/0!</v>
      </c>
      <c r="BW60" s="19" t="e">
        <f t="shared" si="152"/>
        <v>#DIV/0!</v>
      </c>
      <c r="BX60" s="19" t="e">
        <f t="shared" si="153"/>
        <v>#DIV/0!</v>
      </c>
      <c r="BY60" s="20" t="e">
        <f t="shared" si="154"/>
        <v>#DIV/0!</v>
      </c>
      <c r="BZ60" s="18" t="e">
        <f t="shared" si="155"/>
        <v>#DIV/0!</v>
      </c>
      <c r="CA60" s="19">
        <f t="shared" si="57"/>
        <v>4.9388614429463438</v>
      </c>
      <c r="CB60" s="207">
        <f t="shared" si="58"/>
        <v>6.3118282122260467</v>
      </c>
      <c r="CC60" s="19">
        <f t="shared" si="59"/>
        <v>9.9985772639558934E-4</v>
      </c>
      <c r="CD60" s="201">
        <f t="shared" si="60"/>
        <v>1.4876579055213623E-2</v>
      </c>
      <c r="CE60" s="30">
        <f t="shared" si="156"/>
        <v>38</v>
      </c>
      <c r="CF60" s="18">
        <f t="shared" si="157"/>
        <v>61.774482758620721</v>
      </c>
      <c r="CG60" s="18">
        <f t="shared" si="158"/>
        <v>112.37931034482759</v>
      </c>
      <c r="CH60" s="18">
        <f t="shared" si="159"/>
        <v>113.43103448275862</v>
      </c>
      <c r="CI60" s="16">
        <f t="shared" si="160"/>
        <v>0.18138170498084291</v>
      </c>
      <c r="CJ60" s="16">
        <f t="shared" si="128"/>
        <v>95.224137931034477</v>
      </c>
      <c r="CK60" s="17">
        <f t="shared" si="161"/>
        <v>39.11724137931035</v>
      </c>
      <c r="CL60" s="17">
        <f t="shared" si="162"/>
        <v>73.460344827586226</v>
      </c>
      <c r="CM60" s="17">
        <f t="shared" si="163"/>
        <v>100.47068965517242</v>
      </c>
      <c r="CN60" s="17">
        <f t="shared" si="164"/>
        <v>120.95172413793104</v>
      </c>
      <c r="CO60" s="17">
        <f t="shared" si="129"/>
        <v>1.3158524904214522E-2</v>
      </c>
      <c r="CP60" s="17">
        <f t="shared" si="130"/>
        <v>29.179310344827595</v>
      </c>
      <c r="CQ60" s="263">
        <f t="shared" si="165"/>
        <v>4.9995275888133029E-3</v>
      </c>
      <c r="CR60" s="263">
        <f t="shared" si="166"/>
        <v>4.962915721844291E-3</v>
      </c>
      <c r="CS60" s="263">
        <f t="shared" si="167"/>
        <v>-3.0930715197956654E-5</v>
      </c>
      <c r="CT60" s="17" t="e">
        <f t="shared" si="168"/>
        <v>#DIV/0!</v>
      </c>
      <c r="CU60" s="17" t="e">
        <f t="shared" si="169"/>
        <v>#DIV/0!</v>
      </c>
      <c r="CV60" s="21" t="e">
        <f t="shared" si="170"/>
        <v>#DIV/0!</v>
      </c>
      <c r="CW60" s="17" t="e">
        <f t="shared" si="171"/>
        <v>#DIV/0!</v>
      </c>
      <c r="CX60" s="205">
        <f t="shared" si="172"/>
        <v>5.6253448275861953</v>
      </c>
      <c r="CY60" s="22">
        <f t="shared" si="131"/>
        <v>7.938218390804606E-3</v>
      </c>
    </row>
    <row r="61" spans="1:103" ht="11.25" customHeight="1">
      <c r="A61" s="82" t="s">
        <v>170</v>
      </c>
      <c r="B61" s="160">
        <v>43</v>
      </c>
      <c r="C61" s="257">
        <v>61.77</v>
      </c>
      <c r="D61" s="160">
        <v>112</v>
      </c>
      <c r="E61" s="160">
        <v>114</v>
      </c>
      <c r="F61" s="162">
        <v>0.17847222222222223</v>
      </c>
      <c r="G61" s="274">
        <f>220.87+8.86+22.11+35.33+53.02+39.8+61.77+57.57+119.18</f>
        <v>618.51</v>
      </c>
      <c r="H61" s="159">
        <v>162.1</v>
      </c>
      <c r="I61" s="159">
        <v>324.89999999999998</v>
      </c>
      <c r="J61" s="159">
        <v>487.7</v>
      </c>
      <c r="K61" s="159">
        <v>601.5</v>
      </c>
      <c r="L61" s="135">
        <f t="shared" si="179"/>
        <v>17.009999999999991</v>
      </c>
      <c r="M61" s="271">
        <f>30.95+123.56</f>
        <v>154.51</v>
      </c>
      <c r="N61" s="159">
        <v>41.8</v>
      </c>
      <c r="O61" s="159">
        <v>83.7</v>
      </c>
      <c r="P61" s="159">
        <v>125.6</v>
      </c>
      <c r="Q61" s="159">
        <v>156.9</v>
      </c>
      <c r="R61" s="136">
        <f t="shared" si="180"/>
        <v>-2.3900000000000148</v>
      </c>
      <c r="S61" s="272">
        <v>84</v>
      </c>
      <c r="T61" s="161">
        <v>39.799999999999997</v>
      </c>
      <c r="U61" s="161">
        <v>75</v>
      </c>
      <c r="V61" s="161">
        <v>102.9</v>
      </c>
      <c r="W61" s="161">
        <v>123.2</v>
      </c>
      <c r="X61" s="186">
        <v>0.61597222222222225</v>
      </c>
      <c r="Y61" s="186">
        <v>0.62847222222222221</v>
      </c>
      <c r="Z61" s="184">
        <f t="shared" si="181"/>
        <v>1.2499999999999956E-2</v>
      </c>
      <c r="AA61" s="161">
        <v>29.2</v>
      </c>
      <c r="AB61" s="260">
        <v>4.9652777777777777E-3</v>
      </c>
      <c r="AC61" s="273">
        <v>5.0115740740740737E-3</v>
      </c>
      <c r="AD61" s="273">
        <f t="shared" si="182"/>
        <v>4.6296296296296016E-5</v>
      </c>
      <c r="AE61" s="166"/>
      <c r="AF61" s="166"/>
      <c r="AG61" s="222"/>
      <c r="AH61" s="166"/>
      <c r="AI61" s="155">
        <v>1355.3</v>
      </c>
      <c r="AJ61" s="155">
        <v>1349.76</v>
      </c>
      <c r="AK61" s="225">
        <f t="shared" si="183"/>
        <v>5.5399999999999636</v>
      </c>
      <c r="AL61" s="196">
        <v>0.67638888888888893</v>
      </c>
      <c r="AM61" s="196">
        <v>0.68402777777777779</v>
      </c>
      <c r="AN61" s="227">
        <f t="shared" si="184"/>
        <v>7.6388888888888618E-3</v>
      </c>
      <c r="AO61" s="74">
        <f t="shared" si="132"/>
        <v>28.089877583208697</v>
      </c>
      <c r="AP61" s="15">
        <f t="shared" si="133"/>
        <v>47.910122416791303</v>
      </c>
      <c r="AQ61" s="18">
        <f t="shared" si="114"/>
        <v>61.691860138971634</v>
      </c>
      <c r="AR61" s="18">
        <f t="shared" si="115"/>
        <v>61.857105378269807</v>
      </c>
      <c r="AS61" s="15">
        <f t="shared" si="134"/>
        <v>109.94095976728137</v>
      </c>
      <c r="AT61" s="15">
        <f t="shared" si="135"/>
        <v>114.8176609223738</v>
      </c>
      <c r="AU61" s="15">
        <f t="shared" si="136"/>
        <v>111.93239626243108</v>
      </c>
      <c r="AV61" s="15">
        <f t="shared" si="137"/>
        <v>114.92967270308615</v>
      </c>
      <c r="AW61" s="16">
        <f t="shared" si="138"/>
        <v>0.17368036968193748</v>
      </c>
      <c r="AX61" s="16">
        <f t="shared" si="139"/>
        <v>0.18908304027974834</v>
      </c>
      <c r="AY61" s="16">
        <f t="shared" si="116"/>
        <v>56.437095452304185</v>
      </c>
      <c r="AZ61" s="16">
        <f t="shared" si="117"/>
        <v>134.01118040976476</v>
      </c>
      <c r="BA61" s="17">
        <f t="shared" si="140"/>
        <v>35.424087856897714</v>
      </c>
      <c r="BB61" s="17">
        <f t="shared" si="141"/>
        <v>42.810394901722987</v>
      </c>
      <c r="BC61" s="17">
        <f t="shared" si="142"/>
        <v>68.667936470774464</v>
      </c>
      <c r="BD61" s="17">
        <f t="shared" si="143"/>
        <v>78.252753184397989</v>
      </c>
      <c r="BE61" s="17">
        <f t="shared" si="144"/>
        <v>94.547228197183259</v>
      </c>
      <c r="BF61" s="17">
        <f t="shared" si="145"/>
        <v>106.39415111316158</v>
      </c>
      <c r="BG61" s="17">
        <f t="shared" si="146"/>
        <v>114.2973449594912</v>
      </c>
      <c r="BH61" s="17">
        <f t="shared" si="147"/>
        <v>127.60610331637088</v>
      </c>
      <c r="BI61" s="17">
        <f t="shared" si="118"/>
        <v>1.1625982470516784E-2</v>
      </c>
      <c r="BJ61" s="17">
        <f t="shared" si="119"/>
        <v>1.4691067337912261E-2</v>
      </c>
      <c r="BK61" s="17">
        <f t="shared" si="120"/>
        <v>28.696690452912026</v>
      </c>
      <c r="BL61" s="17">
        <f t="shared" si="121"/>
        <v>29.661930236743164</v>
      </c>
      <c r="BM61" s="263">
        <f t="shared" si="122"/>
        <v>4.6322196240640304E-3</v>
      </c>
      <c r="BN61" s="263">
        <f t="shared" si="123"/>
        <v>5.2936118196245515E-3</v>
      </c>
      <c r="BO61" s="263">
        <f t="shared" si="124"/>
        <v>4.6579973341037062E-3</v>
      </c>
      <c r="BP61" s="263">
        <f t="shared" si="125"/>
        <v>5.3410578435228997E-3</v>
      </c>
      <c r="BQ61" s="263">
        <f t="shared" si="126"/>
        <v>-2.62020899613848E-4</v>
      </c>
      <c r="BR61" s="263">
        <f t="shared" si="127"/>
        <v>2.0015946921793468E-4</v>
      </c>
      <c r="BS61" s="18" t="e">
        <f t="shared" si="148"/>
        <v>#DIV/0!</v>
      </c>
      <c r="BT61" s="18" t="e">
        <f t="shared" si="149"/>
        <v>#DIV/0!</v>
      </c>
      <c r="BU61" s="18" t="e">
        <f t="shared" si="150"/>
        <v>#DIV/0!</v>
      </c>
      <c r="BV61" s="18" t="e">
        <f t="shared" si="151"/>
        <v>#DIV/0!</v>
      </c>
      <c r="BW61" s="19" t="e">
        <f t="shared" si="152"/>
        <v>#DIV/0!</v>
      </c>
      <c r="BX61" s="19" t="e">
        <f t="shared" si="153"/>
        <v>#DIV/0!</v>
      </c>
      <c r="BY61" s="20" t="e">
        <f t="shared" si="154"/>
        <v>#DIV/0!</v>
      </c>
      <c r="BZ61" s="18" t="e">
        <f t="shared" si="155"/>
        <v>#DIV/0!</v>
      </c>
      <c r="CA61" s="19">
        <f t="shared" si="57"/>
        <v>4.9388614429463438</v>
      </c>
      <c r="CB61" s="207">
        <f t="shared" si="58"/>
        <v>6.3118282122260467</v>
      </c>
      <c r="CC61" s="19">
        <f t="shared" si="59"/>
        <v>9.9985772639558934E-4</v>
      </c>
      <c r="CD61" s="201">
        <f t="shared" si="60"/>
        <v>1.4876579055213623E-2</v>
      </c>
      <c r="CE61" s="30">
        <f t="shared" si="156"/>
        <v>38</v>
      </c>
      <c r="CF61" s="18">
        <f t="shared" si="157"/>
        <v>61.774482758620721</v>
      </c>
      <c r="CG61" s="18">
        <f t="shared" si="158"/>
        <v>112.37931034482759</v>
      </c>
      <c r="CH61" s="18">
        <f t="shared" si="159"/>
        <v>113.43103448275862</v>
      </c>
      <c r="CI61" s="16">
        <f t="shared" si="160"/>
        <v>0.18138170498084291</v>
      </c>
      <c r="CJ61" s="16">
        <f t="shared" si="128"/>
        <v>95.224137931034477</v>
      </c>
      <c r="CK61" s="17">
        <f t="shared" si="161"/>
        <v>39.11724137931035</v>
      </c>
      <c r="CL61" s="17">
        <f t="shared" si="162"/>
        <v>73.460344827586226</v>
      </c>
      <c r="CM61" s="17">
        <f t="shared" si="163"/>
        <v>100.47068965517242</v>
      </c>
      <c r="CN61" s="17">
        <f t="shared" si="164"/>
        <v>120.95172413793104</v>
      </c>
      <c r="CO61" s="17">
        <f t="shared" si="129"/>
        <v>1.3158524904214522E-2</v>
      </c>
      <c r="CP61" s="17">
        <f t="shared" si="130"/>
        <v>29.179310344827595</v>
      </c>
      <c r="CQ61" s="263">
        <f t="shared" si="165"/>
        <v>4.9995275888133029E-3</v>
      </c>
      <c r="CR61" s="263">
        <f t="shared" si="166"/>
        <v>4.962915721844291E-3</v>
      </c>
      <c r="CS61" s="263">
        <f t="shared" si="167"/>
        <v>-3.0930715197956654E-5</v>
      </c>
      <c r="CT61" s="17" t="e">
        <f t="shared" si="168"/>
        <v>#DIV/0!</v>
      </c>
      <c r="CU61" s="17" t="e">
        <f t="shared" si="169"/>
        <v>#DIV/0!</v>
      </c>
      <c r="CV61" s="21" t="e">
        <f t="shared" si="170"/>
        <v>#DIV/0!</v>
      </c>
      <c r="CW61" s="17" t="e">
        <f t="shared" si="171"/>
        <v>#DIV/0!</v>
      </c>
      <c r="CX61" s="205">
        <f t="shared" si="172"/>
        <v>5.6253448275861953</v>
      </c>
      <c r="CY61" s="22">
        <f t="shared" si="131"/>
        <v>7.938218390804606E-3</v>
      </c>
    </row>
    <row r="62" spans="1:103" ht="11.25" customHeight="1">
      <c r="A62" s="82" t="s">
        <v>171</v>
      </c>
      <c r="B62" s="160">
        <v>40</v>
      </c>
      <c r="C62" s="257">
        <v>61.76</v>
      </c>
      <c r="D62" s="160">
        <v>113</v>
      </c>
      <c r="E62" s="160">
        <v>114</v>
      </c>
      <c r="F62" s="162">
        <v>0.18055555555555555</v>
      </c>
      <c r="G62" s="274">
        <f>220.66+8.88+22.1+35.31+53.05+39.82+61.76+57.51+119.15</f>
        <v>618.24</v>
      </c>
      <c r="H62" s="159">
        <v>161.69999999999999</v>
      </c>
      <c r="I62" s="159">
        <v>324.10000000000002</v>
      </c>
      <c r="J62" s="159">
        <v>486.6</v>
      </c>
      <c r="K62" s="159">
        <v>604.20000000000005</v>
      </c>
      <c r="L62" s="135">
        <f t="shared" si="179"/>
        <v>14.039999999999964</v>
      </c>
      <c r="M62" s="271">
        <f>123.57+30.89</f>
        <v>154.45999999999998</v>
      </c>
      <c r="N62" s="159">
        <v>41.7</v>
      </c>
      <c r="O62" s="159">
        <v>83.7</v>
      </c>
      <c r="P62" s="159">
        <v>125.6</v>
      </c>
      <c r="Q62" s="159">
        <v>156.69999999999999</v>
      </c>
      <c r="R62" s="136">
        <f t="shared" si="180"/>
        <v>-2.2400000000000091</v>
      </c>
      <c r="S62" s="272">
        <v>108</v>
      </c>
      <c r="T62" s="161">
        <v>38.9</v>
      </c>
      <c r="U62" s="161">
        <v>73.8</v>
      </c>
      <c r="V62" s="161">
        <v>101.1</v>
      </c>
      <c r="W62" s="161">
        <v>121.4</v>
      </c>
      <c r="X62" s="186">
        <v>0.61805555555555558</v>
      </c>
      <c r="Y62" s="186">
        <v>0.63055555555555554</v>
      </c>
      <c r="Z62" s="184">
        <f t="shared" si="181"/>
        <v>1.2499999999999956E-2</v>
      </c>
      <c r="AA62" s="161">
        <v>29.2</v>
      </c>
      <c r="AB62" s="260">
        <v>5.1041666666666666E-3</v>
      </c>
      <c r="AC62" s="260">
        <v>5.0810185185185186E-3</v>
      </c>
      <c r="AD62" s="273">
        <f>AC62-AB62</f>
        <v>-2.3148148148148008E-5</v>
      </c>
      <c r="AE62" s="166"/>
      <c r="AF62" s="166"/>
      <c r="AG62" s="222"/>
      <c r="AH62" s="166"/>
      <c r="AI62" s="155">
        <v>1354.93</v>
      </c>
      <c r="AJ62" s="155">
        <v>1349.3</v>
      </c>
      <c r="AK62" s="225">
        <f t="shared" si="183"/>
        <v>5.6300000000001091</v>
      </c>
      <c r="AL62" s="196">
        <v>0.67708333333333337</v>
      </c>
      <c r="AM62" s="196">
        <v>0.68402777777777779</v>
      </c>
      <c r="AN62" s="227">
        <f t="shared" si="184"/>
        <v>6.9444444444444198E-3</v>
      </c>
      <c r="AO62" s="74">
        <f t="shared" si="132"/>
        <v>28.089877583208697</v>
      </c>
      <c r="AP62" s="15">
        <f t="shared" si="133"/>
        <v>47.910122416791303</v>
      </c>
      <c r="AQ62" s="18">
        <f t="shared" si="114"/>
        <v>61.691860138971634</v>
      </c>
      <c r="AR62" s="18">
        <f t="shared" si="115"/>
        <v>61.857105378269807</v>
      </c>
      <c r="AS62" s="15">
        <f t="shared" si="134"/>
        <v>109.94095976728137</v>
      </c>
      <c r="AT62" s="15">
        <f t="shared" si="135"/>
        <v>114.8176609223738</v>
      </c>
      <c r="AU62" s="15">
        <f t="shared" si="136"/>
        <v>111.93239626243108</v>
      </c>
      <c r="AV62" s="15">
        <f t="shared" si="137"/>
        <v>114.92967270308615</v>
      </c>
      <c r="AW62" s="16">
        <f t="shared" si="138"/>
        <v>0.17368036968193748</v>
      </c>
      <c r="AX62" s="16">
        <f t="shared" si="139"/>
        <v>0.18908304027974834</v>
      </c>
      <c r="AY62" s="16">
        <f t="shared" si="116"/>
        <v>56.437095452304185</v>
      </c>
      <c r="AZ62" s="16">
        <f t="shared" si="117"/>
        <v>134.01118040976476</v>
      </c>
      <c r="BA62" s="17">
        <f t="shared" si="140"/>
        <v>35.424087856897714</v>
      </c>
      <c r="BB62" s="17">
        <f t="shared" si="141"/>
        <v>42.810394901722987</v>
      </c>
      <c r="BC62" s="17">
        <f t="shared" si="142"/>
        <v>68.667936470774464</v>
      </c>
      <c r="BD62" s="17">
        <f t="shared" si="143"/>
        <v>78.252753184397989</v>
      </c>
      <c r="BE62" s="17">
        <f t="shared" si="144"/>
        <v>94.547228197183259</v>
      </c>
      <c r="BF62" s="17">
        <f t="shared" si="145"/>
        <v>106.39415111316158</v>
      </c>
      <c r="BG62" s="17">
        <f t="shared" si="146"/>
        <v>114.2973449594912</v>
      </c>
      <c r="BH62" s="17">
        <f t="shared" si="147"/>
        <v>127.60610331637088</v>
      </c>
      <c r="BI62" s="17">
        <f t="shared" si="118"/>
        <v>1.1625982470516784E-2</v>
      </c>
      <c r="BJ62" s="17">
        <f t="shared" si="119"/>
        <v>1.4691067337912261E-2</v>
      </c>
      <c r="BK62" s="17">
        <f t="shared" si="120"/>
        <v>28.696690452912026</v>
      </c>
      <c r="BL62" s="17">
        <f t="shared" si="121"/>
        <v>29.661930236743164</v>
      </c>
      <c r="BM62" s="263">
        <f t="shared" si="122"/>
        <v>4.6322196240640304E-3</v>
      </c>
      <c r="BN62" s="263">
        <f t="shared" si="123"/>
        <v>5.2936118196245515E-3</v>
      </c>
      <c r="BO62" s="263">
        <f t="shared" si="124"/>
        <v>4.6579973341037062E-3</v>
      </c>
      <c r="BP62" s="263">
        <f t="shared" si="125"/>
        <v>5.3410578435228997E-3</v>
      </c>
      <c r="BQ62" s="263">
        <f t="shared" si="126"/>
        <v>-2.62020899613848E-4</v>
      </c>
      <c r="BR62" s="263">
        <f t="shared" si="127"/>
        <v>2.0015946921793468E-4</v>
      </c>
      <c r="BS62" s="18" t="e">
        <f t="shared" si="148"/>
        <v>#DIV/0!</v>
      </c>
      <c r="BT62" s="18" t="e">
        <f t="shared" si="149"/>
        <v>#DIV/0!</v>
      </c>
      <c r="BU62" s="18" t="e">
        <f t="shared" si="150"/>
        <v>#DIV/0!</v>
      </c>
      <c r="BV62" s="18" t="e">
        <f t="shared" si="151"/>
        <v>#DIV/0!</v>
      </c>
      <c r="BW62" s="19" t="e">
        <f t="shared" si="152"/>
        <v>#DIV/0!</v>
      </c>
      <c r="BX62" s="19" t="e">
        <f t="shared" si="153"/>
        <v>#DIV/0!</v>
      </c>
      <c r="BY62" s="20" t="e">
        <f t="shared" si="154"/>
        <v>#DIV/0!</v>
      </c>
      <c r="BZ62" s="18" t="e">
        <f t="shared" si="155"/>
        <v>#DIV/0!</v>
      </c>
      <c r="CA62" s="19">
        <f t="shared" si="57"/>
        <v>4.9388614429463438</v>
      </c>
      <c r="CB62" s="207">
        <f t="shared" si="58"/>
        <v>6.3118282122260467</v>
      </c>
      <c r="CC62" s="19">
        <f t="shared" si="59"/>
        <v>9.9985772639558934E-4</v>
      </c>
      <c r="CD62" s="201">
        <f t="shared" si="60"/>
        <v>1.4876579055213623E-2</v>
      </c>
      <c r="CE62" s="30">
        <f t="shared" si="156"/>
        <v>38</v>
      </c>
      <c r="CF62" s="18">
        <f t="shared" si="157"/>
        <v>61.774482758620721</v>
      </c>
      <c r="CG62" s="18">
        <f t="shared" si="158"/>
        <v>112.37931034482759</v>
      </c>
      <c r="CH62" s="18">
        <f t="shared" si="159"/>
        <v>113.43103448275862</v>
      </c>
      <c r="CI62" s="16">
        <f t="shared" si="160"/>
        <v>0.18138170498084291</v>
      </c>
      <c r="CJ62" s="16">
        <f t="shared" si="128"/>
        <v>95.224137931034477</v>
      </c>
      <c r="CK62" s="17">
        <f t="shared" si="161"/>
        <v>39.11724137931035</v>
      </c>
      <c r="CL62" s="17">
        <f t="shared" si="162"/>
        <v>73.460344827586226</v>
      </c>
      <c r="CM62" s="17">
        <f t="shared" si="163"/>
        <v>100.47068965517242</v>
      </c>
      <c r="CN62" s="17">
        <f t="shared" si="164"/>
        <v>120.95172413793104</v>
      </c>
      <c r="CO62" s="17">
        <f t="shared" si="129"/>
        <v>1.3158524904214522E-2</v>
      </c>
      <c r="CP62" s="17">
        <f t="shared" si="130"/>
        <v>29.179310344827595</v>
      </c>
      <c r="CQ62" s="263">
        <f t="shared" si="165"/>
        <v>4.9995275888133029E-3</v>
      </c>
      <c r="CR62" s="263">
        <f t="shared" si="166"/>
        <v>4.962915721844291E-3</v>
      </c>
      <c r="CS62" s="263">
        <f t="shared" si="167"/>
        <v>-3.0930715197956654E-5</v>
      </c>
      <c r="CT62" s="17" t="e">
        <f t="shared" si="168"/>
        <v>#DIV/0!</v>
      </c>
      <c r="CU62" s="17" t="e">
        <f t="shared" si="169"/>
        <v>#DIV/0!</v>
      </c>
      <c r="CV62" s="21" t="e">
        <f t="shared" si="170"/>
        <v>#DIV/0!</v>
      </c>
      <c r="CW62" s="17" t="e">
        <f t="shared" si="171"/>
        <v>#DIV/0!</v>
      </c>
      <c r="CX62" s="205">
        <f t="shared" si="172"/>
        <v>5.6253448275861953</v>
      </c>
      <c r="CY62" s="22">
        <f t="shared" si="131"/>
        <v>7.938218390804606E-3</v>
      </c>
    </row>
    <row r="63" spans="1:103" ht="11.25" customHeight="1">
      <c r="A63" s="82" t="s">
        <v>172</v>
      </c>
      <c r="B63" s="160">
        <v>41</v>
      </c>
      <c r="C63" s="257">
        <v>61.75</v>
      </c>
      <c r="D63" s="160">
        <v>112</v>
      </c>
      <c r="E63" s="160">
        <v>114</v>
      </c>
      <c r="F63" s="162">
        <v>0.17777777777777778</v>
      </c>
      <c r="G63" s="274">
        <f>220.72+8.86+22.12+35.34+53.02+39.84+61.75+57.6+119.24</f>
        <v>618.49</v>
      </c>
      <c r="H63" s="159">
        <v>161.30000000000001</v>
      </c>
      <c r="I63" s="159">
        <v>323.7</v>
      </c>
      <c r="J63" s="159">
        <v>486</v>
      </c>
      <c r="K63" s="159">
        <v>597.70000000000005</v>
      </c>
      <c r="L63" s="135">
        <f t="shared" si="179"/>
        <v>20.789999999999964</v>
      </c>
      <c r="M63" s="271">
        <f>30.93+123.65</f>
        <v>154.58000000000001</v>
      </c>
      <c r="N63" s="159">
        <v>41.8</v>
      </c>
      <c r="O63" s="159">
        <v>83.7</v>
      </c>
      <c r="P63" s="159">
        <v>125.6</v>
      </c>
      <c r="Q63" s="159">
        <v>157.1</v>
      </c>
      <c r="R63" s="136">
        <f t="shared" si="180"/>
        <v>-2.5199999999999818</v>
      </c>
      <c r="S63" s="272">
        <v>99</v>
      </c>
      <c r="T63" s="161">
        <v>40.1</v>
      </c>
      <c r="U63" s="161">
        <v>75.5</v>
      </c>
      <c r="V63" s="161">
        <v>103.2</v>
      </c>
      <c r="W63" s="161">
        <v>124.3</v>
      </c>
      <c r="X63" s="186">
        <v>0.61527777777777781</v>
      </c>
      <c r="Y63" s="186">
        <v>0.62777777777777777</v>
      </c>
      <c r="Z63" s="184">
        <f t="shared" si="181"/>
        <v>1.2499999999999956E-2</v>
      </c>
      <c r="AA63" s="161">
        <v>29.2</v>
      </c>
      <c r="AB63" s="260">
        <v>5.0347222222222225E-3</v>
      </c>
      <c r="AC63" s="273">
        <v>4.9884259259259265E-3</v>
      </c>
      <c r="AD63" s="273">
        <f>AC63-AB63</f>
        <v>-4.6296296296296016E-5</v>
      </c>
      <c r="AE63" s="166"/>
      <c r="AF63" s="166"/>
      <c r="AG63" s="222"/>
      <c r="AH63" s="166"/>
      <c r="AI63" s="155">
        <v>1355.45</v>
      </c>
      <c r="AJ63" s="155">
        <v>1349.69</v>
      </c>
      <c r="AK63" s="225">
        <f t="shared" si="183"/>
        <v>5.7599999999999909</v>
      </c>
      <c r="AL63" s="196">
        <v>0.67361111111111116</v>
      </c>
      <c r="AM63" s="196">
        <v>0.68055555555555547</v>
      </c>
      <c r="AN63" s="227">
        <f t="shared" si="184"/>
        <v>6.9444444444443088E-3</v>
      </c>
      <c r="AO63" s="74">
        <f t="shared" si="132"/>
        <v>28.089877583208697</v>
      </c>
      <c r="AP63" s="15">
        <f t="shared" si="133"/>
        <v>47.910122416791303</v>
      </c>
      <c r="AQ63" s="18">
        <f t="shared" si="114"/>
        <v>61.691860138971634</v>
      </c>
      <c r="AR63" s="18">
        <f t="shared" si="115"/>
        <v>61.857105378269807</v>
      </c>
      <c r="AS63" s="15">
        <f t="shared" si="134"/>
        <v>109.94095976728137</v>
      </c>
      <c r="AT63" s="15">
        <f t="shared" si="135"/>
        <v>114.8176609223738</v>
      </c>
      <c r="AU63" s="15">
        <f t="shared" si="136"/>
        <v>111.93239626243108</v>
      </c>
      <c r="AV63" s="15">
        <f t="shared" si="137"/>
        <v>114.92967270308615</v>
      </c>
      <c r="AW63" s="16">
        <f t="shared" si="138"/>
        <v>0.17368036968193748</v>
      </c>
      <c r="AX63" s="16">
        <f t="shared" si="139"/>
        <v>0.18908304027974834</v>
      </c>
      <c r="AY63" s="16">
        <f t="shared" si="116"/>
        <v>56.437095452304185</v>
      </c>
      <c r="AZ63" s="16">
        <f t="shared" si="117"/>
        <v>134.01118040976476</v>
      </c>
      <c r="BA63" s="17">
        <f t="shared" si="140"/>
        <v>35.424087856897714</v>
      </c>
      <c r="BB63" s="17">
        <f t="shared" si="141"/>
        <v>42.810394901722987</v>
      </c>
      <c r="BC63" s="17">
        <f t="shared" si="142"/>
        <v>68.667936470774464</v>
      </c>
      <c r="BD63" s="17">
        <f t="shared" si="143"/>
        <v>78.252753184397989</v>
      </c>
      <c r="BE63" s="17">
        <f t="shared" si="144"/>
        <v>94.547228197183259</v>
      </c>
      <c r="BF63" s="17">
        <f t="shared" si="145"/>
        <v>106.39415111316158</v>
      </c>
      <c r="BG63" s="17">
        <f t="shared" si="146"/>
        <v>114.2973449594912</v>
      </c>
      <c r="BH63" s="17">
        <f t="shared" si="147"/>
        <v>127.60610331637088</v>
      </c>
      <c r="BI63" s="17">
        <f t="shared" si="118"/>
        <v>1.1625982470516784E-2</v>
      </c>
      <c r="BJ63" s="17">
        <f t="shared" si="119"/>
        <v>1.4691067337912261E-2</v>
      </c>
      <c r="BK63" s="17">
        <f t="shared" si="120"/>
        <v>28.696690452912026</v>
      </c>
      <c r="BL63" s="17">
        <f t="shared" si="121"/>
        <v>29.661930236743164</v>
      </c>
      <c r="BM63" s="263">
        <f t="shared" si="122"/>
        <v>4.6322196240640304E-3</v>
      </c>
      <c r="BN63" s="263">
        <f t="shared" si="123"/>
        <v>5.2936118196245515E-3</v>
      </c>
      <c r="BO63" s="263">
        <f t="shared" si="124"/>
        <v>4.6579973341037062E-3</v>
      </c>
      <c r="BP63" s="263">
        <f t="shared" si="125"/>
        <v>5.3410578435228997E-3</v>
      </c>
      <c r="BQ63" s="263">
        <f t="shared" si="126"/>
        <v>-2.62020899613848E-4</v>
      </c>
      <c r="BR63" s="263">
        <f t="shared" si="127"/>
        <v>2.0015946921793468E-4</v>
      </c>
      <c r="BS63" s="18" t="e">
        <f t="shared" si="148"/>
        <v>#DIV/0!</v>
      </c>
      <c r="BT63" s="18" t="e">
        <f t="shared" si="149"/>
        <v>#DIV/0!</v>
      </c>
      <c r="BU63" s="18" t="e">
        <f t="shared" si="150"/>
        <v>#DIV/0!</v>
      </c>
      <c r="BV63" s="18" t="e">
        <f t="shared" si="151"/>
        <v>#DIV/0!</v>
      </c>
      <c r="BW63" s="19" t="e">
        <f t="shared" si="152"/>
        <v>#DIV/0!</v>
      </c>
      <c r="BX63" s="19" t="e">
        <f t="shared" si="153"/>
        <v>#DIV/0!</v>
      </c>
      <c r="BY63" s="20" t="e">
        <f t="shared" si="154"/>
        <v>#DIV/0!</v>
      </c>
      <c r="BZ63" s="18" t="e">
        <f t="shared" si="155"/>
        <v>#DIV/0!</v>
      </c>
      <c r="CA63" s="19">
        <f t="shared" si="57"/>
        <v>4.9388614429463438</v>
      </c>
      <c r="CB63" s="207">
        <f t="shared" si="58"/>
        <v>6.3118282122260467</v>
      </c>
      <c r="CC63" s="19">
        <f t="shared" si="59"/>
        <v>9.9985772639558934E-4</v>
      </c>
      <c r="CD63" s="201">
        <f t="shared" si="60"/>
        <v>1.4876579055213623E-2</v>
      </c>
      <c r="CE63" s="30">
        <f t="shared" si="156"/>
        <v>38</v>
      </c>
      <c r="CF63" s="18">
        <f t="shared" si="157"/>
        <v>61.774482758620721</v>
      </c>
      <c r="CG63" s="18">
        <f t="shared" si="158"/>
        <v>112.37931034482759</v>
      </c>
      <c r="CH63" s="18">
        <f t="shared" si="159"/>
        <v>113.43103448275862</v>
      </c>
      <c r="CI63" s="16">
        <f t="shared" si="160"/>
        <v>0.18138170498084291</v>
      </c>
      <c r="CJ63" s="16">
        <f t="shared" si="128"/>
        <v>95.224137931034477</v>
      </c>
      <c r="CK63" s="17">
        <f t="shared" si="161"/>
        <v>39.11724137931035</v>
      </c>
      <c r="CL63" s="17">
        <f t="shared" si="162"/>
        <v>73.460344827586226</v>
      </c>
      <c r="CM63" s="17">
        <f t="shared" si="163"/>
        <v>100.47068965517242</v>
      </c>
      <c r="CN63" s="17">
        <f t="shared" si="164"/>
        <v>120.95172413793104</v>
      </c>
      <c r="CO63" s="17">
        <f t="shared" si="129"/>
        <v>1.3158524904214522E-2</v>
      </c>
      <c r="CP63" s="17">
        <f t="shared" si="130"/>
        <v>29.179310344827595</v>
      </c>
      <c r="CQ63" s="263">
        <f t="shared" si="165"/>
        <v>4.9995275888133029E-3</v>
      </c>
      <c r="CR63" s="263">
        <f t="shared" si="166"/>
        <v>4.962915721844291E-3</v>
      </c>
      <c r="CS63" s="263">
        <f t="shared" si="167"/>
        <v>-3.0930715197956654E-5</v>
      </c>
      <c r="CT63" s="17" t="e">
        <f t="shared" si="168"/>
        <v>#DIV/0!</v>
      </c>
      <c r="CU63" s="17" t="e">
        <f t="shared" si="169"/>
        <v>#DIV/0!</v>
      </c>
      <c r="CV63" s="21" t="e">
        <f t="shared" si="170"/>
        <v>#DIV/0!</v>
      </c>
      <c r="CW63" s="17" t="e">
        <f t="shared" si="171"/>
        <v>#DIV/0!</v>
      </c>
      <c r="CX63" s="205">
        <f t="shared" si="172"/>
        <v>5.6253448275861953</v>
      </c>
      <c r="CY63" s="22">
        <f t="shared" si="131"/>
        <v>7.938218390804606E-3</v>
      </c>
    </row>
    <row r="64" spans="1:103" ht="11.25" customHeight="1">
      <c r="A64" s="35"/>
      <c r="B64" s="37"/>
      <c r="C64" s="37"/>
      <c r="D64" s="37"/>
      <c r="E64" s="37"/>
      <c r="F64" s="53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54"/>
      <c r="U64" s="54"/>
      <c r="V64" s="54"/>
      <c r="W64" s="54"/>
      <c r="X64" s="188"/>
      <c r="Y64" s="188"/>
      <c r="Z64" s="188"/>
      <c r="AA64" s="54"/>
      <c r="AB64" s="260"/>
      <c r="AC64" s="260"/>
      <c r="AD64" s="260"/>
      <c r="AE64" s="54"/>
      <c r="AF64" s="54"/>
      <c r="AG64" s="51"/>
      <c r="AH64" s="52"/>
      <c r="AI64" s="112"/>
      <c r="AJ64" s="113"/>
      <c r="AK64" s="112"/>
      <c r="AL64" s="187"/>
      <c r="AM64" s="187"/>
      <c r="AN64" s="193"/>
      <c r="AO64" s="74">
        <f t="shared" si="132"/>
        <v>28.089877583208697</v>
      </c>
      <c r="AP64" s="15">
        <f t="shared" si="133"/>
        <v>47.910122416791303</v>
      </c>
      <c r="AQ64" s="18">
        <f t="shared" si="114"/>
        <v>61.691860138971634</v>
      </c>
      <c r="AR64" s="18">
        <f t="shared" si="115"/>
        <v>61.857105378269807</v>
      </c>
      <c r="AS64" s="15">
        <f t="shared" si="134"/>
        <v>109.94095976728137</v>
      </c>
      <c r="AT64" s="15">
        <f t="shared" si="135"/>
        <v>114.8176609223738</v>
      </c>
      <c r="AU64" s="15">
        <f t="shared" si="136"/>
        <v>111.93239626243108</v>
      </c>
      <c r="AV64" s="15">
        <f t="shared" si="137"/>
        <v>114.92967270308615</v>
      </c>
      <c r="AW64" s="16">
        <f t="shared" si="138"/>
        <v>0.17368036968193748</v>
      </c>
      <c r="AX64" s="16">
        <f t="shared" si="139"/>
        <v>0.18908304027974834</v>
      </c>
      <c r="AY64" s="16">
        <f t="shared" si="116"/>
        <v>56.437095452304185</v>
      </c>
      <c r="AZ64" s="16">
        <f t="shared" si="117"/>
        <v>134.01118040976476</v>
      </c>
      <c r="BA64" s="17">
        <f t="shared" si="140"/>
        <v>35.424087856897714</v>
      </c>
      <c r="BB64" s="17">
        <f t="shared" si="141"/>
        <v>42.810394901722987</v>
      </c>
      <c r="BC64" s="17">
        <f t="shared" si="142"/>
        <v>68.667936470774464</v>
      </c>
      <c r="BD64" s="17">
        <f t="shared" si="143"/>
        <v>78.252753184397989</v>
      </c>
      <c r="BE64" s="17">
        <f t="shared" si="144"/>
        <v>94.547228197183259</v>
      </c>
      <c r="BF64" s="17">
        <f t="shared" si="145"/>
        <v>106.39415111316158</v>
      </c>
      <c r="BG64" s="17">
        <f t="shared" si="146"/>
        <v>114.2973449594912</v>
      </c>
      <c r="BH64" s="17">
        <f t="shared" si="147"/>
        <v>127.60610331637088</v>
      </c>
      <c r="BI64" s="17">
        <f t="shared" si="118"/>
        <v>1.1625982470516784E-2</v>
      </c>
      <c r="BJ64" s="17">
        <f t="shared" si="119"/>
        <v>1.4691067337912261E-2</v>
      </c>
      <c r="BK64" s="17">
        <f t="shared" si="120"/>
        <v>28.696690452912026</v>
      </c>
      <c r="BL64" s="17">
        <f t="shared" si="121"/>
        <v>29.661930236743164</v>
      </c>
      <c r="BM64" s="263">
        <f t="shared" si="122"/>
        <v>4.6322196240640304E-3</v>
      </c>
      <c r="BN64" s="263">
        <f t="shared" si="123"/>
        <v>5.2936118196245515E-3</v>
      </c>
      <c r="BO64" s="263">
        <f t="shared" si="124"/>
        <v>4.6579973341037062E-3</v>
      </c>
      <c r="BP64" s="263">
        <f t="shared" si="125"/>
        <v>5.3410578435228997E-3</v>
      </c>
      <c r="BQ64" s="263">
        <f t="shared" si="126"/>
        <v>-2.62020899613848E-4</v>
      </c>
      <c r="BR64" s="263">
        <f t="shared" si="127"/>
        <v>2.0015946921793468E-4</v>
      </c>
      <c r="BS64" s="18" t="e">
        <f t="shared" si="148"/>
        <v>#DIV/0!</v>
      </c>
      <c r="BT64" s="18" t="e">
        <f t="shared" si="149"/>
        <v>#DIV/0!</v>
      </c>
      <c r="BU64" s="18" t="e">
        <f t="shared" si="150"/>
        <v>#DIV/0!</v>
      </c>
      <c r="BV64" s="18" t="e">
        <f t="shared" si="151"/>
        <v>#DIV/0!</v>
      </c>
      <c r="BW64" s="19" t="e">
        <f t="shared" si="152"/>
        <v>#DIV/0!</v>
      </c>
      <c r="BX64" s="19" t="e">
        <f t="shared" si="153"/>
        <v>#DIV/0!</v>
      </c>
      <c r="BY64" s="20" t="e">
        <f t="shared" si="154"/>
        <v>#DIV/0!</v>
      </c>
      <c r="BZ64" s="18" t="e">
        <f t="shared" si="155"/>
        <v>#DIV/0!</v>
      </c>
      <c r="CA64" s="19">
        <f t="shared" si="57"/>
        <v>4.9388614429463438</v>
      </c>
      <c r="CB64" s="207">
        <f t="shared" si="58"/>
        <v>6.3118282122260467</v>
      </c>
      <c r="CC64" s="19">
        <f t="shared" si="59"/>
        <v>9.9985772639558934E-4</v>
      </c>
      <c r="CD64" s="201">
        <f t="shared" si="60"/>
        <v>1.4876579055213623E-2</v>
      </c>
      <c r="CE64" s="30">
        <f t="shared" si="156"/>
        <v>38</v>
      </c>
      <c r="CF64" s="18">
        <f t="shared" si="157"/>
        <v>61.774482758620721</v>
      </c>
      <c r="CG64" s="18">
        <f t="shared" si="158"/>
        <v>112.37931034482759</v>
      </c>
      <c r="CH64" s="18">
        <f t="shared" si="159"/>
        <v>113.43103448275862</v>
      </c>
      <c r="CI64" s="16">
        <f t="shared" si="160"/>
        <v>0.18138170498084291</v>
      </c>
      <c r="CJ64" s="16">
        <f t="shared" si="128"/>
        <v>95.224137931034477</v>
      </c>
      <c r="CK64" s="17">
        <f t="shared" si="161"/>
        <v>39.11724137931035</v>
      </c>
      <c r="CL64" s="17">
        <f t="shared" si="162"/>
        <v>73.460344827586226</v>
      </c>
      <c r="CM64" s="17">
        <f t="shared" si="163"/>
        <v>100.47068965517242</v>
      </c>
      <c r="CN64" s="17">
        <f t="shared" si="164"/>
        <v>120.95172413793104</v>
      </c>
      <c r="CO64" s="17">
        <f t="shared" si="129"/>
        <v>1.3158524904214522E-2</v>
      </c>
      <c r="CP64" s="17">
        <f t="shared" si="130"/>
        <v>29.179310344827595</v>
      </c>
      <c r="CQ64" s="263">
        <f t="shared" si="165"/>
        <v>4.9995275888133029E-3</v>
      </c>
      <c r="CR64" s="263">
        <f t="shared" si="166"/>
        <v>4.962915721844291E-3</v>
      </c>
      <c r="CS64" s="263">
        <f t="shared" si="167"/>
        <v>-3.0930715197956654E-5</v>
      </c>
      <c r="CT64" s="17" t="e">
        <f t="shared" si="168"/>
        <v>#DIV/0!</v>
      </c>
      <c r="CU64" s="17" t="e">
        <f t="shared" si="169"/>
        <v>#DIV/0!</v>
      </c>
      <c r="CV64" s="21" t="e">
        <f t="shared" si="170"/>
        <v>#DIV/0!</v>
      </c>
      <c r="CW64" s="17" t="e">
        <f t="shared" si="171"/>
        <v>#DIV/0!</v>
      </c>
      <c r="CX64" s="205">
        <f t="shared" si="172"/>
        <v>5.6253448275861953</v>
      </c>
      <c r="CY64" s="22">
        <f t="shared" si="131"/>
        <v>7.938218390804606E-3</v>
      </c>
    </row>
    <row r="65" spans="1:103" s="46" customFormat="1" ht="11.25" customHeight="1">
      <c r="A65" s="108"/>
      <c r="B65" s="44"/>
      <c r="C65" s="44"/>
      <c r="D65" s="44"/>
      <c r="E65" s="44"/>
      <c r="F65" s="109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10"/>
      <c r="U65" s="110"/>
      <c r="V65" s="110"/>
      <c r="W65" s="110"/>
      <c r="X65" s="189"/>
      <c r="Y65" s="189"/>
      <c r="Z65" s="189"/>
      <c r="AA65" s="110"/>
      <c r="AB65" s="110"/>
      <c r="AC65" s="110"/>
      <c r="AD65" s="110"/>
      <c r="AE65" s="110"/>
      <c r="AF65" s="110"/>
      <c r="AG65" s="55"/>
      <c r="AH65" s="56"/>
      <c r="AI65" s="72"/>
      <c r="AJ65" s="56"/>
      <c r="AK65" s="72"/>
      <c r="AL65" s="194"/>
      <c r="AM65" s="194"/>
      <c r="AN65" s="195"/>
      <c r="AO65" s="74">
        <f t="shared" si="132"/>
        <v>28.089877583208697</v>
      </c>
      <c r="AP65" s="15">
        <f t="shared" si="133"/>
        <v>47.910122416791303</v>
      </c>
      <c r="AQ65" s="18">
        <f t="shared" si="114"/>
        <v>61.691860138971634</v>
      </c>
      <c r="AR65" s="18">
        <f t="shared" si="115"/>
        <v>61.857105378269807</v>
      </c>
      <c r="AS65" s="15">
        <f t="shared" si="134"/>
        <v>109.94095976728137</v>
      </c>
      <c r="AT65" s="15">
        <f t="shared" si="135"/>
        <v>114.8176609223738</v>
      </c>
      <c r="AU65" s="15">
        <f t="shared" si="136"/>
        <v>111.93239626243108</v>
      </c>
      <c r="AV65" s="15">
        <f t="shared" si="137"/>
        <v>114.92967270308615</v>
      </c>
      <c r="AW65" s="16">
        <f t="shared" si="138"/>
        <v>0.17368036968193748</v>
      </c>
      <c r="AX65" s="16">
        <f t="shared" si="139"/>
        <v>0.18908304027974834</v>
      </c>
      <c r="AY65" s="16">
        <f t="shared" si="116"/>
        <v>56.437095452304185</v>
      </c>
      <c r="AZ65" s="16">
        <f t="shared" si="117"/>
        <v>134.01118040976476</v>
      </c>
      <c r="BA65" s="17">
        <f t="shared" si="140"/>
        <v>35.424087856897714</v>
      </c>
      <c r="BB65" s="17">
        <f t="shared" si="141"/>
        <v>42.810394901722987</v>
      </c>
      <c r="BC65" s="17">
        <f t="shared" si="142"/>
        <v>68.667936470774464</v>
      </c>
      <c r="BD65" s="17">
        <f t="shared" si="143"/>
        <v>78.252753184397989</v>
      </c>
      <c r="BE65" s="17">
        <f t="shared" si="144"/>
        <v>94.547228197183259</v>
      </c>
      <c r="BF65" s="17">
        <f t="shared" si="145"/>
        <v>106.39415111316158</v>
      </c>
      <c r="BG65" s="17">
        <f t="shared" si="146"/>
        <v>114.2973449594912</v>
      </c>
      <c r="BH65" s="17">
        <f t="shared" si="147"/>
        <v>127.60610331637088</v>
      </c>
      <c r="BI65" s="17">
        <f t="shared" si="118"/>
        <v>1.1625982470516784E-2</v>
      </c>
      <c r="BJ65" s="17">
        <f t="shared" si="119"/>
        <v>1.4691067337912261E-2</v>
      </c>
      <c r="BK65" s="17">
        <f t="shared" si="120"/>
        <v>28.696690452912026</v>
      </c>
      <c r="BL65" s="17">
        <f t="shared" si="121"/>
        <v>29.661930236743164</v>
      </c>
      <c r="BM65" s="263">
        <f t="shared" si="122"/>
        <v>4.6322196240640304E-3</v>
      </c>
      <c r="BN65" s="263">
        <f t="shared" si="123"/>
        <v>5.2936118196245515E-3</v>
      </c>
      <c r="BO65" s="263">
        <f t="shared" si="124"/>
        <v>4.6579973341037062E-3</v>
      </c>
      <c r="BP65" s="263">
        <f t="shared" si="125"/>
        <v>5.3410578435228997E-3</v>
      </c>
      <c r="BQ65" s="263">
        <f t="shared" si="126"/>
        <v>-2.62020899613848E-4</v>
      </c>
      <c r="BR65" s="263">
        <f t="shared" si="127"/>
        <v>2.0015946921793468E-4</v>
      </c>
      <c r="BS65" s="18" t="e">
        <f t="shared" si="148"/>
        <v>#DIV/0!</v>
      </c>
      <c r="BT65" s="18" t="e">
        <f t="shared" si="149"/>
        <v>#DIV/0!</v>
      </c>
      <c r="BU65" s="18" t="e">
        <f t="shared" si="150"/>
        <v>#DIV/0!</v>
      </c>
      <c r="BV65" s="18" t="e">
        <f t="shared" si="151"/>
        <v>#DIV/0!</v>
      </c>
      <c r="BW65" s="19" t="e">
        <f t="shared" si="152"/>
        <v>#DIV/0!</v>
      </c>
      <c r="BX65" s="19" t="e">
        <f t="shared" si="153"/>
        <v>#DIV/0!</v>
      </c>
      <c r="BY65" s="20" t="e">
        <f t="shared" si="154"/>
        <v>#DIV/0!</v>
      </c>
      <c r="BZ65" s="18" t="e">
        <f t="shared" si="155"/>
        <v>#DIV/0!</v>
      </c>
      <c r="CA65" s="19">
        <f t="shared" si="57"/>
        <v>4.9388614429463438</v>
      </c>
      <c r="CB65" s="207">
        <f t="shared" si="58"/>
        <v>6.3118282122260467</v>
      </c>
      <c r="CC65" s="19">
        <f t="shared" si="59"/>
        <v>9.9985772639558934E-4</v>
      </c>
      <c r="CD65" s="201">
        <f t="shared" si="60"/>
        <v>1.4876579055213623E-2</v>
      </c>
      <c r="CE65" s="30">
        <f t="shared" si="156"/>
        <v>38</v>
      </c>
      <c r="CF65" s="18">
        <f t="shared" si="157"/>
        <v>61.774482758620721</v>
      </c>
      <c r="CG65" s="18">
        <f t="shared" si="158"/>
        <v>112.37931034482759</v>
      </c>
      <c r="CH65" s="18">
        <f t="shared" si="159"/>
        <v>113.43103448275862</v>
      </c>
      <c r="CI65" s="16">
        <f t="shared" si="160"/>
        <v>0.18138170498084291</v>
      </c>
      <c r="CJ65" s="16">
        <f t="shared" si="128"/>
        <v>95.224137931034477</v>
      </c>
      <c r="CK65" s="17">
        <f t="shared" si="161"/>
        <v>39.11724137931035</v>
      </c>
      <c r="CL65" s="17">
        <f t="shared" si="162"/>
        <v>73.460344827586226</v>
      </c>
      <c r="CM65" s="17">
        <f t="shared" si="163"/>
        <v>100.47068965517242</v>
      </c>
      <c r="CN65" s="17">
        <f t="shared" si="164"/>
        <v>120.95172413793104</v>
      </c>
      <c r="CO65" s="17">
        <f t="shared" si="129"/>
        <v>1.3158524904214522E-2</v>
      </c>
      <c r="CP65" s="17">
        <f t="shared" si="130"/>
        <v>29.179310344827595</v>
      </c>
      <c r="CQ65" s="263">
        <f t="shared" si="165"/>
        <v>4.9995275888133029E-3</v>
      </c>
      <c r="CR65" s="263">
        <f t="shared" si="166"/>
        <v>4.962915721844291E-3</v>
      </c>
      <c r="CS65" s="263">
        <f t="shared" si="167"/>
        <v>-3.0930715197956654E-5</v>
      </c>
      <c r="CT65" s="17" t="e">
        <f t="shared" si="168"/>
        <v>#DIV/0!</v>
      </c>
      <c r="CU65" s="17" t="e">
        <f t="shared" si="169"/>
        <v>#DIV/0!</v>
      </c>
      <c r="CV65" s="21" t="e">
        <f t="shared" si="170"/>
        <v>#DIV/0!</v>
      </c>
      <c r="CW65" s="17" t="e">
        <f t="shared" si="171"/>
        <v>#DIV/0!</v>
      </c>
      <c r="CX65" s="205">
        <f t="shared" si="172"/>
        <v>5.6253448275861953</v>
      </c>
      <c r="CY65" s="22">
        <f t="shared" si="131"/>
        <v>7.938218390804606E-3</v>
      </c>
    </row>
    <row r="66" spans="1:103">
      <c r="A66" s="98" t="s">
        <v>20</v>
      </c>
      <c r="B66" s="86">
        <f t="shared" ref="B66:G66" si="185">AVERAGE(B6:B65)</f>
        <v>38</v>
      </c>
      <c r="C66" s="86">
        <f t="shared" si="185"/>
        <v>61.774482758620721</v>
      </c>
      <c r="D66" s="86">
        <f t="shared" si="185"/>
        <v>112.37931034482759</v>
      </c>
      <c r="E66" s="86">
        <f t="shared" si="185"/>
        <v>113.43103448275862</v>
      </c>
      <c r="F66" s="87">
        <f t="shared" si="185"/>
        <v>0.18138170498084291</v>
      </c>
      <c r="G66" s="139">
        <f t="shared" si="185"/>
        <v>618.27017241379338</v>
      </c>
      <c r="H66" s="139">
        <f t="shared" ref="H66:S66" si="186">AVERAGE(H6:H65)</f>
        <v>161.55344827586208</v>
      </c>
      <c r="I66" s="139">
        <f t="shared" si="186"/>
        <v>323.92758620689648</v>
      </c>
      <c r="J66" s="139">
        <f t="shared" si="186"/>
        <v>486.28793103448271</v>
      </c>
      <c r="K66" s="139">
        <f t="shared" si="186"/>
        <v>600.12241379310342</v>
      </c>
      <c r="L66" s="139">
        <f t="shared" si="186"/>
        <v>18.147758620689654</v>
      </c>
      <c r="M66" s="139">
        <f t="shared" si="186"/>
        <v>154.47258620689652</v>
      </c>
      <c r="N66" s="139">
        <f t="shared" si="186"/>
        <v>41.772413793103439</v>
      </c>
      <c r="O66" s="139">
        <f t="shared" si="186"/>
        <v>83.689655172413708</v>
      </c>
      <c r="P66" s="139">
        <f t="shared" si="186"/>
        <v>125.6206896551724</v>
      </c>
      <c r="Q66" s="139">
        <f t="shared" si="186"/>
        <v>156.53620689655173</v>
      </c>
      <c r="R66" s="139">
        <f t="shared" si="186"/>
        <v>-2.0636206896551719</v>
      </c>
      <c r="S66" s="139">
        <f t="shared" si="186"/>
        <v>95.224137931034477</v>
      </c>
      <c r="T66" s="86">
        <f t="shared" ref="T66:AN66" si="187">AVERAGE(T6:T65)</f>
        <v>39.11724137931035</v>
      </c>
      <c r="U66" s="86">
        <f t="shared" si="187"/>
        <v>73.460344827586226</v>
      </c>
      <c r="V66" s="86">
        <f t="shared" si="187"/>
        <v>100.47068965517242</v>
      </c>
      <c r="W66" s="86">
        <f t="shared" si="187"/>
        <v>120.95172413793104</v>
      </c>
      <c r="X66" s="87">
        <f t="shared" si="187"/>
        <v>0.61247605363984681</v>
      </c>
      <c r="Y66" s="87">
        <f t="shared" si="187"/>
        <v>0.62563457854406124</v>
      </c>
      <c r="Z66" s="87">
        <f t="shared" si="187"/>
        <v>1.3158524904214522E-2</v>
      </c>
      <c r="AA66" s="86">
        <f t="shared" si="187"/>
        <v>29.179310344827595</v>
      </c>
      <c r="AB66" s="86">
        <f>AVERAGE(AB6:AB65)</f>
        <v>4.9995275888133029E-3</v>
      </c>
      <c r="AC66" s="86">
        <f>AVERAGE(AC6:AC65)</f>
        <v>4.962915721844291E-3</v>
      </c>
      <c r="AD66" s="86">
        <f>AVERAGE(AD6:AD65)</f>
        <v>-3.0930715197956654E-5</v>
      </c>
      <c r="AE66" s="86" t="e">
        <f t="shared" si="187"/>
        <v>#DIV/0!</v>
      </c>
      <c r="AF66" s="86" t="e">
        <f t="shared" si="187"/>
        <v>#DIV/0!</v>
      </c>
      <c r="AG66" s="86" t="e">
        <f t="shared" si="187"/>
        <v>#DIV/0!</v>
      </c>
      <c r="AH66" s="86" t="e">
        <f t="shared" si="187"/>
        <v>#DIV/0!</v>
      </c>
      <c r="AI66" s="99">
        <f t="shared" si="187"/>
        <v>1355.0198275862067</v>
      </c>
      <c r="AJ66" s="86">
        <f t="shared" si="187"/>
        <v>1349.3944827586211</v>
      </c>
      <c r="AK66" s="182">
        <f t="shared" si="187"/>
        <v>5.6253448275861953</v>
      </c>
      <c r="AL66" s="87">
        <f t="shared" si="187"/>
        <v>0.6732758620689655</v>
      </c>
      <c r="AM66" s="87">
        <f t="shared" si="187"/>
        <v>0.68121408045977005</v>
      </c>
      <c r="AN66" s="87">
        <f t="shared" si="187"/>
        <v>7.938218390804606E-3</v>
      </c>
      <c r="AO66" s="8"/>
      <c r="AP66" s="8"/>
      <c r="AQ66" s="8"/>
      <c r="AR66" s="8"/>
      <c r="AS66" s="8"/>
      <c r="AT66" s="8"/>
      <c r="AU66" s="8"/>
      <c r="AV66" s="8"/>
    </row>
    <row r="67" spans="1:103">
      <c r="A67" s="98" t="s">
        <v>39</v>
      </c>
      <c r="B67" s="86">
        <f>STDEV(B6:B65)*3</f>
        <v>9.9101224167913013</v>
      </c>
      <c r="C67" s="86">
        <f>STDEV(C6:C65)*3</f>
        <v>8.2622619649083323E-2</v>
      </c>
      <c r="D67" s="86">
        <f>STDEV(D6:D65)*3</f>
        <v>2.4383505775462142</v>
      </c>
      <c r="E67" s="86">
        <f>STDEV(E6:E65)*3</f>
        <v>1.4986382203275403</v>
      </c>
      <c r="F67" s="87">
        <f>STDEV(F6:F65)*3</f>
        <v>7.7013352989054231E-3</v>
      </c>
      <c r="G67" s="139">
        <f t="shared" ref="G67:R67" si="188">STDEV(G6:G65)*3</f>
        <v>0.58295503246212599</v>
      </c>
      <c r="H67" s="139">
        <f>STDEV(H6:H65)*3</f>
        <v>1.6133151719115921</v>
      </c>
      <c r="I67" s="139">
        <f>STDEV(I6:I65)*3</f>
        <v>3.1175866696001053</v>
      </c>
      <c r="J67" s="139">
        <f>STDEV(J6:J65)*3</f>
        <v>4.6309295143598508</v>
      </c>
      <c r="K67" s="139">
        <f t="shared" si="188"/>
        <v>11.595694723307973</v>
      </c>
      <c r="L67" s="139">
        <f t="shared" si="188"/>
        <v>11.723011167564589</v>
      </c>
      <c r="M67" s="139">
        <f t="shared" si="188"/>
        <v>0.15528178238906634</v>
      </c>
      <c r="N67" s="139">
        <f>STDEV(N6:N65)*3</f>
        <v>0.13525535438307096</v>
      </c>
      <c r="O67" s="139">
        <f>STDEV(O6:O65)*3</f>
        <v>0.17492544432066409</v>
      </c>
      <c r="P67" s="139">
        <f>STDEV(P6:P65)*3</f>
        <v>0.22307860797430965</v>
      </c>
      <c r="Q67" s="139">
        <f t="shared" si="188"/>
        <v>1.4312654789183457</v>
      </c>
      <c r="R67" s="139">
        <f t="shared" si="188"/>
        <v>1.4103493215198188</v>
      </c>
      <c r="S67" s="139">
        <f>STDEV(S6:S65)*3</f>
        <v>38.787042478730292</v>
      </c>
      <c r="T67" s="86">
        <f t="shared" ref="T67:AN67" si="189">STDEV(T6:T65)*3</f>
        <v>3.6931535224126399</v>
      </c>
      <c r="U67" s="86">
        <f t="shared" si="189"/>
        <v>4.7924083568117588</v>
      </c>
      <c r="V67" s="86">
        <f t="shared" si="189"/>
        <v>5.9234614579891653</v>
      </c>
      <c r="W67" s="86">
        <f t="shared" si="189"/>
        <v>6.6543791784398429</v>
      </c>
      <c r="X67" s="87">
        <f t="shared" si="189"/>
        <v>4.4845762446678761E-2</v>
      </c>
      <c r="Y67" s="87">
        <f t="shared" si="189"/>
        <v>4.5493631609152804E-2</v>
      </c>
      <c r="Z67" s="87">
        <f t="shared" si="189"/>
        <v>1.5325424336977392E-3</v>
      </c>
      <c r="AA67" s="86">
        <f t="shared" si="189"/>
        <v>0.48261989191556803</v>
      </c>
      <c r="AB67" s="86">
        <f>STDEV(AB6:AB65)*3</f>
        <v>3.415302547095971E-4</v>
      </c>
      <c r="AC67" s="86">
        <f>STDEV(AC6:AC65)*3</f>
        <v>3.306960977802604E-4</v>
      </c>
      <c r="AD67" s="86">
        <f>STDEV(AD6:AD65)*3</f>
        <v>2.3109018441589134E-4</v>
      </c>
      <c r="AE67" s="86" t="e">
        <f t="shared" si="189"/>
        <v>#DIV/0!</v>
      </c>
      <c r="AF67" s="86" t="e">
        <f t="shared" si="189"/>
        <v>#DIV/0!</v>
      </c>
      <c r="AG67" s="86" t="e">
        <f t="shared" si="189"/>
        <v>#DIV/0!</v>
      </c>
      <c r="AH67" s="86" t="e">
        <f t="shared" si="189"/>
        <v>#DIV/0!</v>
      </c>
      <c r="AI67" s="99">
        <f t="shared" si="189"/>
        <v>0.69848312444617566</v>
      </c>
      <c r="AJ67" s="86">
        <f t="shared" si="189"/>
        <v>0.71237569361727182</v>
      </c>
      <c r="AK67" s="182">
        <f t="shared" si="189"/>
        <v>0.68648338463985115</v>
      </c>
      <c r="AL67" s="87">
        <f t="shared" si="189"/>
        <v>4.7600567750939037E-2</v>
      </c>
      <c r="AM67" s="87">
        <f t="shared" si="189"/>
        <v>4.7480731211814217E-2</v>
      </c>
      <c r="AN67" s="87">
        <f t="shared" si="189"/>
        <v>6.9383606644090167E-3</v>
      </c>
      <c r="AO67" s="8"/>
      <c r="AP67" s="8"/>
      <c r="AQ67" s="8"/>
      <c r="AR67" s="8"/>
      <c r="AS67" s="8"/>
      <c r="AT67" s="8"/>
      <c r="AU67" s="8"/>
      <c r="AV67" s="8"/>
    </row>
    <row r="68" spans="1:103">
      <c r="A68" s="100" t="s">
        <v>21</v>
      </c>
      <c r="B68" s="101">
        <f t="shared" ref="B68:G68" si="190">(B76-B77)/B67/2</f>
        <v>4.5408117183046963</v>
      </c>
      <c r="C68" s="101">
        <f t="shared" si="190"/>
        <v>0</v>
      </c>
      <c r="D68" s="101">
        <f t="shared" si="190"/>
        <v>0</v>
      </c>
      <c r="E68" s="101">
        <f t="shared" si="190"/>
        <v>0</v>
      </c>
      <c r="F68" s="101">
        <f t="shared" si="190"/>
        <v>0</v>
      </c>
      <c r="G68" s="140">
        <f t="shared" si="190"/>
        <v>0</v>
      </c>
      <c r="H68" s="140">
        <f t="shared" ref="H68:S68" si="191">(H76-H77)/H67/2</f>
        <v>0</v>
      </c>
      <c r="I68" s="140">
        <f t="shared" si="191"/>
        <v>0</v>
      </c>
      <c r="J68" s="140">
        <f t="shared" si="191"/>
        <v>0</v>
      </c>
      <c r="K68" s="140">
        <f t="shared" si="191"/>
        <v>0</v>
      </c>
      <c r="L68" s="140">
        <f t="shared" si="191"/>
        <v>0</v>
      </c>
      <c r="M68" s="140">
        <f t="shared" si="191"/>
        <v>0</v>
      </c>
      <c r="N68" s="140">
        <f t="shared" si="191"/>
        <v>0</v>
      </c>
      <c r="O68" s="140">
        <f t="shared" si="191"/>
        <v>0</v>
      </c>
      <c r="P68" s="140">
        <f t="shared" si="191"/>
        <v>0</v>
      </c>
      <c r="Q68" s="140">
        <f t="shared" si="191"/>
        <v>0</v>
      </c>
      <c r="R68" s="140">
        <f t="shared" si="191"/>
        <v>0</v>
      </c>
      <c r="S68" s="140">
        <f t="shared" si="191"/>
        <v>0</v>
      </c>
      <c r="T68" s="101">
        <f t="shared" ref="T68:AN68" si="192">(T76-T77)/T67/2</f>
        <v>0</v>
      </c>
      <c r="U68" s="101">
        <f t="shared" si="192"/>
        <v>0</v>
      </c>
      <c r="V68" s="101">
        <f t="shared" si="192"/>
        <v>0</v>
      </c>
      <c r="W68" s="101">
        <f t="shared" si="192"/>
        <v>0</v>
      </c>
      <c r="X68" s="190">
        <f t="shared" si="192"/>
        <v>0</v>
      </c>
      <c r="Y68" s="190">
        <f t="shared" si="192"/>
        <v>0</v>
      </c>
      <c r="Z68" s="190">
        <f t="shared" si="192"/>
        <v>0</v>
      </c>
      <c r="AA68" s="101">
        <f t="shared" si="192"/>
        <v>0</v>
      </c>
      <c r="AB68" s="101">
        <f t="shared" si="192"/>
        <v>0</v>
      </c>
      <c r="AC68" s="101">
        <f t="shared" si="192"/>
        <v>0</v>
      </c>
      <c r="AD68" s="101">
        <f t="shared" si="192"/>
        <v>0</v>
      </c>
      <c r="AE68" s="101" t="e">
        <f t="shared" si="192"/>
        <v>#DIV/0!</v>
      </c>
      <c r="AF68" s="101" t="e">
        <f t="shared" si="192"/>
        <v>#DIV/0!</v>
      </c>
      <c r="AG68" s="101" t="e">
        <f t="shared" si="192"/>
        <v>#DIV/0!</v>
      </c>
      <c r="AH68" s="101" t="e">
        <f t="shared" si="192"/>
        <v>#DIV/0!</v>
      </c>
      <c r="AI68" s="101">
        <f t="shared" si="192"/>
        <v>0</v>
      </c>
      <c r="AJ68" s="101">
        <f t="shared" si="192"/>
        <v>0</v>
      </c>
      <c r="AK68" s="183">
        <f t="shared" si="192"/>
        <v>0</v>
      </c>
      <c r="AL68" s="190">
        <f t="shared" si="192"/>
        <v>0</v>
      </c>
      <c r="AM68" s="190">
        <f t="shared" si="192"/>
        <v>0</v>
      </c>
      <c r="AN68" s="190">
        <f t="shared" si="192"/>
        <v>0</v>
      </c>
      <c r="AO68" s="8"/>
      <c r="AP68" s="8"/>
      <c r="AQ68" s="8"/>
      <c r="AR68" s="8"/>
      <c r="AS68" s="8"/>
      <c r="AT68" s="8"/>
      <c r="AU68" s="8"/>
      <c r="AV68" s="8"/>
    </row>
    <row r="69" spans="1:103">
      <c r="A69" s="77"/>
      <c r="B69" s="77"/>
      <c r="C69" s="77"/>
      <c r="D69" s="77"/>
      <c r="E69" s="77"/>
      <c r="F69" s="77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77"/>
      <c r="U69" s="77"/>
      <c r="V69" s="77"/>
      <c r="W69" s="77"/>
      <c r="X69" s="104"/>
      <c r="Y69" s="104"/>
      <c r="Z69" s="104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104"/>
      <c r="AM69" s="104"/>
      <c r="AN69" s="104"/>
    </row>
    <row r="70" spans="1:103">
      <c r="A70" s="102" t="s">
        <v>40</v>
      </c>
      <c r="B70" s="103">
        <f>B66+B67</f>
        <v>47.910122416791303</v>
      </c>
      <c r="C70" s="103">
        <f>C66+C67</f>
        <v>61.857105378269807</v>
      </c>
      <c r="D70" s="103">
        <f>D66+D67</f>
        <v>114.8176609223738</v>
      </c>
      <c r="E70" s="103">
        <f>E66+E67</f>
        <v>114.92967270308615</v>
      </c>
      <c r="F70" s="104">
        <f>F66+F67</f>
        <v>0.18908304027974834</v>
      </c>
      <c r="G70" s="141">
        <f t="shared" ref="G70:R70" si="193">G66+G67</f>
        <v>618.85312744625548</v>
      </c>
      <c r="H70" s="141">
        <f>H66+H67</f>
        <v>163.16676344777366</v>
      </c>
      <c r="I70" s="141">
        <f>I66+I67</f>
        <v>327.04517287649657</v>
      </c>
      <c r="J70" s="141">
        <f>J66+J67</f>
        <v>490.91886054884259</v>
      </c>
      <c r="K70" s="141">
        <f t="shared" si="193"/>
        <v>611.71810851641135</v>
      </c>
      <c r="L70" s="141">
        <f t="shared" si="193"/>
        <v>29.870769788254243</v>
      </c>
      <c r="M70" s="141">
        <f t="shared" si="193"/>
        <v>154.62786798928559</v>
      </c>
      <c r="N70" s="141">
        <f>N66+N67</f>
        <v>41.907669147486509</v>
      </c>
      <c r="O70" s="141">
        <f>O66+O67</f>
        <v>83.864580616734372</v>
      </c>
      <c r="P70" s="141">
        <f>P66+P67</f>
        <v>125.84376826314671</v>
      </c>
      <c r="Q70" s="141">
        <f t="shared" si="193"/>
        <v>157.96747237547007</v>
      </c>
      <c r="R70" s="141">
        <f t="shared" si="193"/>
        <v>-0.65327136813535303</v>
      </c>
      <c r="S70" s="141">
        <f>S66+S67</f>
        <v>134.01118040976476</v>
      </c>
      <c r="T70" s="103">
        <f t="shared" ref="T70:AN70" si="194">T66+T67</f>
        <v>42.810394901722987</v>
      </c>
      <c r="U70" s="103">
        <f t="shared" si="194"/>
        <v>78.252753184397989</v>
      </c>
      <c r="V70" s="103">
        <f t="shared" si="194"/>
        <v>106.39415111316158</v>
      </c>
      <c r="W70" s="103">
        <f t="shared" si="194"/>
        <v>127.60610331637088</v>
      </c>
      <c r="X70" s="104">
        <f t="shared" si="194"/>
        <v>0.65732181608652551</v>
      </c>
      <c r="Y70" s="104">
        <f t="shared" si="194"/>
        <v>0.671128210153214</v>
      </c>
      <c r="Z70" s="104">
        <f t="shared" si="194"/>
        <v>1.4691067337912261E-2</v>
      </c>
      <c r="AA70" s="103">
        <f t="shared" si="194"/>
        <v>29.661930236743164</v>
      </c>
      <c r="AB70" s="104">
        <f>AB66+AB67</f>
        <v>5.3410578435228997E-3</v>
      </c>
      <c r="AC70" s="103">
        <f>AC66+AC67</f>
        <v>5.2936118196245515E-3</v>
      </c>
      <c r="AD70" s="104">
        <f>AD66+AD67</f>
        <v>2.0015946921793468E-4</v>
      </c>
      <c r="AE70" s="103" t="e">
        <f t="shared" si="194"/>
        <v>#DIV/0!</v>
      </c>
      <c r="AF70" s="103" t="e">
        <f t="shared" si="194"/>
        <v>#DIV/0!</v>
      </c>
      <c r="AG70" s="103" t="e">
        <f t="shared" si="194"/>
        <v>#DIV/0!</v>
      </c>
      <c r="AH70" s="103" t="e">
        <f t="shared" si="194"/>
        <v>#DIV/0!</v>
      </c>
      <c r="AI70" s="103">
        <f t="shared" si="194"/>
        <v>1355.718310710653</v>
      </c>
      <c r="AJ70" s="103">
        <f t="shared" si="194"/>
        <v>1350.1068584522384</v>
      </c>
      <c r="AK70" s="103">
        <f t="shared" si="194"/>
        <v>6.3118282122260467</v>
      </c>
      <c r="AL70" s="104">
        <f t="shared" si="194"/>
        <v>0.72087642981990452</v>
      </c>
      <c r="AM70" s="104">
        <f t="shared" si="194"/>
        <v>0.72869481167158423</v>
      </c>
      <c r="AN70" s="104">
        <f t="shared" si="194"/>
        <v>1.4876579055213623E-2</v>
      </c>
    </row>
    <row r="71" spans="1:103">
      <c r="A71" s="102" t="s">
        <v>41</v>
      </c>
      <c r="B71" s="103">
        <f>B66-B67</f>
        <v>28.089877583208697</v>
      </c>
      <c r="C71" s="103">
        <f>C66-C67</f>
        <v>61.691860138971634</v>
      </c>
      <c r="D71" s="103">
        <f>D66-D67</f>
        <v>109.94095976728137</v>
      </c>
      <c r="E71" s="103">
        <f>E66-E67</f>
        <v>111.93239626243108</v>
      </c>
      <c r="F71" s="104">
        <f>F66-F67</f>
        <v>0.17368036968193748</v>
      </c>
      <c r="G71" s="141">
        <f t="shared" ref="G71:R71" si="195">G66-G67</f>
        <v>617.68721738133127</v>
      </c>
      <c r="H71" s="141">
        <f>H66-H67</f>
        <v>159.9401331039505</v>
      </c>
      <c r="I71" s="141">
        <f>I66-I67</f>
        <v>320.80999953729639</v>
      </c>
      <c r="J71" s="141">
        <f>J66-J67</f>
        <v>481.65700152012283</v>
      </c>
      <c r="K71" s="141">
        <f t="shared" si="195"/>
        <v>588.52671906979549</v>
      </c>
      <c r="L71" s="141">
        <f t="shared" si="195"/>
        <v>6.4247474531250646</v>
      </c>
      <c r="M71" s="141">
        <f t="shared" si="195"/>
        <v>154.31730442450745</v>
      </c>
      <c r="N71" s="141">
        <f>N66-N67</f>
        <v>41.63715843872037</v>
      </c>
      <c r="O71" s="141">
        <f>O66-O67</f>
        <v>83.514729728093045</v>
      </c>
      <c r="P71" s="141">
        <f>P66-P67</f>
        <v>125.39761104719808</v>
      </c>
      <c r="Q71" s="141">
        <f t="shared" si="195"/>
        <v>155.1049414176334</v>
      </c>
      <c r="R71" s="141">
        <f t="shared" si="195"/>
        <v>-3.4739700111749907</v>
      </c>
      <c r="S71" s="141">
        <f>S66-S67</f>
        <v>56.437095452304185</v>
      </c>
      <c r="T71" s="103">
        <f t="shared" ref="T71:AN71" si="196">T66-T67</f>
        <v>35.424087856897714</v>
      </c>
      <c r="U71" s="103">
        <f t="shared" si="196"/>
        <v>68.667936470774464</v>
      </c>
      <c r="V71" s="103">
        <f t="shared" si="196"/>
        <v>94.547228197183259</v>
      </c>
      <c r="W71" s="103">
        <f t="shared" si="196"/>
        <v>114.2973449594912</v>
      </c>
      <c r="X71" s="104">
        <f t="shared" si="196"/>
        <v>0.5676302911931681</v>
      </c>
      <c r="Y71" s="104">
        <f t="shared" si="196"/>
        <v>0.58014094693490847</v>
      </c>
      <c r="Z71" s="104">
        <f t="shared" si="196"/>
        <v>1.1625982470516784E-2</v>
      </c>
      <c r="AA71" s="103">
        <f t="shared" si="196"/>
        <v>28.696690452912026</v>
      </c>
      <c r="AB71" s="104">
        <f>AB66-AB67</f>
        <v>4.6579973341037062E-3</v>
      </c>
      <c r="AC71" s="103">
        <f>AC66-AC67</f>
        <v>4.6322196240640304E-3</v>
      </c>
      <c r="AD71" s="104">
        <f>AD66-AD67</f>
        <v>-2.62020899613848E-4</v>
      </c>
      <c r="AE71" s="103" t="e">
        <f t="shared" si="196"/>
        <v>#DIV/0!</v>
      </c>
      <c r="AF71" s="103" t="e">
        <f t="shared" si="196"/>
        <v>#DIV/0!</v>
      </c>
      <c r="AG71" s="103" t="e">
        <f t="shared" si="196"/>
        <v>#DIV/0!</v>
      </c>
      <c r="AH71" s="103" t="e">
        <f t="shared" si="196"/>
        <v>#DIV/0!</v>
      </c>
      <c r="AI71" s="103">
        <f t="shared" si="196"/>
        <v>1354.3213444617604</v>
      </c>
      <c r="AJ71" s="103">
        <f t="shared" si="196"/>
        <v>1348.6821070650037</v>
      </c>
      <c r="AK71" s="103">
        <f t="shared" si="196"/>
        <v>4.9388614429463438</v>
      </c>
      <c r="AL71" s="104">
        <f t="shared" si="196"/>
        <v>0.62567529431802649</v>
      </c>
      <c r="AM71" s="104">
        <f t="shared" si="196"/>
        <v>0.63373334924795588</v>
      </c>
      <c r="AN71" s="104">
        <f t="shared" si="196"/>
        <v>9.9985772639558934E-4</v>
      </c>
    </row>
    <row r="72" spans="1:103">
      <c r="A72" s="77"/>
      <c r="B72" s="77"/>
      <c r="C72" s="77"/>
      <c r="D72" s="77"/>
      <c r="E72" s="77"/>
      <c r="F72" s="104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77"/>
      <c r="U72" s="77"/>
      <c r="V72" s="77"/>
      <c r="W72" s="77"/>
      <c r="X72" s="104"/>
      <c r="Y72" s="104"/>
      <c r="Z72" s="104"/>
      <c r="AA72" s="77"/>
      <c r="AB72" s="104"/>
      <c r="AC72" s="77"/>
      <c r="AD72" s="104"/>
      <c r="AE72" s="77"/>
      <c r="AF72" s="77"/>
      <c r="AG72" s="77"/>
      <c r="AH72" s="77"/>
      <c r="AI72" s="77"/>
      <c r="AJ72" s="77"/>
      <c r="AK72" s="77"/>
      <c r="AL72" s="104"/>
      <c r="AM72" s="104"/>
      <c r="AN72" s="104"/>
    </row>
    <row r="73" spans="1:103">
      <c r="A73" s="105" t="s">
        <v>42</v>
      </c>
      <c r="B73" s="77">
        <f>MAX(B6:B65)</f>
        <v>47</v>
      </c>
      <c r="C73" s="77">
        <f>MAX(C6:C65)</f>
        <v>61.85</v>
      </c>
      <c r="D73" s="77">
        <f>MAX(D6:D65)</f>
        <v>115</v>
      </c>
      <c r="E73" s="77">
        <f>MAX(E6:E65)</f>
        <v>114</v>
      </c>
      <c r="F73" s="104">
        <f>MAX(F6:F65)</f>
        <v>0.18611111111111112</v>
      </c>
      <c r="G73" s="141">
        <f t="shared" ref="G73:T73" si="197">MAX(G6:G65)</f>
        <v>618.70000000000005</v>
      </c>
      <c r="H73" s="141">
        <f>MAX(H6:H65)</f>
        <v>162.69999999999999</v>
      </c>
      <c r="I73" s="141">
        <f>MAX(I6:I65)</f>
        <v>326.3</v>
      </c>
      <c r="J73" s="141">
        <f>MAX(J6:J65)</f>
        <v>489.7</v>
      </c>
      <c r="K73" s="141">
        <f t="shared" si="197"/>
        <v>610.79999999999995</v>
      </c>
      <c r="L73" s="141">
        <f t="shared" si="197"/>
        <v>29.710000000000036</v>
      </c>
      <c r="M73" s="141">
        <f t="shared" si="197"/>
        <v>154.59</v>
      </c>
      <c r="N73" s="141">
        <f>MAX(N6:N65)</f>
        <v>41.8</v>
      </c>
      <c r="O73" s="141">
        <f>MAX(O6:O65)</f>
        <v>83.8</v>
      </c>
      <c r="P73" s="141">
        <f>MAX(P6:P65)</f>
        <v>125.7</v>
      </c>
      <c r="Q73" s="141">
        <f t="shared" si="197"/>
        <v>157.4</v>
      </c>
      <c r="R73" s="141">
        <f t="shared" si="197"/>
        <v>-1.210000000000008</v>
      </c>
      <c r="S73" s="141">
        <f>MAX(S6:S65)</f>
        <v>120</v>
      </c>
      <c r="T73" s="106">
        <f t="shared" si="197"/>
        <v>42.3</v>
      </c>
      <c r="U73" s="77">
        <f t="shared" ref="U73:AK73" si="198">MAX(U6:U65)</f>
        <v>76.8</v>
      </c>
      <c r="V73" s="77">
        <f t="shared" si="198"/>
        <v>104.1</v>
      </c>
      <c r="W73" s="77">
        <f t="shared" si="198"/>
        <v>124.6</v>
      </c>
      <c r="X73" s="104">
        <f t="shared" ref="X73:AD73" si="199">MAX(X6:X65)</f>
        <v>0.62361111111111112</v>
      </c>
      <c r="Y73" s="104">
        <f t="shared" si="199"/>
        <v>0.63749999999999996</v>
      </c>
      <c r="Z73" s="104">
        <f t="shared" si="199"/>
        <v>1.3888888888888951E-2</v>
      </c>
      <c r="AA73" s="77">
        <f t="shared" si="199"/>
        <v>29.5</v>
      </c>
      <c r="AB73" s="104">
        <f t="shared" si="199"/>
        <v>5.2546296296296299E-3</v>
      </c>
      <c r="AC73" s="77">
        <f t="shared" si="199"/>
        <v>5.162037037037037E-3</v>
      </c>
      <c r="AD73" s="104">
        <f t="shared" si="199"/>
        <v>1.5046296296296335E-4</v>
      </c>
      <c r="AE73" s="77">
        <f t="shared" si="198"/>
        <v>0</v>
      </c>
      <c r="AF73" s="77">
        <f t="shared" si="198"/>
        <v>0</v>
      </c>
      <c r="AG73" s="77">
        <f t="shared" si="198"/>
        <v>0</v>
      </c>
      <c r="AH73" s="77">
        <f t="shared" si="198"/>
        <v>0</v>
      </c>
      <c r="AI73" s="77">
        <f t="shared" si="198"/>
        <v>1355.52</v>
      </c>
      <c r="AJ73" s="77">
        <f t="shared" si="198"/>
        <v>1349.81</v>
      </c>
      <c r="AK73" s="77">
        <f t="shared" si="198"/>
        <v>6.2699999999999818</v>
      </c>
      <c r="AL73" s="104">
        <f>MAX(AL6:AL65)</f>
        <v>0.6875</v>
      </c>
      <c r="AM73" s="104">
        <f>MAX(AM6:AM65)</f>
        <v>0.69444444444444453</v>
      </c>
      <c r="AN73" s="104">
        <f>MAX(AN6:AN65)</f>
        <v>1.6666666666666829E-2</v>
      </c>
    </row>
    <row r="74" spans="1:103">
      <c r="A74" s="105" t="s">
        <v>43</v>
      </c>
      <c r="B74" s="77">
        <f>MIN(B6:B65)</f>
        <v>30</v>
      </c>
      <c r="C74" s="77">
        <f>MIN(C6:C65)</f>
        <v>61.73</v>
      </c>
      <c r="D74" s="77">
        <f>MIN(D6:D65)</f>
        <v>111</v>
      </c>
      <c r="E74" s="77">
        <f>MIN(E6:E65)</f>
        <v>113</v>
      </c>
      <c r="F74" s="104">
        <f>MIN(F6:F65)</f>
        <v>0.17708333333333334</v>
      </c>
      <c r="G74" s="141">
        <f t="shared" ref="G74:R74" si="200">MIN(G6:G65)</f>
        <v>617.90000000000009</v>
      </c>
      <c r="H74" s="141">
        <f>MIN(H6:H65)</f>
        <v>160.69999999999999</v>
      </c>
      <c r="I74" s="141">
        <f>MIN(I6:I65)</f>
        <v>322.5</v>
      </c>
      <c r="J74" s="141">
        <f>MIN(J6:J65)</f>
        <v>484.1</v>
      </c>
      <c r="K74" s="141">
        <f t="shared" si="200"/>
        <v>588.5</v>
      </c>
      <c r="L74" s="141">
        <f t="shared" si="200"/>
        <v>7.3200000000001637</v>
      </c>
      <c r="M74" s="141">
        <f t="shared" si="200"/>
        <v>154.35999999999999</v>
      </c>
      <c r="N74" s="141">
        <f>MIN(N6:N65)</f>
        <v>41.7</v>
      </c>
      <c r="O74" s="141">
        <f>MIN(O6:O65)</f>
        <v>83.5</v>
      </c>
      <c r="P74" s="141">
        <f>MIN(P6:P65)</f>
        <v>125.5</v>
      </c>
      <c r="Q74" s="141">
        <f t="shared" si="200"/>
        <v>155.6</v>
      </c>
      <c r="R74" s="141">
        <f t="shared" si="200"/>
        <v>-2.9399999999999977</v>
      </c>
      <c r="S74" s="141">
        <f>MIN(S6:S65)</f>
        <v>44</v>
      </c>
      <c r="T74" s="77">
        <f t="shared" ref="T74:AN74" si="201">MIN(T6:T65)</f>
        <v>36.200000000000003</v>
      </c>
      <c r="U74" s="77">
        <f t="shared" si="201"/>
        <v>69.900000000000006</v>
      </c>
      <c r="V74" s="77">
        <f t="shared" si="201"/>
        <v>96.8</v>
      </c>
      <c r="W74" s="77">
        <f t="shared" si="201"/>
        <v>116.9</v>
      </c>
      <c r="X74" s="104">
        <f t="shared" si="201"/>
        <v>0.57361111111111118</v>
      </c>
      <c r="Y74" s="104">
        <f t="shared" si="201"/>
        <v>0.58611111111111114</v>
      </c>
      <c r="Z74" s="104">
        <f t="shared" si="201"/>
        <v>1.2499999999999956E-2</v>
      </c>
      <c r="AA74" s="77">
        <f t="shared" si="201"/>
        <v>28.7</v>
      </c>
      <c r="AB74" s="104">
        <f>MIN(AB6:AB65)</f>
        <v>4.7222222222222223E-3</v>
      </c>
      <c r="AC74" s="77">
        <f>MIN(AC6:AC65)</f>
        <v>4.7106481481481478E-3</v>
      </c>
      <c r="AD74" s="104">
        <f>MIN(AD6:AD65)</f>
        <v>-2.7777777777777783E-4</v>
      </c>
      <c r="AE74" s="77">
        <f t="shared" si="201"/>
        <v>0</v>
      </c>
      <c r="AF74" s="77">
        <f t="shared" si="201"/>
        <v>0</v>
      </c>
      <c r="AG74" s="77">
        <f t="shared" si="201"/>
        <v>0</v>
      </c>
      <c r="AH74" s="77">
        <f t="shared" si="201"/>
        <v>0</v>
      </c>
      <c r="AI74" s="77">
        <f t="shared" si="201"/>
        <v>1354.55</v>
      </c>
      <c r="AJ74" s="77">
        <f t="shared" si="201"/>
        <v>1348.83</v>
      </c>
      <c r="AK74" s="77">
        <f t="shared" si="201"/>
        <v>5.2400000000000091</v>
      </c>
      <c r="AL74" s="104">
        <f t="shared" si="201"/>
        <v>0.63055555555555554</v>
      </c>
      <c r="AM74" s="104">
        <f t="shared" si="201"/>
        <v>0.63888888888888895</v>
      </c>
      <c r="AN74" s="104">
        <f t="shared" si="201"/>
        <v>2.7777777777777679E-3</v>
      </c>
    </row>
    <row r="75" spans="1:103">
      <c r="A75" s="77"/>
      <c r="B75" s="77"/>
      <c r="C75" s="77"/>
      <c r="D75" s="77"/>
      <c r="E75" s="77"/>
      <c r="F75" s="77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</row>
    <row r="76" spans="1:103">
      <c r="A76" s="77" t="s">
        <v>32</v>
      </c>
      <c r="B76" s="77">
        <v>90</v>
      </c>
      <c r="C76" s="77"/>
      <c r="D76" s="77"/>
      <c r="E76" s="77"/>
      <c r="F76" s="77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107">
        <v>145</v>
      </c>
      <c r="AF76" s="107">
        <v>35.5</v>
      </c>
      <c r="AG76" s="77">
        <v>2.4</v>
      </c>
      <c r="AH76" s="77"/>
      <c r="AI76" s="77"/>
      <c r="AJ76" s="77"/>
      <c r="AK76" s="77"/>
      <c r="AL76" s="77"/>
      <c r="AM76" s="77"/>
      <c r="AN76" s="77"/>
    </row>
    <row r="77" spans="1:103">
      <c r="A77" s="77" t="s">
        <v>33</v>
      </c>
      <c r="B77" s="77">
        <v>0</v>
      </c>
      <c r="C77" s="77"/>
      <c r="D77" s="77"/>
      <c r="E77" s="77"/>
      <c r="F77" s="77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107">
        <v>125</v>
      </c>
      <c r="AF77" s="107">
        <v>33.5</v>
      </c>
      <c r="AG77" s="77">
        <v>1.8</v>
      </c>
      <c r="AH77" s="77"/>
      <c r="AI77" s="77"/>
      <c r="AJ77" s="77"/>
      <c r="AK77" s="77"/>
      <c r="AL77" s="77"/>
      <c r="AM77" s="77"/>
      <c r="AN77" s="77"/>
    </row>
    <row r="78" spans="1:103">
      <c r="A78" s="77"/>
      <c r="B78" s="77"/>
      <c r="C78" s="77"/>
      <c r="D78" s="77"/>
      <c r="E78" s="77"/>
      <c r="F78" s="77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</row>
    <row r="79" spans="1:103">
      <c r="A79" s="77"/>
      <c r="B79" s="77"/>
      <c r="C79" s="77"/>
      <c r="D79" s="77"/>
      <c r="E79" s="77"/>
      <c r="F79" s="77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</row>
    <row r="80" spans="1:103">
      <c r="A80" s="77"/>
      <c r="B80" s="77"/>
      <c r="C80" s="77"/>
      <c r="D80" s="77"/>
      <c r="E80" s="77"/>
      <c r="F80" s="77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</row>
    <row r="81" spans="1:40">
      <c r="A81" s="77"/>
      <c r="B81" s="77"/>
      <c r="C81" s="77"/>
      <c r="D81" s="77"/>
      <c r="E81" s="77"/>
      <c r="F81" s="77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</row>
    <row r="82" spans="1:40">
      <c r="A82" s="77"/>
      <c r="B82" s="77"/>
      <c r="C82" s="77"/>
      <c r="D82" s="77"/>
      <c r="E82" s="77"/>
      <c r="F82" s="77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</row>
    <row r="83" spans="1:40">
      <c r="A83" s="77"/>
      <c r="B83" s="77"/>
      <c r="C83" s="77"/>
      <c r="D83" s="77"/>
      <c r="E83" s="77"/>
      <c r="F83" s="77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</row>
    <row r="84" spans="1:40">
      <c r="A84" s="77"/>
      <c r="B84" s="77"/>
      <c r="C84" s="77"/>
      <c r="D84" s="77"/>
      <c r="E84" s="77"/>
      <c r="F84" s="77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</row>
    <row r="85" spans="1:40">
      <c r="A85" s="77"/>
      <c r="B85" s="77"/>
      <c r="C85" s="77"/>
      <c r="D85" s="77"/>
      <c r="E85" s="77"/>
      <c r="F85" s="77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</row>
    <row r="86" spans="1:40">
      <c r="A86" s="77"/>
      <c r="B86" s="77"/>
      <c r="C86" s="77"/>
      <c r="D86" s="77"/>
      <c r="E86" s="77"/>
      <c r="F86" s="77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</row>
    <row r="87" spans="1:40">
      <c r="A87" s="77"/>
      <c r="B87" s="77"/>
      <c r="C87" s="77"/>
      <c r="D87" s="77"/>
      <c r="E87" s="77"/>
      <c r="F87" s="77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</row>
    <row r="88" spans="1:40">
      <c r="A88" s="77"/>
      <c r="B88" s="77"/>
      <c r="C88" s="77"/>
      <c r="D88" s="77"/>
      <c r="E88" s="77"/>
      <c r="F88" s="77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</row>
    <row r="89" spans="1:40">
      <c r="A89" s="77"/>
      <c r="B89" s="77"/>
      <c r="C89" s="77"/>
      <c r="D89" s="77"/>
      <c r="E89" s="77"/>
      <c r="F89" s="77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</row>
    <row r="90" spans="1:40">
      <c r="A90" s="77"/>
      <c r="B90" s="77"/>
      <c r="C90" s="77"/>
      <c r="D90" s="77"/>
      <c r="E90" s="77"/>
      <c r="F90" s="77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</row>
    <row r="91" spans="1:40">
      <c r="A91" s="77"/>
      <c r="B91" s="77"/>
      <c r="C91" s="77"/>
      <c r="D91" s="77"/>
      <c r="E91" s="77"/>
      <c r="F91" s="77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</row>
    <row r="92" spans="1:40">
      <c r="A92" s="77"/>
      <c r="B92" s="77"/>
      <c r="C92" s="77"/>
      <c r="D92" s="77"/>
      <c r="E92" s="77"/>
      <c r="F92" s="77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</row>
    <row r="93" spans="1:40">
      <c r="A93" s="77"/>
      <c r="B93" s="77"/>
      <c r="C93" s="77"/>
      <c r="D93" s="77"/>
      <c r="E93" s="77"/>
      <c r="F93" s="77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</row>
    <row r="94" spans="1:40">
      <c r="A94" s="77"/>
      <c r="B94" s="77"/>
      <c r="C94" s="77"/>
      <c r="D94" s="77"/>
      <c r="E94" s="77"/>
      <c r="F94" s="77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</row>
    <row r="95" spans="1:40">
      <c r="A95" s="77"/>
      <c r="B95" s="77"/>
      <c r="C95" s="77"/>
      <c r="D95" s="77"/>
      <c r="E95" s="77"/>
      <c r="F95" s="77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</row>
    <row r="96" spans="1:40">
      <c r="A96" s="77"/>
      <c r="B96" s="77"/>
      <c r="C96" s="77"/>
      <c r="D96" s="77"/>
      <c r="E96" s="77"/>
      <c r="F96" s="77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</row>
    <row r="97" spans="1:40">
      <c r="A97" s="77"/>
      <c r="B97" s="77"/>
      <c r="C97" s="77"/>
      <c r="D97" s="77"/>
      <c r="E97" s="77"/>
      <c r="F97" s="77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</row>
    <row r="98" spans="1:40">
      <c r="A98" s="77"/>
      <c r="B98" s="77"/>
      <c r="C98" s="77"/>
      <c r="D98" s="77"/>
      <c r="E98" s="77"/>
      <c r="F98" s="77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</row>
    <row r="99" spans="1:40">
      <c r="A99" s="77"/>
      <c r="B99" s="77"/>
      <c r="C99" s="77"/>
      <c r="D99" s="77"/>
      <c r="E99" s="77"/>
      <c r="F99" s="77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</row>
    <row r="100" spans="1:40">
      <c r="A100" s="77"/>
      <c r="B100" s="77"/>
      <c r="C100" s="77"/>
      <c r="D100" s="77"/>
      <c r="E100" s="77"/>
      <c r="F100" s="77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</row>
    <row r="101" spans="1:40">
      <c r="A101" s="77"/>
      <c r="B101" s="77"/>
      <c r="C101" s="77"/>
      <c r="D101" s="77"/>
      <c r="E101" s="77"/>
      <c r="F101" s="77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</row>
    <row r="102" spans="1:40">
      <c r="A102" s="77"/>
      <c r="B102" s="77"/>
      <c r="C102" s="77"/>
      <c r="D102" s="77"/>
      <c r="E102" s="77"/>
      <c r="F102" s="77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</row>
    <row r="103" spans="1:40">
      <c r="A103" s="77"/>
      <c r="B103" s="77"/>
      <c r="C103" s="77"/>
      <c r="D103" s="77"/>
      <c r="E103" s="77"/>
      <c r="F103" s="77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</row>
    <row r="104" spans="1:40">
      <c r="A104" s="77"/>
      <c r="B104" s="77"/>
      <c r="C104" s="77"/>
      <c r="D104" s="77"/>
      <c r="E104" s="77"/>
      <c r="F104" s="77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</row>
    <row r="105" spans="1:40">
      <c r="A105" s="77"/>
      <c r="B105" s="77"/>
      <c r="C105" s="77"/>
      <c r="D105" s="77"/>
      <c r="E105" s="77"/>
      <c r="F105" s="77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</row>
    <row r="106" spans="1:40">
      <c r="A106" s="77"/>
      <c r="B106" s="77"/>
      <c r="C106" s="77"/>
      <c r="D106" s="77"/>
      <c r="E106" s="77"/>
      <c r="F106" s="77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</row>
    <row r="107" spans="1:40">
      <c r="A107" s="77"/>
      <c r="B107" s="77"/>
      <c r="C107" s="77"/>
      <c r="D107" s="77"/>
      <c r="E107" s="77"/>
      <c r="F107" s="77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</row>
    <row r="108" spans="1:40">
      <c r="A108" s="77"/>
      <c r="B108" s="77"/>
      <c r="C108" s="77"/>
      <c r="D108" s="77"/>
      <c r="E108" s="77"/>
      <c r="F108" s="77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</row>
    <row r="109" spans="1:40">
      <c r="A109" s="77"/>
      <c r="B109" s="77"/>
      <c r="C109" s="77"/>
      <c r="D109" s="77"/>
      <c r="E109" s="77"/>
      <c r="F109" s="77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</row>
    <row r="110" spans="1:40">
      <c r="A110" s="77"/>
      <c r="B110" s="77"/>
      <c r="C110" s="77"/>
      <c r="D110" s="77"/>
      <c r="E110" s="77"/>
      <c r="F110" s="77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</row>
    <row r="111" spans="1:40">
      <c r="A111" s="77"/>
      <c r="B111" s="77"/>
      <c r="C111" s="77"/>
      <c r="D111" s="77"/>
      <c r="E111" s="77"/>
      <c r="F111" s="77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</row>
    <row r="112" spans="1:40">
      <c r="A112" s="77"/>
      <c r="B112" s="77"/>
      <c r="C112" s="77"/>
      <c r="D112" s="77"/>
      <c r="E112" s="77"/>
      <c r="F112" s="77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</row>
    <row r="113" spans="1:40">
      <c r="A113" s="77"/>
      <c r="B113" s="77"/>
      <c r="C113" s="77"/>
      <c r="D113" s="77"/>
      <c r="E113" s="77"/>
      <c r="F113" s="77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</row>
    <row r="114" spans="1:40">
      <c r="A114" s="77"/>
      <c r="B114" s="77"/>
      <c r="C114" s="77"/>
      <c r="D114" s="77"/>
      <c r="E114" s="77"/>
      <c r="F114" s="77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</row>
    <row r="115" spans="1:40">
      <c r="A115" s="77"/>
      <c r="B115" s="77"/>
      <c r="C115" s="77"/>
      <c r="D115" s="77"/>
      <c r="E115" s="77"/>
      <c r="F115" s="77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</row>
    <row r="116" spans="1:40">
      <c r="A116" s="77"/>
      <c r="B116" s="77"/>
      <c r="C116" s="77"/>
      <c r="D116" s="77"/>
      <c r="E116" s="77"/>
      <c r="F116" s="77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</row>
    <row r="117" spans="1:40">
      <c r="A117" s="77"/>
      <c r="B117" s="77"/>
      <c r="C117" s="77"/>
      <c r="D117" s="77"/>
      <c r="E117" s="77"/>
      <c r="F117" s="77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</row>
    <row r="118" spans="1:40">
      <c r="A118" s="77"/>
      <c r="B118" s="77"/>
      <c r="C118" s="77"/>
      <c r="D118" s="77"/>
      <c r="E118" s="77"/>
      <c r="F118" s="77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</row>
    <row r="119" spans="1:40">
      <c r="A119" s="77"/>
      <c r="B119" s="77"/>
      <c r="C119" s="77"/>
      <c r="D119" s="77"/>
      <c r="E119" s="77"/>
      <c r="F119" s="77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</row>
    <row r="120" spans="1:40">
      <c r="A120" s="77"/>
      <c r="B120" s="77"/>
      <c r="C120" s="77"/>
      <c r="D120" s="77"/>
      <c r="E120" s="77"/>
      <c r="F120" s="77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</row>
    <row r="121" spans="1:40">
      <c r="A121" s="77"/>
      <c r="B121" s="77"/>
      <c r="C121" s="77"/>
      <c r="D121" s="77"/>
      <c r="E121" s="77"/>
      <c r="F121" s="77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</row>
    <row r="122" spans="1:40">
      <c r="A122" s="77"/>
      <c r="B122" s="77"/>
      <c r="C122" s="77"/>
      <c r="D122" s="77"/>
      <c r="E122" s="77"/>
      <c r="F122" s="77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</row>
    <row r="123" spans="1:40">
      <c r="A123" s="77"/>
      <c r="B123" s="77"/>
      <c r="C123" s="77"/>
      <c r="D123" s="77"/>
      <c r="E123" s="77"/>
      <c r="F123" s="77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</row>
    <row r="124" spans="1:40">
      <c r="A124" s="77"/>
      <c r="B124" s="77"/>
      <c r="C124" s="77"/>
      <c r="D124" s="77"/>
      <c r="E124" s="77"/>
      <c r="F124" s="77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</row>
    <row r="125" spans="1:40">
      <c r="A125" s="77"/>
      <c r="B125" s="77"/>
      <c r="C125" s="77"/>
      <c r="D125" s="77"/>
      <c r="E125" s="77"/>
      <c r="F125" s="77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</row>
    <row r="126" spans="1:40">
      <c r="A126" s="77"/>
      <c r="B126" s="77"/>
      <c r="C126" s="77"/>
      <c r="D126" s="77"/>
      <c r="E126" s="77"/>
      <c r="F126" s="77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</row>
    <row r="127" spans="1:40">
      <c r="A127" s="77"/>
      <c r="B127" s="77"/>
      <c r="C127" s="77"/>
      <c r="D127" s="77"/>
      <c r="E127" s="77"/>
      <c r="F127" s="77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</row>
    <row r="128" spans="1:40">
      <c r="A128" s="77"/>
      <c r="B128" s="77"/>
      <c r="C128" s="77"/>
      <c r="D128" s="77"/>
      <c r="E128" s="77"/>
      <c r="F128" s="77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</row>
    <row r="129" spans="1:40">
      <c r="A129" s="77"/>
      <c r="B129" s="77"/>
      <c r="C129" s="77"/>
      <c r="D129" s="77"/>
      <c r="E129" s="77"/>
      <c r="F129" s="77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</row>
    <row r="130" spans="1:40">
      <c r="A130" s="77"/>
      <c r="B130" s="77"/>
      <c r="C130" s="77"/>
      <c r="D130" s="77"/>
      <c r="E130" s="77"/>
      <c r="F130" s="77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</row>
    <row r="131" spans="1:40">
      <c r="A131" s="77"/>
      <c r="B131" s="77"/>
      <c r="C131" s="77"/>
      <c r="D131" s="77"/>
      <c r="E131" s="77"/>
      <c r="F131" s="77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</row>
    <row r="132" spans="1:40">
      <c r="A132" s="77"/>
      <c r="B132" s="77"/>
      <c r="C132" s="77"/>
      <c r="D132" s="77"/>
      <c r="E132" s="77"/>
      <c r="F132" s="77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</row>
    <row r="133" spans="1:40">
      <c r="A133" s="77"/>
      <c r="B133" s="77"/>
      <c r="C133" s="77"/>
      <c r="D133" s="77"/>
      <c r="E133" s="77"/>
      <c r="F133" s="77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</row>
    <row r="134" spans="1:40">
      <c r="A134" s="77"/>
      <c r="B134" s="77"/>
      <c r="C134" s="77"/>
      <c r="D134" s="77"/>
      <c r="E134" s="77"/>
      <c r="F134" s="77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</row>
    <row r="135" spans="1:40">
      <c r="A135" s="77"/>
      <c r="B135" s="77"/>
      <c r="C135" s="77"/>
      <c r="D135" s="77"/>
      <c r="E135" s="77"/>
      <c r="F135" s="77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</row>
    <row r="136" spans="1:40">
      <c r="A136" s="77"/>
      <c r="B136" s="77"/>
      <c r="C136" s="77"/>
      <c r="D136" s="77"/>
      <c r="E136" s="77"/>
      <c r="F136" s="77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</row>
    <row r="137" spans="1:40">
      <c r="A137" s="77"/>
      <c r="B137" s="77"/>
      <c r="C137" s="77"/>
      <c r="D137" s="77"/>
      <c r="E137" s="77"/>
      <c r="F137" s="77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</row>
    <row r="138" spans="1:40">
      <c r="A138" s="77"/>
      <c r="B138" s="77"/>
      <c r="C138" s="77"/>
      <c r="D138" s="77"/>
      <c r="E138" s="77"/>
      <c r="F138" s="77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</row>
    <row r="139" spans="1:40">
      <c r="A139" s="77"/>
      <c r="B139" s="77"/>
      <c r="C139" s="77"/>
      <c r="D139" s="77"/>
      <c r="E139" s="77"/>
      <c r="F139" s="77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</row>
    <row r="140" spans="1:40">
      <c r="A140" s="77"/>
      <c r="B140" s="77"/>
      <c r="C140" s="77"/>
      <c r="D140" s="77"/>
      <c r="E140" s="77"/>
      <c r="F140" s="77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</row>
    <row r="141" spans="1:40">
      <c r="A141" s="77"/>
      <c r="B141" s="77"/>
      <c r="C141" s="77"/>
      <c r="D141" s="77"/>
      <c r="E141" s="77"/>
      <c r="F141" s="77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</row>
    <row r="142" spans="1:40">
      <c r="A142" s="77"/>
      <c r="B142" s="77"/>
      <c r="C142" s="77"/>
      <c r="D142" s="77"/>
      <c r="E142" s="77"/>
      <c r="F142" s="77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</row>
    <row r="143" spans="1:40">
      <c r="A143" s="77"/>
      <c r="B143" s="77"/>
      <c r="C143" s="77"/>
      <c r="D143" s="77"/>
      <c r="E143" s="77"/>
      <c r="F143" s="77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</row>
    <row r="144" spans="1:40">
      <c r="A144" s="77"/>
      <c r="B144" s="77"/>
      <c r="C144" s="77"/>
      <c r="D144" s="77"/>
      <c r="E144" s="77"/>
      <c r="F144" s="77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</row>
    <row r="145" spans="1:40">
      <c r="A145" s="77"/>
      <c r="B145" s="77"/>
      <c r="C145" s="77"/>
      <c r="D145" s="77"/>
      <c r="E145" s="77"/>
      <c r="F145" s="77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</row>
    <row r="146" spans="1:40">
      <c r="A146" s="77"/>
      <c r="B146" s="77"/>
      <c r="C146" s="77"/>
      <c r="D146" s="77"/>
      <c r="E146" s="77"/>
      <c r="F146" s="77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</row>
    <row r="147" spans="1:40">
      <c r="A147" s="77"/>
      <c r="B147" s="77"/>
      <c r="C147" s="77"/>
      <c r="D147" s="77"/>
      <c r="E147" s="77"/>
      <c r="F147" s="77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</row>
    <row r="148" spans="1:40">
      <c r="A148" s="77"/>
      <c r="B148" s="77"/>
      <c r="C148" s="77"/>
      <c r="D148" s="77"/>
      <c r="E148" s="77"/>
      <c r="F148" s="77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</row>
    <row r="149" spans="1:40">
      <c r="A149" s="77"/>
      <c r="B149" s="77"/>
      <c r="C149" s="77"/>
      <c r="D149" s="77"/>
      <c r="E149" s="77"/>
      <c r="F149" s="77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</row>
    <row r="150" spans="1:40">
      <c r="A150" s="77"/>
      <c r="B150" s="77"/>
      <c r="C150" s="77"/>
      <c r="D150" s="77"/>
      <c r="E150" s="77"/>
      <c r="F150" s="77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</row>
    <row r="151" spans="1:40">
      <c r="A151" s="77"/>
      <c r="B151" s="77"/>
      <c r="C151" s="77"/>
      <c r="D151" s="77"/>
      <c r="E151" s="77"/>
      <c r="F151" s="77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</row>
    <row r="152" spans="1:40">
      <c r="A152" s="77"/>
      <c r="B152" s="77"/>
      <c r="C152" s="77"/>
      <c r="D152" s="77"/>
      <c r="E152" s="77"/>
      <c r="F152" s="77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</row>
    <row r="153" spans="1:40">
      <c r="A153" s="77"/>
      <c r="B153" s="77"/>
      <c r="C153" s="77"/>
      <c r="D153" s="77"/>
      <c r="E153" s="77"/>
      <c r="F153" s="77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</row>
    <row r="154" spans="1:40">
      <c r="A154" s="77"/>
      <c r="B154" s="77"/>
      <c r="C154" s="77"/>
      <c r="D154" s="77"/>
      <c r="E154" s="77"/>
      <c r="F154" s="77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</row>
    <row r="155" spans="1:40">
      <c r="A155" s="77"/>
      <c r="B155" s="77"/>
      <c r="C155" s="77"/>
      <c r="D155" s="77"/>
      <c r="E155" s="77"/>
      <c r="F155" s="77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</row>
    <row r="156" spans="1:40">
      <c r="A156" s="77"/>
      <c r="B156" s="77"/>
      <c r="C156" s="77"/>
      <c r="D156" s="77"/>
      <c r="E156" s="77"/>
      <c r="F156" s="77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</row>
    <row r="157" spans="1:40">
      <c r="A157" s="77"/>
      <c r="B157" s="77"/>
      <c r="C157" s="77"/>
      <c r="D157" s="77"/>
      <c r="E157" s="77"/>
      <c r="F157" s="77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</row>
    <row r="158" spans="1:40">
      <c r="A158" s="77"/>
      <c r="B158" s="77"/>
      <c r="C158" s="77"/>
      <c r="D158" s="77"/>
      <c r="E158" s="77"/>
      <c r="F158" s="77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</row>
    <row r="159" spans="1:40">
      <c r="A159" s="77"/>
      <c r="B159" s="77"/>
      <c r="C159" s="77"/>
      <c r="D159" s="77"/>
      <c r="E159" s="77"/>
      <c r="F159" s="77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</row>
    <row r="160" spans="1:40">
      <c r="A160" s="77"/>
      <c r="B160" s="77"/>
      <c r="C160" s="77"/>
      <c r="D160" s="77"/>
      <c r="E160" s="77"/>
      <c r="F160" s="77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</row>
    <row r="161" spans="1:40">
      <c r="A161" s="77"/>
      <c r="B161" s="77"/>
      <c r="C161" s="77"/>
      <c r="D161" s="77"/>
      <c r="E161" s="77"/>
      <c r="F161" s="77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</row>
    <row r="162" spans="1:40">
      <c r="A162" s="77"/>
      <c r="B162" s="77"/>
      <c r="C162" s="77"/>
      <c r="D162" s="77"/>
      <c r="E162" s="77"/>
      <c r="F162" s="77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</row>
    <row r="163" spans="1:40">
      <c r="A163" s="77"/>
      <c r="B163" s="77"/>
      <c r="C163" s="77"/>
      <c r="D163" s="77"/>
      <c r="E163" s="77"/>
      <c r="F163" s="77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</row>
    <row r="164" spans="1:40">
      <c r="A164" s="77"/>
      <c r="B164" s="77"/>
      <c r="C164" s="77"/>
      <c r="D164" s="77"/>
      <c r="E164" s="77"/>
      <c r="F164" s="77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</row>
    <row r="165" spans="1:40">
      <c r="A165" s="77"/>
      <c r="B165" s="77"/>
      <c r="C165" s="77"/>
      <c r="D165" s="77"/>
      <c r="E165" s="77"/>
      <c r="F165" s="77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</row>
    <row r="166" spans="1:40">
      <c r="A166" s="77"/>
      <c r="B166" s="77"/>
      <c r="C166" s="77"/>
      <c r="D166" s="77"/>
      <c r="E166" s="77"/>
      <c r="F166" s="77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</row>
    <row r="167" spans="1:40">
      <c r="A167" s="77"/>
      <c r="B167" s="77"/>
      <c r="C167" s="77"/>
      <c r="D167" s="77"/>
      <c r="E167" s="77"/>
      <c r="F167" s="77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</row>
    <row r="168" spans="1:40">
      <c r="A168" s="77"/>
      <c r="B168" s="77"/>
      <c r="C168" s="77"/>
      <c r="D168" s="77"/>
      <c r="E168" s="77"/>
      <c r="F168" s="77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</row>
    <row r="169" spans="1:40">
      <c r="A169" s="77"/>
      <c r="B169" s="77"/>
      <c r="C169" s="77"/>
      <c r="D169" s="77"/>
      <c r="E169" s="77"/>
      <c r="F169" s="77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</row>
    <row r="170" spans="1:40">
      <c r="A170" s="77"/>
      <c r="B170" s="77"/>
      <c r="C170" s="77"/>
      <c r="D170" s="77"/>
      <c r="E170" s="77"/>
      <c r="F170" s="77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</row>
    <row r="171" spans="1:40">
      <c r="A171" s="77"/>
      <c r="B171" s="77"/>
      <c r="C171" s="77"/>
      <c r="D171" s="77"/>
      <c r="E171" s="77"/>
      <c r="F171" s="77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</row>
    <row r="172" spans="1:40">
      <c r="A172" s="77"/>
      <c r="B172" s="77"/>
      <c r="C172" s="77"/>
      <c r="D172" s="77"/>
      <c r="E172" s="77"/>
      <c r="F172" s="77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</row>
    <row r="173" spans="1:40">
      <c r="A173" s="77"/>
      <c r="B173" s="77"/>
      <c r="C173" s="77"/>
      <c r="D173" s="77"/>
      <c r="E173" s="77"/>
      <c r="F173" s="77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</row>
    <row r="174" spans="1:40">
      <c r="A174" s="77"/>
      <c r="B174" s="77"/>
      <c r="C174" s="77"/>
      <c r="D174" s="77"/>
      <c r="E174" s="77"/>
      <c r="F174" s="77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</row>
  </sheetData>
  <mergeCells count="25">
    <mergeCell ref="CE4:CY4"/>
    <mergeCell ref="BW5:BX5"/>
    <mergeCell ref="BY5:BZ5"/>
    <mergeCell ref="CA5:CB5"/>
    <mergeCell ref="AQ5:AR5"/>
    <mergeCell ref="BQ5:BR5"/>
    <mergeCell ref="BO5:BP5"/>
    <mergeCell ref="BM5:BN5"/>
    <mergeCell ref="G4:L4"/>
    <mergeCell ref="M4:R4"/>
    <mergeCell ref="AO4:CD4"/>
    <mergeCell ref="AO5:AP5"/>
    <mergeCell ref="AW5:AX5"/>
    <mergeCell ref="BA5:BB5"/>
    <mergeCell ref="BC5:BD5"/>
    <mergeCell ref="CC5:CD5"/>
    <mergeCell ref="BU5:BV5"/>
    <mergeCell ref="AS5:AT5"/>
    <mergeCell ref="BS5:BT5"/>
    <mergeCell ref="AU5:AV5"/>
    <mergeCell ref="BI5:BJ5"/>
    <mergeCell ref="BK5:BL5"/>
    <mergeCell ref="AY5:AZ5"/>
    <mergeCell ref="BE5:BF5"/>
    <mergeCell ref="BG5:BH5"/>
  </mergeCells>
  <phoneticPr fontId="5"/>
  <pageMargins left="0.75" right="0.75" top="1" bottom="1" header="0.51200000000000001" footer="0.51200000000000001"/>
  <pageSetup paperSize="9" orientation="portrait" horizontalDpi="200" verticalDpi="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00"/>
  <sheetViews>
    <sheetView tabSelected="1" zoomScaleNormal="100" zoomScaleSheetLayoutView="75" workbookViewId="0">
      <pane xSplit="1" ySplit="5" topLeftCell="B6" activePane="bottomRight" state="frozen"/>
      <selection activeCell="B2" sqref="B2"/>
      <selection pane="topRight" activeCell="B2" sqref="B2"/>
      <selection pane="bottomLeft" activeCell="B2" sqref="B2"/>
      <selection pane="bottomRight" activeCell="AM38" sqref="AM38"/>
    </sheetView>
  </sheetViews>
  <sheetFormatPr defaultRowHeight="12"/>
  <cols>
    <col min="1" max="1" width="12.7109375" style="77" customWidth="1"/>
    <col min="2" max="2" width="7.140625" style="77" customWidth="1"/>
    <col min="3" max="3" width="8.140625" style="77" customWidth="1"/>
    <col min="4" max="6" width="7.140625" style="77" customWidth="1"/>
    <col min="7" max="7" width="9.140625" style="141"/>
    <col min="8" max="11" width="12.7109375" style="141" customWidth="1"/>
    <col min="12" max="12" width="7.140625" style="141" customWidth="1"/>
    <col min="13" max="13" width="8.5703125" style="141" customWidth="1"/>
    <col min="14" max="17" width="12.7109375" style="141" customWidth="1"/>
    <col min="18" max="19" width="7.140625" style="141" customWidth="1"/>
    <col min="20" max="27" width="7.140625" style="77" customWidth="1"/>
    <col min="28" max="30" width="8.28515625" style="77" customWidth="1"/>
    <col min="31" max="34" width="7.140625" style="77" customWidth="1"/>
    <col min="35" max="36" width="10" style="77" customWidth="1"/>
    <col min="37" max="37" width="9.140625" style="77"/>
    <col min="38" max="40" width="7.140625" style="77" customWidth="1"/>
    <col min="41" max="43" width="4.85546875" style="77" customWidth="1"/>
    <col min="44" max="44" width="5.5703125" style="77" customWidth="1"/>
    <col min="45" max="45" width="4.85546875" style="77" customWidth="1"/>
    <col min="46" max="46" width="5.5703125" style="77" customWidth="1"/>
    <col min="47" max="98" width="4.85546875" style="77" customWidth="1"/>
    <col min="99" max="102" width="5" style="77" customWidth="1"/>
    <col min="103" max="135" width="4.85546875" style="77" customWidth="1"/>
    <col min="136" max="16384" width="9.140625" style="77"/>
  </cols>
  <sheetData>
    <row r="1" spans="1:137" ht="18.75">
      <c r="A1" s="116" t="s">
        <v>6</v>
      </c>
      <c r="B1" s="116"/>
      <c r="C1" s="116"/>
      <c r="D1" s="116"/>
      <c r="E1" s="116"/>
      <c r="F1" s="316" t="s">
        <v>174</v>
      </c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V1" s="117" t="s">
        <v>44</v>
      </c>
      <c r="AO1" s="324" t="s">
        <v>61</v>
      </c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324"/>
      <c r="BG1" s="324"/>
      <c r="BH1" s="324"/>
      <c r="BI1" s="324"/>
      <c r="BJ1" s="324"/>
      <c r="BK1" s="324"/>
      <c r="BL1" s="324"/>
      <c r="BM1" s="324"/>
      <c r="BN1" s="324"/>
      <c r="BO1" s="324"/>
      <c r="BP1" s="324"/>
      <c r="BQ1" s="324"/>
      <c r="BR1" s="324"/>
      <c r="BS1" s="324"/>
      <c r="BT1" s="324"/>
      <c r="BU1" s="324"/>
      <c r="BV1" s="324"/>
      <c r="BW1" s="324"/>
      <c r="BX1" s="324"/>
      <c r="BY1" s="324"/>
      <c r="BZ1" s="324"/>
      <c r="CA1" s="324"/>
      <c r="CB1" s="324"/>
      <c r="CC1" s="324"/>
      <c r="CD1" s="324"/>
      <c r="CE1" s="324"/>
      <c r="CF1" s="324"/>
      <c r="CG1" s="324"/>
      <c r="CH1" s="324"/>
      <c r="CI1" s="324"/>
      <c r="CJ1" s="324"/>
      <c r="CK1" s="324"/>
      <c r="CL1" s="324"/>
      <c r="CM1" s="324"/>
      <c r="CN1" s="324"/>
      <c r="CO1" s="324"/>
      <c r="CP1" s="324"/>
      <c r="CQ1" s="324"/>
      <c r="CR1" s="324"/>
      <c r="CS1" s="324"/>
      <c r="CT1" s="324"/>
      <c r="CU1" s="324"/>
      <c r="CV1" s="324"/>
      <c r="CW1" s="324"/>
      <c r="CX1" s="324"/>
      <c r="CY1" s="324"/>
      <c r="CZ1" s="324"/>
      <c r="DA1" s="324"/>
      <c r="DB1" s="324"/>
      <c r="DC1" s="324"/>
      <c r="DD1" s="324"/>
      <c r="DE1" s="324"/>
      <c r="DF1" s="324"/>
      <c r="DG1" s="324"/>
      <c r="DH1" s="324"/>
      <c r="DI1" s="324"/>
      <c r="DJ1" s="324"/>
      <c r="DK1" s="324"/>
      <c r="DL1" s="324"/>
      <c r="DM1" s="324"/>
      <c r="DN1" s="324"/>
      <c r="DO1" s="324"/>
      <c r="DP1" s="324"/>
      <c r="DQ1" s="324"/>
      <c r="DR1" s="324"/>
      <c r="DS1" s="324"/>
      <c r="DT1" s="324"/>
      <c r="DU1" s="324"/>
      <c r="DV1" s="324"/>
      <c r="DW1" s="324"/>
      <c r="DX1" s="324"/>
      <c r="DY1" s="324"/>
      <c r="DZ1" s="324"/>
      <c r="EA1" s="324"/>
      <c r="EB1" s="114"/>
      <c r="EC1" s="114"/>
      <c r="ED1" s="91"/>
      <c r="EE1" s="91"/>
    </row>
    <row r="2" spans="1:137" ht="12" customHeight="1">
      <c r="AO2" s="324"/>
      <c r="AP2" s="324"/>
      <c r="AQ2" s="324"/>
      <c r="AR2" s="324"/>
      <c r="AS2" s="324"/>
      <c r="AT2" s="324"/>
      <c r="AU2" s="324"/>
      <c r="AV2" s="324"/>
      <c r="AW2" s="324"/>
      <c r="AX2" s="324"/>
      <c r="AY2" s="324"/>
      <c r="AZ2" s="324"/>
      <c r="BA2" s="324"/>
      <c r="BB2" s="324"/>
      <c r="BC2" s="324"/>
      <c r="BD2" s="324"/>
      <c r="BE2" s="324"/>
      <c r="BF2" s="324"/>
      <c r="BG2" s="324"/>
      <c r="BH2" s="324"/>
      <c r="BI2" s="324"/>
      <c r="BJ2" s="324"/>
      <c r="BK2" s="324"/>
      <c r="BL2" s="324"/>
      <c r="BM2" s="324"/>
      <c r="BN2" s="324"/>
      <c r="BO2" s="324"/>
      <c r="BP2" s="324"/>
      <c r="BQ2" s="324"/>
      <c r="BR2" s="324"/>
      <c r="BS2" s="324"/>
      <c r="BT2" s="324"/>
      <c r="BU2" s="324"/>
      <c r="BV2" s="324"/>
      <c r="BW2" s="324"/>
      <c r="BX2" s="324"/>
      <c r="BY2" s="324"/>
      <c r="BZ2" s="324"/>
      <c r="CA2" s="324"/>
      <c r="CB2" s="324"/>
      <c r="CC2" s="324"/>
      <c r="CD2" s="324"/>
      <c r="CE2" s="324"/>
      <c r="CF2" s="324"/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324"/>
      <c r="CU2" s="324"/>
      <c r="CV2" s="324"/>
      <c r="CW2" s="324"/>
      <c r="CX2" s="324"/>
      <c r="CY2" s="324"/>
      <c r="CZ2" s="324"/>
      <c r="DA2" s="324"/>
      <c r="DB2" s="324"/>
      <c r="DC2" s="324"/>
      <c r="DD2" s="324"/>
      <c r="DE2" s="324"/>
      <c r="DF2" s="324"/>
      <c r="DG2" s="324"/>
      <c r="DH2" s="324"/>
      <c r="DI2" s="324"/>
      <c r="DJ2" s="324"/>
      <c r="DK2" s="324"/>
      <c r="DL2" s="324"/>
      <c r="DM2" s="324"/>
      <c r="DN2" s="324"/>
      <c r="DO2" s="324"/>
      <c r="DP2" s="324"/>
      <c r="DQ2" s="324"/>
      <c r="DR2" s="324"/>
      <c r="DS2" s="324"/>
      <c r="DT2" s="324"/>
      <c r="DU2" s="324"/>
      <c r="DV2" s="324"/>
      <c r="DW2" s="324"/>
      <c r="DX2" s="324"/>
      <c r="DY2" s="324"/>
      <c r="DZ2" s="324"/>
      <c r="EA2" s="324"/>
      <c r="EB2" s="114"/>
      <c r="EC2" s="114"/>
      <c r="ED2" s="91"/>
      <c r="EE2" s="91"/>
    </row>
    <row r="3" spans="1:137" ht="12.75" customHeight="1" thickBot="1">
      <c r="A3" s="77" t="s">
        <v>12</v>
      </c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325"/>
      <c r="CU3" s="325"/>
      <c r="CV3" s="325"/>
      <c r="CW3" s="326"/>
      <c r="CX3" s="326"/>
      <c r="CY3" s="326"/>
      <c r="CZ3" s="326"/>
      <c r="DA3" s="326"/>
      <c r="DB3" s="326"/>
      <c r="DC3" s="326"/>
      <c r="DD3" s="326"/>
      <c r="DE3" s="326"/>
      <c r="DF3" s="326"/>
      <c r="DG3" s="326"/>
      <c r="DH3" s="326"/>
      <c r="DI3" s="326"/>
      <c r="DJ3" s="326"/>
      <c r="DK3" s="326"/>
      <c r="DL3" s="326"/>
      <c r="DM3" s="326"/>
      <c r="DN3" s="326"/>
      <c r="DO3" s="326"/>
      <c r="DP3" s="326"/>
      <c r="DQ3" s="326"/>
      <c r="DR3" s="326"/>
      <c r="DS3" s="326"/>
      <c r="DT3" s="326"/>
      <c r="DU3" s="326"/>
      <c r="DV3" s="326"/>
      <c r="DW3" s="326"/>
      <c r="DX3" s="326"/>
      <c r="DY3" s="326"/>
      <c r="DZ3" s="326"/>
      <c r="EA3" s="326"/>
      <c r="EB3" s="115"/>
      <c r="EC3" s="115"/>
      <c r="ED3" s="91"/>
      <c r="EE3" s="91"/>
    </row>
    <row r="4" spans="1:137" ht="12.75" thickTop="1">
      <c r="A4" s="77">
        <f>COUNTA(A6:A67)</f>
        <v>32</v>
      </c>
      <c r="G4" s="300" t="s">
        <v>55</v>
      </c>
      <c r="H4" s="301"/>
      <c r="I4" s="301"/>
      <c r="J4" s="301"/>
      <c r="K4" s="301"/>
      <c r="L4" s="302"/>
      <c r="M4" s="300" t="s">
        <v>58</v>
      </c>
      <c r="N4" s="301"/>
      <c r="O4" s="301"/>
      <c r="P4" s="301"/>
      <c r="Q4" s="301"/>
      <c r="R4" s="302"/>
      <c r="S4" s="209"/>
      <c r="AO4" s="319" t="s">
        <v>5</v>
      </c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F4" s="320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1"/>
      <c r="CY4" s="319" t="s">
        <v>4</v>
      </c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  <c r="DM4" s="320"/>
      <c r="DN4" s="320"/>
      <c r="DO4" s="320"/>
      <c r="DP4" s="320"/>
      <c r="DQ4" s="320"/>
      <c r="DR4" s="320"/>
      <c r="DS4" s="320"/>
      <c r="DT4" s="320"/>
      <c r="DU4" s="320"/>
      <c r="DV4" s="320"/>
      <c r="DW4" s="320"/>
      <c r="DX4" s="320"/>
      <c r="DY4" s="320"/>
      <c r="DZ4" s="320"/>
      <c r="EA4" s="320"/>
      <c r="EB4" s="320"/>
      <c r="EC4" s="321"/>
      <c r="ED4" s="153" t="s">
        <v>9</v>
      </c>
      <c r="EE4" s="154" t="s">
        <v>10</v>
      </c>
    </row>
    <row r="5" spans="1:137" ht="31.5" customHeight="1">
      <c r="A5" s="1" t="s">
        <v>0</v>
      </c>
      <c r="B5" s="3" t="s">
        <v>7</v>
      </c>
      <c r="C5" s="230" t="s">
        <v>97</v>
      </c>
      <c r="D5" s="3" t="s">
        <v>48</v>
      </c>
      <c r="E5" s="3" t="s">
        <v>49</v>
      </c>
      <c r="F5" s="9" t="s">
        <v>50</v>
      </c>
      <c r="G5" s="134" t="s">
        <v>56</v>
      </c>
      <c r="H5" s="134" t="s">
        <v>63</v>
      </c>
      <c r="I5" s="134" t="s">
        <v>64</v>
      </c>
      <c r="J5" s="134" t="s">
        <v>65</v>
      </c>
      <c r="K5" s="134" t="s">
        <v>66</v>
      </c>
      <c r="L5" s="134" t="s">
        <v>57</v>
      </c>
      <c r="M5" s="134" t="s">
        <v>56</v>
      </c>
      <c r="N5" s="134" t="s">
        <v>67</v>
      </c>
      <c r="O5" s="134" t="s">
        <v>68</v>
      </c>
      <c r="P5" s="134" t="s">
        <v>69</v>
      </c>
      <c r="Q5" s="134" t="s">
        <v>70</v>
      </c>
      <c r="R5" s="134" t="s">
        <v>59</v>
      </c>
      <c r="S5" s="210" t="s">
        <v>90</v>
      </c>
      <c r="T5" s="9" t="s">
        <v>51</v>
      </c>
      <c r="U5" s="9" t="s">
        <v>52</v>
      </c>
      <c r="V5" s="9" t="s">
        <v>53</v>
      </c>
      <c r="W5" s="9" t="s">
        <v>54</v>
      </c>
      <c r="X5" s="168" t="s">
        <v>75</v>
      </c>
      <c r="Y5" s="168" t="s">
        <v>76</v>
      </c>
      <c r="Z5" s="168" t="s">
        <v>77</v>
      </c>
      <c r="AA5" s="168" t="s">
        <v>78</v>
      </c>
      <c r="AB5" s="259" t="s">
        <v>111</v>
      </c>
      <c r="AC5" s="259" t="s">
        <v>112</v>
      </c>
      <c r="AD5" s="259" t="s">
        <v>113</v>
      </c>
      <c r="AE5" s="4" t="s">
        <v>45</v>
      </c>
      <c r="AF5" s="4" t="s">
        <v>3</v>
      </c>
      <c r="AG5" s="5" t="s">
        <v>46</v>
      </c>
      <c r="AH5" s="41" t="s">
        <v>1</v>
      </c>
      <c r="AI5" s="3" t="s">
        <v>35</v>
      </c>
      <c r="AJ5" s="3" t="s">
        <v>36</v>
      </c>
      <c r="AK5" s="68" t="s">
        <v>37</v>
      </c>
      <c r="AL5" s="168" t="s">
        <v>79</v>
      </c>
      <c r="AM5" s="168" t="s">
        <v>80</v>
      </c>
      <c r="AN5" s="170" t="s">
        <v>81</v>
      </c>
      <c r="AO5" s="317" t="str">
        <f>B5</f>
        <v>仕込み
時間</v>
      </c>
      <c r="AP5" s="318"/>
      <c r="AQ5" s="318" t="str">
        <f>C5</f>
        <v>MEDIC
仕込み量</v>
      </c>
      <c r="AR5" s="318"/>
      <c r="AS5" s="313" t="str">
        <f>D5</f>
        <v>追添槽　滴下時間</v>
      </c>
      <c r="AT5" s="313"/>
      <c r="AU5" s="313" t="str">
        <f>E5</f>
        <v>触媒槽滴下時間</v>
      </c>
      <c r="AV5" s="313"/>
      <c r="AW5" s="313" t="str">
        <f>F5</f>
        <v>total
重合時間</v>
      </c>
      <c r="AX5" s="313"/>
      <c r="AY5" s="312" t="str">
        <f>H5</f>
        <v>追添0.5Hr
流量計積算量
(追添槽）</v>
      </c>
      <c r="AZ5" s="313"/>
      <c r="BA5" s="312" t="str">
        <f>I5</f>
        <v>追添1Hr
流量計積算量
(追添槽）</v>
      </c>
      <c r="BB5" s="313"/>
      <c r="BC5" s="312" t="str">
        <f>J5</f>
        <v>追添1.5Hr
流量計積算量
(追添槽）</v>
      </c>
      <c r="BD5" s="313"/>
      <c r="BE5" s="312" t="str">
        <f>K5</f>
        <v>最終流量計
積算量
(追添槽）</v>
      </c>
      <c r="BF5" s="313"/>
      <c r="BG5" s="312" t="str">
        <f>L5</f>
        <v>流量計重量差異（追添槽）</v>
      </c>
      <c r="BH5" s="313"/>
      <c r="BI5" s="312" t="str">
        <f>N5</f>
        <v>追添0.5Hr
流量計積算量
(触媒槽）</v>
      </c>
      <c r="BJ5" s="313"/>
      <c r="BK5" s="312" t="str">
        <f>O5</f>
        <v>追添1Hr
流量計積算量
(触媒槽）</v>
      </c>
      <c r="BL5" s="313"/>
      <c r="BM5" s="312" t="str">
        <f>P5</f>
        <v>追添1.5Hr
流量計積算量
(触媒槽）</v>
      </c>
      <c r="BN5" s="313"/>
      <c r="BO5" s="312" t="str">
        <f>Q5</f>
        <v>最終流量計
積算量
(触媒槽）</v>
      </c>
      <c r="BP5" s="313"/>
      <c r="BQ5" s="312" t="str">
        <f>R5</f>
        <v>流量計重量差異（触媒槽）</v>
      </c>
      <c r="BR5" s="313"/>
      <c r="BS5" s="298" t="s">
        <v>85</v>
      </c>
      <c r="BT5" s="299"/>
      <c r="BU5" s="313" t="str">
        <f>T5</f>
        <v>2.50Hr
粘度</v>
      </c>
      <c r="BV5" s="313"/>
      <c r="BW5" s="313" t="str">
        <f>U5</f>
        <v>3.00Hr
粘度</v>
      </c>
      <c r="BX5" s="313"/>
      <c r="BY5" s="313" t="str">
        <f>V5</f>
        <v>3.50Hr
粘度</v>
      </c>
      <c r="BZ5" s="313"/>
      <c r="CA5" s="313" t="str">
        <f>W5</f>
        <v>4.00Hr
粘度</v>
      </c>
      <c r="CB5" s="313"/>
      <c r="CC5" s="296" t="s">
        <v>77</v>
      </c>
      <c r="CD5" s="297"/>
      <c r="CE5" s="296" t="s">
        <v>78</v>
      </c>
      <c r="CF5" s="297"/>
      <c r="CG5" s="313" t="str">
        <f>AB5</f>
        <v>抜出時間
1本目</v>
      </c>
      <c r="CH5" s="313"/>
      <c r="CI5" s="313" t="str">
        <f>AC5</f>
        <v>抜出時間
7本目</v>
      </c>
      <c r="CJ5" s="313"/>
      <c r="CK5" s="313" t="str">
        <f>AD5</f>
        <v>抜出時間
差</v>
      </c>
      <c r="CL5" s="313"/>
      <c r="CM5" s="313" t="str">
        <f>AE5</f>
        <v>粘度</v>
      </c>
      <c r="CN5" s="313"/>
      <c r="CO5" s="313" t="str">
        <f>AF5</f>
        <v>固形分</v>
      </c>
      <c r="CP5" s="313"/>
      <c r="CQ5" s="327" t="str">
        <f>AG5</f>
        <v>Ｍw/Mn</v>
      </c>
      <c r="CR5" s="313"/>
      <c r="CS5" s="313" t="str">
        <f>AH5</f>
        <v>感度</v>
      </c>
      <c r="CT5" s="313"/>
      <c r="CU5" s="318" t="str">
        <f>AK5</f>
        <v>差異</v>
      </c>
      <c r="CV5" s="318"/>
      <c r="CW5" s="308" t="s">
        <v>81</v>
      </c>
      <c r="CX5" s="309"/>
      <c r="CY5" s="71" t="str">
        <f>B5</f>
        <v>仕込み
時間</v>
      </c>
      <c r="CZ5" s="14" t="str">
        <f>C5</f>
        <v>MEDIC
仕込み量</v>
      </c>
      <c r="DA5" s="14" t="str">
        <f>D5</f>
        <v>追添槽　滴下時間</v>
      </c>
      <c r="DB5" s="14" t="str">
        <f>E5</f>
        <v>触媒槽滴下時間</v>
      </c>
      <c r="DC5" s="14" t="str">
        <f>F5</f>
        <v>total
重合時間</v>
      </c>
      <c r="DD5" s="152" t="str">
        <f>H5</f>
        <v>追添0.5Hr
流量計積算量
(追添槽）</v>
      </c>
      <c r="DE5" s="152" t="str">
        <f>I5</f>
        <v>追添1Hr
流量計積算量
(追添槽）</v>
      </c>
      <c r="DF5" s="152" t="str">
        <f>J5</f>
        <v>追添1.5Hr
流量計積算量
(追添槽）</v>
      </c>
      <c r="DG5" s="152" t="str">
        <f>K5</f>
        <v>最終流量計
積算量
(追添槽）</v>
      </c>
      <c r="DH5" s="152" t="str">
        <f>L5</f>
        <v>流量計重量差異（追添槽）</v>
      </c>
      <c r="DI5" s="152" t="str">
        <f>N5</f>
        <v>追添0.5Hr
流量計積算量
(触媒槽）</v>
      </c>
      <c r="DJ5" s="152" t="str">
        <f>O5</f>
        <v>追添1Hr
流量計積算量
(触媒槽）</v>
      </c>
      <c r="DK5" s="152" t="str">
        <f>P5</f>
        <v>追添1.5Hr
流量計積算量
(触媒槽）</v>
      </c>
      <c r="DL5" s="152" t="str">
        <f>Q5</f>
        <v>最終流量計
積算量
(触媒槽）</v>
      </c>
      <c r="DM5" s="152" t="str">
        <f>R5</f>
        <v>流量計重量差異（触媒槽）</v>
      </c>
      <c r="DN5" s="210" t="s">
        <v>85</v>
      </c>
      <c r="DO5" s="14" t="str">
        <f>T5</f>
        <v>2.50Hr
粘度</v>
      </c>
      <c r="DP5" s="14" t="str">
        <f>U5</f>
        <v>3.00Hr
粘度</v>
      </c>
      <c r="DQ5" s="14" t="str">
        <f>V5</f>
        <v>3.50Hr
粘度</v>
      </c>
      <c r="DR5" s="14" t="str">
        <f>W5</f>
        <v>4.00Hr
粘度</v>
      </c>
      <c r="DS5" s="168" t="s">
        <v>77</v>
      </c>
      <c r="DT5" s="168" t="s">
        <v>78</v>
      </c>
      <c r="DU5" s="14" t="str">
        <f t="shared" ref="DU5:EA5" si="0">AB5</f>
        <v>抜出時間
1本目</v>
      </c>
      <c r="DV5" s="14" t="str">
        <f t="shared" si="0"/>
        <v>抜出時間
7本目</v>
      </c>
      <c r="DW5" s="14" t="str">
        <f t="shared" si="0"/>
        <v>抜出時間
差</v>
      </c>
      <c r="DX5" s="14" t="str">
        <f t="shared" si="0"/>
        <v>粘度</v>
      </c>
      <c r="DY5" s="14" t="str">
        <f t="shared" si="0"/>
        <v>固形分</v>
      </c>
      <c r="DZ5" s="14" t="str">
        <f t="shared" si="0"/>
        <v>Ｍw/Mn</v>
      </c>
      <c r="EA5" s="14" t="str">
        <f t="shared" si="0"/>
        <v>感度</v>
      </c>
      <c r="EB5" s="178" t="str">
        <f>AK5</f>
        <v>差異</v>
      </c>
      <c r="EC5" s="170" t="s">
        <v>81</v>
      </c>
      <c r="ED5" s="322" t="s">
        <v>60</v>
      </c>
      <c r="EE5" s="323"/>
    </row>
    <row r="6" spans="1:137" ht="11.25" customHeight="1">
      <c r="A6" s="81" t="s">
        <v>173</v>
      </c>
      <c r="B6" s="34">
        <v>44</v>
      </c>
      <c r="C6" s="252">
        <v>61.8</v>
      </c>
      <c r="D6" s="34">
        <v>113</v>
      </c>
      <c r="E6" s="34">
        <v>114</v>
      </c>
      <c r="F6" s="39">
        <v>0.18055555555555555</v>
      </c>
      <c r="G6" s="211">
        <f>220.72+8.89+22.13+35.37+53.01+39.84+61.8+57.47+119.14</f>
        <v>618.37</v>
      </c>
      <c r="H6" s="135">
        <v>161.69999999999999</v>
      </c>
      <c r="I6" s="135">
        <v>324.3</v>
      </c>
      <c r="J6" s="135">
        <v>486.8</v>
      </c>
      <c r="K6" s="159">
        <v>604.9</v>
      </c>
      <c r="L6" s="135">
        <f t="shared" ref="L6:L17" si="1">G6-K6</f>
        <v>13.470000000000027</v>
      </c>
      <c r="M6" s="211">
        <f>123.56+30.93</f>
        <v>154.49</v>
      </c>
      <c r="N6" s="135">
        <v>41.8</v>
      </c>
      <c r="O6" s="135">
        <v>83.7</v>
      </c>
      <c r="P6" s="135">
        <v>125.7</v>
      </c>
      <c r="Q6" s="159">
        <v>156.69999999999999</v>
      </c>
      <c r="R6" s="136">
        <f t="shared" ref="R6:R17" si="2">M6-Q6</f>
        <v>-2.2099999999999795</v>
      </c>
      <c r="S6" s="212">
        <v>96</v>
      </c>
      <c r="T6" s="161">
        <v>38.4</v>
      </c>
      <c r="U6" s="161">
        <v>73.3</v>
      </c>
      <c r="V6" s="161">
        <v>100.8</v>
      </c>
      <c r="W6" s="161">
        <v>121.4</v>
      </c>
      <c r="X6" s="186">
        <v>0.61805555555555558</v>
      </c>
      <c r="Y6" s="186">
        <v>0.63055555555555554</v>
      </c>
      <c r="Z6" s="186">
        <f t="shared" ref="Z6:Z17" si="3">Y6-X6</f>
        <v>1.2499999999999956E-2</v>
      </c>
      <c r="AA6" s="161">
        <v>28.9</v>
      </c>
      <c r="AB6" s="260">
        <v>5.1041666666666666E-3</v>
      </c>
      <c r="AC6" s="260">
        <v>4.8611111111111112E-3</v>
      </c>
      <c r="AD6" s="260">
        <f t="shared" ref="AD6:AD23" si="4">AC6-AB6</f>
        <v>-2.4305555555555539E-4</v>
      </c>
      <c r="AE6" s="166"/>
      <c r="AF6" s="57"/>
      <c r="AG6" s="2"/>
      <c r="AH6" s="57"/>
      <c r="AI6" s="155">
        <v>1355.14</v>
      </c>
      <c r="AJ6" s="155">
        <v>1349.3</v>
      </c>
      <c r="AK6" s="169">
        <f t="shared" ref="AK6:AK15" si="5">AI6-AJ6</f>
        <v>5.8400000000001455</v>
      </c>
      <c r="AL6" s="191">
        <v>0.67708333333333337</v>
      </c>
      <c r="AM6" s="191">
        <v>0.68402777777777779</v>
      </c>
      <c r="AN6" s="192">
        <f t="shared" ref="AN6:AN15" si="6">AM6-AL6</f>
        <v>6.9444444444444198E-3</v>
      </c>
      <c r="AO6" s="148">
        <f>$B$96</f>
        <v>28.089877583208697</v>
      </c>
      <c r="AP6" s="149">
        <f>$B$95</f>
        <v>47.910122416791303</v>
      </c>
      <c r="AQ6" s="149">
        <f t="shared" ref="AQ6:AQ67" si="7">$C$96</f>
        <v>61.691860138971634</v>
      </c>
      <c r="AR6" s="149">
        <f t="shared" ref="AR6:AR67" si="8">$C$95</f>
        <v>61.857105378269807</v>
      </c>
      <c r="AS6" s="149">
        <f t="shared" ref="AS6:AS67" si="9">$D$96</f>
        <v>109.94095976728137</v>
      </c>
      <c r="AT6" s="149">
        <f t="shared" ref="AT6:AT67" si="10">$D$95</f>
        <v>114.8176609223738</v>
      </c>
      <c r="AU6" s="149">
        <f>$E$96</f>
        <v>111.93239626243108</v>
      </c>
      <c r="AV6" s="149">
        <f>$E$95</f>
        <v>114.92967270308615</v>
      </c>
      <c r="AW6" s="149">
        <f>$F$96</f>
        <v>0.17368036968193748</v>
      </c>
      <c r="AX6" s="149">
        <f>$F$95</f>
        <v>0.18908304027974834</v>
      </c>
      <c r="AY6" s="123">
        <f t="shared" ref="AY6:AY67" si="11">$H$96</f>
        <v>156.83979641263412</v>
      </c>
      <c r="AZ6" s="123">
        <f t="shared" ref="AZ6:AZ67" si="12">$H$95</f>
        <v>163.64145358736593</v>
      </c>
      <c r="BA6" s="123">
        <f t="shared" ref="BA6:BA67" si="13">$I$96</f>
        <v>314.2100390293777</v>
      </c>
      <c r="BB6" s="123">
        <f t="shared" ref="BB6:BB67" si="14">$I$95</f>
        <v>328.23996097062235</v>
      </c>
      <c r="BC6" s="123">
        <f t="shared" ref="BC6:BC67" si="15">$J$96</f>
        <v>471.56159398390412</v>
      </c>
      <c r="BD6" s="123">
        <f t="shared" ref="BD6:BD67" si="16">$J$95</f>
        <v>492.76965601609584</v>
      </c>
      <c r="BE6" s="123">
        <f t="shared" ref="BE6:BE67" si="17">$K$96</f>
        <v>588.52671906979549</v>
      </c>
      <c r="BF6" s="123">
        <f t="shared" ref="BF6:BF67" si="18">$K$95</f>
        <v>611.71810851641135</v>
      </c>
      <c r="BG6" s="123">
        <f t="shared" ref="BG6:BG67" si="19">$L$96</f>
        <v>6.4247474531250646</v>
      </c>
      <c r="BH6" s="123">
        <f t="shared" ref="BH6:BH67" si="20">$L$95</f>
        <v>29.870769788254243</v>
      </c>
      <c r="BI6" s="123">
        <f t="shared" ref="BI6:BI67" si="21">$N$96</f>
        <v>41.634833977180243</v>
      </c>
      <c r="BJ6" s="123">
        <f t="shared" ref="BJ6:BJ67" si="22">$N$95</f>
        <v>41.908916022819731</v>
      </c>
      <c r="BK6" s="123">
        <f t="shared" ref="BK6:BK67" si="23">$O$96</f>
        <v>83.527280129290489</v>
      </c>
      <c r="BL6" s="123">
        <f t="shared" ref="BL6:BL67" si="24">$O$95</f>
        <v>83.903969870709489</v>
      </c>
      <c r="BM6" s="123">
        <f t="shared" ref="BM6:BM67" si="25">$P$96</f>
        <v>125.49642578417671</v>
      </c>
      <c r="BN6" s="123">
        <f t="shared" ref="BN6:BN67" si="26">$P$95</f>
        <v>125.82857421582314</v>
      </c>
      <c r="BO6" s="123">
        <f t="shared" ref="BO6:BO67" si="27">$Q$96</f>
        <v>155.1049414176334</v>
      </c>
      <c r="BP6" s="123">
        <f t="shared" ref="BP6:BP67" si="28">$Q$95</f>
        <v>157.96747237547007</v>
      </c>
      <c r="BQ6" s="123">
        <f t="shared" ref="BQ6:BQ67" si="29">$R$96</f>
        <v>-3.4739700111749907</v>
      </c>
      <c r="BR6" s="123">
        <f t="shared" ref="BR6:BR67" si="30">$R$95</f>
        <v>-0.65327136813535303</v>
      </c>
      <c r="BS6" s="123">
        <f>$S$96</f>
        <v>56.437095452304185</v>
      </c>
      <c r="BT6" s="123">
        <f>$S$95</f>
        <v>134.01118040976476</v>
      </c>
      <c r="BU6" s="123">
        <f>$T$96</f>
        <v>35.424087856897714</v>
      </c>
      <c r="BV6" s="123">
        <f>$T$95</f>
        <v>42.810394901722987</v>
      </c>
      <c r="BW6" s="123">
        <f>$U$96</f>
        <v>68.667936470774464</v>
      </c>
      <c r="BX6" s="123">
        <f>$U$95</f>
        <v>78.252753184397989</v>
      </c>
      <c r="BY6" s="123">
        <f>$V$96</f>
        <v>94.547228197183259</v>
      </c>
      <c r="BZ6" s="123">
        <f>$V$95</f>
        <v>106.39415111316158</v>
      </c>
      <c r="CA6" s="123">
        <f>$W$96</f>
        <v>114.2973449594912</v>
      </c>
      <c r="CB6" s="123">
        <f>$W$95</f>
        <v>127.60610331637088</v>
      </c>
      <c r="CC6" s="123">
        <f>$Z$96</f>
        <v>1.1625982470516784E-2</v>
      </c>
      <c r="CD6" s="123">
        <f>$Z$95</f>
        <v>1.4691067337912261E-2</v>
      </c>
      <c r="CE6" s="123">
        <f>$AA$96</f>
        <v>28.696690452912026</v>
      </c>
      <c r="CF6" s="123">
        <f>$AA$95</f>
        <v>29.661930236743164</v>
      </c>
      <c r="CG6" s="261">
        <f t="shared" ref="CG6:CG67" si="31">$AB$96</f>
        <v>4.6579973341037062E-3</v>
      </c>
      <c r="CH6" s="261">
        <f t="shared" ref="CH6:CH67" si="32">$AB$95</f>
        <v>5.3410578435228997E-3</v>
      </c>
      <c r="CI6" s="261">
        <f t="shared" ref="CI6:CI67" si="33">$AC$96</f>
        <v>4.6322196240640304E-3</v>
      </c>
      <c r="CJ6" s="261">
        <f t="shared" ref="CJ6:CJ67" si="34">$AC$95</f>
        <v>5.2936118196245515E-3</v>
      </c>
      <c r="CK6" s="261">
        <f t="shared" ref="CK6:CK67" si="35">$AD$96</f>
        <v>-2.62020899613848E-4</v>
      </c>
      <c r="CL6" s="261">
        <f t="shared" ref="CL6:CL67" si="36">$AD$95</f>
        <v>2.0015946921793468E-4</v>
      </c>
      <c r="CM6" s="123" t="e">
        <f>$AE$96</f>
        <v>#DIV/0!</v>
      </c>
      <c r="CN6" s="123" t="e">
        <f>$AE$95</f>
        <v>#DIV/0!</v>
      </c>
      <c r="CO6" s="123" t="e">
        <f>$AF$96</f>
        <v>#DIV/0!</v>
      </c>
      <c r="CP6" s="123" t="e">
        <f>$AF$95</f>
        <v>#DIV/0!</v>
      </c>
      <c r="CQ6" s="123" t="e">
        <f>$AG$96</f>
        <v>#DIV/0!</v>
      </c>
      <c r="CR6" s="123" t="e">
        <f>$AG$95</f>
        <v>#DIV/0!</v>
      </c>
      <c r="CS6" s="123" t="e">
        <f>$AH$96</f>
        <v>#DIV/0!</v>
      </c>
      <c r="CT6" s="123" t="e">
        <f>$AH$95</f>
        <v>#DIV/0!</v>
      </c>
      <c r="CU6" s="124">
        <f>$AK$96</f>
        <v>4.9388614429463438</v>
      </c>
      <c r="CV6" s="173">
        <f>$AK$95</f>
        <v>6.3118282122260467</v>
      </c>
      <c r="CW6" s="175">
        <f>$AN$96</f>
        <v>0</v>
      </c>
      <c r="CX6" s="171">
        <f>$AN$95</f>
        <v>0</v>
      </c>
      <c r="CY6" s="122">
        <f t="shared" ref="CY6:CY21" si="37">B$91</f>
        <v>38</v>
      </c>
      <c r="CZ6" s="231">
        <f t="shared" ref="CZ6:CZ21" si="38">C$91</f>
        <v>61.774482758620721</v>
      </c>
      <c r="DA6" s="123">
        <f t="shared" ref="DA6:DA21" si="39">D$91</f>
        <v>112.37931034482759</v>
      </c>
      <c r="DB6" s="123">
        <f t="shared" ref="DB6:DB21" si="40">E$91</f>
        <v>113.43103448275862</v>
      </c>
      <c r="DC6" s="123">
        <f t="shared" ref="DC6:DC21" si="41">F$91</f>
        <v>0.18138170498084291</v>
      </c>
      <c r="DD6" s="123">
        <f t="shared" ref="DD6:DD28" si="42">H$91</f>
        <v>160.24062500000002</v>
      </c>
      <c r="DE6" s="123">
        <f t="shared" ref="DE6:DE28" si="43">I$91</f>
        <v>321.22500000000002</v>
      </c>
      <c r="DF6" s="123">
        <f t="shared" ref="DF6:DF28" si="44">J$91</f>
        <v>482.16562499999998</v>
      </c>
      <c r="DG6" s="123">
        <f t="shared" ref="DG6:DG28" si="45">K$91</f>
        <v>600.12241379310342</v>
      </c>
      <c r="DH6" s="123">
        <f t="shared" ref="DH6:DH28" si="46">L$91</f>
        <v>18.147758620689654</v>
      </c>
      <c r="DI6" s="123">
        <f t="shared" ref="DI6:DR6" si="47">N$91</f>
        <v>41.771874999999987</v>
      </c>
      <c r="DJ6" s="123">
        <f t="shared" si="47"/>
        <v>83.715624999999989</v>
      </c>
      <c r="DK6" s="123">
        <f t="shared" si="47"/>
        <v>125.66249999999992</v>
      </c>
      <c r="DL6" s="123">
        <f t="shared" si="47"/>
        <v>156.53620689655173</v>
      </c>
      <c r="DM6" s="123">
        <f t="shared" si="47"/>
        <v>-2.0636206896551719</v>
      </c>
      <c r="DN6" s="123">
        <f t="shared" si="47"/>
        <v>95.224137931034477</v>
      </c>
      <c r="DO6" s="123">
        <f t="shared" si="47"/>
        <v>39.11724137931035</v>
      </c>
      <c r="DP6" s="123">
        <f t="shared" si="47"/>
        <v>73.460344827586226</v>
      </c>
      <c r="DQ6" s="123">
        <f t="shared" si="47"/>
        <v>100.47068965517242</v>
      </c>
      <c r="DR6" s="123">
        <f t="shared" si="47"/>
        <v>120.95172413793104</v>
      </c>
      <c r="DS6" s="123">
        <f t="shared" ref="DS6:DS32" si="48">Z$91</f>
        <v>1.3158524904214522E-2</v>
      </c>
      <c r="DT6" s="123">
        <f t="shared" ref="DT6:DT32" si="49">AA$91</f>
        <v>29.179310344827595</v>
      </c>
      <c r="DU6" s="261">
        <f t="shared" ref="DU6:EA6" si="50">AB$91</f>
        <v>4.9995275888133029E-3</v>
      </c>
      <c r="DV6" s="261">
        <f t="shared" si="50"/>
        <v>4.962915721844291E-3</v>
      </c>
      <c r="DW6" s="261">
        <f t="shared" si="50"/>
        <v>-3.0930715197956654E-5</v>
      </c>
      <c r="DX6" s="123" t="e">
        <f t="shared" si="50"/>
        <v>#DIV/0!</v>
      </c>
      <c r="DY6" s="123" t="e">
        <f t="shared" si="50"/>
        <v>#DIV/0!</v>
      </c>
      <c r="DZ6" s="123" t="e">
        <f t="shared" si="50"/>
        <v>#DIV/0!</v>
      </c>
      <c r="EA6" s="123" t="e">
        <f t="shared" si="50"/>
        <v>#DIV/0!</v>
      </c>
      <c r="EB6" s="176">
        <f t="shared" ref="EB6:EB32" si="51">AK$91</f>
        <v>5.6253448275861953</v>
      </c>
      <c r="EC6" s="181">
        <f t="shared" ref="EC6:EC32" si="52">AN$91</f>
        <v>0</v>
      </c>
      <c r="ED6" s="179">
        <f>$E$80</f>
        <v>120</v>
      </c>
      <c r="EE6" s="125">
        <f>$E$81</f>
        <v>100</v>
      </c>
    </row>
    <row r="7" spans="1:137" ht="11.25" customHeight="1">
      <c r="A7" s="276" t="s">
        <v>175</v>
      </c>
      <c r="B7" s="82">
        <v>36</v>
      </c>
      <c r="C7" s="253">
        <v>61.83</v>
      </c>
      <c r="D7" s="82">
        <v>112</v>
      </c>
      <c r="E7" s="82">
        <v>114</v>
      </c>
      <c r="F7" s="39">
        <v>0.17916666666666667</v>
      </c>
      <c r="G7" s="113">
        <f>220.72+8.89+22.09+35.41+53.03+39.81+61.83+57.48+119.2</f>
        <v>618.46</v>
      </c>
      <c r="H7" s="229">
        <v>161</v>
      </c>
      <c r="I7" s="136">
        <v>322.7</v>
      </c>
      <c r="J7" s="136">
        <v>484.6</v>
      </c>
      <c r="K7" s="136">
        <v>595.29999999999995</v>
      </c>
      <c r="L7" s="135">
        <f t="shared" si="1"/>
        <v>23.160000000000082</v>
      </c>
      <c r="M7" s="211">
        <f>30.88+123.64</f>
        <v>154.52000000000001</v>
      </c>
      <c r="N7" s="135">
        <v>41.7</v>
      </c>
      <c r="O7" s="135">
        <v>83.6</v>
      </c>
      <c r="P7" s="135">
        <v>125.6</v>
      </c>
      <c r="Q7" s="135">
        <v>157</v>
      </c>
      <c r="R7" s="136">
        <f t="shared" si="2"/>
        <v>-2.4799999999999898</v>
      </c>
      <c r="S7" s="212">
        <v>98</v>
      </c>
      <c r="T7" s="84">
        <v>40</v>
      </c>
      <c r="U7" s="84">
        <v>75</v>
      </c>
      <c r="V7" s="84">
        <v>102.8</v>
      </c>
      <c r="W7" s="84">
        <v>122.9</v>
      </c>
      <c r="X7" s="185">
        <v>0.6166666666666667</v>
      </c>
      <c r="Y7" s="185">
        <v>0.62916666666666665</v>
      </c>
      <c r="Z7" s="186">
        <f t="shared" si="3"/>
        <v>1.2499999999999956E-2</v>
      </c>
      <c r="AA7" s="84">
        <v>29.3</v>
      </c>
      <c r="AB7" s="260">
        <v>5.0578703703703706E-3</v>
      </c>
      <c r="AC7" s="260">
        <v>5.0578703703703706E-3</v>
      </c>
      <c r="AD7" s="260">
        <f t="shared" si="4"/>
        <v>0</v>
      </c>
      <c r="AE7" s="69"/>
      <c r="AF7" s="69"/>
      <c r="AG7" s="33"/>
      <c r="AH7" s="50"/>
      <c r="AI7" s="156">
        <v>1355.28</v>
      </c>
      <c r="AJ7" s="156">
        <v>1349.77</v>
      </c>
      <c r="AK7" s="169">
        <f t="shared" si="5"/>
        <v>5.5099999999999909</v>
      </c>
      <c r="AL7" s="191">
        <v>0.67638888888888893</v>
      </c>
      <c r="AM7" s="191">
        <v>0.68472222222222223</v>
      </c>
      <c r="AN7" s="192">
        <f t="shared" si="6"/>
        <v>8.3333333333333037E-3</v>
      </c>
      <c r="AO7" s="148">
        <f t="shared" ref="AO7:AO67" si="53">$B$96</f>
        <v>28.089877583208697</v>
      </c>
      <c r="AP7" s="149">
        <f t="shared" ref="AP7:AP67" si="54">$B$95</f>
        <v>47.910122416791303</v>
      </c>
      <c r="AQ7" s="149">
        <f t="shared" si="7"/>
        <v>61.691860138971634</v>
      </c>
      <c r="AR7" s="149">
        <f t="shared" si="8"/>
        <v>61.857105378269807</v>
      </c>
      <c r="AS7" s="149">
        <f t="shared" si="9"/>
        <v>109.94095976728137</v>
      </c>
      <c r="AT7" s="149">
        <f t="shared" si="10"/>
        <v>114.8176609223738</v>
      </c>
      <c r="AU7" s="149">
        <f t="shared" ref="AU7:AU67" si="55">$E$96</f>
        <v>111.93239626243108</v>
      </c>
      <c r="AV7" s="149">
        <f t="shared" ref="AV7:AV67" si="56">$E$95</f>
        <v>114.92967270308615</v>
      </c>
      <c r="AW7" s="149">
        <f t="shared" ref="AW7:AW67" si="57">$F$96</f>
        <v>0.17368036968193748</v>
      </c>
      <c r="AX7" s="149">
        <f t="shared" ref="AX7:AX67" si="58">$F$95</f>
        <v>0.18908304027974834</v>
      </c>
      <c r="AY7" s="123">
        <f t="shared" si="11"/>
        <v>156.83979641263412</v>
      </c>
      <c r="AZ7" s="123">
        <f t="shared" si="12"/>
        <v>163.64145358736593</v>
      </c>
      <c r="BA7" s="123">
        <f t="shared" si="13"/>
        <v>314.2100390293777</v>
      </c>
      <c r="BB7" s="123">
        <f t="shared" si="14"/>
        <v>328.23996097062235</v>
      </c>
      <c r="BC7" s="123">
        <f t="shared" si="15"/>
        <v>471.56159398390412</v>
      </c>
      <c r="BD7" s="123">
        <f t="shared" si="16"/>
        <v>492.76965601609584</v>
      </c>
      <c r="BE7" s="123">
        <f t="shared" si="17"/>
        <v>588.52671906979549</v>
      </c>
      <c r="BF7" s="123">
        <f t="shared" si="18"/>
        <v>611.71810851641135</v>
      </c>
      <c r="BG7" s="123">
        <f t="shared" si="19"/>
        <v>6.4247474531250646</v>
      </c>
      <c r="BH7" s="123">
        <f t="shared" si="20"/>
        <v>29.870769788254243</v>
      </c>
      <c r="BI7" s="123">
        <f t="shared" si="21"/>
        <v>41.634833977180243</v>
      </c>
      <c r="BJ7" s="123">
        <f t="shared" si="22"/>
        <v>41.908916022819731</v>
      </c>
      <c r="BK7" s="123">
        <f t="shared" si="23"/>
        <v>83.527280129290489</v>
      </c>
      <c r="BL7" s="123">
        <f t="shared" si="24"/>
        <v>83.903969870709489</v>
      </c>
      <c r="BM7" s="123">
        <f t="shared" si="25"/>
        <v>125.49642578417671</v>
      </c>
      <c r="BN7" s="123">
        <f t="shared" si="26"/>
        <v>125.82857421582314</v>
      </c>
      <c r="BO7" s="123">
        <f t="shared" si="27"/>
        <v>155.1049414176334</v>
      </c>
      <c r="BP7" s="123">
        <f t="shared" si="28"/>
        <v>157.96747237547007</v>
      </c>
      <c r="BQ7" s="123">
        <f t="shared" si="29"/>
        <v>-3.4739700111749907</v>
      </c>
      <c r="BR7" s="123">
        <f t="shared" si="30"/>
        <v>-0.65327136813535303</v>
      </c>
      <c r="BS7" s="123">
        <f t="shared" ref="BS7:BS67" si="59">$S$96</f>
        <v>56.437095452304185</v>
      </c>
      <c r="BT7" s="123">
        <f t="shared" ref="BT7:BT67" si="60">$S$95</f>
        <v>134.01118040976476</v>
      </c>
      <c r="BU7" s="123">
        <f t="shared" ref="BU7:BU67" si="61">$T$96</f>
        <v>35.424087856897714</v>
      </c>
      <c r="BV7" s="123">
        <f t="shared" ref="BV7:BV67" si="62">$T$95</f>
        <v>42.810394901722987</v>
      </c>
      <c r="BW7" s="123">
        <f t="shared" ref="BW7:BW67" si="63">$U$96</f>
        <v>68.667936470774464</v>
      </c>
      <c r="BX7" s="123">
        <f t="shared" ref="BX7:BX67" si="64">$U$95</f>
        <v>78.252753184397989</v>
      </c>
      <c r="BY7" s="123">
        <f t="shared" ref="BY7:BY67" si="65">$V$96</f>
        <v>94.547228197183259</v>
      </c>
      <c r="BZ7" s="123">
        <f t="shared" ref="BZ7:BZ67" si="66">$V$95</f>
        <v>106.39415111316158</v>
      </c>
      <c r="CA7" s="123">
        <f t="shared" ref="CA7:CA67" si="67">$W$96</f>
        <v>114.2973449594912</v>
      </c>
      <c r="CB7" s="123">
        <f t="shared" ref="CB7:CB67" si="68">$W$95</f>
        <v>127.60610331637088</v>
      </c>
      <c r="CC7" s="123">
        <f t="shared" ref="CC7:CC67" si="69">$Z$96</f>
        <v>1.1625982470516784E-2</v>
      </c>
      <c r="CD7" s="123">
        <f t="shared" ref="CD7:CD67" si="70">$Z$95</f>
        <v>1.4691067337912261E-2</v>
      </c>
      <c r="CE7" s="123">
        <f t="shared" ref="CE7:CE67" si="71">$AA$96</f>
        <v>28.696690452912026</v>
      </c>
      <c r="CF7" s="123">
        <f t="shared" ref="CF7:CF67" si="72">$AA$95</f>
        <v>29.661930236743164</v>
      </c>
      <c r="CG7" s="261">
        <f t="shared" si="31"/>
        <v>4.6579973341037062E-3</v>
      </c>
      <c r="CH7" s="261">
        <f t="shared" si="32"/>
        <v>5.3410578435228997E-3</v>
      </c>
      <c r="CI7" s="261">
        <f t="shared" si="33"/>
        <v>4.6322196240640304E-3</v>
      </c>
      <c r="CJ7" s="261">
        <f t="shared" si="34"/>
        <v>5.2936118196245515E-3</v>
      </c>
      <c r="CK7" s="261">
        <f t="shared" si="35"/>
        <v>-2.62020899613848E-4</v>
      </c>
      <c r="CL7" s="261">
        <f t="shared" si="36"/>
        <v>2.0015946921793468E-4</v>
      </c>
      <c r="CM7" s="123" t="e">
        <f t="shared" ref="CM7:CM67" si="73">$AE$96</f>
        <v>#DIV/0!</v>
      </c>
      <c r="CN7" s="123" t="e">
        <f t="shared" ref="CN7:CN67" si="74">$AE$95</f>
        <v>#DIV/0!</v>
      </c>
      <c r="CO7" s="123" t="e">
        <f t="shared" ref="CO7:CO67" si="75">$AF$96</f>
        <v>#DIV/0!</v>
      </c>
      <c r="CP7" s="123" t="e">
        <f t="shared" ref="CP7:CP67" si="76">$AF$95</f>
        <v>#DIV/0!</v>
      </c>
      <c r="CQ7" s="123" t="e">
        <f t="shared" ref="CQ7:CQ67" si="77">$AG$96</f>
        <v>#DIV/0!</v>
      </c>
      <c r="CR7" s="123" t="e">
        <f t="shared" ref="CR7:CR67" si="78">$AG$95</f>
        <v>#DIV/0!</v>
      </c>
      <c r="CS7" s="123" t="e">
        <f t="shared" ref="CS7:CS67" si="79">$AH$96</f>
        <v>#DIV/0!</v>
      </c>
      <c r="CT7" s="123" t="e">
        <f t="shared" ref="CT7:CT67" si="80">$AH$95</f>
        <v>#DIV/0!</v>
      </c>
      <c r="CU7" s="124">
        <f t="shared" ref="CU7:CU67" si="81">$AK$96</f>
        <v>4.9388614429463438</v>
      </c>
      <c r="CV7" s="173">
        <f t="shared" ref="CV7:CV67" si="82">$AK$95</f>
        <v>6.3118282122260467</v>
      </c>
      <c r="CW7" s="124">
        <f t="shared" ref="CW7:CW67" si="83">$AN$96</f>
        <v>0</v>
      </c>
      <c r="CX7" s="171">
        <f t="shared" ref="CX7:CX67" si="84">$AN$95</f>
        <v>0</v>
      </c>
      <c r="CY7" s="122">
        <f t="shared" si="37"/>
        <v>38</v>
      </c>
      <c r="CZ7" s="231">
        <f t="shared" si="38"/>
        <v>61.774482758620721</v>
      </c>
      <c r="DA7" s="123">
        <f t="shared" si="39"/>
        <v>112.37931034482759</v>
      </c>
      <c r="DB7" s="123">
        <f t="shared" si="40"/>
        <v>113.43103448275862</v>
      </c>
      <c r="DC7" s="123">
        <f t="shared" si="41"/>
        <v>0.18138170498084291</v>
      </c>
      <c r="DD7" s="123">
        <f t="shared" si="42"/>
        <v>160.24062500000002</v>
      </c>
      <c r="DE7" s="123">
        <f t="shared" si="43"/>
        <v>321.22500000000002</v>
      </c>
      <c r="DF7" s="123">
        <f t="shared" si="44"/>
        <v>482.16562499999998</v>
      </c>
      <c r="DG7" s="123">
        <f t="shared" si="45"/>
        <v>600.12241379310342</v>
      </c>
      <c r="DH7" s="123">
        <f t="shared" si="46"/>
        <v>18.147758620689654</v>
      </c>
      <c r="DI7" s="123">
        <f t="shared" ref="DI7:DI32" si="85">N$91</f>
        <v>41.771874999999987</v>
      </c>
      <c r="DJ7" s="123">
        <f t="shared" ref="DJ7:DJ32" si="86">O$91</f>
        <v>83.715624999999989</v>
      </c>
      <c r="DK7" s="123">
        <f t="shared" ref="DK7:DK32" si="87">P$91</f>
        <v>125.66249999999992</v>
      </c>
      <c r="DL7" s="123">
        <f t="shared" ref="DL7:DL32" si="88">Q$91</f>
        <v>156.53620689655173</v>
      </c>
      <c r="DM7" s="123">
        <f t="shared" ref="DM7:DM32" si="89">R$91</f>
        <v>-2.0636206896551719</v>
      </c>
      <c r="DN7" s="123">
        <f t="shared" ref="DN7:DN32" si="90">S$91</f>
        <v>95.224137931034477</v>
      </c>
      <c r="DO7" s="123">
        <f t="shared" ref="DO7:DO21" si="91">T$91</f>
        <v>39.11724137931035</v>
      </c>
      <c r="DP7" s="123">
        <f t="shared" ref="DP7:DP21" si="92">U$91</f>
        <v>73.460344827586226</v>
      </c>
      <c r="DQ7" s="123">
        <f t="shared" ref="DQ7:DQ21" si="93">V$91</f>
        <v>100.47068965517242</v>
      </c>
      <c r="DR7" s="123">
        <f t="shared" ref="DR7:DR21" si="94">W$91</f>
        <v>120.95172413793104</v>
      </c>
      <c r="DS7" s="123">
        <f t="shared" si="48"/>
        <v>1.3158524904214522E-2</v>
      </c>
      <c r="DT7" s="123">
        <f t="shared" si="49"/>
        <v>29.179310344827595</v>
      </c>
      <c r="DU7" s="261">
        <f t="shared" ref="DU7:DU21" si="95">AB$91</f>
        <v>4.9995275888133029E-3</v>
      </c>
      <c r="DV7" s="261">
        <f t="shared" ref="DV7:DV21" si="96">AC$91</f>
        <v>4.962915721844291E-3</v>
      </c>
      <c r="DW7" s="261">
        <f t="shared" ref="DW7:DW21" si="97">AD$91</f>
        <v>-3.0930715197956654E-5</v>
      </c>
      <c r="DX7" s="123" t="e">
        <f t="shared" ref="DX7:DX21" si="98">AE$91</f>
        <v>#DIV/0!</v>
      </c>
      <c r="DY7" s="123" t="e">
        <f t="shared" ref="DY7:DY21" si="99">AF$91</f>
        <v>#DIV/0!</v>
      </c>
      <c r="DZ7" s="123" t="e">
        <f t="shared" ref="DZ7:DZ21" si="100">AG$91</f>
        <v>#DIV/0!</v>
      </c>
      <c r="EA7" s="123" t="e">
        <f t="shared" ref="EA7:EA21" si="101">AH$91</f>
        <v>#DIV/0!</v>
      </c>
      <c r="EB7" s="176">
        <f t="shared" si="51"/>
        <v>5.6253448275861953</v>
      </c>
      <c r="EC7" s="125">
        <f t="shared" si="52"/>
        <v>0</v>
      </c>
      <c r="ED7" s="179">
        <f t="shared" ref="ED7:ED67" si="102">$E$80</f>
        <v>120</v>
      </c>
      <c r="EE7" s="125">
        <f t="shared" ref="EE7:EE67" si="103">$E$81</f>
        <v>100</v>
      </c>
      <c r="EF7" s="106"/>
      <c r="EG7" s="106"/>
    </row>
    <row r="8" spans="1:137" ht="11.25" customHeight="1">
      <c r="A8" s="276" t="s">
        <v>176</v>
      </c>
      <c r="B8" s="35">
        <v>33</v>
      </c>
      <c r="C8" s="254">
        <v>61.79</v>
      </c>
      <c r="D8" s="35">
        <v>112</v>
      </c>
      <c r="E8" s="35">
        <v>113</v>
      </c>
      <c r="F8" s="83">
        <v>0.18055555555555555</v>
      </c>
      <c r="G8" s="111">
        <f>220.94+8.86+22.1+35.35+53.04+39.86+61.79+57.47+119.17</f>
        <v>618.58000000000004</v>
      </c>
      <c r="H8" s="136">
        <v>160.80000000000001</v>
      </c>
      <c r="I8" s="136">
        <v>322.60000000000002</v>
      </c>
      <c r="J8" s="136">
        <v>484.5</v>
      </c>
      <c r="K8" s="136">
        <v>599.5</v>
      </c>
      <c r="L8" s="135">
        <f t="shared" si="1"/>
        <v>19.080000000000041</v>
      </c>
      <c r="M8" s="211">
        <f>30.91+123.57</f>
        <v>154.47999999999999</v>
      </c>
      <c r="N8" s="135">
        <v>41.7</v>
      </c>
      <c r="O8" s="135">
        <v>83.6</v>
      </c>
      <c r="P8" s="135">
        <v>125.6</v>
      </c>
      <c r="Q8" s="135">
        <v>156.9</v>
      </c>
      <c r="R8" s="136">
        <f t="shared" si="2"/>
        <v>-2.4200000000000159</v>
      </c>
      <c r="S8" s="212">
        <v>97</v>
      </c>
      <c r="T8" s="84">
        <v>38.5</v>
      </c>
      <c r="U8" s="84">
        <v>73.599999999999994</v>
      </c>
      <c r="V8" s="84">
        <v>100.8</v>
      </c>
      <c r="W8" s="84">
        <v>121.8</v>
      </c>
      <c r="X8" s="185">
        <v>0.61805555555555558</v>
      </c>
      <c r="Y8" s="185">
        <v>0.63055555555555554</v>
      </c>
      <c r="Z8" s="186">
        <f t="shared" si="3"/>
        <v>1.2499999999999956E-2</v>
      </c>
      <c r="AA8" s="84">
        <v>29.2</v>
      </c>
      <c r="AB8" s="260">
        <v>5.1041666666666666E-3</v>
      </c>
      <c r="AC8" s="260">
        <v>5.0347222222222225E-3</v>
      </c>
      <c r="AD8" s="260">
        <f t="shared" si="4"/>
        <v>-6.9444444444444024E-5</v>
      </c>
      <c r="AE8" s="69"/>
      <c r="AF8" s="69"/>
      <c r="AG8" s="33"/>
      <c r="AH8" s="50"/>
      <c r="AI8" s="156">
        <v>1355.28</v>
      </c>
      <c r="AJ8" s="156">
        <v>1349.66</v>
      </c>
      <c r="AK8" s="169">
        <f t="shared" si="5"/>
        <v>5.6199999999998909</v>
      </c>
      <c r="AL8" s="191">
        <v>0.6777777777777777</v>
      </c>
      <c r="AM8" s="191">
        <v>0.6875</v>
      </c>
      <c r="AN8" s="192">
        <f t="shared" si="6"/>
        <v>9.7222222222222987E-3</v>
      </c>
      <c r="AO8" s="148">
        <f t="shared" si="53"/>
        <v>28.089877583208697</v>
      </c>
      <c r="AP8" s="149">
        <f t="shared" si="54"/>
        <v>47.910122416791303</v>
      </c>
      <c r="AQ8" s="149">
        <f t="shared" si="7"/>
        <v>61.691860138971634</v>
      </c>
      <c r="AR8" s="149">
        <f t="shared" si="8"/>
        <v>61.857105378269807</v>
      </c>
      <c r="AS8" s="149">
        <f t="shared" si="9"/>
        <v>109.94095976728137</v>
      </c>
      <c r="AT8" s="149">
        <f t="shared" si="10"/>
        <v>114.8176609223738</v>
      </c>
      <c r="AU8" s="149">
        <f t="shared" si="55"/>
        <v>111.93239626243108</v>
      </c>
      <c r="AV8" s="149">
        <f t="shared" si="56"/>
        <v>114.92967270308615</v>
      </c>
      <c r="AW8" s="149">
        <f t="shared" si="57"/>
        <v>0.17368036968193748</v>
      </c>
      <c r="AX8" s="149">
        <f t="shared" si="58"/>
        <v>0.18908304027974834</v>
      </c>
      <c r="AY8" s="123">
        <f t="shared" si="11"/>
        <v>156.83979641263412</v>
      </c>
      <c r="AZ8" s="123">
        <f t="shared" si="12"/>
        <v>163.64145358736593</v>
      </c>
      <c r="BA8" s="123">
        <f t="shared" si="13"/>
        <v>314.2100390293777</v>
      </c>
      <c r="BB8" s="123">
        <f t="shared" si="14"/>
        <v>328.23996097062235</v>
      </c>
      <c r="BC8" s="123">
        <f t="shared" si="15"/>
        <v>471.56159398390412</v>
      </c>
      <c r="BD8" s="123">
        <f t="shared" si="16"/>
        <v>492.76965601609584</v>
      </c>
      <c r="BE8" s="123">
        <f t="shared" si="17"/>
        <v>588.52671906979549</v>
      </c>
      <c r="BF8" s="123">
        <f t="shared" si="18"/>
        <v>611.71810851641135</v>
      </c>
      <c r="BG8" s="123">
        <f t="shared" si="19"/>
        <v>6.4247474531250646</v>
      </c>
      <c r="BH8" s="123">
        <f t="shared" si="20"/>
        <v>29.870769788254243</v>
      </c>
      <c r="BI8" s="123">
        <f t="shared" si="21"/>
        <v>41.634833977180243</v>
      </c>
      <c r="BJ8" s="123">
        <f t="shared" si="22"/>
        <v>41.908916022819731</v>
      </c>
      <c r="BK8" s="123">
        <f t="shared" si="23"/>
        <v>83.527280129290489</v>
      </c>
      <c r="BL8" s="123">
        <f t="shared" si="24"/>
        <v>83.903969870709489</v>
      </c>
      <c r="BM8" s="123">
        <f t="shared" si="25"/>
        <v>125.49642578417671</v>
      </c>
      <c r="BN8" s="123">
        <f t="shared" si="26"/>
        <v>125.82857421582314</v>
      </c>
      <c r="BO8" s="123">
        <f t="shared" si="27"/>
        <v>155.1049414176334</v>
      </c>
      <c r="BP8" s="123">
        <f t="shared" si="28"/>
        <v>157.96747237547007</v>
      </c>
      <c r="BQ8" s="123">
        <f t="shared" si="29"/>
        <v>-3.4739700111749907</v>
      </c>
      <c r="BR8" s="123">
        <f t="shared" si="30"/>
        <v>-0.65327136813535303</v>
      </c>
      <c r="BS8" s="123">
        <f t="shared" si="59"/>
        <v>56.437095452304185</v>
      </c>
      <c r="BT8" s="123">
        <f t="shared" si="60"/>
        <v>134.01118040976476</v>
      </c>
      <c r="BU8" s="123">
        <f t="shared" si="61"/>
        <v>35.424087856897714</v>
      </c>
      <c r="BV8" s="123">
        <f t="shared" si="62"/>
        <v>42.810394901722987</v>
      </c>
      <c r="BW8" s="123">
        <f t="shared" si="63"/>
        <v>68.667936470774464</v>
      </c>
      <c r="BX8" s="123">
        <f t="shared" si="64"/>
        <v>78.252753184397989</v>
      </c>
      <c r="BY8" s="123">
        <f t="shared" si="65"/>
        <v>94.547228197183259</v>
      </c>
      <c r="BZ8" s="123">
        <f t="shared" si="66"/>
        <v>106.39415111316158</v>
      </c>
      <c r="CA8" s="123">
        <f t="shared" si="67"/>
        <v>114.2973449594912</v>
      </c>
      <c r="CB8" s="123">
        <f t="shared" si="68"/>
        <v>127.60610331637088</v>
      </c>
      <c r="CC8" s="123">
        <f t="shared" si="69"/>
        <v>1.1625982470516784E-2</v>
      </c>
      <c r="CD8" s="123">
        <f t="shared" si="70"/>
        <v>1.4691067337912261E-2</v>
      </c>
      <c r="CE8" s="123">
        <f t="shared" si="71"/>
        <v>28.696690452912026</v>
      </c>
      <c r="CF8" s="123">
        <f t="shared" si="72"/>
        <v>29.661930236743164</v>
      </c>
      <c r="CG8" s="261">
        <f t="shared" si="31"/>
        <v>4.6579973341037062E-3</v>
      </c>
      <c r="CH8" s="261">
        <f t="shared" si="32"/>
        <v>5.3410578435228997E-3</v>
      </c>
      <c r="CI8" s="261">
        <f t="shared" si="33"/>
        <v>4.6322196240640304E-3</v>
      </c>
      <c r="CJ8" s="261">
        <f t="shared" si="34"/>
        <v>5.2936118196245515E-3</v>
      </c>
      <c r="CK8" s="261">
        <f t="shared" si="35"/>
        <v>-2.62020899613848E-4</v>
      </c>
      <c r="CL8" s="261">
        <f t="shared" si="36"/>
        <v>2.0015946921793468E-4</v>
      </c>
      <c r="CM8" s="123" t="e">
        <f t="shared" si="73"/>
        <v>#DIV/0!</v>
      </c>
      <c r="CN8" s="123" t="e">
        <f t="shared" si="74"/>
        <v>#DIV/0!</v>
      </c>
      <c r="CO8" s="123" t="e">
        <f t="shared" si="75"/>
        <v>#DIV/0!</v>
      </c>
      <c r="CP8" s="123" t="e">
        <f t="shared" si="76"/>
        <v>#DIV/0!</v>
      </c>
      <c r="CQ8" s="123" t="e">
        <f t="shared" si="77"/>
        <v>#DIV/0!</v>
      </c>
      <c r="CR8" s="123" t="e">
        <f t="shared" si="78"/>
        <v>#DIV/0!</v>
      </c>
      <c r="CS8" s="123" t="e">
        <f t="shared" si="79"/>
        <v>#DIV/0!</v>
      </c>
      <c r="CT8" s="123" t="e">
        <f t="shared" si="80"/>
        <v>#DIV/0!</v>
      </c>
      <c r="CU8" s="124">
        <f t="shared" si="81"/>
        <v>4.9388614429463438</v>
      </c>
      <c r="CV8" s="173">
        <f t="shared" si="82"/>
        <v>6.3118282122260467</v>
      </c>
      <c r="CW8" s="124">
        <f t="shared" si="83"/>
        <v>0</v>
      </c>
      <c r="CX8" s="171">
        <f t="shared" si="84"/>
        <v>0</v>
      </c>
      <c r="CY8" s="122">
        <f t="shared" si="37"/>
        <v>38</v>
      </c>
      <c r="CZ8" s="231">
        <f t="shared" si="38"/>
        <v>61.774482758620721</v>
      </c>
      <c r="DA8" s="123">
        <f t="shared" si="39"/>
        <v>112.37931034482759</v>
      </c>
      <c r="DB8" s="123">
        <f t="shared" si="40"/>
        <v>113.43103448275862</v>
      </c>
      <c r="DC8" s="123">
        <f t="shared" si="41"/>
        <v>0.18138170498084291</v>
      </c>
      <c r="DD8" s="123">
        <f t="shared" si="42"/>
        <v>160.24062500000002</v>
      </c>
      <c r="DE8" s="123">
        <f t="shared" si="43"/>
        <v>321.22500000000002</v>
      </c>
      <c r="DF8" s="123">
        <f t="shared" si="44"/>
        <v>482.16562499999998</v>
      </c>
      <c r="DG8" s="123">
        <f t="shared" si="45"/>
        <v>600.12241379310342</v>
      </c>
      <c r="DH8" s="123">
        <f t="shared" si="46"/>
        <v>18.147758620689654</v>
      </c>
      <c r="DI8" s="123">
        <f t="shared" si="85"/>
        <v>41.771874999999987</v>
      </c>
      <c r="DJ8" s="123">
        <f t="shared" si="86"/>
        <v>83.715624999999989</v>
      </c>
      <c r="DK8" s="123">
        <f t="shared" si="87"/>
        <v>125.66249999999992</v>
      </c>
      <c r="DL8" s="123">
        <f t="shared" si="88"/>
        <v>156.53620689655173</v>
      </c>
      <c r="DM8" s="123">
        <f t="shared" si="89"/>
        <v>-2.0636206896551719</v>
      </c>
      <c r="DN8" s="123">
        <f t="shared" si="90"/>
        <v>95.224137931034477</v>
      </c>
      <c r="DO8" s="123">
        <f t="shared" si="91"/>
        <v>39.11724137931035</v>
      </c>
      <c r="DP8" s="123">
        <f t="shared" si="92"/>
        <v>73.460344827586226</v>
      </c>
      <c r="DQ8" s="123">
        <f t="shared" si="93"/>
        <v>100.47068965517242</v>
      </c>
      <c r="DR8" s="123">
        <f t="shared" si="94"/>
        <v>120.95172413793104</v>
      </c>
      <c r="DS8" s="123">
        <f t="shared" si="48"/>
        <v>1.3158524904214522E-2</v>
      </c>
      <c r="DT8" s="123">
        <f t="shared" si="49"/>
        <v>29.179310344827595</v>
      </c>
      <c r="DU8" s="261">
        <f t="shared" si="95"/>
        <v>4.9995275888133029E-3</v>
      </c>
      <c r="DV8" s="261">
        <f t="shared" si="96"/>
        <v>4.962915721844291E-3</v>
      </c>
      <c r="DW8" s="261">
        <f t="shared" si="97"/>
        <v>-3.0930715197956654E-5</v>
      </c>
      <c r="DX8" s="123" t="e">
        <f t="shared" si="98"/>
        <v>#DIV/0!</v>
      </c>
      <c r="DY8" s="123" t="e">
        <f t="shared" si="99"/>
        <v>#DIV/0!</v>
      </c>
      <c r="DZ8" s="123" t="e">
        <f t="shared" si="100"/>
        <v>#DIV/0!</v>
      </c>
      <c r="EA8" s="123" t="e">
        <f t="shared" si="101"/>
        <v>#DIV/0!</v>
      </c>
      <c r="EB8" s="176">
        <f t="shared" si="51"/>
        <v>5.6253448275861953</v>
      </c>
      <c r="EC8" s="125">
        <f t="shared" si="52"/>
        <v>0</v>
      </c>
      <c r="ED8" s="179">
        <f t="shared" si="102"/>
        <v>120</v>
      </c>
      <c r="EE8" s="125">
        <f t="shared" si="103"/>
        <v>100</v>
      </c>
      <c r="EF8" s="106"/>
      <c r="EG8" s="106"/>
    </row>
    <row r="9" spans="1:137" ht="11.25" customHeight="1">
      <c r="A9" s="276" t="s">
        <v>177</v>
      </c>
      <c r="B9" s="37">
        <v>38</v>
      </c>
      <c r="C9" s="255">
        <v>61.73</v>
      </c>
      <c r="D9" s="37">
        <v>112</v>
      </c>
      <c r="E9" s="37">
        <v>114</v>
      </c>
      <c r="F9" s="39">
        <v>0.18194444444444444</v>
      </c>
      <c r="G9" s="111">
        <f>220.92+8.85+22.12+35.35+52.95+39.72+61.73+57.48+119.22</f>
        <v>618.34</v>
      </c>
      <c r="H9" s="136">
        <v>161.4</v>
      </c>
      <c r="I9" s="136">
        <v>323.8</v>
      </c>
      <c r="J9" s="136">
        <v>486</v>
      </c>
      <c r="K9" s="136">
        <v>597.1</v>
      </c>
      <c r="L9" s="135">
        <f t="shared" si="1"/>
        <v>21.240000000000009</v>
      </c>
      <c r="M9" s="211">
        <f>30.87+123.65</f>
        <v>154.52000000000001</v>
      </c>
      <c r="N9" s="135">
        <v>41.8</v>
      </c>
      <c r="O9" s="135">
        <v>83.8</v>
      </c>
      <c r="P9" s="135">
        <v>125.7</v>
      </c>
      <c r="Q9" s="135">
        <v>156.69999999999999</v>
      </c>
      <c r="R9" s="136">
        <f t="shared" si="2"/>
        <v>-2.1799999999999784</v>
      </c>
      <c r="S9" s="212">
        <v>97</v>
      </c>
      <c r="T9" s="43">
        <v>39.1</v>
      </c>
      <c r="U9" s="43">
        <v>73.900000000000006</v>
      </c>
      <c r="V9" s="43">
        <v>100.3</v>
      </c>
      <c r="W9" s="43">
        <v>120</v>
      </c>
      <c r="X9" s="184">
        <v>0.61944444444444446</v>
      </c>
      <c r="Y9" s="184">
        <v>0.63263888888888886</v>
      </c>
      <c r="Z9" s="186">
        <f t="shared" si="3"/>
        <v>1.3194444444444398E-2</v>
      </c>
      <c r="AA9" s="43">
        <v>28.9</v>
      </c>
      <c r="AB9" s="260">
        <v>5.0000000000000001E-3</v>
      </c>
      <c r="AC9" s="260">
        <v>4.9421296296296288E-3</v>
      </c>
      <c r="AD9" s="260">
        <f t="shared" si="4"/>
        <v>-5.7870370370371321E-5</v>
      </c>
      <c r="AE9" s="48"/>
      <c r="AF9" s="48"/>
      <c r="AG9" s="32"/>
      <c r="AH9" s="49"/>
      <c r="AI9" s="156">
        <v>1355.19</v>
      </c>
      <c r="AJ9" s="156">
        <v>1349.57</v>
      </c>
      <c r="AK9" s="169">
        <f t="shared" si="5"/>
        <v>5.6200000000001182</v>
      </c>
      <c r="AL9" s="191">
        <v>0.6777777777777777</v>
      </c>
      <c r="AM9" s="191">
        <v>0.68402777777777779</v>
      </c>
      <c r="AN9" s="192">
        <f t="shared" si="6"/>
        <v>6.2500000000000888E-3</v>
      </c>
      <c r="AO9" s="148">
        <f t="shared" si="53"/>
        <v>28.089877583208697</v>
      </c>
      <c r="AP9" s="149">
        <f t="shared" si="54"/>
        <v>47.910122416791303</v>
      </c>
      <c r="AQ9" s="149">
        <f t="shared" si="7"/>
        <v>61.691860138971634</v>
      </c>
      <c r="AR9" s="149">
        <f t="shared" si="8"/>
        <v>61.857105378269807</v>
      </c>
      <c r="AS9" s="149">
        <f t="shared" si="9"/>
        <v>109.94095976728137</v>
      </c>
      <c r="AT9" s="149">
        <f t="shared" si="10"/>
        <v>114.8176609223738</v>
      </c>
      <c r="AU9" s="149">
        <f t="shared" si="55"/>
        <v>111.93239626243108</v>
      </c>
      <c r="AV9" s="149">
        <f t="shared" si="56"/>
        <v>114.92967270308615</v>
      </c>
      <c r="AW9" s="149">
        <f t="shared" si="57"/>
        <v>0.17368036968193748</v>
      </c>
      <c r="AX9" s="149">
        <f t="shared" si="58"/>
        <v>0.18908304027974834</v>
      </c>
      <c r="AY9" s="123">
        <f t="shared" si="11"/>
        <v>156.83979641263412</v>
      </c>
      <c r="AZ9" s="123">
        <f t="shared" si="12"/>
        <v>163.64145358736593</v>
      </c>
      <c r="BA9" s="123">
        <f t="shared" si="13"/>
        <v>314.2100390293777</v>
      </c>
      <c r="BB9" s="123">
        <f t="shared" si="14"/>
        <v>328.23996097062235</v>
      </c>
      <c r="BC9" s="123">
        <f t="shared" si="15"/>
        <v>471.56159398390412</v>
      </c>
      <c r="BD9" s="123">
        <f t="shared" si="16"/>
        <v>492.76965601609584</v>
      </c>
      <c r="BE9" s="123">
        <f t="shared" si="17"/>
        <v>588.52671906979549</v>
      </c>
      <c r="BF9" s="123">
        <f t="shared" si="18"/>
        <v>611.71810851641135</v>
      </c>
      <c r="BG9" s="123">
        <f t="shared" si="19"/>
        <v>6.4247474531250646</v>
      </c>
      <c r="BH9" s="123">
        <f t="shared" si="20"/>
        <v>29.870769788254243</v>
      </c>
      <c r="BI9" s="123">
        <f t="shared" si="21"/>
        <v>41.634833977180243</v>
      </c>
      <c r="BJ9" s="123">
        <f t="shared" si="22"/>
        <v>41.908916022819731</v>
      </c>
      <c r="BK9" s="123">
        <f t="shared" si="23"/>
        <v>83.527280129290489</v>
      </c>
      <c r="BL9" s="123">
        <f t="shared" si="24"/>
        <v>83.903969870709489</v>
      </c>
      <c r="BM9" s="123">
        <f t="shared" si="25"/>
        <v>125.49642578417671</v>
      </c>
      <c r="BN9" s="123">
        <f t="shared" si="26"/>
        <v>125.82857421582314</v>
      </c>
      <c r="BO9" s="123">
        <f t="shared" si="27"/>
        <v>155.1049414176334</v>
      </c>
      <c r="BP9" s="123">
        <f t="shared" si="28"/>
        <v>157.96747237547007</v>
      </c>
      <c r="BQ9" s="123">
        <f t="shared" si="29"/>
        <v>-3.4739700111749907</v>
      </c>
      <c r="BR9" s="123">
        <f t="shared" si="30"/>
        <v>-0.65327136813535303</v>
      </c>
      <c r="BS9" s="123">
        <f t="shared" si="59"/>
        <v>56.437095452304185</v>
      </c>
      <c r="BT9" s="123">
        <f t="shared" si="60"/>
        <v>134.01118040976476</v>
      </c>
      <c r="BU9" s="123">
        <f t="shared" si="61"/>
        <v>35.424087856897714</v>
      </c>
      <c r="BV9" s="123">
        <f t="shared" si="62"/>
        <v>42.810394901722987</v>
      </c>
      <c r="BW9" s="123">
        <f t="shared" si="63"/>
        <v>68.667936470774464</v>
      </c>
      <c r="BX9" s="123">
        <f t="shared" si="64"/>
        <v>78.252753184397989</v>
      </c>
      <c r="BY9" s="123">
        <f t="shared" si="65"/>
        <v>94.547228197183259</v>
      </c>
      <c r="BZ9" s="123">
        <f t="shared" si="66"/>
        <v>106.39415111316158</v>
      </c>
      <c r="CA9" s="123">
        <f t="shared" si="67"/>
        <v>114.2973449594912</v>
      </c>
      <c r="CB9" s="123">
        <f t="shared" si="68"/>
        <v>127.60610331637088</v>
      </c>
      <c r="CC9" s="123">
        <f t="shared" si="69"/>
        <v>1.1625982470516784E-2</v>
      </c>
      <c r="CD9" s="123">
        <f t="shared" si="70"/>
        <v>1.4691067337912261E-2</v>
      </c>
      <c r="CE9" s="123">
        <f t="shared" si="71"/>
        <v>28.696690452912026</v>
      </c>
      <c r="CF9" s="123">
        <f t="shared" si="72"/>
        <v>29.661930236743164</v>
      </c>
      <c r="CG9" s="261">
        <f t="shared" si="31"/>
        <v>4.6579973341037062E-3</v>
      </c>
      <c r="CH9" s="261">
        <f t="shared" si="32"/>
        <v>5.3410578435228997E-3</v>
      </c>
      <c r="CI9" s="261">
        <f t="shared" si="33"/>
        <v>4.6322196240640304E-3</v>
      </c>
      <c r="CJ9" s="261">
        <f t="shared" si="34"/>
        <v>5.2936118196245515E-3</v>
      </c>
      <c r="CK9" s="261">
        <f t="shared" si="35"/>
        <v>-2.62020899613848E-4</v>
      </c>
      <c r="CL9" s="261">
        <f t="shared" si="36"/>
        <v>2.0015946921793468E-4</v>
      </c>
      <c r="CM9" s="123" t="e">
        <f t="shared" si="73"/>
        <v>#DIV/0!</v>
      </c>
      <c r="CN9" s="123" t="e">
        <f t="shared" si="74"/>
        <v>#DIV/0!</v>
      </c>
      <c r="CO9" s="123" t="e">
        <f t="shared" si="75"/>
        <v>#DIV/0!</v>
      </c>
      <c r="CP9" s="123" t="e">
        <f t="shared" si="76"/>
        <v>#DIV/0!</v>
      </c>
      <c r="CQ9" s="123" t="e">
        <f t="shared" si="77"/>
        <v>#DIV/0!</v>
      </c>
      <c r="CR9" s="123" t="e">
        <f t="shared" si="78"/>
        <v>#DIV/0!</v>
      </c>
      <c r="CS9" s="123" t="e">
        <f t="shared" si="79"/>
        <v>#DIV/0!</v>
      </c>
      <c r="CT9" s="123" t="e">
        <f t="shared" si="80"/>
        <v>#DIV/0!</v>
      </c>
      <c r="CU9" s="124">
        <f t="shared" si="81"/>
        <v>4.9388614429463438</v>
      </c>
      <c r="CV9" s="173">
        <f t="shared" si="82"/>
        <v>6.3118282122260467</v>
      </c>
      <c r="CW9" s="124">
        <f t="shared" si="83"/>
        <v>0</v>
      </c>
      <c r="CX9" s="171">
        <f t="shared" si="84"/>
        <v>0</v>
      </c>
      <c r="CY9" s="122">
        <f t="shared" si="37"/>
        <v>38</v>
      </c>
      <c r="CZ9" s="231">
        <f t="shared" si="38"/>
        <v>61.774482758620721</v>
      </c>
      <c r="DA9" s="123">
        <f t="shared" si="39"/>
        <v>112.37931034482759</v>
      </c>
      <c r="DB9" s="123">
        <f t="shared" si="40"/>
        <v>113.43103448275862</v>
      </c>
      <c r="DC9" s="123">
        <f t="shared" si="41"/>
        <v>0.18138170498084291</v>
      </c>
      <c r="DD9" s="123">
        <f t="shared" si="42"/>
        <v>160.24062500000002</v>
      </c>
      <c r="DE9" s="123">
        <f t="shared" si="43"/>
        <v>321.22500000000002</v>
      </c>
      <c r="DF9" s="123">
        <f t="shared" si="44"/>
        <v>482.16562499999998</v>
      </c>
      <c r="DG9" s="123">
        <f t="shared" si="45"/>
        <v>600.12241379310342</v>
      </c>
      <c r="DH9" s="123">
        <f t="shared" si="46"/>
        <v>18.147758620689654</v>
      </c>
      <c r="DI9" s="123">
        <f t="shared" si="85"/>
        <v>41.771874999999987</v>
      </c>
      <c r="DJ9" s="123">
        <f t="shared" si="86"/>
        <v>83.715624999999989</v>
      </c>
      <c r="DK9" s="123">
        <f t="shared" si="87"/>
        <v>125.66249999999992</v>
      </c>
      <c r="DL9" s="123">
        <f t="shared" si="88"/>
        <v>156.53620689655173</v>
      </c>
      <c r="DM9" s="123">
        <f t="shared" si="89"/>
        <v>-2.0636206896551719</v>
      </c>
      <c r="DN9" s="123">
        <f t="shared" si="90"/>
        <v>95.224137931034477</v>
      </c>
      <c r="DO9" s="123">
        <f t="shared" si="91"/>
        <v>39.11724137931035</v>
      </c>
      <c r="DP9" s="123">
        <f t="shared" si="92"/>
        <v>73.460344827586226</v>
      </c>
      <c r="DQ9" s="123">
        <f t="shared" si="93"/>
        <v>100.47068965517242</v>
      </c>
      <c r="DR9" s="123">
        <f t="shared" si="94"/>
        <v>120.95172413793104</v>
      </c>
      <c r="DS9" s="123">
        <f t="shared" si="48"/>
        <v>1.3158524904214522E-2</v>
      </c>
      <c r="DT9" s="123">
        <f t="shared" si="49"/>
        <v>29.179310344827595</v>
      </c>
      <c r="DU9" s="261">
        <f t="shared" si="95"/>
        <v>4.9995275888133029E-3</v>
      </c>
      <c r="DV9" s="261">
        <f t="shared" si="96"/>
        <v>4.962915721844291E-3</v>
      </c>
      <c r="DW9" s="261">
        <f t="shared" si="97"/>
        <v>-3.0930715197956654E-5</v>
      </c>
      <c r="DX9" s="123" t="e">
        <f t="shared" si="98"/>
        <v>#DIV/0!</v>
      </c>
      <c r="DY9" s="123" t="e">
        <f t="shared" si="99"/>
        <v>#DIV/0!</v>
      </c>
      <c r="DZ9" s="123" t="e">
        <f t="shared" si="100"/>
        <v>#DIV/0!</v>
      </c>
      <c r="EA9" s="123" t="e">
        <f t="shared" si="101"/>
        <v>#DIV/0!</v>
      </c>
      <c r="EB9" s="176">
        <f t="shared" si="51"/>
        <v>5.6253448275861953</v>
      </c>
      <c r="EC9" s="125">
        <f t="shared" si="52"/>
        <v>0</v>
      </c>
      <c r="ED9" s="179">
        <f t="shared" si="102"/>
        <v>120</v>
      </c>
      <c r="EE9" s="125">
        <f t="shared" si="103"/>
        <v>100</v>
      </c>
      <c r="EF9" s="106"/>
      <c r="EG9" s="106"/>
    </row>
    <row r="10" spans="1:137" ht="11.25" customHeight="1">
      <c r="A10" s="276" t="s">
        <v>178</v>
      </c>
      <c r="B10" s="36">
        <v>40</v>
      </c>
      <c r="C10" s="256">
        <v>61.8</v>
      </c>
      <c r="D10" s="36">
        <v>112</v>
      </c>
      <c r="E10" s="36">
        <v>114</v>
      </c>
      <c r="F10" s="39">
        <v>0.18124999999999999</v>
      </c>
      <c r="G10" s="111">
        <v>618.30999999999995</v>
      </c>
      <c r="H10" s="136">
        <v>161.30000000000001</v>
      </c>
      <c r="I10" s="136">
        <v>323.39999999999998</v>
      </c>
      <c r="J10" s="136">
        <v>485.3</v>
      </c>
      <c r="K10" s="136">
        <v>600</v>
      </c>
      <c r="L10" s="135">
        <f t="shared" si="1"/>
        <v>18.309999999999945</v>
      </c>
      <c r="M10" s="211">
        <v>154.44999999999999</v>
      </c>
      <c r="N10" s="135">
        <v>41.8</v>
      </c>
      <c r="O10" s="135">
        <v>83.8</v>
      </c>
      <c r="P10" s="135">
        <v>125.7</v>
      </c>
      <c r="Q10" s="135">
        <v>156.80000000000001</v>
      </c>
      <c r="R10" s="136">
        <f t="shared" si="2"/>
        <v>-2.3500000000000227</v>
      </c>
      <c r="S10" s="212">
        <v>92</v>
      </c>
      <c r="T10" s="43">
        <v>38.4</v>
      </c>
      <c r="U10" s="43">
        <v>72.400000000000006</v>
      </c>
      <c r="V10" s="43">
        <v>100.1</v>
      </c>
      <c r="W10" s="43">
        <v>120.9</v>
      </c>
      <c r="X10" s="184">
        <v>0.61875000000000002</v>
      </c>
      <c r="Y10" s="184">
        <v>0.63194444444444442</v>
      </c>
      <c r="Z10" s="186">
        <f t="shared" si="3"/>
        <v>1.3194444444444398E-2</v>
      </c>
      <c r="AA10" s="43">
        <v>29.5</v>
      </c>
      <c r="AB10" s="260">
        <v>4.8263888888888887E-3</v>
      </c>
      <c r="AC10" s="260">
        <v>4.9074074074074072E-3</v>
      </c>
      <c r="AD10" s="260">
        <f t="shared" si="4"/>
        <v>8.1018518518518462E-5</v>
      </c>
      <c r="AE10" s="48"/>
      <c r="AF10" s="48"/>
      <c r="AG10" s="32"/>
      <c r="AH10" s="49"/>
      <c r="AI10" s="156">
        <v>1355.09</v>
      </c>
      <c r="AJ10" s="156">
        <v>1349.04</v>
      </c>
      <c r="AK10" s="169">
        <f t="shared" si="5"/>
        <v>6.0499999999999545</v>
      </c>
      <c r="AL10" s="191">
        <v>0.67638888888888893</v>
      </c>
      <c r="AM10" s="191">
        <v>0.68402777777777779</v>
      </c>
      <c r="AN10" s="192">
        <f t="shared" si="6"/>
        <v>7.6388888888888618E-3</v>
      </c>
      <c r="AO10" s="148">
        <f t="shared" si="53"/>
        <v>28.089877583208697</v>
      </c>
      <c r="AP10" s="149">
        <f t="shared" si="54"/>
        <v>47.910122416791303</v>
      </c>
      <c r="AQ10" s="149">
        <f t="shared" si="7"/>
        <v>61.691860138971634</v>
      </c>
      <c r="AR10" s="149">
        <f t="shared" si="8"/>
        <v>61.857105378269807</v>
      </c>
      <c r="AS10" s="149">
        <f t="shared" si="9"/>
        <v>109.94095976728137</v>
      </c>
      <c r="AT10" s="149">
        <f t="shared" si="10"/>
        <v>114.8176609223738</v>
      </c>
      <c r="AU10" s="149">
        <f t="shared" si="55"/>
        <v>111.93239626243108</v>
      </c>
      <c r="AV10" s="149">
        <f t="shared" si="56"/>
        <v>114.92967270308615</v>
      </c>
      <c r="AW10" s="149">
        <f t="shared" si="57"/>
        <v>0.17368036968193748</v>
      </c>
      <c r="AX10" s="149">
        <f t="shared" si="58"/>
        <v>0.18908304027974834</v>
      </c>
      <c r="AY10" s="123">
        <f t="shared" si="11"/>
        <v>156.83979641263412</v>
      </c>
      <c r="AZ10" s="123">
        <f t="shared" si="12"/>
        <v>163.64145358736593</v>
      </c>
      <c r="BA10" s="123">
        <f t="shared" si="13"/>
        <v>314.2100390293777</v>
      </c>
      <c r="BB10" s="123">
        <f t="shared" si="14"/>
        <v>328.23996097062235</v>
      </c>
      <c r="BC10" s="123">
        <f t="shared" si="15"/>
        <v>471.56159398390412</v>
      </c>
      <c r="BD10" s="123">
        <f t="shared" si="16"/>
        <v>492.76965601609584</v>
      </c>
      <c r="BE10" s="123">
        <f t="shared" si="17"/>
        <v>588.52671906979549</v>
      </c>
      <c r="BF10" s="123">
        <f t="shared" si="18"/>
        <v>611.71810851641135</v>
      </c>
      <c r="BG10" s="123">
        <f t="shared" si="19"/>
        <v>6.4247474531250646</v>
      </c>
      <c r="BH10" s="123">
        <f t="shared" si="20"/>
        <v>29.870769788254243</v>
      </c>
      <c r="BI10" s="123">
        <f t="shared" si="21"/>
        <v>41.634833977180243</v>
      </c>
      <c r="BJ10" s="123">
        <f t="shared" si="22"/>
        <v>41.908916022819731</v>
      </c>
      <c r="BK10" s="123">
        <f t="shared" si="23"/>
        <v>83.527280129290489</v>
      </c>
      <c r="BL10" s="123">
        <f t="shared" si="24"/>
        <v>83.903969870709489</v>
      </c>
      <c r="BM10" s="123">
        <f t="shared" si="25"/>
        <v>125.49642578417671</v>
      </c>
      <c r="BN10" s="123">
        <f t="shared" si="26"/>
        <v>125.82857421582314</v>
      </c>
      <c r="BO10" s="123">
        <f t="shared" si="27"/>
        <v>155.1049414176334</v>
      </c>
      <c r="BP10" s="123">
        <f t="shared" si="28"/>
        <v>157.96747237547007</v>
      </c>
      <c r="BQ10" s="123">
        <f t="shared" si="29"/>
        <v>-3.4739700111749907</v>
      </c>
      <c r="BR10" s="123">
        <f t="shared" si="30"/>
        <v>-0.65327136813535303</v>
      </c>
      <c r="BS10" s="123">
        <f t="shared" si="59"/>
        <v>56.437095452304185</v>
      </c>
      <c r="BT10" s="123">
        <f t="shared" si="60"/>
        <v>134.01118040976476</v>
      </c>
      <c r="BU10" s="123">
        <f t="shared" si="61"/>
        <v>35.424087856897714</v>
      </c>
      <c r="BV10" s="123">
        <f t="shared" si="62"/>
        <v>42.810394901722987</v>
      </c>
      <c r="BW10" s="123">
        <f t="shared" si="63"/>
        <v>68.667936470774464</v>
      </c>
      <c r="BX10" s="123">
        <f t="shared" si="64"/>
        <v>78.252753184397989</v>
      </c>
      <c r="BY10" s="123">
        <f t="shared" si="65"/>
        <v>94.547228197183259</v>
      </c>
      <c r="BZ10" s="123">
        <f t="shared" si="66"/>
        <v>106.39415111316158</v>
      </c>
      <c r="CA10" s="123">
        <f t="shared" si="67"/>
        <v>114.2973449594912</v>
      </c>
      <c r="CB10" s="123">
        <f t="shared" si="68"/>
        <v>127.60610331637088</v>
      </c>
      <c r="CC10" s="123">
        <f t="shared" si="69"/>
        <v>1.1625982470516784E-2</v>
      </c>
      <c r="CD10" s="123">
        <f t="shared" si="70"/>
        <v>1.4691067337912261E-2</v>
      </c>
      <c r="CE10" s="123">
        <f t="shared" si="71"/>
        <v>28.696690452912026</v>
      </c>
      <c r="CF10" s="123">
        <f t="shared" si="72"/>
        <v>29.661930236743164</v>
      </c>
      <c r="CG10" s="261">
        <f t="shared" si="31"/>
        <v>4.6579973341037062E-3</v>
      </c>
      <c r="CH10" s="261">
        <f t="shared" si="32"/>
        <v>5.3410578435228997E-3</v>
      </c>
      <c r="CI10" s="261">
        <f t="shared" si="33"/>
        <v>4.6322196240640304E-3</v>
      </c>
      <c r="CJ10" s="261">
        <f t="shared" si="34"/>
        <v>5.2936118196245515E-3</v>
      </c>
      <c r="CK10" s="261">
        <f t="shared" si="35"/>
        <v>-2.62020899613848E-4</v>
      </c>
      <c r="CL10" s="261">
        <f t="shared" si="36"/>
        <v>2.0015946921793468E-4</v>
      </c>
      <c r="CM10" s="123" t="e">
        <f t="shared" si="73"/>
        <v>#DIV/0!</v>
      </c>
      <c r="CN10" s="123" t="e">
        <f t="shared" si="74"/>
        <v>#DIV/0!</v>
      </c>
      <c r="CO10" s="123" t="e">
        <f t="shared" si="75"/>
        <v>#DIV/0!</v>
      </c>
      <c r="CP10" s="123" t="e">
        <f t="shared" si="76"/>
        <v>#DIV/0!</v>
      </c>
      <c r="CQ10" s="123" t="e">
        <f t="shared" si="77"/>
        <v>#DIV/0!</v>
      </c>
      <c r="CR10" s="123" t="e">
        <f t="shared" si="78"/>
        <v>#DIV/0!</v>
      </c>
      <c r="CS10" s="123" t="e">
        <f t="shared" si="79"/>
        <v>#DIV/0!</v>
      </c>
      <c r="CT10" s="123" t="e">
        <f t="shared" si="80"/>
        <v>#DIV/0!</v>
      </c>
      <c r="CU10" s="124">
        <f t="shared" si="81"/>
        <v>4.9388614429463438</v>
      </c>
      <c r="CV10" s="173">
        <f t="shared" si="82"/>
        <v>6.3118282122260467</v>
      </c>
      <c r="CW10" s="124">
        <f t="shared" si="83"/>
        <v>0</v>
      </c>
      <c r="CX10" s="171">
        <f t="shared" si="84"/>
        <v>0</v>
      </c>
      <c r="CY10" s="122">
        <f t="shared" si="37"/>
        <v>38</v>
      </c>
      <c r="CZ10" s="231">
        <f t="shared" si="38"/>
        <v>61.774482758620721</v>
      </c>
      <c r="DA10" s="123">
        <f t="shared" si="39"/>
        <v>112.37931034482759</v>
      </c>
      <c r="DB10" s="123">
        <f t="shared" si="40"/>
        <v>113.43103448275862</v>
      </c>
      <c r="DC10" s="123">
        <f t="shared" si="41"/>
        <v>0.18138170498084291</v>
      </c>
      <c r="DD10" s="123">
        <f t="shared" si="42"/>
        <v>160.24062500000002</v>
      </c>
      <c r="DE10" s="123">
        <f t="shared" si="43"/>
        <v>321.22500000000002</v>
      </c>
      <c r="DF10" s="123">
        <f t="shared" si="44"/>
        <v>482.16562499999998</v>
      </c>
      <c r="DG10" s="123">
        <f t="shared" si="45"/>
        <v>600.12241379310342</v>
      </c>
      <c r="DH10" s="123">
        <f t="shared" si="46"/>
        <v>18.147758620689654</v>
      </c>
      <c r="DI10" s="123">
        <f t="shared" si="85"/>
        <v>41.771874999999987</v>
      </c>
      <c r="DJ10" s="123">
        <f t="shared" si="86"/>
        <v>83.715624999999989</v>
      </c>
      <c r="DK10" s="123">
        <f t="shared" si="87"/>
        <v>125.66249999999992</v>
      </c>
      <c r="DL10" s="123">
        <f t="shared" si="88"/>
        <v>156.53620689655173</v>
      </c>
      <c r="DM10" s="123">
        <f t="shared" si="89"/>
        <v>-2.0636206896551719</v>
      </c>
      <c r="DN10" s="123">
        <f t="shared" si="90"/>
        <v>95.224137931034477</v>
      </c>
      <c r="DO10" s="123">
        <f t="shared" si="91"/>
        <v>39.11724137931035</v>
      </c>
      <c r="DP10" s="123">
        <f t="shared" si="92"/>
        <v>73.460344827586226</v>
      </c>
      <c r="DQ10" s="123">
        <f t="shared" si="93"/>
        <v>100.47068965517242</v>
      </c>
      <c r="DR10" s="123">
        <f t="shared" si="94"/>
        <v>120.95172413793104</v>
      </c>
      <c r="DS10" s="123">
        <f t="shared" si="48"/>
        <v>1.3158524904214522E-2</v>
      </c>
      <c r="DT10" s="123">
        <f t="shared" si="49"/>
        <v>29.179310344827595</v>
      </c>
      <c r="DU10" s="261">
        <f t="shared" si="95"/>
        <v>4.9995275888133029E-3</v>
      </c>
      <c r="DV10" s="261">
        <f t="shared" si="96"/>
        <v>4.962915721844291E-3</v>
      </c>
      <c r="DW10" s="261">
        <f t="shared" si="97"/>
        <v>-3.0930715197956654E-5</v>
      </c>
      <c r="DX10" s="123" t="e">
        <f t="shared" si="98"/>
        <v>#DIV/0!</v>
      </c>
      <c r="DY10" s="123" t="e">
        <f t="shared" si="99"/>
        <v>#DIV/0!</v>
      </c>
      <c r="DZ10" s="123" t="e">
        <f t="shared" si="100"/>
        <v>#DIV/0!</v>
      </c>
      <c r="EA10" s="123" t="e">
        <f t="shared" si="101"/>
        <v>#DIV/0!</v>
      </c>
      <c r="EB10" s="176">
        <f t="shared" si="51"/>
        <v>5.6253448275861953</v>
      </c>
      <c r="EC10" s="125">
        <f t="shared" si="52"/>
        <v>0</v>
      </c>
      <c r="ED10" s="179">
        <f t="shared" si="102"/>
        <v>120</v>
      </c>
      <c r="EE10" s="125">
        <f t="shared" si="103"/>
        <v>100</v>
      </c>
      <c r="EF10" s="106"/>
      <c r="EG10" s="106"/>
    </row>
    <row r="11" spans="1:137" ht="11.25" customHeight="1">
      <c r="A11" s="276" t="s">
        <v>179</v>
      </c>
      <c r="B11" s="37">
        <v>37</v>
      </c>
      <c r="C11" s="255">
        <v>61.75</v>
      </c>
      <c r="D11" s="37">
        <v>112</v>
      </c>
      <c r="E11" s="37">
        <v>114</v>
      </c>
      <c r="F11" s="83">
        <v>0.18055555555555555</v>
      </c>
      <c r="G11" s="111">
        <f>220.65+8.9+22.11+35.38+52.98+39.86+61.75+57.47+119.17</f>
        <v>618.27</v>
      </c>
      <c r="H11" s="136">
        <v>161.30000000000001</v>
      </c>
      <c r="I11" s="136">
        <v>323.5</v>
      </c>
      <c r="J11" s="136">
        <v>485.5</v>
      </c>
      <c r="K11" s="136">
        <v>597.6</v>
      </c>
      <c r="L11" s="135">
        <f t="shared" si="1"/>
        <v>20.669999999999959</v>
      </c>
      <c r="M11" s="211">
        <f>30.92+123.61</f>
        <v>154.53</v>
      </c>
      <c r="N11" s="135">
        <v>41.7</v>
      </c>
      <c r="O11" s="135">
        <v>83.6</v>
      </c>
      <c r="P11" s="135">
        <v>125.6</v>
      </c>
      <c r="Q11" s="135">
        <v>157.19999999999999</v>
      </c>
      <c r="R11" s="136">
        <f t="shared" si="2"/>
        <v>-2.6699999999999875</v>
      </c>
      <c r="S11" s="212">
        <v>91</v>
      </c>
      <c r="T11" s="43">
        <v>39.9</v>
      </c>
      <c r="U11" s="43">
        <v>73.8</v>
      </c>
      <c r="V11" s="84">
        <v>101.3</v>
      </c>
      <c r="W11" s="84">
        <v>121.5</v>
      </c>
      <c r="X11" s="185">
        <v>0.61805555555555558</v>
      </c>
      <c r="Y11" s="185">
        <v>0.63124999999999998</v>
      </c>
      <c r="Z11" s="186">
        <f t="shared" si="3"/>
        <v>1.3194444444444398E-2</v>
      </c>
      <c r="AA11" s="84">
        <v>29.4</v>
      </c>
      <c r="AB11" s="260">
        <v>5.0347222222222225E-3</v>
      </c>
      <c r="AC11" s="260">
        <v>5.0000000000000001E-3</v>
      </c>
      <c r="AD11" s="260">
        <f t="shared" si="4"/>
        <v>-3.4722222222222446E-5</v>
      </c>
      <c r="AE11" s="69"/>
      <c r="AF11" s="69"/>
      <c r="AG11" s="33"/>
      <c r="AH11" s="50"/>
      <c r="AI11" s="156">
        <v>1355.09</v>
      </c>
      <c r="AJ11" s="156">
        <v>1349.43</v>
      </c>
      <c r="AK11" s="169">
        <f t="shared" si="5"/>
        <v>5.6599999999998545</v>
      </c>
      <c r="AL11" s="191">
        <v>0.6777777777777777</v>
      </c>
      <c r="AM11" s="191">
        <v>0.6875</v>
      </c>
      <c r="AN11" s="192">
        <f t="shared" si="6"/>
        <v>9.7222222222222987E-3</v>
      </c>
      <c r="AO11" s="148">
        <f t="shared" si="53"/>
        <v>28.089877583208697</v>
      </c>
      <c r="AP11" s="149">
        <f t="shared" si="54"/>
        <v>47.910122416791303</v>
      </c>
      <c r="AQ11" s="149">
        <f t="shared" si="7"/>
        <v>61.691860138971634</v>
      </c>
      <c r="AR11" s="149">
        <f t="shared" si="8"/>
        <v>61.857105378269807</v>
      </c>
      <c r="AS11" s="149">
        <f t="shared" si="9"/>
        <v>109.94095976728137</v>
      </c>
      <c r="AT11" s="149">
        <f t="shared" si="10"/>
        <v>114.8176609223738</v>
      </c>
      <c r="AU11" s="149">
        <f t="shared" si="55"/>
        <v>111.93239626243108</v>
      </c>
      <c r="AV11" s="149">
        <f t="shared" si="56"/>
        <v>114.92967270308615</v>
      </c>
      <c r="AW11" s="149">
        <f t="shared" si="57"/>
        <v>0.17368036968193748</v>
      </c>
      <c r="AX11" s="149">
        <f t="shared" si="58"/>
        <v>0.18908304027974834</v>
      </c>
      <c r="AY11" s="123">
        <f t="shared" si="11"/>
        <v>156.83979641263412</v>
      </c>
      <c r="AZ11" s="123">
        <f t="shared" si="12"/>
        <v>163.64145358736593</v>
      </c>
      <c r="BA11" s="123">
        <f t="shared" si="13"/>
        <v>314.2100390293777</v>
      </c>
      <c r="BB11" s="123">
        <f t="shared" si="14"/>
        <v>328.23996097062235</v>
      </c>
      <c r="BC11" s="123">
        <f t="shared" si="15"/>
        <v>471.56159398390412</v>
      </c>
      <c r="BD11" s="123">
        <f t="shared" si="16"/>
        <v>492.76965601609584</v>
      </c>
      <c r="BE11" s="123">
        <f t="shared" si="17"/>
        <v>588.52671906979549</v>
      </c>
      <c r="BF11" s="123">
        <f t="shared" si="18"/>
        <v>611.71810851641135</v>
      </c>
      <c r="BG11" s="123">
        <f t="shared" si="19"/>
        <v>6.4247474531250646</v>
      </c>
      <c r="BH11" s="123">
        <f t="shared" si="20"/>
        <v>29.870769788254243</v>
      </c>
      <c r="BI11" s="123">
        <f t="shared" si="21"/>
        <v>41.634833977180243</v>
      </c>
      <c r="BJ11" s="123">
        <f t="shared" si="22"/>
        <v>41.908916022819731</v>
      </c>
      <c r="BK11" s="123">
        <f t="shared" si="23"/>
        <v>83.527280129290489</v>
      </c>
      <c r="BL11" s="123">
        <f t="shared" si="24"/>
        <v>83.903969870709489</v>
      </c>
      <c r="BM11" s="123">
        <f t="shared" si="25"/>
        <v>125.49642578417671</v>
      </c>
      <c r="BN11" s="123">
        <f t="shared" si="26"/>
        <v>125.82857421582314</v>
      </c>
      <c r="BO11" s="123">
        <f t="shared" si="27"/>
        <v>155.1049414176334</v>
      </c>
      <c r="BP11" s="123">
        <f t="shared" si="28"/>
        <v>157.96747237547007</v>
      </c>
      <c r="BQ11" s="123">
        <f t="shared" si="29"/>
        <v>-3.4739700111749907</v>
      </c>
      <c r="BR11" s="123">
        <f t="shared" si="30"/>
        <v>-0.65327136813535303</v>
      </c>
      <c r="BS11" s="123">
        <f t="shared" si="59"/>
        <v>56.437095452304185</v>
      </c>
      <c r="BT11" s="123">
        <f t="shared" si="60"/>
        <v>134.01118040976476</v>
      </c>
      <c r="BU11" s="123">
        <f t="shared" si="61"/>
        <v>35.424087856897714</v>
      </c>
      <c r="BV11" s="123">
        <f t="shared" si="62"/>
        <v>42.810394901722987</v>
      </c>
      <c r="BW11" s="123">
        <f t="shared" si="63"/>
        <v>68.667936470774464</v>
      </c>
      <c r="BX11" s="123">
        <f t="shared" si="64"/>
        <v>78.252753184397989</v>
      </c>
      <c r="BY11" s="123">
        <f t="shared" si="65"/>
        <v>94.547228197183259</v>
      </c>
      <c r="BZ11" s="123">
        <f t="shared" si="66"/>
        <v>106.39415111316158</v>
      </c>
      <c r="CA11" s="123">
        <f t="shared" si="67"/>
        <v>114.2973449594912</v>
      </c>
      <c r="CB11" s="123">
        <f t="shared" si="68"/>
        <v>127.60610331637088</v>
      </c>
      <c r="CC11" s="123">
        <f t="shared" si="69"/>
        <v>1.1625982470516784E-2</v>
      </c>
      <c r="CD11" s="123">
        <f t="shared" si="70"/>
        <v>1.4691067337912261E-2</v>
      </c>
      <c r="CE11" s="123">
        <f t="shared" si="71"/>
        <v>28.696690452912026</v>
      </c>
      <c r="CF11" s="123">
        <f t="shared" si="72"/>
        <v>29.661930236743164</v>
      </c>
      <c r="CG11" s="261">
        <f t="shared" si="31"/>
        <v>4.6579973341037062E-3</v>
      </c>
      <c r="CH11" s="261">
        <f t="shared" si="32"/>
        <v>5.3410578435228997E-3</v>
      </c>
      <c r="CI11" s="261">
        <f t="shared" si="33"/>
        <v>4.6322196240640304E-3</v>
      </c>
      <c r="CJ11" s="261">
        <f t="shared" si="34"/>
        <v>5.2936118196245515E-3</v>
      </c>
      <c r="CK11" s="261">
        <f t="shared" si="35"/>
        <v>-2.62020899613848E-4</v>
      </c>
      <c r="CL11" s="261">
        <f t="shared" si="36"/>
        <v>2.0015946921793468E-4</v>
      </c>
      <c r="CM11" s="123" t="e">
        <f t="shared" si="73"/>
        <v>#DIV/0!</v>
      </c>
      <c r="CN11" s="123" t="e">
        <f t="shared" si="74"/>
        <v>#DIV/0!</v>
      </c>
      <c r="CO11" s="123" t="e">
        <f t="shared" si="75"/>
        <v>#DIV/0!</v>
      </c>
      <c r="CP11" s="123" t="e">
        <f t="shared" si="76"/>
        <v>#DIV/0!</v>
      </c>
      <c r="CQ11" s="123" t="e">
        <f t="shared" si="77"/>
        <v>#DIV/0!</v>
      </c>
      <c r="CR11" s="123" t="e">
        <f t="shared" si="78"/>
        <v>#DIV/0!</v>
      </c>
      <c r="CS11" s="123" t="e">
        <f t="shared" si="79"/>
        <v>#DIV/0!</v>
      </c>
      <c r="CT11" s="123" t="e">
        <f t="shared" si="80"/>
        <v>#DIV/0!</v>
      </c>
      <c r="CU11" s="124">
        <f t="shared" si="81"/>
        <v>4.9388614429463438</v>
      </c>
      <c r="CV11" s="173">
        <f t="shared" si="82"/>
        <v>6.3118282122260467</v>
      </c>
      <c r="CW11" s="124">
        <f t="shared" si="83"/>
        <v>0</v>
      </c>
      <c r="CX11" s="171">
        <f t="shared" si="84"/>
        <v>0</v>
      </c>
      <c r="CY11" s="122">
        <f t="shared" si="37"/>
        <v>38</v>
      </c>
      <c r="CZ11" s="231">
        <f t="shared" si="38"/>
        <v>61.774482758620721</v>
      </c>
      <c r="DA11" s="123">
        <f t="shared" si="39"/>
        <v>112.37931034482759</v>
      </c>
      <c r="DB11" s="123">
        <f t="shared" si="40"/>
        <v>113.43103448275862</v>
      </c>
      <c r="DC11" s="123">
        <f t="shared" si="41"/>
        <v>0.18138170498084291</v>
      </c>
      <c r="DD11" s="123">
        <f t="shared" si="42"/>
        <v>160.24062500000002</v>
      </c>
      <c r="DE11" s="123">
        <f t="shared" si="43"/>
        <v>321.22500000000002</v>
      </c>
      <c r="DF11" s="123">
        <f t="shared" si="44"/>
        <v>482.16562499999998</v>
      </c>
      <c r="DG11" s="123">
        <f t="shared" si="45"/>
        <v>600.12241379310342</v>
      </c>
      <c r="DH11" s="123">
        <f t="shared" si="46"/>
        <v>18.147758620689654</v>
      </c>
      <c r="DI11" s="123">
        <f t="shared" si="85"/>
        <v>41.771874999999987</v>
      </c>
      <c r="DJ11" s="123">
        <f t="shared" si="86"/>
        <v>83.715624999999989</v>
      </c>
      <c r="DK11" s="123">
        <f t="shared" si="87"/>
        <v>125.66249999999992</v>
      </c>
      <c r="DL11" s="123">
        <f t="shared" si="88"/>
        <v>156.53620689655173</v>
      </c>
      <c r="DM11" s="123">
        <f t="shared" si="89"/>
        <v>-2.0636206896551719</v>
      </c>
      <c r="DN11" s="123">
        <f t="shared" si="90"/>
        <v>95.224137931034477</v>
      </c>
      <c r="DO11" s="123">
        <f t="shared" si="91"/>
        <v>39.11724137931035</v>
      </c>
      <c r="DP11" s="123">
        <f t="shared" si="92"/>
        <v>73.460344827586226</v>
      </c>
      <c r="DQ11" s="123">
        <f t="shared" si="93"/>
        <v>100.47068965517242</v>
      </c>
      <c r="DR11" s="123">
        <f t="shared" si="94"/>
        <v>120.95172413793104</v>
      </c>
      <c r="DS11" s="123">
        <f t="shared" si="48"/>
        <v>1.3158524904214522E-2</v>
      </c>
      <c r="DT11" s="123">
        <f t="shared" si="49"/>
        <v>29.179310344827595</v>
      </c>
      <c r="DU11" s="261">
        <f t="shared" si="95"/>
        <v>4.9995275888133029E-3</v>
      </c>
      <c r="DV11" s="261">
        <f t="shared" si="96"/>
        <v>4.962915721844291E-3</v>
      </c>
      <c r="DW11" s="261">
        <f t="shared" si="97"/>
        <v>-3.0930715197956654E-5</v>
      </c>
      <c r="DX11" s="123" t="e">
        <f t="shared" si="98"/>
        <v>#DIV/0!</v>
      </c>
      <c r="DY11" s="123" t="e">
        <f t="shared" si="99"/>
        <v>#DIV/0!</v>
      </c>
      <c r="DZ11" s="123" t="e">
        <f t="shared" si="100"/>
        <v>#DIV/0!</v>
      </c>
      <c r="EA11" s="123" t="e">
        <f t="shared" si="101"/>
        <v>#DIV/0!</v>
      </c>
      <c r="EB11" s="176">
        <f t="shared" si="51"/>
        <v>5.6253448275861953</v>
      </c>
      <c r="EC11" s="125">
        <f t="shared" si="52"/>
        <v>0</v>
      </c>
      <c r="ED11" s="179">
        <f t="shared" si="102"/>
        <v>120</v>
      </c>
      <c r="EE11" s="125">
        <f t="shared" si="103"/>
        <v>100</v>
      </c>
      <c r="EF11" s="106"/>
      <c r="EG11" s="106"/>
    </row>
    <row r="12" spans="1:137" ht="11.25" customHeight="1">
      <c r="A12" s="276" t="s">
        <v>180</v>
      </c>
      <c r="B12" s="37">
        <v>36</v>
      </c>
      <c r="C12" s="255">
        <v>61.75</v>
      </c>
      <c r="D12" s="37">
        <v>112</v>
      </c>
      <c r="E12" s="37">
        <v>114</v>
      </c>
      <c r="F12" s="39">
        <v>0.18055555555555555</v>
      </c>
      <c r="G12" s="111">
        <f>220.73+8.87+22.1+35.3+53.01+39.85+61.75+57.42+119.14</f>
        <v>618.17000000000007</v>
      </c>
      <c r="H12" s="136">
        <v>161.19999999999999</v>
      </c>
      <c r="I12" s="136">
        <v>323.2</v>
      </c>
      <c r="J12" s="136">
        <v>485.3</v>
      </c>
      <c r="K12" s="136">
        <v>595.5</v>
      </c>
      <c r="L12" s="135">
        <f t="shared" si="1"/>
        <v>22.670000000000073</v>
      </c>
      <c r="M12" s="211">
        <f>30.89+123.56</f>
        <v>154.44999999999999</v>
      </c>
      <c r="N12" s="135">
        <v>41.8</v>
      </c>
      <c r="O12" s="135">
        <v>83.7</v>
      </c>
      <c r="P12" s="135">
        <v>125.7</v>
      </c>
      <c r="Q12" s="135">
        <v>157</v>
      </c>
      <c r="R12" s="136">
        <f t="shared" si="2"/>
        <v>-2.5500000000000114</v>
      </c>
      <c r="S12" s="212">
        <v>92</v>
      </c>
      <c r="T12" s="43">
        <v>39.700000000000003</v>
      </c>
      <c r="U12" s="43">
        <v>73.400000000000006</v>
      </c>
      <c r="V12" s="43">
        <v>100.9</v>
      </c>
      <c r="W12" s="43">
        <v>121.9</v>
      </c>
      <c r="X12" s="184">
        <v>0.61805555555555558</v>
      </c>
      <c r="Y12" s="184">
        <v>0.63124999999999998</v>
      </c>
      <c r="Z12" s="184">
        <f t="shared" si="3"/>
        <v>1.3194444444444398E-2</v>
      </c>
      <c r="AA12" s="43">
        <v>29.4</v>
      </c>
      <c r="AB12" s="260">
        <v>4.9652777777777777E-3</v>
      </c>
      <c r="AC12" s="260">
        <v>5.0000000000000001E-3</v>
      </c>
      <c r="AD12" s="260">
        <f t="shared" si="4"/>
        <v>3.4722222222222446E-5</v>
      </c>
      <c r="AE12" s="48"/>
      <c r="AF12" s="48"/>
      <c r="AG12" s="32"/>
      <c r="AH12" s="49"/>
      <c r="AI12" s="156">
        <v>1354.88</v>
      </c>
      <c r="AJ12" s="156">
        <v>1349.28</v>
      </c>
      <c r="AK12" s="169">
        <f t="shared" si="5"/>
        <v>5.6000000000001364</v>
      </c>
      <c r="AL12" s="191">
        <v>0.67847222222222225</v>
      </c>
      <c r="AM12" s="191">
        <v>0.68541666666666667</v>
      </c>
      <c r="AN12" s="192">
        <f t="shared" si="6"/>
        <v>6.9444444444444198E-3</v>
      </c>
      <c r="AO12" s="148">
        <f t="shared" si="53"/>
        <v>28.089877583208697</v>
      </c>
      <c r="AP12" s="149">
        <f t="shared" si="54"/>
        <v>47.910122416791303</v>
      </c>
      <c r="AQ12" s="149">
        <f t="shared" si="7"/>
        <v>61.691860138971634</v>
      </c>
      <c r="AR12" s="149">
        <f t="shared" si="8"/>
        <v>61.857105378269807</v>
      </c>
      <c r="AS12" s="149">
        <f t="shared" si="9"/>
        <v>109.94095976728137</v>
      </c>
      <c r="AT12" s="149">
        <f t="shared" si="10"/>
        <v>114.8176609223738</v>
      </c>
      <c r="AU12" s="149">
        <f t="shared" si="55"/>
        <v>111.93239626243108</v>
      </c>
      <c r="AV12" s="149">
        <f t="shared" si="56"/>
        <v>114.92967270308615</v>
      </c>
      <c r="AW12" s="149">
        <f t="shared" si="57"/>
        <v>0.17368036968193748</v>
      </c>
      <c r="AX12" s="149">
        <f t="shared" si="58"/>
        <v>0.18908304027974834</v>
      </c>
      <c r="AY12" s="123">
        <f t="shared" si="11"/>
        <v>156.83979641263412</v>
      </c>
      <c r="AZ12" s="123">
        <f t="shared" si="12"/>
        <v>163.64145358736593</v>
      </c>
      <c r="BA12" s="123">
        <f t="shared" si="13"/>
        <v>314.2100390293777</v>
      </c>
      <c r="BB12" s="123">
        <f t="shared" si="14"/>
        <v>328.23996097062235</v>
      </c>
      <c r="BC12" s="123">
        <f t="shared" si="15"/>
        <v>471.56159398390412</v>
      </c>
      <c r="BD12" s="123">
        <f t="shared" si="16"/>
        <v>492.76965601609584</v>
      </c>
      <c r="BE12" s="123">
        <f t="shared" si="17"/>
        <v>588.52671906979549</v>
      </c>
      <c r="BF12" s="123">
        <f t="shared" si="18"/>
        <v>611.71810851641135</v>
      </c>
      <c r="BG12" s="123">
        <f t="shared" si="19"/>
        <v>6.4247474531250646</v>
      </c>
      <c r="BH12" s="123">
        <f t="shared" si="20"/>
        <v>29.870769788254243</v>
      </c>
      <c r="BI12" s="123">
        <f t="shared" si="21"/>
        <v>41.634833977180243</v>
      </c>
      <c r="BJ12" s="123">
        <f t="shared" si="22"/>
        <v>41.908916022819731</v>
      </c>
      <c r="BK12" s="123">
        <f t="shared" si="23"/>
        <v>83.527280129290489</v>
      </c>
      <c r="BL12" s="123">
        <f t="shared" si="24"/>
        <v>83.903969870709489</v>
      </c>
      <c r="BM12" s="123">
        <f t="shared" si="25"/>
        <v>125.49642578417671</v>
      </c>
      <c r="BN12" s="123">
        <f t="shared" si="26"/>
        <v>125.82857421582314</v>
      </c>
      <c r="BO12" s="123">
        <f t="shared" si="27"/>
        <v>155.1049414176334</v>
      </c>
      <c r="BP12" s="123">
        <f t="shared" si="28"/>
        <v>157.96747237547007</v>
      </c>
      <c r="BQ12" s="123">
        <f t="shared" si="29"/>
        <v>-3.4739700111749907</v>
      </c>
      <c r="BR12" s="123">
        <f t="shared" si="30"/>
        <v>-0.65327136813535303</v>
      </c>
      <c r="BS12" s="123">
        <f t="shared" si="59"/>
        <v>56.437095452304185</v>
      </c>
      <c r="BT12" s="123">
        <f t="shared" si="60"/>
        <v>134.01118040976476</v>
      </c>
      <c r="BU12" s="123">
        <f t="shared" si="61"/>
        <v>35.424087856897714</v>
      </c>
      <c r="BV12" s="123">
        <f t="shared" si="62"/>
        <v>42.810394901722987</v>
      </c>
      <c r="BW12" s="123">
        <f t="shared" si="63"/>
        <v>68.667936470774464</v>
      </c>
      <c r="BX12" s="123">
        <f t="shared" si="64"/>
        <v>78.252753184397989</v>
      </c>
      <c r="BY12" s="123">
        <f t="shared" si="65"/>
        <v>94.547228197183259</v>
      </c>
      <c r="BZ12" s="123">
        <f t="shared" si="66"/>
        <v>106.39415111316158</v>
      </c>
      <c r="CA12" s="123">
        <f t="shared" si="67"/>
        <v>114.2973449594912</v>
      </c>
      <c r="CB12" s="123">
        <f t="shared" si="68"/>
        <v>127.60610331637088</v>
      </c>
      <c r="CC12" s="123">
        <f t="shared" si="69"/>
        <v>1.1625982470516784E-2</v>
      </c>
      <c r="CD12" s="123">
        <f t="shared" si="70"/>
        <v>1.4691067337912261E-2</v>
      </c>
      <c r="CE12" s="123">
        <f t="shared" si="71"/>
        <v>28.696690452912026</v>
      </c>
      <c r="CF12" s="123">
        <f t="shared" si="72"/>
        <v>29.661930236743164</v>
      </c>
      <c r="CG12" s="261">
        <f t="shared" si="31"/>
        <v>4.6579973341037062E-3</v>
      </c>
      <c r="CH12" s="261">
        <f t="shared" si="32"/>
        <v>5.3410578435228997E-3</v>
      </c>
      <c r="CI12" s="261">
        <f t="shared" si="33"/>
        <v>4.6322196240640304E-3</v>
      </c>
      <c r="CJ12" s="261">
        <f t="shared" si="34"/>
        <v>5.2936118196245515E-3</v>
      </c>
      <c r="CK12" s="261">
        <f t="shared" si="35"/>
        <v>-2.62020899613848E-4</v>
      </c>
      <c r="CL12" s="261">
        <f t="shared" si="36"/>
        <v>2.0015946921793468E-4</v>
      </c>
      <c r="CM12" s="123" t="e">
        <f t="shared" si="73"/>
        <v>#DIV/0!</v>
      </c>
      <c r="CN12" s="123" t="e">
        <f t="shared" si="74"/>
        <v>#DIV/0!</v>
      </c>
      <c r="CO12" s="123" t="e">
        <f t="shared" si="75"/>
        <v>#DIV/0!</v>
      </c>
      <c r="CP12" s="123" t="e">
        <f t="shared" si="76"/>
        <v>#DIV/0!</v>
      </c>
      <c r="CQ12" s="123" t="e">
        <f t="shared" si="77"/>
        <v>#DIV/0!</v>
      </c>
      <c r="CR12" s="123" t="e">
        <f t="shared" si="78"/>
        <v>#DIV/0!</v>
      </c>
      <c r="CS12" s="123" t="e">
        <f t="shared" si="79"/>
        <v>#DIV/0!</v>
      </c>
      <c r="CT12" s="123" t="e">
        <f t="shared" si="80"/>
        <v>#DIV/0!</v>
      </c>
      <c r="CU12" s="124">
        <f t="shared" si="81"/>
        <v>4.9388614429463438</v>
      </c>
      <c r="CV12" s="173">
        <f t="shared" si="82"/>
        <v>6.3118282122260467</v>
      </c>
      <c r="CW12" s="124">
        <f t="shared" si="83"/>
        <v>0</v>
      </c>
      <c r="CX12" s="171">
        <f t="shared" si="84"/>
        <v>0</v>
      </c>
      <c r="CY12" s="122">
        <f t="shared" si="37"/>
        <v>38</v>
      </c>
      <c r="CZ12" s="231">
        <f t="shared" si="38"/>
        <v>61.774482758620721</v>
      </c>
      <c r="DA12" s="123">
        <f t="shared" si="39"/>
        <v>112.37931034482759</v>
      </c>
      <c r="DB12" s="123">
        <f t="shared" si="40"/>
        <v>113.43103448275862</v>
      </c>
      <c r="DC12" s="123">
        <f t="shared" si="41"/>
        <v>0.18138170498084291</v>
      </c>
      <c r="DD12" s="123">
        <f t="shared" si="42"/>
        <v>160.24062500000002</v>
      </c>
      <c r="DE12" s="123">
        <f t="shared" si="43"/>
        <v>321.22500000000002</v>
      </c>
      <c r="DF12" s="123">
        <f t="shared" si="44"/>
        <v>482.16562499999998</v>
      </c>
      <c r="DG12" s="123">
        <f t="shared" si="45"/>
        <v>600.12241379310342</v>
      </c>
      <c r="DH12" s="123">
        <f t="shared" si="46"/>
        <v>18.147758620689654</v>
      </c>
      <c r="DI12" s="123">
        <f t="shared" si="85"/>
        <v>41.771874999999987</v>
      </c>
      <c r="DJ12" s="123">
        <f t="shared" si="86"/>
        <v>83.715624999999989</v>
      </c>
      <c r="DK12" s="123">
        <f t="shared" si="87"/>
        <v>125.66249999999992</v>
      </c>
      <c r="DL12" s="123">
        <f t="shared" si="88"/>
        <v>156.53620689655173</v>
      </c>
      <c r="DM12" s="123">
        <f t="shared" si="89"/>
        <v>-2.0636206896551719</v>
      </c>
      <c r="DN12" s="123">
        <f t="shared" si="90"/>
        <v>95.224137931034477</v>
      </c>
      <c r="DO12" s="123">
        <f t="shared" si="91"/>
        <v>39.11724137931035</v>
      </c>
      <c r="DP12" s="123">
        <f t="shared" si="92"/>
        <v>73.460344827586226</v>
      </c>
      <c r="DQ12" s="123">
        <f t="shared" si="93"/>
        <v>100.47068965517242</v>
      </c>
      <c r="DR12" s="123">
        <f t="shared" si="94"/>
        <v>120.95172413793104</v>
      </c>
      <c r="DS12" s="123">
        <f t="shared" si="48"/>
        <v>1.3158524904214522E-2</v>
      </c>
      <c r="DT12" s="123">
        <f t="shared" si="49"/>
        <v>29.179310344827595</v>
      </c>
      <c r="DU12" s="261">
        <f t="shared" si="95"/>
        <v>4.9995275888133029E-3</v>
      </c>
      <c r="DV12" s="261">
        <f t="shared" si="96"/>
        <v>4.962915721844291E-3</v>
      </c>
      <c r="DW12" s="261">
        <f t="shared" si="97"/>
        <v>-3.0930715197956654E-5</v>
      </c>
      <c r="DX12" s="123" t="e">
        <f t="shared" si="98"/>
        <v>#DIV/0!</v>
      </c>
      <c r="DY12" s="123" t="e">
        <f t="shared" si="99"/>
        <v>#DIV/0!</v>
      </c>
      <c r="DZ12" s="123" t="e">
        <f t="shared" si="100"/>
        <v>#DIV/0!</v>
      </c>
      <c r="EA12" s="123" t="e">
        <f t="shared" si="101"/>
        <v>#DIV/0!</v>
      </c>
      <c r="EB12" s="176">
        <f t="shared" si="51"/>
        <v>5.6253448275861953</v>
      </c>
      <c r="EC12" s="125">
        <f t="shared" si="52"/>
        <v>0</v>
      </c>
      <c r="ED12" s="179">
        <f t="shared" si="102"/>
        <v>120</v>
      </c>
      <c r="EE12" s="125">
        <f t="shared" si="103"/>
        <v>100</v>
      </c>
      <c r="EF12" s="106"/>
      <c r="EG12" s="106"/>
    </row>
    <row r="13" spans="1:137" ht="11.25" customHeight="1">
      <c r="A13" s="276" t="s">
        <v>181</v>
      </c>
      <c r="B13" s="37">
        <v>42</v>
      </c>
      <c r="C13" s="255">
        <v>61.77</v>
      </c>
      <c r="D13" s="37">
        <v>112</v>
      </c>
      <c r="E13" s="37">
        <v>114</v>
      </c>
      <c r="F13" s="39">
        <v>0.17916666666666667</v>
      </c>
      <c r="G13" s="111">
        <f>220.76+8.85+22.16+35.34+52.97+39.81+61.77+57.36+119.2</f>
        <v>618.22</v>
      </c>
      <c r="H13" s="136">
        <v>161.1</v>
      </c>
      <c r="I13" s="136">
        <v>322.7</v>
      </c>
      <c r="J13" s="136">
        <v>484.4</v>
      </c>
      <c r="K13" s="136">
        <v>596.4</v>
      </c>
      <c r="L13" s="135">
        <f t="shared" si="1"/>
        <v>21.82000000000005</v>
      </c>
      <c r="M13" s="211">
        <f>30.9+123.58</f>
        <v>154.47999999999999</v>
      </c>
      <c r="N13" s="135">
        <v>41.8</v>
      </c>
      <c r="O13" s="135">
        <v>83.7</v>
      </c>
      <c r="P13" s="135">
        <v>125.6</v>
      </c>
      <c r="Q13" s="135">
        <v>157.80000000000001</v>
      </c>
      <c r="R13" s="136">
        <f t="shared" si="2"/>
        <v>-3.3200000000000216</v>
      </c>
      <c r="S13" s="212">
        <v>95</v>
      </c>
      <c r="T13" s="43">
        <v>39.200000000000003</v>
      </c>
      <c r="U13" s="43">
        <v>74.7</v>
      </c>
      <c r="V13" s="43">
        <v>102.1</v>
      </c>
      <c r="W13" s="43">
        <v>123</v>
      </c>
      <c r="X13" s="185">
        <v>0.6166666666666667</v>
      </c>
      <c r="Y13" s="184">
        <v>0.62986111111111109</v>
      </c>
      <c r="Z13" s="184">
        <f t="shared" si="3"/>
        <v>1.3194444444444398E-2</v>
      </c>
      <c r="AA13" s="43">
        <v>29.2</v>
      </c>
      <c r="AB13" s="260">
        <v>4.9305555555555552E-3</v>
      </c>
      <c r="AC13" s="260">
        <v>4.8148148148148152E-3</v>
      </c>
      <c r="AD13" s="260">
        <f t="shared" si="4"/>
        <v>-1.1574074074074004E-4</v>
      </c>
      <c r="AE13" s="48"/>
      <c r="AF13" s="48"/>
      <c r="AG13" s="38"/>
      <c r="AH13" s="58"/>
      <c r="AI13" s="158">
        <v>1354.91</v>
      </c>
      <c r="AJ13" s="158">
        <v>1349.81</v>
      </c>
      <c r="AK13" s="169">
        <f t="shared" si="5"/>
        <v>5.1000000000001364</v>
      </c>
      <c r="AL13" s="191">
        <v>0.67638888888888893</v>
      </c>
      <c r="AM13" s="191">
        <v>0.68263888888888891</v>
      </c>
      <c r="AN13" s="192">
        <f t="shared" si="6"/>
        <v>6.2499999999999778E-3</v>
      </c>
      <c r="AO13" s="148">
        <f t="shared" si="53"/>
        <v>28.089877583208697</v>
      </c>
      <c r="AP13" s="149">
        <f t="shared" si="54"/>
        <v>47.910122416791303</v>
      </c>
      <c r="AQ13" s="149">
        <f t="shared" si="7"/>
        <v>61.691860138971634</v>
      </c>
      <c r="AR13" s="149">
        <f t="shared" si="8"/>
        <v>61.857105378269807</v>
      </c>
      <c r="AS13" s="149">
        <f t="shared" si="9"/>
        <v>109.94095976728137</v>
      </c>
      <c r="AT13" s="149">
        <f t="shared" si="10"/>
        <v>114.8176609223738</v>
      </c>
      <c r="AU13" s="149">
        <f t="shared" si="55"/>
        <v>111.93239626243108</v>
      </c>
      <c r="AV13" s="149">
        <f t="shared" si="56"/>
        <v>114.92967270308615</v>
      </c>
      <c r="AW13" s="149">
        <f t="shared" si="57"/>
        <v>0.17368036968193748</v>
      </c>
      <c r="AX13" s="149">
        <f t="shared" si="58"/>
        <v>0.18908304027974834</v>
      </c>
      <c r="AY13" s="123">
        <f t="shared" si="11"/>
        <v>156.83979641263412</v>
      </c>
      <c r="AZ13" s="123">
        <f t="shared" si="12"/>
        <v>163.64145358736593</v>
      </c>
      <c r="BA13" s="123">
        <f t="shared" si="13"/>
        <v>314.2100390293777</v>
      </c>
      <c r="BB13" s="123">
        <f t="shared" si="14"/>
        <v>328.23996097062235</v>
      </c>
      <c r="BC13" s="123">
        <f t="shared" si="15"/>
        <v>471.56159398390412</v>
      </c>
      <c r="BD13" s="123">
        <f t="shared" si="16"/>
        <v>492.76965601609584</v>
      </c>
      <c r="BE13" s="123">
        <f t="shared" si="17"/>
        <v>588.52671906979549</v>
      </c>
      <c r="BF13" s="123">
        <f t="shared" si="18"/>
        <v>611.71810851641135</v>
      </c>
      <c r="BG13" s="123">
        <f t="shared" si="19"/>
        <v>6.4247474531250646</v>
      </c>
      <c r="BH13" s="123">
        <f t="shared" si="20"/>
        <v>29.870769788254243</v>
      </c>
      <c r="BI13" s="123">
        <f t="shared" si="21"/>
        <v>41.634833977180243</v>
      </c>
      <c r="BJ13" s="123">
        <f t="shared" si="22"/>
        <v>41.908916022819731</v>
      </c>
      <c r="BK13" s="123">
        <f t="shared" si="23"/>
        <v>83.527280129290489</v>
      </c>
      <c r="BL13" s="123">
        <f t="shared" si="24"/>
        <v>83.903969870709489</v>
      </c>
      <c r="BM13" s="123">
        <f t="shared" si="25"/>
        <v>125.49642578417671</v>
      </c>
      <c r="BN13" s="123">
        <f t="shared" si="26"/>
        <v>125.82857421582314</v>
      </c>
      <c r="BO13" s="123">
        <f t="shared" si="27"/>
        <v>155.1049414176334</v>
      </c>
      <c r="BP13" s="123">
        <f t="shared" si="28"/>
        <v>157.96747237547007</v>
      </c>
      <c r="BQ13" s="123">
        <f t="shared" si="29"/>
        <v>-3.4739700111749907</v>
      </c>
      <c r="BR13" s="123">
        <f t="shared" si="30"/>
        <v>-0.65327136813535303</v>
      </c>
      <c r="BS13" s="123">
        <f t="shared" si="59"/>
        <v>56.437095452304185</v>
      </c>
      <c r="BT13" s="123">
        <f t="shared" si="60"/>
        <v>134.01118040976476</v>
      </c>
      <c r="BU13" s="123">
        <f t="shared" si="61"/>
        <v>35.424087856897714</v>
      </c>
      <c r="BV13" s="123">
        <f t="shared" si="62"/>
        <v>42.810394901722987</v>
      </c>
      <c r="BW13" s="123">
        <f t="shared" si="63"/>
        <v>68.667936470774464</v>
      </c>
      <c r="BX13" s="123">
        <f t="shared" si="64"/>
        <v>78.252753184397989</v>
      </c>
      <c r="BY13" s="123">
        <f t="shared" si="65"/>
        <v>94.547228197183259</v>
      </c>
      <c r="BZ13" s="123">
        <f t="shared" si="66"/>
        <v>106.39415111316158</v>
      </c>
      <c r="CA13" s="123">
        <f t="shared" si="67"/>
        <v>114.2973449594912</v>
      </c>
      <c r="CB13" s="123">
        <f t="shared" si="68"/>
        <v>127.60610331637088</v>
      </c>
      <c r="CC13" s="123">
        <f t="shared" si="69"/>
        <v>1.1625982470516784E-2</v>
      </c>
      <c r="CD13" s="123">
        <f t="shared" si="70"/>
        <v>1.4691067337912261E-2</v>
      </c>
      <c r="CE13" s="123">
        <f t="shared" si="71"/>
        <v>28.696690452912026</v>
      </c>
      <c r="CF13" s="123">
        <f t="shared" si="72"/>
        <v>29.661930236743164</v>
      </c>
      <c r="CG13" s="261">
        <f t="shared" si="31"/>
        <v>4.6579973341037062E-3</v>
      </c>
      <c r="CH13" s="261">
        <f t="shared" si="32"/>
        <v>5.3410578435228997E-3</v>
      </c>
      <c r="CI13" s="261">
        <f t="shared" si="33"/>
        <v>4.6322196240640304E-3</v>
      </c>
      <c r="CJ13" s="261">
        <f t="shared" si="34"/>
        <v>5.2936118196245515E-3</v>
      </c>
      <c r="CK13" s="261">
        <f t="shared" si="35"/>
        <v>-2.62020899613848E-4</v>
      </c>
      <c r="CL13" s="261">
        <f t="shared" si="36"/>
        <v>2.0015946921793468E-4</v>
      </c>
      <c r="CM13" s="123" t="e">
        <f t="shared" si="73"/>
        <v>#DIV/0!</v>
      </c>
      <c r="CN13" s="123" t="e">
        <f t="shared" si="74"/>
        <v>#DIV/0!</v>
      </c>
      <c r="CO13" s="123" t="e">
        <f t="shared" si="75"/>
        <v>#DIV/0!</v>
      </c>
      <c r="CP13" s="123" t="e">
        <f t="shared" si="76"/>
        <v>#DIV/0!</v>
      </c>
      <c r="CQ13" s="123" t="e">
        <f t="shared" si="77"/>
        <v>#DIV/0!</v>
      </c>
      <c r="CR13" s="123" t="e">
        <f t="shared" si="78"/>
        <v>#DIV/0!</v>
      </c>
      <c r="CS13" s="123" t="e">
        <f t="shared" si="79"/>
        <v>#DIV/0!</v>
      </c>
      <c r="CT13" s="123" t="e">
        <f t="shared" si="80"/>
        <v>#DIV/0!</v>
      </c>
      <c r="CU13" s="124">
        <f t="shared" si="81"/>
        <v>4.9388614429463438</v>
      </c>
      <c r="CV13" s="173">
        <f t="shared" si="82"/>
        <v>6.3118282122260467</v>
      </c>
      <c r="CW13" s="124">
        <f t="shared" si="83"/>
        <v>0</v>
      </c>
      <c r="CX13" s="171">
        <f t="shared" si="84"/>
        <v>0</v>
      </c>
      <c r="CY13" s="122">
        <f t="shared" si="37"/>
        <v>38</v>
      </c>
      <c r="CZ13" s="231">
        <f t="shared" si="38"/>
        <v>61.774482758620721</v>
      </c>
      <c r="DA13" s="123">
        <f t="shared" si="39"/>
        <v>112.37931034482759</v>
      </c>
      <c r="DB13" s="123">
        <f t="shared" si="40"/>
        <v>113.43103448275862</v>
      </c>
      <c r="DC13" s="123">
        <f t="shared" si="41"/>
        <v>0.18138170498084291</v>
      </c>
      <c r="DD13" s="123">
        <f t="shared" si="42"/>
        <v>160.24062500000002</v>
      </c>
      <c r="DE13" s="123">
        <f t="shared" si="43"/>
        <v>321.22500000000002</v>
      </c>
      <c r="DF13" s="123">
        <f t="shared" si="44"/>
        <v>482.16562499999998</v>
      </c>
      <c r="DG13" s="123">
        <f t="shared" si="45"/>
        <v>600.12241379310342</v>
      </c>
      <c r="DH13" s="123">
        <f t="shared" si="46"/>
        <v>18.147758620689654</v>
      </c>
      <c r="DI13" s="123">
        <f t="shared" si="85"/>
        <v>41.771874999999987</v>
      </c>
      <c r="DJ13" s="123">
        <f t="shared" si="86"/>
        <v>83.715624999999989</v>
      </c>
      <c r="DK13" s="123">
        <f t="shared" si="87"/>
        <v>125.66249999999992</v>
      </c>
      <c r="DL13" s="123">
        <f t="shared" si="88"/>
        <v>156.53620689655173</v>
      </c>
      <c r="DM13" s="123">
        <f t="shared" si="89"/>
        <v>-2.0636206896551719</v>
      </c>
      <c r="DN13" s="123">
        <f t="shared" si="90"/>
        <v>95.224137931034477</v>
      </c>
      <c r="DO13" s="123">
        <f t="shared" si="91"/>
        <v>39.11724137931035</v>
      </c>
      <c r="DP13" s="123">
        <f t="shared" si="92"/>
        <v>73.460344827586226</v>
      </c>
      <c r="DQ13" s="123">
        <f t="shared" si="93"/>
        <v>100.47068965517242</v>
      </c>
      <c r="DR13" s="123">
        <f t="shared" si="94"/>
        <v>120.95172413793104</v>
      </c>
      <c r="DS13" s="123">
        <f t="shared" si="48"/>
        <v>1.3158524904214522E-2</v>
      </c>
      <c r="DT13" s="123">
        <f t="shared" si="49"/>
        <v>29.179310344827595</v>
      </c>
      <c r="DU13" s="261">
        <f t="shared" si="95"/>
        <v>4.9995275888133029E-3</v>
      </c>
      <c r="DV13" s="261">
        <f t="shared" si="96"/>
        <v>4.962915721844291E-3</v>
      </c>
      <c r="DW13" s="261">
        <f t="shared" si="97"/>
        <v>-3.0930715197956654E-5</v>
      </c>
      <c r="DX13" s="123" t="e">
        <f t="shared" si="98"/>
        <v>#DIV/0!</v>
      </c>
      <c r="DY13" s="123" t="e">
        <f t="shared" si="99"/>
        <v>#DIV/0!</v>
      </c>
      <c r="DZ13" s="123" t="e">
        <f t="shared" si="100"/>
        <v>#DIV/0!</v>
      </c>
      <c r="EA13" s="123" t="e">
        <f t="shared" si="101"/>
        <v>#DIV/0!</v>
      </c>
      <c r="EB13" s="176">
        <f t="shared" si="51"/>
        <v>5.6253448275861953</v>
      </c>
      <c r="EC13" s="125">
        <f t="shared" si="52"/>
        <v>0</v>
      </c>
      <c r="ED13" s="179">
        <f t="shared" si="102"/>
        <v>120</v>
      </c>
      <c r="EE13" s="125">
        <f t="shared" si="103"/>
        <v>100</v>
      </c>
      <c r="EF13" s="106"/>
      <c r="EG13" s="106"/>
    </row>
    <row r="14" spans="1:137" ht="11.25" customHeight="1">
      <c r="A14" s="276" t="s">
        <v>182</v>
      </c>
      <c r="B14" s="37">
        <v>41</v>
      </c>
      <c r="C14" s="255">
        <v>61.81</v>
      </c>
      <c r="D14" s="37">
        <v>112</v>
      </c>
      <c r="E14" s="37">
        <v>114</v>
      </c>
      <c r="F14" s="39">
        <v>0.17986111111111111</v>
      </c>
      <c r="G14" s="111">
        <f>220.76+8.86+22.06+35.29+52.94+39.81+61.81+57.45+119.16</f>
        <v>618.14</v>
      </c>
      <c r="H14" s="136">
        <v>161.19999999999999</v>
      </c>
      <c r="I14" s="136">
        <v>323.10000000000002</v>
      </c>
      <c r="J14" s="136">
        <v>485.1</v>
      </c>
      <c r="K14" s="136">
        <v>597</v>
      </c>
      <c r="L14" s="135">
        <f t="shared" si="1"/>
        <v>21.139999999999986</v>
      </c>
      <c r="M14" s="211">
        <f>30.91+123.53</f>
        <v>154.44</v>
      </c>
      <c r="N14" s="135">
        <v>41.8</v>
      </c>
      <c r="O14" s="135">
        <v>83.7</v>
      </c>
      <c r="P14" s="135">
        <v>125.6</v>
      </c>
      <c r="Q14" s="135">
        <v>157.1</v>
      </c>
      <c r="R14" s="136">
        <f t="shared" si="2"/>
        <v>-2.6599999999999966</v>
      </c>
      <c r="S14" s="212">
        <v>97</v>
      </c>
      <c r="T14" s="43">
        <v>39.4</v>
      </c>
      <c r="U14" s="43">
        <v>74</v>
      </c>
      <c r="V14" s="43">
        <v>101.5</v>
      </c>
      <c r="W14" s="43">
        <v>122.6</v>
      </c>
      <c r="X14" s="184">
        <v>0.61736111111111114</v>
      </c>
      <c r="Y14" s="184">
        <v>0.62986111111111109</v>
      </c>
      <c r="Z14" s="184">
        <f t="shared" si="3"/>
        <v>1.2499999999999956E-2</v>
      </c>
      <c r="AA14" s="43">
        <v>29.4</v>
      </c>
      <c r="AB14" s="260">
        <v>5.0578703703703706E-3</v>
      </c>
      <c r="AC14" s="260">
        <v>5.0231481481481481E-3</v>
      </c>
      <c r="AD14" s="260">
        <f t="shared" si="4"/>
        <v>-3.4722222222222446E-5</v>
      </c>
      <c r="AE14" s="48"/>
      <c r="AF14" s="48"/>
      <c r="AG14" s="38"/>
      <c r="AH14" s="65"/>
      <c r="AI14" s="158">
        <v>1354.86</v>
      </c>
      <c r="AJ14" s="158">
        <v>1349.26</v>
      </c>
      <c r="AK14" s="169">
        <f t="shared" si="5"/>
        <v>5.5999999999999091</v>
      </c>
      <c r="AL14" s="191">
        <v>0.6791666666666667</v>
      </c>
      <c r="AM14" s="191">
        <v>0.68402777777777779</v>
      </c>
      <c r="AN14" s="192">
        <f t="shared" si="6"/>
        <v>4.8611111111110938E-3</v>
      </c>
      <c r="AO14" s="148">
        <f t="shared" si="53"/>
        <v>28.089877583208697</v>
      </c>
      <c r="AP14" s="149">
        <f t="shared" si="54"/>
        <v>47.910122416791303</v>
      </c>
      <c r="AQ14" s="149">
        <f t="shared" si="7"/>
        <v>61.691860138971634</v>
      </c>
      <c r="AR14" s="149">
        <f t="shared" si="8"/>
        <v>61.857105378269807</v>
      </c>
      <c r="AS14" s="149">
        <f t="shared" si="9"/>
        <v>109.94095976728137</v>
      </c>
      <c r="AT14" s="149">
        <f t="shared" si="10"/>
        <v>114.8176609223738</v>
      </c>
      <c r="AU14" s="149">
        <f t="shared" si="55"/>
        <v>111.93239626243108</v>
      </c>
      <c r="AV14" s="149">
        <f t="shared" si="56"/>
        <v>114.92967270308615</v>
      </c>
      <c r="AW14" s="149">
        <f t="shared" si="57"/>
        <v>0.17368036968193748</v>
      </c>
      <c r="AX14" s="149">
        <f t="shared" si="58"/>
        <v>0.18908304027974834</v>
      </c>
      <c r="AY14" s="123">
        <f t="shared" si="11"/>
        <v>156.83979641263412</v>
      </c>
      <c r="AZ14" s="123">
        <f t="shared" si="12"/>
        <v>163.64145358736593</v>
      </c>
      <c r="BA14" s="123">
        <f t="shared" si="13"/>
        <v>314.2100390293777</v>
      </c>
      <c r="BB14" s="123">
        <f t="shared" si="14"/>
        <v>328.23996097062235</v>
      </c>
      <c r="BC14" s="123">
        <f t="shared" si="15"/>
        <v>471.56159398390412</v>
      </c>
      <c r="BD14" s="123">
        <f t="shared" si="16"/>
        <v>492.76965601609584</v>
      </c>
      <c r="BE14" s="123">
        <f t="shared" si="17"/>
        <v>588.52671906979549</v>
      </c>
      <c r="BF14" s="123">
        <f t="shared" si="18"/>
        <v>611.71810851641135</v>
      </c>
      <c r="BG14" s="123">
        <f t="shared" si="19"/>
        <v>6.4247474531250646</v>
      </c>
      <c r="BH14" s="123">
        <f t="shared" si="20"/>
        <v>29.870769788254243</v>
      </c>
      <c r="BI14" s="123">
        <f t="shared" si="21"/>
        <v>41.634833977180243</v>
      </c>
      <c r="BJ14" s="123">
        <f t="shared" si="22"/>
        <v>41.908916022819731</v>
      </c>
      <c r="BK14" s="123">
        <f t="shared" si="23"/>
        <v>83.527280129290489</v>
      </c>
      <c r="BL14" s="123">
        <f t="shared" si="24"/>
        <v>83.903969870709489</v>
      </c>
      <c r="BM14" s="123">
        <f t="shared" si="25"/>
        <v>125.49642578417671</v>
      </c>
      <c r="BN14" s="123">
        <f t="shared" si="26"/>
        <v>125.82857421582314</v>
      </c>
      <c r="BO14" s="123">
        <f t="shared" si="27"/>
        <v>155.1049414176334</v>
      </c>
      <c r="BP14" s="123">
        <f t="shared" si="28"/>
        <v>157.96747237547007</v>
      </c>
      <c r="BQ14" s="123">
        <f t="shared" si="29"/>
        <v>-3.4739700111749907</v>
      </c>
      <c r="BR14" s="123">
        <f t="shared" si="30"/>
        <v>-0.65327136813535303</v>
      </c>
      <c r="BS14" s="123">
        <f t="shared" si="59"/>
        <v>56.437095452304185</v>
      </c>
      <c r="BT14" s="123">
        <f t="shared" si="60"/>
        <v>134.01118040976476</v>
      </c>
      <c r="BU14" s="123">
        <f t="shared" si="61"/>
        <v>35.424087856897714</v>
      </c>
      <c r="BV14" s="123">
        <f t="shared" si="62"/>
        <v>42.810394901722987</v>
      </c>
      <c r="BW14" s="123">
        <f t="shared" si="63"/>
        <v>68.667936470774464</v>
      </c>
      <c r="BX14" s="123">
        <f t="shared" si="64"/>
        <v>78.252753184397989</v>
      </c>
      <c r="BY14" s="123">
        <f t="shared" si="65"/>
        <v>94.547228197183259</v>
      </c>
      <c r="BZ14" s="123">
        <f t="shared" si="66"/>
        <v>106.39415111316158</v>
      </c>
      <c r="CA14" s="123">
        <f t="shared" si="67"/>
        <v>114.2973449594912</v>
      </c>
      <c r="CB14" s="123">
        <f t="shared" si="68"/>
        <v>127.60610331637088</v>
      </c>
      <c r="CC14" s="123">
        <f t="shared" si="69"/>
        <v>1.1625982470516784E-2</v>
      </c>
      <c r="CD14" s="123">
        <f t="shared" si="70"/>
        <v>1.4691067337912261E-2</v>
      </c>
      <c r="CE14" s="123">
        <f t="shared" si="71"/>
        <v>28.696690452912026</v>
      </c>
      <c r="CF14" s="123">
        <f t="shared" si="72"/>
        <v>29.661930236743164</v>
      </c>
      <c r="CG14" s="261">
        <f t="shared" si="31"/>
        <v>4.6579973341037062E-3</v>
      </c>
      <c r="CH14" s="261">
        <f t="shared" si="32"/>
        <v>5.3410578435228997E-3</v>
      </c>
      <c r="CI14" s="261">
        <f t="shared" si="33"/>
        <v>4.6322196240640304E-3</v>
      </c>
      <c r="CJ14" s="261">
        <f t="shared" si="34"/>
        <v>5.2936118196245515E-3</v>
      </c>
      <c r="CK14" s="261">
        <f t="shared" si="35"/>
        <v>-2.62020899613848E-4</v>
      </c>
      <c r="CL14" s="261">
        <f t="shared" si="36"/>
        <v>2.0015946921793468E-4</v>
      </c>
      <c r="CM14" s="123" t="e">
        <f t="shared" si="73"/>
        <v>#DIV/0!</v>
      </c>
      <c r="CN14" s="123" t="e">
        <f t="shared" si="74"/>
        <v>#DIV/0!</v>
      </c>
      <c r="CO14" s="123" t="e">
        <f t="shared" si="75"/>
        <v>#DIV/0!</v>
      </c>
      <c r="CP14" s="123" t="e">
        <f t="shared" si="76"/>
        <v>#DIV/0!</v>
      </c>
      <c r="CQ14" s="123" t="e">
        <f t="shared" si="77"/>
        <v>#DIV/0!</v>
      </c>
      <c r="CR14" s="123" t="e">
        <f t="shared" si="78"/>
        <v>#DIV/0!</v>
      </c>
      <c r="CS14" s="123" t="e">
        <f t="shared" si="79"/>
        <v>#DIV/0!</v>
      </c>
      <c r="CT14" s="123" t="e">
        <f t="shared" si="80"/>
        <v>#DIV/0!</v>
      </c>
      <c r="CU14" s="124">
        <f t="shared" si="81"/>
        <v>4.9388614429463438</v>
      </c>
      <c r="CV14" s="173">
        <f t="shared" si="82"/>
        <v>6.3118282122260467</v>
      </c>
      <c r="CW14" s="124">
        <f t="shared" si="83"/>
        <v>0</v>
      </c>
      <c r="CX14" s="171">
        <f t="shared" si="84"/>
        <v>0</v>
      </c>
      <c r="CY14" s="122">
        <f t="shared" si="37"/>
        <v>38</v>
      </c>
      <c r="CZ14" s="231">
        <f t="shared" si="38"/>
        <v>61.774482758620721</v>
      </c>
      <c r="DA14" s="123">
        <f t="shared" si="39"/>
        <v>112.37931034482759</v>
      </c>
      <c r="DB14" s="123">
        <f t="shared" si="40"/>
        <v>113.43103448275862</v>
      </c>
      <c r="DC14" s="123">
        <f t="shared" si="41"/>
        <v>0.18138170498084291</v>
      </c>
      <c r="DD14" s="123">
        <f t="shared" si="42"/>
        <v>160.24062500000002</v>
      </c>
      <c r="DE14" s="123">
        <f t="shared" si="43"/>
        <v>321.22500000000002</v>
      </c>
      <c r="DF14" s="123">
        <f t="shared" si="44"/>
        <v>482.16562499999998</v>
      </c>
      <c r="DG14" s="123">
        <f t="shared" si="45"/>
        <v>600.12241379310342</v>
      </c>
      <c r="DH14" s="123">
        <f t="shared" si="46"/>
        <v>18.147758620689654</v>
      </c>
      <c r="DI14" s="123">
        <f t="shared" si="85"/>
        <v>41.771874999999987</v>
      </c>
      <c r="DJ14" s="123">
        <f t="shared" si="86"/>
        <v>83.715624999999989</v>
      </c>
      <c r="DK14" s="123">
        <f t="shared" si="87"/>
        <v>125.66249999999992</v>
      </c>
      <c r="DL14" s="123">
        <f t="shared" si="88"/>
        <v>156.53620689655173</v>
      </c>
      <c r="DM14" s="123">
        <f t="shared" si="89"/>
        <v>-2.0636206896551719</v>
      </c>
      <c r="DN14" s="123">
        <f t="shared" si="90"/>
        <v>95.224137931034477</v>
      </c>
      <c r="DO14" s="123">
        <f t="shared" si="91"/>
        <v>39.11724137931035</v>
      </c>
      <c r="DP14" s="123">
        <f t="shared" si="92"/>
        <v>73.460344827586226</v>
      </c>
      <c r="DQ14" s="123">
        <f t="shared" si="93"/>
        <v>100.47068965517242</v>
      </c>
      <c r="DR14" s="123">
        <f t="shared" si="94"/>
        <v>120.95172413793104</v>
      </c>
      <c r="DS14" s="123">
        <f t="shared" si="48"/>
        <v>1.3158524904214522E-2</v>
      </c>
      <c r="DT14" s="123">
        <f t="shared" si="49"/>
        <v>29.179310344827595</v>
      </c>
      <c r="DU14" s="261">
        <f t="shared" si="95"/>
        <v>4.9995275888133029E-3</v>
      </c>
      <c r="DV14" s="261">
        <f t="shared" si="96"/>
        <v>4.962915721844291E-3</v>
      </c>
      <c r="DW14" s="261">
        <f t="shared" si="97"/>
        <v>-3.0930715197956654E-5</v>
      </c>
      <c r="DX14" s="123" t="e">
        <f t="shared" si="98"/>
        <v>#DIV/0!</v>
      </c>
      <c r="DY14" s="123" t="e">
        <f t="shared" si="99"/>
        <v>#DIV/0!</v>
      </c>
      <c r="DZ14" s="123" t="e">
        <f t="shared" si="100"/>
        <v>#DIV/0!</v>
      </c>
      <c r="EA14" s="123" t="e">
        <f t="shared" si="101"/>
        <v>#DIV/0!</v>
      </c>
      <c r="EB14" s="176">
        <f t="shared" si="51"/>
        <v>5.6253448275861953</v>
      </c>
      <c r="EC14" s="125">
        <f t="shared" si="52"/>
        <v>0</v>
      </c>
      <c r="ED14" s="179">
        <f t="shared" si="102"/>
        <v>120</v>
      </c>
      <c r="EE14" s="125">
        <f t="shared" si="103"/>
        <v>100</v>
      </c>
      <c r="EF14" s="106"/>
      <c r="EG14" s="106"/>
    </row>
    <row r="15" spans="1:137" ht="11.25" customHeight="1">
      <c r="A15" s="276" t="s">
        <v>183</v>
      </c>
      <c r="B15" s="37">
        <v>38</v>
      </c>
      <c r="C15" s="255">
        <v>61.78</v>
      </c>
      <c r="D15" s="37">
        <v>111</v>
      </c>
      <c r="E15" s="37">
        <v>114</v>
      </c>
      <c r="F15" s="39">
        <v>0.18263888888888891</v>
      </c>
      <c r="G15" s="113">
        <f>220.9+8.87+22.06+35.35+52.89+39.66+61.78+57.47+119.18</f>
        <v>618.16000000000008</v>
      </c>
      <c r="H15" s="135">
        <v>161.1</v>
      </c>
      <c r="I15" s="135">
        <v>323</v>
      </c>
      <c r="J15" s="135">
        <v>484.9</v>
      </c>
      <c r="K15" s="135">
        <v>592.1</v>
      </c>
      <c r="L15" s="135">
        <f t="shared" si="1"/>
        <v>26.060000000000059</v>
      </c>
      <c r="M15" s="211">
        <f>123.54+30.83</f>
        <v>154.37</v>
      </c>
      <c r="N15" s="135">
        <v>41.7</v>
      </c>
      <c r="O15" s="135">
        <v>83.7</v>
      </c>
      <c r="P15" s="135">
        <v>125.6</v>
      </c>
      <c r="Q15" s="135">
        <v>157.1</v>
      </c>
      <c r="R15" s="136">
        <f t="shared" si="2"/>
        <v>-2.7299999999999898</v>
      </c>
      <c r="S15" s="212">
        <v>97</v>
      </c>
      <c r="T15" s="43">
        <v>40.200000000000003</v>
      </c>
      <c r="U15" s="43">
        <v>73.8</v>
      </c>
      <c r="V15" s="43">
        <v>99.6</v>
      </c>
      <c r="W15" s="43">
        <v>120.1</v>
      </c>
      <c r="X15" s="184">
        <v>0.62013888888888891</v>
      </c>
      <c r="Y15" s="184">
        <v>0.6333333333333333</v>
      </c>
      <c r="Z15" s="184">
        <f t="shared" si="3"/>
        <v>1.3194444444444398E-2</v>
      </c>
      <c r="AA15" s="43">
        <v>29.1</v>
      </c>
      <c r="AB15" s="260">
        <v>5.1273148148148146E-3</v>
      </c>
      <c r="AC15" s="260">
        <v>5.1041666666666666E-3</v>
      </c>
      <c r="AD15" s="260">
        <f t="shared" si="4"/>
        <v>-2.3148148148148008E-5</v>
      </c>
      <c r="AE15" s="48"/>
      <c r="AF15" s="48"/>
      <c r="AG15" s="38"/>
      <c r="AH15" s="65"/>
      <c r="AI15" s="158">
        <v>1354.84</v>
      </c>
      <c r="AJ15" s="158">
        <v>1349.45</v>
      </c>
      <c r="AK15" s="169">
        <f t="shared" si="5"/>
        <v>5.3899999999998727</v>
      </c>
      <c r="AL15" s="191">
        <v>0.68055555555555547</v>
      </c>
      <c r="AM15" s="191">
        <v>0.6875</v>
      </c>
      <c r="AN15" s="192">
        <f t="shared" si="6"/>
        <v>6.9444444444445308E-3</v>
      </c>
      <c r="AO15" s="148">
        <f t="shared" si="53"/>
        <v>28.089877583208697</v>
      </c>
      <c r="AP15" s="149">
        <f t="shared" si="54"/>
        <v>47.910122416791303</v>
      </c>
      <c r="AQ15" s="149">
        <f t="shared" si="7"/>
        <v>61.691860138971634</v>
      </c>
      <c r="AR15" s="149">
        <f t="shared" si="8"/>
        <v>61.857105378269807</v>
      </c>
      <c r="AS15" s="149">
        <f t="shared" si="9"/>
        <v>109.94095976728137</v>
      </c>
      <c r="AT15" s="149">
        <f t="shared" si="10"/>
        <v>114.8176609223738</v>
      </c>
      <c r="AU15" s="149">
        <f t="shared" si="55"/>
        <v>111.93239626243108</v>
      </c>
      <c r="AV15" s="149">
        <f t="shared" si="56"/>
        <v>114.92967270308615</v>
      </c>
      <c r="AW15" s="149">
        <f t="shared" si="57"/>
        <v>0.17368036968193748</v>
      </c>
      <c r="AX15" s="149">
        <f t="shared" si="58"/>
        <v>0.18908304027974834</v>
      </c>
      <c r="AY15" s="123">
        <f t="shared" si="11"/>
        <v>156.83979641263412</v>
      </c>
      <c r="AZ15" s="123">
        <f t="shared" si="12"/>
        <v>163.64145358736593</v>
      </c>
      <c r="BA15" s="123">
        <f t="shared" si="13"/>
        <v>314.2100390293777</v>
      </c>
      <c r="BB15" s="123">
        <f t="shared" si="14"/>
        <v>328.23996097062235</v>
      </c>
      <c r="BC15" s="123">
        <f t="shared" si="15"/>
        <v>471.56159398390412</v>
      </c>
      <c r="BD15" s="123">
        <f t="shared" si="16"/>
        <v>492.76965601609584</v>
      </c>
      <c r="BE15" s="123">
        <f t="shared" si="17"/>
        <v>588.52671906979549</v>
      </c>
      <c r="BF15" s="123">
        <f t="shared" si="18"/>
        <v>611.71810851641135</v>
      </c>
      <c r="BG15" s="123">
        <f t="shared" si="19"/>
        <v>6.4247474531250646</v>
      </c>
      <c r="BH15" s="123">
        <f t="shared" si="20"/>
        <v>29.870769788254243</v>
      </c>
      <c r="BI15" s="123">
        <f t="shared" si="21"/>
        <v>41.634833977180243</v>
      </c>
      <c r="BJ15" s="123">
        <f t="shared" si="22"/>
        <v>41.908916022819731</v>
      </c>
      <c r="BK15" s="123">
        <f t="shared" si="23"/>
        <v>83.527280129290489</v>
      </c>
      <c r="BL15" s="123">
        <f t="shared" si="24"/>
        <v>83.903969870709489</v>
      </c>
      <c r="BM15" s="123">
        <f t="shared" si="25"/>
        <v>125.49642578417671</v>
      </c>
      <c r="BN15" s="123">
        <f t="shared" si="26"/>
        <v>125.82857421582314</v>
      </c>
      <c r="BO15" s="123">
        <f t="shared" si="27"/>
        <v>155.1049414176334</v>
      </c>
      <c r="BP15" s="123">
        <f t="shared" si="28"/>
        <v>157.96747237547007</v>
      </c>
      <c r="BQ15" s="123">
        <f t="shared" si="29"/>
        <v>-3.4739700111749907</v>
      </c>
      <c r="BR15" s="123">
        <f t="shared" si="30"/>
        <v>-0.65327136813535303</v>
      </c>
      <c r="BS15" s="123">
        <f t="shared" si="59"/>
        <v>56.437095452304185</v>
      </c>
      <c r="BT15" s="123">
        <f t="shared" si="60"/>
        <v>134.01118040976476</v>
      </c>
      <c r="BU15" s="123">
        <f t="shared" si="61"/>
        <v>35.424087856897714</v>
      </c>
      <c r="BV15" s="123">
        <f t="shared" si="62"/>
        <v>42.810394901722987</v>
      </c>
      <c r="BW15" s="123">
        <f t="shared" si="63"/>
        <v>68.667936470774464</v>
      </c>
      <c r="BX15" s="123">
        <f t="shared" si="64"/>
        <v>78.252753184397989</v>
      </c>
      <c r="BY15" s="123">
        <f t="shared" si="65"/>
        <v>94.547228197183259</v>
      </c>
      <c r="BZ15" s="123">
        <f t="shared" si="66"/>
        <v>106.39415111316158</v>
      </c>
      <c r="CA15" s="123">
        <f t="shared" si="67"/>
        <v>114.2973449594912</v>
      </c>
      <c r="CB15" s="123">
        <f t="shared" si="68"/>
        <v>127.60610331637088</v>
      </c>
      <c r="CC15" s="123">
        <f t="shared" si="69"/>
        <v>1.1625982470516784E-2</v>
      </c>
      <c r="CD15" s="123">
        <f t="shared" si="70"/>
        <v>1.4691067337912261E-2</v>
      </c>
      <c r="CE15" s="123">
        <f t="shared" si="71"/>
        <v>28.696690452912026</v>
      </c>
      <c r="CF15" s="123">
        <f t="shared" si="72"/>
        <v>29.661930236743164</v>
      </c>
      <c r="CG15" s="261">
        <f t="shared" si="31"/>
        <v>4.6579973341037062E-3</v>
      </c>
      <c r="CH15" s="261">
        <f t="shared" si="32"/>
        <v>5.3410578435228997E-3</v>
      </c>
      <c r="CI15" s="261">
        <f t="shared" si="33"/>
        <v>4.6322196240640304E-3</v>
      </c>
      <c r="CJ15" s="261">
        <f t="shared" si="34"/>
        <v>5.2936118196245515E-3</v>
      </c>
      <c r="CK15" s="261">
        <f t="shared" si="35"/>
        <v>-2.62020899613848E-4</v>
      </c>
      <c r="CL15" s="261">
        <f t="shared" si="36"/>
        <v>2.0015946921793468E-4</v>
      </c>
      <c r="CM15" s="123" t="e">
        <f t="shared" si="73"/>
        <v>#DIV/0!</v>
      </c>
      <c r="CN15" s="123" t="e">
        <f t="shared" si="74"/>
        <v>#DIV/0!</v>
      </c>
      <c r="CO15" s="123" t="e">
        <f t="shared" si="75"/>
        <v>#DIV/0!</v>
      </c>
      <c r="CP15" s="123" t="e">
        <f t="shared" si="76"/>
        <v>#DIV/0!</v>
      </c>
      <c r="CQ15" s="123" t="e">
        <f t="shared" si="77"/>
        <v>#DIV/0!</v>
      </c>
      <c r="CR15" s="123" t="e">
        <f t="shared" si="78"/>
        <v>#DIV/0!</v>
      </c>
      <c r="CS15" s="123" t="e">
        <f t="shared" si="79"/>
        <v>#DIV/0!</v>
      </c>
      <c r="CT15" s="123" t="e">
        <f t="shared" si="80"/>
        <v>#DIV/0!</v>
      </c>
      <c r="CU15" s="124">
        <f t="shared" si="81"/>
        <v>4.9388614429463438</v>
      </c>
      <c r="CV15" s="173">
        <f t="shared" si="82"/>
        <v>6.3118282122260467</v>
      </c>
      <c r="CW15" s="124">
        <f t="shared" si="83"/>
        <v>0</v>
      </c>
      <c r="CX15" s="171">
        <f t="shared" si="84"/>
        <v>0</v>
      </c>
      <c r="CY15" s="122">
        <f t="shared" si="37"/>
        <v>38</v>
      </c>
      <c r="CZ15" s="231">
        <f t="shared" si="38"/>
        <v>61.774482758620721</v>
      </c>
      <c r="DA15" s="123">
        <f t="shared" si="39"/>
        <v>112.37931034482759</v>
      </c>
      <c r="DB15" s="123">
        <f t="shared" si="40"/>
        <v>113.43103448275862</v>
      </c>
      <c r="DC15" s="123">
        <f t="shared" si="41"/>
        <v>0.18138170498084291</v>
      </c>
      <c r="DD15" s="123">
        <f t="shared" si="42"/>
        <v>160.24062500000002</v>
      </c>
      <c r="DE15" s="123">
        <f t="shared" si="43"/>
        <v>321.22500000000002</v>
      </c>
      <c r="DF15" s="123">
        <f t="shared" si="44"/>
        <v>482.16562499999998</v>
      </c>
      <c r="DG15" s="123">
        <f t="shared" si="45"/>
        <v>600.12241379310342</v>
      </c>
      <c r="DH15" s="123">
        <f t="shared" si="46"/>
        <v>18.147758620689654</v>
      </c>
      <c r="DI15" s="123">
        <f t="shared" si="85"/>
        <v>41.771874999999987</v>
      </c>
      <c r="DJ15" s="123">
        <f t="shared" si="86"/>
        <v>83.715624999999989</v>
      </c>
      <c r="DK15" s="123">
        <f t="shared" si="87"/>
        <v>125.66249999999992</v>
      </c>
      <c r="DL15" s="123">
        <f t="shared" si="88"/>
        <v>156.53620689655173</v>
      </c>
      <c r="DM15" s="123">
        <f t="shared" si="89"/>
        <v>-2.0636206896551719</v>
      </c>
      <c r="DN15" s="123">
        <f t="shared" si="90"/>
        <v>95.224137931034477</v>
      </c>
      <c r="DO15" s="123">
        <f t="shared" si="91"/>
        <v>39.11724137931035</v>
      </c>
      <c r="DP15" s="123">
        <f t="shared" si="92"/>
        <v>73.460344827586226</v>
      </c>
      <c r="DQ15" s="123">
        <f t="shared" si="93"/>
        <v>100.47068965517242</v>
      </c>
      <c r="DR15" s="123">
        <f t="shared" si="94"/>
        <v>120.95172413793104</v>
      </c>
      <c r="DS15" s="123">
        <f t="shared" si="48"/>
        <v>1.3158524904214522E-2</v>
      </c>
      <c r="DT15" s="123">
        <f t="shared" si="49"/>
        <v>29.179310344827595</v>
      </c>
      <c r="DU15" s="261">
        <f t="shared" si="95"/>
        <v>4.9995275888133029E-3</v>
      </c>
      <c r="DV15" s="261">
        <f t="shared" si="96"/>
        <v>4.962915721844291E-3</v>
      </c>
      <c r="DW15" s="261">
        <f t="shared" si="97"/>
        <v>-3.0930715197956654E-5</v>
      </c>
      <c r="DX15" s="123" t="e">
        <f t="shared" si="98"/>
        <v>#DIV/0!</v>
      </c>
      <c r="DY15" s="123" t="e">
        <f t="shared" si="99"/>
        <v>#DIV/0!</v>
      </c>
      <c r="DZ15" s="123" t="e">
        <f t="shared" si="100"/>
        <v>#DIV/0!</v>
      </c>
      <c r="EA15" s="123" t="e">
        <f t="shared" si="101"/>
        <v>#DIV/0!</v>
      </c>
      <c r="EB15" s="176">
        <f t="shared" si="51"/>
        <v>5.6253448275861953</v>
      </c>
      <c r="EC15" s="125">
        <f t="shared" si="52"/>
        <v>0</v>
      </c>
      <c r="ED15" s="179">
        <f t="shared" si="102"/>
        <v>120</v>
      </c>
      <c r="EE15" s="125">
        <f t="shared" si="103"/>
        <v>100</v>
      </c>
      <c r="EF15" s="106"/>
      <c r="EG15" s="106"/>
    </row>
    <row r="16" spans="1:137" ht="11.25" customHeight="1">
      <c r="A16" s="276" t="s">
        <v>184</v>
      </c>
      <c r="B16" s="37">
        <v>34</v>
      </c>
      <c r="C16" s="255">
        <v>61.82</v>
      </c>
      <c r="D16" s="37">
        <v>113</v>
      </c>
      <c r="E16" s="37">
        <v>114</v>
      </c>
      <c r="F16" s="83">
        <v>0.18402777777777779</v>
      </c>
      <c r="G16" s="113">
        <f>220.88+8.87+22.09+35.31+52.96+39.68+61.82+57.48+119.24</f>
        <v>618.32999999999993</v>
      </c>
      <c r="H16" s="135">
        <v>160.80000000000001</v>
      </c>
      <c r="I16" s="135">
        <v>322.7</v>
      </c>
      <c r="J16" s="135">
        <v>484.6</v>
      </c>
      <c r="K16" s="135">
        <v>604.29999999999995</v>
      </c>
      <c r="L16" s="135">
        <f t="shared" si="1"/>
        <v>14.029999999999973</v>
      </c>
      <c r="M16" s="211">
        <f>30.85+123.52</f>
        <v>154.37</v>
      </c>
      <c r="N16" s="135">
        <v>41.8</v>
      </c>
      <c r="O16" s="135">
        <v>83.7</v>
      </c>
      <c r="P16" s="135">
        <v>125.6</v>
      </c>
      <c r="Q16" s="135">
        <v>157.30000000000001</v>
      </c>
      <c r="R16" s="136">
        <f t="shared" si="2"/>
        <v>-2.9300000000000068</v>
      </c>
      <c r="S16" s="212">
        <v>99</v>
      </c>
      <c r="T16" s="84">
        <v>38</v>
      </c>
      <c r="U16" s="84">
        <v>71.7</v>
      </c>
      <c r="V16" s="84">
        <v>98.1</v>
      </c>
      <c r="W16" s="84">
        <v>118.7</v>
      </c>
      <c r="X16" s="185">
        <v>0.62152777777777779</v>
      </c>
      <c r="Y16" s="185">
        <v>0.63402777777777775</v>
      </c>
      <c r="Z16" s="184">
        <f t="shared" si="3"/>
        <v>1.2499999999999956E-2</v>
      </c>
      <c r="AA16" s="84">
        <v>29.1</v>
      </c>
      <c r="AB16" s="260">
        <v>5.1273148148148146E-3</v>
      </c>
      <c r="AC16" s="260">
        <v>4.9537037037037041E-3</v>
      </c>
      <c r="AD16" s="260">
        <f t="shared" si="4"/>
        <v>-1.7361111111111049E-4</v>
      </c>
      <c r="AE16" s="69"/>
      <c r="AF16" s="69"/>
      <c r="AG16" s="66"/>
      <c r="AH16" s="50"/>
      <c r="AI16" s="158">
        <v>1354.96</v>
      </c>
      <c r="AJ16" s="158">
        <v>1349.66</v>
      </c>
      <c r="AK16" s="169">
        <f t="shared" ref="AK16:AK37" si="104">AI16-AJ16</f>
        <v>5.2999999999999545</v>
      </c>
      <c r="AL16" s="191">
        <v>0.68125000000000002</v>
      </c>
      <c r="AM16" s="191">
        <v>0.6875</v>
      </c>
      <c r="AN16" s="192">
        <f t="shared" ref="AN16:AN37" si="105">AM16-AL16</f>
        <v>6.2499999999999778E-3</v>
      </c>
      <c r="AO16" s="148">
        <f t="shared" si="53"/>
        <v>28.089877583208697</v>
      </c>
      <c r="AP16" s="149">
        <f t="shared" si="54"/>
        <v>47.910122416791303</v>
      </c>
      <c r="AQ16" s="149">
        <f t="shared" si="7"/>
        <v>61.691860138971634</v>
      </c>
      <c r="AR16" s="149">
        <f t="shared" si="8"/>
        <v>61.857105378269807</v>
      </c>
      <c r="AS16" s="149">
        <f t="shared" si="9"/>
        <v>109.94095976728137</v>
      </c>
      <c r="AT16" s="149">
        <f t="shared" si="10"/>
        <v>114.8176609223738</v>
      </c>
      <c r="AU16" s="149">
        <f t="shared" si="55"/>
        <v>111.93239626243108</v>
      </c>
      <c r="AV16" s="149">
        <f t="shared" si="56"/>
        <v>114.92967270308615</v>
      </c>
      <c r="AW16" s="149">
        <f t="shared" si="57"/>
        <v>0.17368036968193748</v>
      </c>
      <c r="AX16" s="149">
        <f t="shared" si="58"/>
        <v>0.18908304027974834</v>
      </c>
      <c r="AY16" s="123">
        <f t="shared" si="11"/>
        <v>156.83979641263412</v>
      </c>
      <c r="AZ16" s="123">
        <f t="shared" si="12"/>
        <v>163.64145358736593</v>
      </c>
      <c r="BA16" s="123">
        <f t="shared" si="13"/>
        <v>314.2100390293777</v>
      </c>
      <c r="BB16" s="123">
        <f t="shared" si="14"/>
        <v>328.23996097062235</v>
      </c>
      <c r="BC16" s="123">
        <f t="shared" si="15"/>
        <v>471.56159398390412</v>
      </c>
      <c r="BD16" s="123">
        <f t="shared" si="16"/>
        <v>492.76965601609584</v>
      </c>
      <c r="BE16" s="123">
        <f t="shared" si="17"/>
        <v>588.52671906979549</v>
      </c>
      <c r="BF16" s="123">
        <f t="shared" si="18"/>
        <v>611.71810851641135</v>
      </c>
      <c r="BG16" s="123">
        <f t="shared" si="19"/>
        <v>6.4247474531250646</v>
      </c>
      <c r="BH16" s="123">
        <f t="shared" si="20"/>
        <v>29.870769788254243</v>
      </c>
      <c r="BI16" s="123">
        <f t="shared" si="21"/>
        <v>41.634833977180243</v>
      </c>
      <c r="BJ16" s="123">
        <f t="shared" si="22"/>
        <v>41.908916022819731</v>
      </c>
      <c r="BK16" s="123">
        <f t="shared" si="23"/>
        <v>83.527280129290489</v>
      </c>
      <c r="BL16" s="123">
        <f t="shared" si="24"/>
        <v>83.903969870709489</v>
      </c>
      <c r="BM16" s="123">
        <f t="shared" si="25"/>
        <v>125.49642578417671</v>
      </c>
      <c r="BN16" s="123">
        <f t="shared" si="26"/>
        <v>125.82857421582314</v>
      </c>
      <c r="BO16" s="123">
        <f t="shared" si="27"/>
        <v>155.1049414176334</v>
      </c>
      <c r="BP16" s="123">
        <f t="shared" si="28"/>
        <v>157.96747237547007</v>
      </c>
      <c r="BQ16" s="123">
        <f t="shared" si="29"/>
        <v>-3.4739700111749907</v>
      </c>
      <c r="BR16" s="123">
        <f t="shared" si="30"/>
        <v>-0.65327136813535303</v>
      </c>
      <c r="BS16" s="123">
        <f t="shared" si="59"/>
        <v>56.437095452304185</v>
      </c>
      <c r="BT16" s="123">
        <f t="shared" si="60"/>
        <v>134.01118040976476</v>
      </c>
      <c r="BU16" s="123">
        <f t="shared" si="61"/>
        <v>35.424087856897714</v>
      </c>
      <c r="BV16" s="123">
        <f t="shared" si="62"/>
        <v>42.810394901722987</v>
      </c>
      <c r="BW16" s="123">
        <f t="shared" si="63"/>
        <v>68.667936470774464</v>
      </c>
      <c r="BX16" s="123">
        <f t="shared" si="64"/>
        <v>78.252753184397989</v>
      </c>
      <c r="BY16" s="123">
        <f t="shared" si="65"/>
        <v>94.547228197183259</v>
      </c>
      <c r="BZ16" s="123">
        <f t="shared" si="66"/>
        <v>106.39415111316158</v>
      </c>
      <c r="CA16" s="123">
        <f t="shared" si="67"/>
        <v>114.2973449594912</v>
      </c>
      <c r="CB16" s="123">
        <f t="shared" si="68"/>
        <v>127.60610331637088</v>
      </c>
      <c r="CC16" s="123">
        <f t="shared" si="69"/>
        <v>1.1625982470516784E-2</v>
      </c>
      <c r="CD16" s="123">
        <f t="shared" si="70"/>
        <v>1.4691067337912261E-2</v>
      </c>
      <c r="CE16" s="123">
        <f t="shared" si="71"/>
        <v>28.696690452912026</v>
      </c>
      <c r="CF16" s="123">
        <f t="shared" si="72"/>
        <v>29.661930236743164</v>
      </c>
      <c r="CG16" s="261">
        <f t="shared" si="31"/>
        <v>4.6579973341037062E-3</v>
      </c>
      <c r="CH16" s="261">
        <f t="shared" si="32"/>
        <v>5.3410578435228997E-3</v>
      </c>
      <c r="CI16" s="261">
        <f t="shared" si="33"/>
        <v>4.6322196240640304E-3</v>
      </c>
      <c r="CJ16" s="261">
        <f t="shared" si="34"/>
        <v>5.2936118196245515E-3</v>
      </c>
      <c r="CK16" s="261">
        <f t="shared" si="35"/>
        <v>-2.62020899613848E-4</v>
      </c>
      <c r="CL16" s="261">
        <f t="shared" si="36"/>
        <v>2.0015946921793468E-4</v>
      </c>
      <c r="CM16" s="123" t="e">
        <f t="shared" si="73"/>
        <v>#DIV/0!</v>
      </c>
      <c r="CN16" s="123" t="e">
        <f t="shared" si="74"/>
        <v>#DIV/0!</v>
      </c>
      <c r="CO16" s="123" t="e">
        <f t="shared" si="75"/>
        <v>#DIV/0!</v>
      </c>
      <c r="CP16" s="123" t="e">
        <f t="shared" si="76"/>
        <v>#DIV/0!</v>
      </c>
      <c r="CQ16" s="123" t="e">
        <f t="shared" si="77"/>
        <v>#DIV/0!</v>
      </c>
      <c r="CR16" s="123" t="e">
        <f t="shared" si="78"/>
        <v>#DIV/0!</v>
      </c>
      <c r="CS16" s="123" t="e">
        <f t="shared" si="79"/>
        <v>#DIV/0!</v>
      </c>
      <c r="CT16" s="123" t="e">
        <f t="shared" si="80"/>
        <v>#DIV/0!</v>
      </c>
      <c r="CU16" s="124">
        <f t="shared" si="81"/>
        <v>4.9388614429463438</v>
      </c>
      <c r="CV16" s="173">
        <f t="shared" si="82"/>
        <v>6.3118282122260467</v>
      </c>
      <c r="CW16" s="124">
        <f t="shared" si="83"/>
        <v>0</v>
      </c>
      <c r="CX16" s="171">
        <f t="shared" si="84"/>
        <v>0</v>
      </c>
      <c r="CY16" s="122">
        <f t="shared" si="37"/>
        <v>38</v>
      </c>
      <c r="CZ16" s="231">
        <f t="shared" si="38"/>
        <v>61.774482758620721</v>
      </c>
      <c r="DA16" s="123">
        <f t="shared" si="39"/>
        <v>112.37931034482759</v>
      </c>
      <c r="DB16" s="123">
        <f t="shared" si="40"/>
        <v>113.43103448275862</v>
      </c>
      <c r="DC16" s="123">
        <f t="shared" si="41"/>
        <v>0.18138170498084291</v>
      </c>
      <c r="DD16" s="123">
        <f t="shared" si="42"/>
        <v>160.24062500000002</v>
      </c>
      <c r="DE16" s="123">
        <f t="shared" si="43"/>
        <v>321.22500000000002</v>
      </c>
      <c r="DF16" s="123">
        <f t="shared" si="44"/>
        <v>482.16562499999998</v>
      </c>
      <c r="DG16" s="123">
        <f t="shared" si="45"/>
        <v>600.12241379310342</v>
      </c>
      <c r="DH16" s="123">
        <f t="shared" si="46"/>
        <v>18.147758620689654</v>
      </c>
      <c r="DI16" s="123">
        <f t="shared" si="85"/>
        <v>41.771874999999987</v>
      </c>
      <c r="DJ16" s="123">
        <f t="shared" si="86"/>
        <v>83.715624999999989</v>
      </c>
      <c r="DK16" s="123">
        <f t="shared" si="87"/>
        <v>125.66249999999992</v>
      </c>
      <c r="DL16" s="123">
        <f t="shared" si="88"/>
        <v>156.53620689655173</v>
      </c>
      <c r="DM16" s="123">
        <f t="shared" si="89"/>
        <v>-2.0636206896551719</v>
      </c>
      <c r="DN16" s="123">
        <f t="shared" si="90"/>
        <v>95.224137931034477</v>
      </c>
      <c r="DO16" s="123">
        <f t="shared" si="91"/>
        <v>39.11724137931035</v>
      </c>
      <c r="DP16" s="123">
        <f t="shared" si="92"/>
        <v>73.460344827586226</v>
      </c>
      <c r="DQ16" s="123">
        <f t="shared" si="93"/>
        <v>100.47068965517242</v>
      </c>
      <c r="DR16" s="123">
        <f t="shared" si="94"/>
        <v>120.95172413793104</v>
      </c>
      <c r="DS16" s="123">
        <f t="shared" si="48"/>
        <v>1.3158524904214522E-2</v>
      </c>
      <c r="DT16" s="123">
        <f t="shared" si="49"/>
        <v>29.179310344827595</v>
      </c>
      <c r="DU16" s="261">
        <f t="shared" si="95"/>
        <v>4.9995275888133029E-3</v>
      </c>
      <c r="DV16" s="261">
        <f t="shared" si="96"/>
        <v>4.962915721844291E-3</v>
      </c>
      <c r="DW16" s="261">
        <f t="shared" si="97"/>
        <v>-3.0930715197956654E-5</v>
      </c>
      <c r="DX16" s="123" t="e">
        <f t="shared" si="98"/>
        <v>#DIV/0!</v>
      </c>
      <c r="DY16" s="123" t="e">
        <f t="shared" si="99"/>
        <v>#DIV/0!</v>
      </c>
      <c r="DZ16" s="123" t="e">
        <f t="shared" si="100"/>
        <v>#DIV/0!</v>
      </c>
      <c r="EA16" s="123" t="e">
        <f t="shared" si="101"/>
        <v>#DIV/0!</v>
      </c>
      <c r="EB16" s="176">
        <f t="shared" si="51"/>
        <v>5.6253448275861953</v>
      </c>
      <c r="EC16" s="125">
        <f t="shared" si="52"/>
        <v>0</v>
      </c>
      <c r="ED16" s="179">
        <f t="shared" si="102"/>
        <v>120</v>
      </c>
      <c r="EE16" s="125">
        <f t="shared" si="103"/>
        <v>100</v>
      </c>
      <c r="EF16" s="106"/>
      <c r="EG16" s="106"/>
    </row>
    <row r="17" spans="1:137" ht="11.25" customHeight="1">
      <c r="A17" s="276" t="s">
        <v>185</v>
      </c>
      <c r="B17" s="37">
        <v>36</v>
      </c>
      <c r="C17" s="255">
        <v>61.81</v>
      </c>
      <c r="D17" s="37">
        <v>112</v>
      </c>
      <c r="E17" s="37">
        <v>115</v>
      </c>
      <c r="F17" s="39">
        <v>0.18055555555555555</v>
      </c>
      <c r="G17" s="113">
        <f>220.48+8.87+22.09+35.34+52.96+39.73+61.81+57.53+119.21</f>
        <v>618.02</v>
      </c>
      <c r="H17" s="135">
        <v>160.5</v>
      </c>
      <c r="I17" s="135">
        <v>322</v>
      </c>
      <c r="J17" s="135">
        <v>483.4</v>
      </c>
      <c r="K17" s="135">
        <v>594.4</v>
      </c>
      <c r="L17" s="135">
        <f t="shared" si="1"/>
        <v>23.620000000000005</v>
      </c>
      <c r="M17" s="211">
        <f>123.72+30.89</f>
        <v>154.61000000000001</v>
      </c>
      <c r="N17" s="135">
        <v>41.8</v>
      </c>
      <c r="O17" s="135">
        <v>83.7</v>
      </c>
      <c r="P17" s="135">
        <v>125.6</v>
      </c>
      <c r="Q17" s="135">
        <v>158.4</v>
      </c>
      <c r="R17" s="136">
        <f t="shared" si="2"/>
        <v>-3.789999999999992</v>
      </c>
      <c r="S17" s="212">
        <v>94</v>
      </c>
      <c r="T17" s="43">
        <v>39.700000000000003</v>
      </c>
      <c r="U17" s="43">
        <v>74.400000000000006</v>
      </c>
      <c r="V17" s="43">
        <v>101.1</v>
      </c>
      <c r="W17" s="43">
        <v>121.5</v>
      </c>
      <c r="X17" s="184">
        <v>0.61805555555555558</v>
      </c>
      <c r="Y17" s="184">
        <v>0.63055555555555554</v>
      </c>
      <c r="Z17" s="184">
        <f t="shared" si="3"/>
        <v>1.2499999999999956E-2</v>
      </c>
      <c r="AA17" s="43">
        <v>29.1</v>
      </c>
      <c r="AB17" s="260">
        <v>5.0115740740740737E-3</v>
      </c>
      <c r="AC17" s="260">
        <v>5.0810185185185186E-3</v>
      </c>
      <c r="AD17" s="260">
        <f t="shared" si="4"/>
        <v>6.9444444444444892E-5</v>
      </c>
      <c r="AE17" s="48"/>
      <c r="AF17" s="48"/>
      <c r="AG17" s="67"/>
      <c r="AH17" s="49"/>
      <c r="AI17" s="158">
        <v>1355.01</v>
      </c>
      <c r="AJ17" s="158">
        <v>1349.29</v>
      </c>
      <c r="AK17" s="169">
        <f t="shared" si="104"/>
        <v>5.7200000000000273</v>
      </c>
      <c r="AL17" s="191">
        <v>0.67708333333333337</v>
      </c>
      <c r="AM17" s="191">
        <v>0.68402777777777779</v>
      </c>
      <c r="AN17" s="192">
        <f t="shared" si="105"/>
        <v>6.9444444444444198E-3</v>
      </c>
      <c r="AO17" s="148">
        <f t="shared" si="53"/>
        <v>28.089877583208697</v>
      </c>
      <c r="AP17" s="149">
        <f t="shared" si="54"/>
        <v>47.910122416791303</v>
      </c>
      <c r="AQ17" s="149">
        <f t="shared" si="7"/>
        <v>61.691860138971634</v>
      </c>
      <c r="AR17" s="149">
        <f t="shared" si="8"/>
        <v>61.857105378269807</v>
      </c>
      <c r="AS17" s="149">
        <f t="shared" si="9"/>
        <v>109.94095976728137</v>
      </c>
      <c r="AT17" s="149">
        <f t="shared" si="10"/>
        <v>114.8176609223738</v>
      </c>
      <c r="AU17" s="149">
        <f t="shared" si="55"/>
        <v>111.93239626243108</v>
      </c>
      <c r="AV17" s="149">
        <f t="shared" si="56"/>
        <v>114.92967270308615</v>
      </c>
      <c r="AW17" s="149">
        <f t="shared" si="57"/>
        <v>0.17368036968193748</v>
      </c>
      <c r="AX17" s="149">
        <f t="shared" si="58"/>
        <v>0.18908304027974834</v>
      </c>
      <c r="AY17" s="123">
        <f t="shared" si="11"/>
        <v>156.83979641263412</v>
      </c>
      <c r="AZ17" s="123">
        <f t="shared" si="12"/>
        <v>163.64145358736593</v>
      </c>
      <c r="BA17" s="123">
        <f t="shared" si="13"/>
        <v>314.2100390293777</v>
      </c>
      <c r="BB17" s="123">
        <f t="shared" si="14"/>
        <v>328.23996097062235</v>
      </c>
      <c r="BC17" s="123">
        <f t="shared" si="15"/>
        <v>471.56159398390412</v>
      </c>
      <c r="BD17" s="123">
        <f t="shared" si="16"/>
        <v>492.76965601609584</v>
      </c>
      <c r="BE17" s="123">
        <f t="shared" si="17"/>
        <v>588.52671906979549</v>
      </c>
      <c r="BF17" s="123">
        <f t="shared" si="18"/>
        <v>611.71810851641135</v>
      </c>
      <c r="BG17" s="123">
        <f t="shared" si="19"/>
        <v>6.4247474531250646</v>
      </c>
      <c r="BH17" s="123">
        <f t="shared" si="20"/>
        <v>29.870769788254243</v>
      </c>
      <c r="BI17" s="123">
        <f t="shared" si="21"/>
        <v>41.634833977180243</v>
      </c>
      <c r="BJ17" s="123">
        <f t="shared" si="22"/>
        <v>41.908916022819731</v>
      </c>
      <c r="BK17" s="123">
        <f t="shared" si="23"/>
        <v>83.527280129290489</v>
      </c>
      <c r="BL17" s="123">
        <f t="shared" si="24"/>
        <v>83.903969870709489</v>
      </c>
      <c r="BM17" s="123">
        <f t="shared" si="25"/>
        <v>125.49642578417671</v>
      </c>
      <c r="BN17" s="123">
        <f t="shared" si="26"/>
        <v>125.82857421582314</v>
      </c>
      <c r="BO17" s="123">
        <f t="shared" si="27"/>
        <v>155.1049414176334</v>
      </c>
      <c r="BP17" s="123">
        <f t="shared" si="28"/>
        <v>157.96747237547007</v>
      </c>
      <c r="BQ17" s="123">
        <f t="shared" si="29"/>
        <v>-3.4739700111749907</v>
      </c>
      <c r="BR17" s="123">
        <f t="shared" si="30"/>
        <v>-0.65327136813535303</v>
      </c>
      <c r="BS17" s="123">
        <f t="shared" si="59"/>
        <v>56.437095452304185</v>
      </c>
      <c r="BT17" s="123">
        <f t="shared" si="60"/>
        <v>134.01118040976476</v>
      </c>
      <c r="BU17" s="123">
        <f t="shared" si="61"/>
        <v>35.424087856897714</v>
      </c>
      <c r="BV17" s="123">
        <f t="shared" si="62"/>
        <v>42.810394901722987</v>
      </c>
      <c r="BW17" s="123">
        <f t="shared" si="63"/>
        <v>68.667936470774464</v>
      </c>
      <c r="BX17" s="123">
        <f t="shared" si="64"/>
        <v>78.252753184397989</v>
      </c>
      <c r="BY17" s="123">
        <f t="shared" si="65"/>
        <v>94.547228197183259</v>
      </c>
      <c r="BZ17" s="123">
        <f t="shared" si="66"/>
        <v>106.39415111316158</v>
      </c>
      <c r="CA17" s="123">
        <f t="shared" si="67"/>
        <v>114.2973449594912</v>
      </c>
      <c r="CB17" s="123">
        <f t="shared" si="68"/>
        <v>127.60610331637088</v>
      </c>
      <c r="CC17" s="123">
        <f t="shared" si="69"/>
        <v>1.1625982470516784E-2</v>
      </c>
      <c r="CD17" s="123">
        <f t="shared" si="70"/>
        <v>1.4691067337912261E-2</v>
      </c>
      <c r="CE17" s="123">
        <f t="shared" si="71"/>
        <v>28.696690452912026</v>
      </c>
      <c r="CF17" s="123">
        <f t="shared" si="72"/>
        <v>29.661930236743164</v>
      </c>
      <c r="CG17" s="261">
        <f t="shared" si="31"/>
        <v>4.6579973341037062E-3</v>
      </c>
      <c r="CH17" s="261">
        <f t="shared" si="32"/>
        <v>5.3410578435228997E-3</v>
      </c>
      <c r="CI17" s="261">
        <f t="shared" si="33"/>
        <v>4.6322196240640304E-3</v>
      </c>
      <c r="CJ17" s="261">
        <f t="shared" si="34"/>
        <v>5.2936118196245515E-3</v>
      </c>
      <c r="CK17" s="261">
        <f t="shared" si="35"/>
        <v>-2.62020899613848E-4</v>
      </c>
      <c r="CL17" s="261">
        <f t="shared" si="36"/>
        <v>2.0015946921793468E-4</v>
      </c>
      <c r="CM17" s="123" t="e">
        <f t="shared" si="73"/>
        <v>#DIV/0!</v>
      </c>
      <c r="CN17" s="123" t="e">
        <f t="shared" si="74"/>
        <v>#DIV/0!</v>
      </c>
      <c r="CO17" s="123" t="e">
        <f t="shared" si="75"/>
        <v>#DIV/0!</v>
      </c>
      <c r="CP17" s="123" t="e">
        <f t="shared" si="76"/>
        <v>#DIV/0!</v>
      </c>
      <c r="CQ17" s="123" t="e">
        <f t="shared" si="77"/>
        <v>#DIV/0!</v>
      </c>
      <c r="CR17" s="123" t="e">
        <f t="shared" si="78"/>
        <v>#DIV/0!</v>
      </c>
      <c r="CS17" s="123" t="e">
        <f t="shared" si="79"/>
        <v>#DIV/0!</v>
      </c>
      <c r="CT17" s="123" t="e">
        <f t="shared" si="80"/>
        <v>#DIV/0!</v>
      </c>
      <c r="CU17" s="124">
        <f t="shared" si="81"/>
        <v>4.9388614429463438</v>
      </c>
      <c r="CV17" s="173">
        <f t="shared" si="82"/>
        <v>6.3118282122260467</v>
      </c>
      <c r="CW17" s="124">
        <f t="shared" si="83"/>
        <v>0</v>
      </c>
      <c r="CX17" s="171">
        <f t="shared" si="84"/>
        <v>0</v>
      </c>
      <c r="CY17" s="122">
        <f t="shared" si="37"/>
        <v>38</v>
      </c>
      <c r="CZ17" s="231">
        <f t="shared" si="38"/>
        <v>61.774482758620721</v>
      </c>
      <c r="DA17" s="123">
        <f t="shared" si="39"/>
        <v>112.37931034482759</v>
      </c>
      <c r="DB17" s="123">
        <f t="shared" si="40"/>
        <v>113.43103448275862</v>
      </c>
      <c r="DC17" s="123">
        <f t="shared" si="41"/>
        <v>0.18138170498084291</v>
      </c>
      <c r="DD17" s="123">
        <f t="shared" si="42"/>
        <v>160.24062500000002</v>
      </c>
      <c r="DE17" s="123">
        <f t="shared" si="43"/>
        <v>321.22500000000002</v>
      </c>
      <c r="DF17" s="123">
        <f t="shared" si="44"/>
        <v>482.16562499999998</v>
      </c>
      <c r="DG17" s="123">
        <f t="shared" si="45"/>
        <v>600.12241379310342</v>
      </c>
      <c r="DH17" s="123">
        <f t="shared" si="46"/>
        <v>18.147758620689654</v>
      </c>
      <c r="DI17" s="123">
        <f t="shared" si="85"/>
        <v>41.771874999999987</v>
      </c>
      <c r="DJ17" s="123">
        <f t="shared" si="86"/>
        <v>83.715624999999989</v>
      </c>
      <c r="DK17" s="123">
        <f t="shared" si="87"/>
        <v>125.66249999999992</v>
      </c>
      <c r="DL17" s="123">
        <f t="shared" si="88"/>
        <v>156.53620689655173</v>
      </c>
      <c r="DM17" s="123">
        <f t="shared" si="89"/>
        <v>-2.0636206896551719</v>
      </c>
      <c r="DN17" s="123">
        <f t="shared" si="90"/>
        <v>95.224137931034477</v>
      </c>
      <c r="DO17" s="123">
        <f t="shared" si="91"/>
        <v>39.11724137931035</v>
      </c>
      <c r="DP17" s="123">
        <f t="shared" si="92"/>
        <v>73.460344827586226</v>
      </c>
      <c r="DQ17" s="123">
        <f t="shared" si="93"/>
        <v>100.47068965517242</v>
      </c>
      <c r="DR17" s="123">
        <f t="shared" si="94"/>
        <v>120.95172413793104</v>
      </c>
      <c r="DS17" s="123">
        <f t="shared" si="48"/>
        <v>1.3158524904214522E-2</v>
      </c>
      <c r="DT17" s="123">
        <f t="shared" si="49"/>
        <v>29.179310344827595</v>
      </c>
      <c r="DU17" s="261">
        <f t="shared" si="95"/>
        <v>4.9995275888133029E-3</v>
      </c>
      <c r="DV17" s="261">
        <f t="shared" si="96"/>
        <v>4.962915721844291E-3</v>
      </c>
      <c r="DW17" s="261">
        <f t="shared" si="97"/>
        <v>-3.0930715197956654E-5</v>
      </c>
      <c r="DX17" s="123" t="e">
        <f t="shared" si="98"/>
        <v>#DIV/0!</v>
      </c>
      <c r="DY17" s="123" t="e">
        <f t="shared" si="99"/>
        <v>#DIV/0!</v>
      </c>
      <c r="DZ17" s="123" t="e">
        <f t="shared" si="100"/>
        <v>#DIV/0!</v>
      </c>
      <c r="EA17" s="123" t="e">
        <f t="shared" si="101"/>
        <v>#DIV/0!</v>
      </c>
      <c r="EB17" s="176">
        <f t="shared" si="51"/>
        <v>5.6253448275861953</v>
      </c>
      <c r="EC17" s="125">
        <f t="shared" si="52"/>
        <v>0</v>
      </c>
      <c r="ED17" s="179">
        <f t="shared" si="102"/>
        <v>120</v>
      </c>
      <c r="EE17" s="125">
        <f t="shared" si="103"/>
        <v>100</v>
      </c>
      <c r="EF17" s="106"/>
      <c r="EG17" s="106"/>
    </row>
    <row r="18" spans="1:137" ht="11.25" customHeight="1">
      <c r="A18" s="276" t="s">
        <v>186</v>
      </c>
      <c r="B18" s="37">
        <v>36</v>
      </c>
      <c r="C18" s="255">
        <v>61.77</v>
      </c>
      <c r="D18" s="37">
        <v>112</v>
      </c>
      <c r="E18" s="37">
        <v>114</v>
      </c>
      <c r="F18" s="39">
        <v>0.18055555555555555</v>
      </c>
      <c r="G18" s="113">
        <v>618.20000000000005</v>
      </c>
      <c r="H18" s="135">
        <v>160.69999999999999</v>
      </c>
      <c r="I18" s="135">
        <v>322.3</v>
      </c>
      <c r="J18" s="135">
        <v>483.8</v>
      </c>
      <c r="K18" s="135">
        <v>594.79999999999995</v>
      </c>
      <c r="L18" s="135">
        <f t="shared" ref="L18:L37" si="106">G18-K18</f>
        <v>23.400000000000091</v>
      </c>
      <c r="M18" s="211">
        <v>154.38</v>
      </c>
      <c r="N18" s="135">
        <v>41.7</v>
      </c>
      <c r="O18" s="135">
        <v>83.7</v>
      </c>
      <c r="P18" s="135">
        <v>125.6</v>
      </c>
      <c r="Q18" s="135">
        <v>157.19999999999999</v>
      </c>
      <c r="R18" s="136">
        <f t="shared" ref="R18:R37" si="107">M18-Q18</f>
        <v>-2.8199999999999932</v>
      </c>
      <c r="S18" s="212">
        <v>93</v>
      </c>
      <c r="T18" s="43">
        <v>40.6</v>
      </c>
      <c r="U18" s="43">
        <v>74.099999999999994</v>
      </c>
      <c r="V18" s="43">
        <v>101.5</v>
      </c>
      <c r="W18" s="43">
        <v>121.6</v>
      </c>
      <c r="X18" s="184">
        <v>0.61805555555555558</v>
      </c>
      <c r="Y18" s="184">
        <v>0.63055555555555554</v>
      </c>
      <c r="Z18" s="184">
        <f t="shared" ref="Z18:Z37" si="108">Y18-X18</f>
        <v>1.2499999999999956E-2</v>
      </c>
      <c r="AA18" s="43">
        <v>28.9</v>
      </c>
      <c r="AB18" s="260">
        <v>5.1273148148148146E-3</v>
      </c>
      <c r="AC18" s="260">
        <v>5.0231481481481481E-3</v>
      </c>
      <c r="AD18" s="260">
        <f t="shared" si="4"/>
        <v>-1.0416666666666647E-4</v>
      </c>
      <c r="AE18" s="48"/>
      <c r="AF18" s="48"/>
      <c r="AG18" s="67"/>
      <c r="AH18" s="49"/>
      <c r="AI18" s="158">
        <v>1355.16</v>
      </c>
      <c r="AJ18" s="158">
        <v>1349.38</v>
      </c>
      <c r="AK18" s="169">
        <f t="shared" si="104"/>
        <v>5.7799999999999727</v>
      </c>
      <c r="AL18" s="191">
        <v>0.67638888888888893</v>
      </c>
      <c r="AM18" s="191">
        <v>0.68402777777777779</v>
      </c>
      <c r="AN18" s="192">
        <f t="shared" si="105"/>
        <v>7.6388888888888618E-3</v>
      </c>
      <c r="AO18" s="148">
        <f t="shared" si="53"/>
        <v>28.089877583208697</v>
      </c>
      <c r="AP18" s="149">
        <f t="shared" si="54"/>
        <v>47.910122416791303</v>
      </c>
      <c r="AQ18" s="149">
        <f t="shared" si="7"/>
        <v>61.691860138971634</v>
      </c>
      <c r="AR18" s="149">
        <f t="shared" si="8"/>
        <v>61.857105378269807</v>
      </c>
      <c r="AS18" s="149">
        <f t="shared" si="9"/>
        <v>109.94095976728137</v>
      </c>
      <c r="AT18" s="149">
        <f t="shared" si="10"/>
        <v>114.8176609223738</v>
      </c>
      <c r="AU18" s="149">
        <f t="shared" si="55"/>
        <v>111.93239626243108</v>
      </c>
      <c r="AV18" s="149">
        <f t="shared" si="56"/>
        <v>114.92967270308615</v>
      </c>
      <c r="AW18" s="149">
        <f t="shared" si="57"/>
        <v>0.17368036968193748</v>
      </c>
      <c r="AX18" s="149">
        <f t="shared" si="58"/>
        <v>0.18908304027974834</v>
      </c>
      <c r="AY18" s="123">
        <f t="shared" si="11"/>
        <v>156.83979641263412</v>
      </c>
      <c r="AZ18" s="123">
        <f t="shared" si="12"/>
        <v>163.64145358736593</v>
      </c>
      <c r="BA18" s="123">
        <f t="shared" si="13"/>
        <v>314.2100390293777</v>
      </c>
      <c r="BB18" s="123">
        <f t="shared" si="14"/>
        <v>328.23996097062235</v>
      </c>
      <c r="BC18" s="123">
        <f t="shared" si="15"/>
        <v>471.56159398390412</v>
      </c>
      <c r="BD18" s="123">
        <f t="shared" si="16"/>
        <v>492.76965601609584</v>
      </c>
      <c r="BE18" s="123">
        <f t="shared" si="17"/>
        <v>588.52671906979549</v>
      </c>
      <c r="BF18" s="123">
        <f t="shared" si="18"/>
        <v>611.71810851641135</v>
      </c>
      <c r="BG18" s="123">
        <f t="shared" si="19"/>
        <v>6.4247474531250646</v>
      </c>
      <c r="BH18" s="123">
        <f t="shared" si="20"/>
        <v>29.870769788254243</v>
      </c>
      <c r="BI18" s="123">
        <f t="shared" si="21"/>
        <v>41.634833977180243</v>
      </c>
      <c r="BJ18" s="123">
        <f t="shared" si="22"/>
        <v>41.908916022819731</v>
      </c>
      <c r="BK18" s="123">
        <f t="shared" si="23"/>
        <v>83.527280129290489</v>
      </c>
      <c r="BL18" s="123">
        <f t="shared" si="24"/>
        <v>83.903969870709489</v>
      </c>
      <c r="BM18" s="123">
        <f t="shared" si="25"/>
        <v>125.49642578417671</v>
      </c>
      <c r="BN18" s="123">
        <f t="shared" si="26"/>
        <v>125.82857421582314</v>
      </c>
      <c r="BO18" s="123">
        <f t="shared" si="27"/>
        <v>155.1049414176334</v>
      </c>
      <c r="BP18" s="123">
        <f t="shared" si="28"/>
        <v>157.96747237547007</v>
      </c>
      <c r="BQ18" s="123">
        <f t="shared" si="29"/>
        <v>-3.4739700111749907</v>
      </c>
      <c r="BR18" s="123">
        <f t="shared" si="30"/>
        <v>-0.65327136813535303</v>
      </c>
      <c r="BS18" s="123">
        <f t="shared" si="59"/>
        <v>56.437095452304185</v>
      </c>
      <c r="BT18" s="123">
        <f t="shared" si="60"/>
        <v>134.01118040976476</v>
      </c>
      <c r="BU18" s="123">
        <f t="shared" si="61"/>
        <v>35.424087856897714</v>
      </c>
      <c r="BV18" s="123">
        <f t="shared" si="62"/>
        <v>42.810394901722987</v>
      </c>
      <c r="BW18" s="123">
        <f t="shared" si="63"/>
        <v>68.667936470774464</v>
      </c>
      <c r="BX18" s="123">
        <f t="shared" si="64"/>
        <v>78.252753184397989</v>
      </c>
      <c r="BY18" s="123">
        <f t="shared" si="65"/>
        <v>94.547228197183259</v>
      </c>
      <c r="BZ18" s="123">
        <f t="shared" si="66"/>
        <v>106.39415111316158</v>
      </c>
      <c r="CA18" s="123">
        <f t="shared" si="67"/>
        <v>114.2973449594912</v>
      </c>
      <c r="CB18" s="123">
        <f t="shared" si="68"/>
        <v>127.60610331637088</v>
      </c>
      <c r="CC18" s="123">
        <f t="shared" si="69"/>
        <v>1.1625982470516784E-2</v>
      </c>
      <c r="CD18" s="123">
        <f t="shared" si="70"/>
        <v>1.4691067337912261E-2</v>
      </c>
      <c r="CE18" s="123">
        <f t="shared" si="71"/>
        <v>28.696690452912026</v>
      </c>
      <c r="CF18" s="123">
        <f t="shared" si="72"/>
        <v>29.661930236743164</v>
      </c>
      <c r="CG18" s="261">
        <f t="shared" si="31"/>
        <v>4.6579973341037062E-3</v>
      </c>
      <c r="CH18" s="261">
        <f t="shared" si="32"/>
        <v>5.3410578435228997E-3</v>
      </c>
      <c r="CI18" s="261">
        <f t="shared" si="33"/>
        <v>4.6322196240640304E-3</v>
      </c>
      <c r="CJ18" s="261">
        <f t="shared" si="34"/>
        <v>5.2936118196245515E-3</v>
      </c>
      <c r="CK18" s="261">
        <f t="shared" si="35"/>
        <v>-2.62020899613848E-4</v>
      </c>
      <c r="CL18" s="261">
        <f t="shared" si="36"/>
        <v>2.0015946921793468E-4</v>
      </c>
      <c r="CM18" s="123" t="e">
        <f t="shared" si="73"/>
        <v>#DIV/0!</v>
      </c>
      <c r="CN18" s="123" t="e">
        <f t="shared" si="74"/>
        <v>#DIV/0!</v>
      </c>
      <c r="CO18" s="123" t="e">
        <f t="shared" si="75"/>
        <v>#DIV/0!</v>
      </c>
      <c r="CP18" s="123" t="e">
        <f t="shared" si="76"/>
        <v>#DIV/0!</v>
      </c>
      <c r="CQ18" s="123" t="e">
        <f t="shared" si="77"/>
        <v>#DIV/0!</v>
      </c>
      <c r="CR18" s="123" t="e">
        <f t="shared" si="78"/>
        <v>#DIV/0!</v>
      </c>
      <c r="CS18" s="123" t="e">
        <f t="shared" si="79"/>
        <v>#DIV/0!</v>
      </c>
      <c r="CT18" s="123" t="e">
        <f t="shared" si="80"/>
        <v>#DIV/0!</v>
      </c>
      <c r="CU18" s="124">
        <f t="shared" si="81"/>
        <v>4.9388614429463438</v>
      </c>
      <c r="CV18" s="173">
        <f t="shared" si="82"/>
        <v>6.3118282122260467</v>
      </c>
      <c r="CW18" s="124">
        <f t="shared" si="83"/>
        <v>0</v>
      </c>
      <c r="CX18" s="171">
        <f t="shared" si="84"/>
        <v>0</v>
      </c>
      <c r="CY18" s="122">
        <f t="shared" si="37"/>
        <v>38</v>
      </c>
      <c r="CZ18" s="231">
        <f t="shared" si="38"/>
        <v>61.774482758620721</v>
      </c>
      <c r="DA18" s="123">
        <f t="shared" si="39"/>
        <v>112.37931034482759</v>
      </c>
      <c r="DB18" s="123">
        <f t="shared" si="40"/>
        <v>113.43103448275862</v>
      </c>
      <c r="DC18" s="123">
        <f t="shared" si="41"/>
        <v>0.18138170498084291</v>
      </c>
      <c r="DD18" s="123">
        <f t="shared" si="42"/>
        <v>160.24062500000002</v>
      </c>
      <c r="DE18" s="123">
        <f t="shared" si="43"/>
        <v>321.22500000000002</v>
      </c>
      <c r="DF18" s="123">
        <f t="shared" si="44"/>
        <v>482.16562499999998</v>
      </c>
      <c r="DG18" s="123">
        <f t="shared" si="45"/>
        <v>600.12241379310342</v>
      </c>
      <c r="DH18" s="123">
        <f t="shared" si="46"/>
        <v>18.147758620689654</v>
      </c>
      <c r="DI18" s="123">
        <f t="shared" si="85"/>
        <v>41.771874999999987</v>
      </c>
      <c r="DJ18" s="123">
        <f t="shared" si="86"/>
        <v>83.715624999999989</v>
      </c>
      <c r="DK18" s="123">
        <f t="shared" si="87"/>
        <v>125.66249999999992</v>
      </c>
      <c r="DL18" s="123">
        <f t="shared" si="88"/>
        <v>156.53620689655173</v>
      </c>
      <c r="DM18" s="123">
        <f t="shared" si="89"/>
        <v>-2.0636206896551719</v>
      </c>
      <c r="DN18" s="123">
        <f t="shared" si="90"/>
        <v>95.224137931034477</v>
      </c>
      <c r="DO18" s="123">
        <f t="shared" si="91"/>
        <v>39.11724137931035</v>
      </c>
      <c r="DP18" s="123">
        <f t="shared" si="92"/>
        <v>73.460344827586226</v>
      </c>
      <c r="DQ18" s="123">
        <f t="shared" si="93"/>
        <v>100.47068965517242</v>
      </c>
      <c r="DR18" s="123">
        <f t="shared" si="94"/>
        <v>120.95172413793104</v>
      </c>
      <c r="DS18" s="123">
        <f t="shared" si="48"/>
        <v>1.3158524904214522E-2</v>
      </c>
      <c r="DT18" s="123">
        <f t="shared" si="49"/>
        <v>29.179310344827595</v>
      </c>
      <c r="DU18" s="261">
        <f t="shared" si="95"/>
        <v>4.9995275888133029E-3</v>
      </c>
      <c r="DV18" s="261">
        <f t="shared" si="96"/>
        <v>4.962915721844291E-3</v>
      </c>
      <c r="DW18" s="261">
        <f t="shared" si="97"/>
        <v>-3.0930715197956654E-5</v>
      </c>
      <c r="DX18" s="123" t="e">
        <f t="shared" si="98"/>
        <v>#DIV/0!</v>
      </c>
      <c r="DY18" s="123" t="e">
        <f t="shared" si="99"/>
        <v>#DIV/0!</v>
      </c>
      <c r="DZ18" s="123" t="e">
        <f t="shared" si="100"/>
        <v>#DIV/0!</v>
      </c>
      <c r="EA18" s="123" t="e">
        <f t="shared" si="101"/>
        <v>#DIV/0!</v>
      </c>
      <c r="EB18" s="176">
        <f t="shared" si="51"/>
        <v>5.6253448275861953</v>
      </c>
      <c r="EC18" s="125">
        <f t="shared" si="52"/>
        <v>0</v>
      </c>
      <c r="ED18" s="179">
        <f t="shared" si="102"/>
        <v>120</v>
      </c>
      <c r="EE18" s="125">
        <f t="shared" si="103"/>
        <v>100</v>
      </c>
      <c r="EF18" s="106"/>
      <c r="EG18" s="106"/>
    </row>
    <row r="19" spans="1:137" ht="11.25" customHeight="1">
      <c r="A19" s="82" t="s">
        <v>187</v>
      </c>
      <c r="B19" s="37">
        <v>35</v>
      </c>
      <c r="C19" s="255">
        <v>61.7</v>
      </c>
      <c r="D19" s="37">
        <v>109</v>
      </c>
      <c r="E19" s="37">
        <v>113</v>
      </c>
      <c r="F19" s="39">
        <v>0.17777777777777778</v>
      </c>
      <c r="G19" s="269">
        <f>220.73+8.87+22.11+35.37+52.95+39.84+61.7+57.47+119.19</f>
        <v>618.23</v>
      </c>
      <c r="H19" s="135">
        <v>161.5</v>
      </c>
      <c r="I19" s="135">
        <v>323.60000000000002</v>
      </c>
      <c r="J19" s="135">
        <v>485.7</v>
      </c>
      <c r="K19" s="135">
        <v>580.5</v>
      </c>
      <c r="L19" s="135">
        <f t="shared" si="106"/>
        <v>37.730000000000018</v>
      </c>
      <c r="M19" s="211">
        <f>30.91+123.62</f>
        <v>154.53</v>
      </c>
      <c r="N19" s="135">
        <v>41.7</v>
      </c>
      <c r="O19" s="135">
        <v>83.6</v>
      </c>
      <c r="P19" s="135">
        <v>125.6</v>
      </c>
      <c r="Q19" s="135">
        <v>156.69999999999999</v>
      </c>
      <c r="R19" s="136">
        <f t="shared" si="107"/>
        <v>-2.1699999999999875</v>
      </c>
      <c r="S19" s="212">
        <v>103</v>
      </c>
      <c r="T19" s="43">
        <v>43.6</v>
      </c>
      <c r="U19" s="43">
        <v>77.7</v>
      </c>
      <c r="V19" s="43">
        <v>104.3</v>
      </c>
      <c r="W19" s="43">
        <v>124.1</v>
      </c>
      <c r="X19" s="185">
        <v>0.61527777777777781</v>
      </c>
      <c r="Y19" s="184">
        <v>0.62847222222222221</v>
      </c>
      <c r="Z19" s="184">
        <f t="shared" si="108"/>
        <v>1.3194444444444398E-2</v>
      </c>
      <c r="AA19" s="43">
        <v>29.4</v>
      </c>
      <c r="AB19" s="260">
        <v>5.208333333333333E-3</v>
      </c>
      <c r="AC19" s="260">
        <v>5.1736111111111115E-3</v>
      </c>
      <c r="AD19" s="260">
        <f t="shared" si="4"/>
        <v>-3.4722222222221578E-5</v>
      </c>
      <c r="AE19" s="48"/>
      <c r="AF19" s="48"/>
      <c r="AG19" s="67"/>
      <c r="AH19" s="49"/>
      <c r="AI19" s="158">
        <v>1355.09</v>
      </c>
      <c r="AJ19" s="158">
        <v>1349.07</v>
      </c>
      <c r="AK19" s="169">
        <f t="shared" si="104"/>
        <v>6.0199999999999818</v>
      </c>
      <c r="AL19" s="191">
        <v>0.67638888888888893</v>
      </c>
      <c r="AM19" s="191">
        <v>0.68402777777777779</v>
      </c>
      <c r="AN19" s="192">
        <f t="shared" si="105"/>
        <v>7.6388888888888618E-3</v>
      </c>
      <c r="AO19" s="148">
        <f t="shared" si="53"/>
        <v>28.089877583208697</v>
      </c>
      <c r="AP19" s="149">
        <f t="shared" si="54"/>
        <v>47.910122416791303</v>
      </c>
      <c r="AQ19" s="149">
        <f t="shared" si="7"/>
        <v>61.691860138971634</v>
      </c>
      <c r="AR19" s="149">
        <f t="shared" si="8"/>
        <v>61.857105378269807</v>
      </c>
      <c r="AS19" s="149">
        <f t="shared" si="9"/>
        <v>109.94095976728137</v>
      </c>
      <c r="AT19" s="149">
        <f t="shared" si="10"/>
        <v>114.8176609223738</v>
      </c>
      <c r="AU19" s="149">
        <f t="shared" si="55"/>
        <v>111.93239626243108</v>
      </c>
      <c r="AV19" s="149">
        <f t="shared" si="56"/>
        <v>114.92967270308615</v>
      </c>
      <c r="AW19" s="149">
        <f t="shared" si="57"/>
        <v>0.17368036968193748</v>
      </c>
      <c r="AX19" s="149">
        <f t="shared" si="58"/>
        <v>0.18908304027974834</v>
      </c>
      <c r="AY19" s="123">
        <f t="shared" si="11"/>
        <v>156.83979641263412</v>
      </c>
      <c r="AZ19" s="123">
        <f t="shared" si="12"/>
        <v>163.64145358736593</v>
      </c>
      <c r="BA19" s="123">
        <f t="shared" si="13"/>
        <v>314.2100390293777</v>
      </c>
      <c r="BB19" s="123">
        <f t="shared" si="14"/>
        <v>328.23996097062235</v>
      </c>
      <c r="BC19" s="123">
        <f t="shared" si="15"/>
        <v>471.56159398390412</v>
      </c>
      <c r="BD19" s="123">
        <f t="shared" si="16"/>
        <v>492.76965601609584</v>
      </c>
      <c r="BE19" s="123">
        <f t="shared" si="17"/>
        <v>588.52671906979549</v>
      </c>
      <c r="BF19" s="123">
        <f t="shared" si="18"/>
        <v>611.71810851641135</v>
      </c>
      <c r="BG19" s="123">
        <f t="shared" si="19"/>
        <v>6.4247474531250646</v>
      </c>
      <c r="BH19" s="123">
        <f t="shared" si="20"/>
        <v>29.870769788254243</v>
      </c>
      <c r="BI19" s="123">
        <f t="shared" si="21"/>
        <v>41.634833977180243</v>
      </c>
      <c r="BJ19" s="123">
        <f t="shared" si="22"/>
        <v>41.908916022819731</v>
      </c>
      <c r="BK19" s="123">
        <f t="shared" si="23"/>
        <v>83.527280129290489</v>
      </c>
      <c r="BL19" s="123">
        <f t="shared" si="24"/>
        <v>83.903969870709489</v>
      </c>
      <c r="BM19" s="123">
        <f t="shared" si="25"/>
        <v>125.49642578417671</v>
      </c>
      <c r="BN19" s="123">
        <f t="shared" si="26"/>
        <v>125.82857421582314</v>
      </c>
      <c r="BO19" s="123">
        <f t="shared" si="27"/>
        <v>155.1049414176334</v>
      </c>
      <c r="BP19" s="123">
        <f t="shared" si="28"/>
        <v>157.96747237547007</v>
      </c>
      <c r="BQ19" s="123">
        <f t="shared" si="29"/>
        <v>-3.4739700111749907</v>
      </c>
      <c r="BR19" s="123">
        <f t="shared" si="30"/>
        <v>-0.65327136813535303</v>
      </c>
      <c r="BS19" s="123">
        <f t="shared" si="59"/>
        <v>56.437095452304185</v>
      </c>
      <c r="BT19" s="123">
        <f t="shared" si="60"/>
        <v>134.01118040976476</v>
      </c>
      <c r="BU19" s="123">
        <f t="shared" si="61"/>
        <v>35.424087856897714</v>
      </c>
      <c r="BV19" s="123">
        <f t="shared" si="62"/>
        <v>42.810394901722987</v>
      </c>
      <c r="BW19" s="123">
        <f t="shared" si="63"/>
        <v>68.667936470774464</v>
      </c>
      <c r="BX19" s="123">
        <f t="shared" si="64"/>
        <v>78.252753184397989</v>
      </c>
      <c r="BY19" s="123">
        <f t="shared" si="65"/>
        <v>94.547228197183259</v>
      </c>
      <c r="BZ19" s="123">
        <f t="shared" si="66"/>
        <v>106.39415111316158</v>
      </c>
      <c r="CA19" s="123">
        <f t="shared" si="67"/>
        <v>114.2973449594912</v>
      </c>
      <c r="CB19" s="123">
        <f t="shared" si="68"/>
        <v>127.60610331637088</v>
      </c>
      <c r="CC19" s="123">
        <f t="shared" si="69"/>
        <v>1.1625982470516784E-2</v>
      </c>
      <c r="CD19" s="123">
        <f t="shared" si="70"/>
        <v>1.4691067337912261E-2</v>
      </c>
      <c r="CE19" s="123">
        <f t="shared" si="71"/>
        <v>28.696690452912026</v>
      </c>
      <c r="CF19" s="123">
        <f t="shared" si="72"/>
        <v>29.661930236743164</v>
      </c>
      <c r="CG19" s="261">
        <f t="shared" si="31"/>
        <v>4.6579973341037062E-3</v>
      </c>
      <c r="CH19" s="261">
        <f t="shared" si="32"/>
        <v>5.3410578435228997E-3</v>
      </c>
      <c r="CI19" s="261">
        <f t="shared" si="33"/>
        <v>4.6322196240640304E-3</v>
      </c>
      <c r="CJ19" s="261">
        <f t="shared" si="34"/>
        <v>5.2936118196245515E-3</v>
      </c>
      <c r="CK19" s="261">
        <f t="shared" si="35"/>
        <v>-2.62020899613848E-4</v>
      </c>
      <c r="CL19" s="261">
        <f t="shared" si="36"/>
        <v>2.0015946921793468E-4</v>
      </c>
      <c r="CM19" s="123" t="e">
        <f t="shared" si="73"/>
        <v>#DIV/0!</v>
      </c>
      <c r="CN19" s="123" t="e">
        <f t="shared" si="74"/>
        <v>#DIV/0!</v>
      </c>
      <c r="CO19" s="123" t="e">
        <f t="shared" si="75"/>
        <v>#DIV/0!</v>
      </c>
      <c r="CP19" s="123" t="e">
        <f t="shared" si="76"/>
        <v>#DIV/0!</v>
      </c>
      <c r="CQ19" s="123" t="e">
        <f t="shared" si="77"/>
        <v>#DIV/0!</v>
      </c>
      <c r="CR19" s="123" t="e">
        <f t="shared" si="78"/>
        <v>#DIV/0!</v>
      </c>
      <c r="CS19" s="123" t="e">
        <f t="shared" si="79"/>
        <v>#DIV/0!</v>
      </c>
      <c r="CT19" s="123" t="e">
        <f t="shared" si="80"/>
        <v>#DIV/0!</v>
      </c>
      <c r="CU19" s="124">
        <f t="shared" si="81"/>
        <v>4.9388614429463438</v>
      </c>
      <c r="CV19" s="173">
        <f t="shared" si="82"/>
        <v>6.3118282122260467</v>
      </c>
      <c r="CW19" s="124">
        <f t="shared" si="83"/>
        <v>0</v>
      </c>
      <c r="CX19" s="171">
        <f t="shared" si="84"/>
        <v>0</v>
      </c>
      <c r="CY19" s="122">
        <f t="shared" si="37"/>
        <v>38</v>
      </c>
      <c r="CZ19" s="231">
        <f t="shared" si="38"/>
        <v>61.774482758620721</v>
      </c>
      <c r="DA19" s="123">
        <f t="shared" si="39"/>
        <v>112.37931034482759</v>
      </c>
      <c r="DB19" s="123">
        <f t="shared" si="40"/>
        <v>113.43103448275862</v>
      </c>
      <c r="DC19" s="123">
        <f t="shared" si="41"/>
        <v>0.18138170498084291</v>
      </c>
      <c r="DD19" s="123">
        <f t="shared" si="42"/>
        <v>160.24062500000002</v>
      </c>
      <c r="DE19" s="123">
        <f t="shared" si="43"/>
        <v>321.22500000000002</v>
      </c>
      <c r="DF19" s="123">
        <f t="shared" si="44"/>
        <v>482.16562499999998</v>
      </c>
      <c r="DG19" s="123">
        <f t="shared" si="45"/>
        <v>600.12241379310342</v>
      </c>
      <c r="DH19" s="123">
        <f t="shared" si="46"/>
        <v>18.147758620689654</v>
      </c>
      <c r="DI19" s="123">
        <f t="shared" si="85"/>
        <v>41.771874999999987</v>
      </c>
      <c r="DJ19" s="123">
        <f t="shared" si="86"/>
        <v>83.715624999999989</v>
      </c>
      <c r="DK19" s="123">
        <f t="shared" si="87"/>
        <v>125.66249999999992</v>
      </c>
      <c r="DL19" s="123">
        <f t="shared" si="88"/>
        <v>156.53620689655173</v>
      </c>
      <c r="DM19" s="123">
        <f t="shared" si="89"/>
        <v>-2.0636206896551719</v>
      </c>
      <c r="DN19" s="123">
        <f t="shared" si="90"/>
        <v>95.224137931034477</v>
      </c>
      <c r="DO19" s="123">
        <f t="shared" si="91"/>
        <v>39.11724137931035</v>
      </c>
      <c r="DP19" s="123">
        <f t="shared" si="92"/>
        <v>73.460344827586226</v>
      </c>
      <c r="DQ19" s="123">
        <f t="shared" si="93"/>
        <v>100.47068965517242</v>
      </c>
      <c r="DR19" s="123">
        <f t="shared" si="94"/>
        <v>120.95172413793104</v>
      </c>
      <c r="DS19" s="123">
        <f t="shared" si="48"/>
        <v>1.3158524904214522E-2</v>
      </c>
      <c r="DT19" s="123">
        <f t="shared" si="49"/>
        <v>29.179310344827595</v>
      </c>
      <c r="DU19" s="261">
        <f t="shared" si="95"/>
        <v>4.9995275888133029E-3</v>
      </c>
      <c r="DV19" s="261">
        <f t="shared" si="96"/>
        <v>4.962915721844291E-3</v>
      </c>
      <c r="DW19" s="261">
        <f t="shared" si="97"/>
        <v>-3.0930715197956654E-5</v>
      </c>
      <c r="DX19" s="123" t="e">
        <f t="shared" si="98"/>
        <v>#DIV/0!</v>
      </c>
      <c r="DY19" s="123" t="e">
        <f t="shared" si="99"/>
        <v>#DIV/0!</v>
      </c>
      <c r="DZ19" s="123" t="e">
        <f t="shared" si="100"/>
        <v>#DIV/0!</v>
      </c>
      <c r="EA19" s="123" t="e">
        <f t="shared" si="101"/>
        <v>#DIV/0!</v>
      </c>
      <c r="EB19" s="176">
        <f t="shared" si="51"/>
        <v>5.6253448275861953</v>
      </c>
      <c r="EC19" s="125">
        <f t="shared" si="52"/>
        <v>0</v>
      </c>
      <c r="ED19" s="179">
        <f t="shared" si="102"/>
        <v>120</v>
      </c>
      <c r="EE19" s="125">
        <f t="shared" si="103"/>
        <v>100</v>
      </c>
      <c r="EF19" s="106"/>
      <c r="EG19" s="106"/>
    </row>
    <row r="20" spans="1:137" ht="11.25" customHeight="1">
      <c r="A20" s="82" t="s">
        <v>188</v>
      </c>
      <c r="B20" s="37">
        <v>36</v>
      </c>
      <c r="C20" s="255">
        <v>61.81</v>
      </c>
      <c r="D20" s="37">
        <v>110</v>
      </c>
      <c r="E20" s="37">
        <v>114</v>
      </c>
      <c r="F20" s="39">
        <v>0.17916666666666667</v>
      </c>
      <c r="G20" s="113">
        <f>220.99+8.85+22.07+35.33+52.89+39.8+61.81+57.56+119.25</f>
        <v>618.54999999999995</v>
      </c>
      <c r="H20" s="135">
        <v>161.30000000000001</v>
      </c>
      <c r="I20" s="135">
        <v>323.39999999999998</v>
      </c>
      <c r="J20" s="135">
        <v>485.3</v>
      </c>
      <c r="K20" s="135">
        <v>586.6</v>
      </c>
      <c r="L20" s="135">
        <f t="shared" si="106"/>
        <v>31.949999999999932</v>
      </c>
      <c r="M20" s="211">
        <f>123.67+30.88</f>
        <v>154.55000000000001</v>
      </c>
      <c r="N20" s="135">
        <v>41.8</v>
      </c>
      <c r="O20" s="135">
        <v>83.8</v>
      </c>
      <c r="P20" s="135">
        <v>125.7</v>
      </c>
      <c r="Q20" s="135">
        <v>156.9</v>
      </c>
      <c r="R20" s="136">
        <f t="shared" si="107"/>
        <v>-2.3499999999999943</v>
      </c>
      <c r="S20" s="213">
        <v>83</v>
      </c>
      <c r="T20" s="43">
        <v>42.2</v>
      </c>
      <c r="U20" s="43">
        <v>76.400000000000006</v>
      </c>
      <c r="V20" s="43">
        <v>103.2</v>
      </c>
      <c r="W20" s="43">
        <v>123.4</v>
      </c>
      <c r="X20" s="184">
        <v>0.6166666666666667</v>
      </c>
      <c r="Y20" s="184">
        <v>0.62986111111111109</v>
      </c>
      <c r="Z20" s="184">
        <f t="shared" si="108"/>
        <v>1.3194444444444398E-2</v>
      </c>
      <c r="AA20" s="43">
        <v>29</v>
      </c>
      <c r="AB20" s="260">
        <v>5.1967592592592595E-3</v>
      </c>
      <c r="AC20" s="260">
        <v>5.2546296296296299E-3</v>
      </c>
      <c r="AD20" s="260">
        <f t="shared" si="4"/>
        <v>5.7870370370370454E-5</v>
      </c>
      <c r="AE20" s="167"/>
      <c r="AF20" s="47"/>
      <c r="AG20" s="38"/>
      <c r="AH20" s="47"/>
      <c r="AI20" s="158">
        <v>1355.41</v>
      </c>
      <c r="AJ20" s="158">
        <v>1349.74</v>
      </c>
      <c r="AK20" s="169">
        <f t="shared" si="104"/>
        <v>5.6700000000000728</v>
      </c>
      <c r="AL20" s="191">
        <v>0.6791666666666667</v>
      </c>
      <c r="AM20" s="191">
        <v>0.69097222222222221</v>
      </c>
      <c r="AN20" s="192">
        <f t="shared" si="105"/>
        <v>1.1805555555555514E-2</v>
      </c>
      <c r="AO20" s="148">
        <f t="shared" si="53"/>
        <v>28.089877583208697</v>
      </c>
      <c r="AP20" s="149">
        <f t="shared" si="54"/>
        <v>47.910122416791303</v>
      </c>
      <c r="AQ20" s="149">
        <f t="shared" si="7"/>
        <v>61.691860138971634</v>
      </c>
      <c r="AR20" s="149">
        <f t="shared" si="8"/>
        <v>61.857105378269807</v>
      </c>
      <c r="AS20" s="149">
        <f t="shared" si="9"/>
        <v>109.94095976728137</v>
      </c>
      <c r="AT20" s="149">
        <f t="shared" si="10"/>
        <v>114.8176609223738</v>
      </c>
      <c r="AU20" s="149">
        <f t="shared" si="55"/>
        <v>111.93239626243108</v>
      </c>
      <c r="AV20" s="149">
        <f t="shared" si="56"/>
        <v>114.92967270308615</v>
      </c>
      <c r="AW20" s="149">
        <f t="shared" si="57"/>
        <v>0.17368036968193748</v>
      </c>
      <c r="AX20" s="149">
        <f t="shared" si="58"/>
        <v>0.18908304027974834</v>
      </c>
      <c r="AY20" s="123">
        <f t="shared" si="11"/>
        <v>156.83979641263412</v>
      </c>
      <c r="AZ20" s="123">
        <f t="shared" si="12"/>
        <v>163.64145358736593</v>
      </c>
      <c r="BA20" s="123">
        <f t="shared" si="13"/>
        <v>314.2100390293777</v>
      </c>
      <c r="BB20" s="123">
        <f t="shared" si="14"/>
        <v>328.23996097062235</v>
      </c>
      <c r="BC20" s="123">
        <f t="shared" si="15"/>
        <v>471.56159398390412</v>
      </c>
      <c r="BD20" s="123">
        <f t="shared" si="16"/>
        <v>492.76965601609584</v>
      </c>
      <c r="BE20" s="123">
        <f t="shared" si="17"/>
        <v>588.52671906979549</v>
      </c>
      <c r="BF20" s="123">
        <f t="shared" si="18"/>
        <v>611.71810851641135</v>
      </c>
      <c r="BG20" s="123">
        <f t="shared" si="19"/>
        <v>6.4247474531250646</v>
      </c>
      <c r="BH20" s="123">
        <f t="shared" si="20"/>
        <v>29.870769788254243</v>
      </c>
      <c r="BI20" s="123">
        <f t="shared" si="21"/>
        <v>41.634833977180243</v>
      </c>
      <c r="BJ20" s="123">
        <f t="shared" si="22"/>
        <v>41.908916022819731</v>
      </c>
      <c r="BK20" s="123">
        <f t="shared" si="23"/>
        <v>83.527280129290489</v>
      </c>
      <c r="BL20" s="123">
        <f t="shared" si="24"/>
        <v>83.903969870709489</v>
      </c>
      <c r="BM20" s="123">
        <f t="shared" si="25"/>
        <v>125.49642578417671</v>
      </c>
      <c r="BN20" s="123">
        <f t="shared" si="26"/>
        <v>125.82857421582314</v>
      </c>
      <c r="BO20" s="123">
        <f t="shared" si="27"/>
        <v>155.1049414176334</v>
      </c>
      <c r="BP20" s="123">
        <f t="shared" si="28"/>
        <v>157.96747237547007</v>
      </c>
      <c r="BQ20" s="123">
        <f t="shared" si="29"/>
        <v>-3.4739700111749907</v>
      </c>
      <c r="BR20" s="123">
        <f t="shared" si="30"/>
        <v>-0.65327136813535303</v>
      </c>
      <c r="BS20" s="123">
        <f t="shared" si="59"/>
        <v>56.437095452304185</v>
      </c>
      <c r="BT20" s="123">
        <f t="shared" si="60"/>
        <v>134.01118040976476</v>
      </c>
      <c r="BU20" s="123">
        <f t="shared" si="61"/>
        <v>35.424087856897714</v>
      </c>
      <c r="BV20" s="123">
        <f t="shared" si="62"/>
        <v>42.810394901722987</v>
      </c>
      <c r="BW20" s="123">
        <f t="shared" si="63"/>
        <v>68.667936470774464</v>
      </c>
      <c r="BX20" s="123">
        <f t="shared" si="64"/>
        <v>78.252753184397989</v>
      </c>
      <c r="BY20" s="123">
        <f t="shared" si="65"/>
        <v>94.547228197183259</v>
      </c>
      <c r="BZ20" s="123">
        <f t="shared" si="66"/>
        <v>106.39415111316158</v>
      </c>
      <c r="CA20" s="123">
        <f t="shared" si="67"/>
        <v>114.2973449594912</v>
      </c>
      <c r="CB20" s="123">
        <f t="shared" si="68"/>
        <v>127.60610331637088</v>
      </c>
      <c r="CC20" s="123">
        <f t="shared" si="69"/>
        <v>1.1625982470516784E-2</v>
      </c>
      <c r="CD20" s="123">
        <f t="shared" si="70"/>
        <v>1.4691067337912261E-2</v>
      </c>
      <c r="CE20" s="123">
        <f t="shared" si="71"/>
        <v>28.696690452912026</v>
      </c>
      <c r="CF20" s="123">
        <f t="shared" si="72"/>
        <v>29.661930236743164</v>
      </c>
      <c r="CG20" s="261">
        <f t="shared" si="31"/>
        <v>4.6579973341037062E-3</v>
      </c>
      <c r="CH20" s="261">
        <f t="shared" si="32"/>
        <v>5.3410578435228997E-3</v>
      </c>
      <c r="CI20" s="261">
        <f t="shared" si="33"/>
        <v>4.6322196240640304E-3</v>
      </c>
      <c r="CJ20" s="261">
        <f t="shared" si="34"/>
        <v>5.2936118196245515E-3</v>
      </c>
      <c r="CK20" s="261">
        <f t="shared" si="35"/>
        <v>-2.62020899613848E-4</v>
      </c>
      <c r="CL20" s="261">
        <f t="shared" si="36"/>
        <v>2.0015946921793468E-4</v>
      </c>
      <c r="CM20" s="123" t="e">
        <f t="shared" si="73"/>
        <v>#DIV/0!</v>
      </c>
      <c r="CN20" s="123" t="e">
        <f t="shared" si="74"/>
        <v>#DIV/0!</v>
      </c>
      <c r="CO20" s="123" t="e">
        <f t="shared" si="75"/>
        <v>#DIV/0!</v>
      </c>
      <c r="CP20" s="123" t="e">
        <f t="shared" si="76"/>
        <v>#DIV/0!</v>
      </c>
      <c r="CQ20" s="123" t="e">
        <f t="shared" si="77"/>
        <v>#DIV/0!</v>
      </c>
      <c r="CR20" s="123" t="e">
        <f t="shared" si="78"/>
        <v>#DIV/0!</v>
      </c>
      <c r="CS20" s="123" t="e">
        <f t="shared" si="79"/>
        <v>#DIV/0!</v>
      </c>
      <c r="CT20" s="123" t="e">
        <f t="shared" si="80"/>
        <v>#DIV/0!</v>
      </c>
      <c r="CU20" s="124">
        <f t="shared" si="81"/>
        <v>4.9388614429463438</v>
      </c>
      <c r="CV20" s="173">
        <f t="shared" si="82"/>
        <v>6.3118282122260467</v>
      </c>
      <c r="CW20" s="124">
        <f t="shared" si="83"/>
        <v>0</v>
      </c>
      <c r="CX20" s="171">
        <f t="shared" si="84"/>
        <v>0</v>
      </c>
      <c r="CY20" s="122">
        <f t="shared" si="37"/>
        <v>38</v>
      </c>
      <c r="CZ20" s="231">
        <f t="shared" si="38"/>
        <v>61.774482758620721</v>
      </c>
      <c r="DA20" s="123">
        <f t="shared" si="39"/>
        <v>112.37931034482759</v>
      </c>
      <c r="DB20" s="123">
        <f t="shared" si="40"/>
        <v>113.43103448275862</v>
      </c>
      <c r="DC20" s="123">
        <f t="shared" si="41"/>
        <v>0.18138170498084291</v>
      </c>
      <c r="DD20" s="123">
        <f t="shared" si="42"/>
        <v>160.24062500000002</v>
      </c>
      <c r="DE20" s="123">
        <f t="shared" si="43"/>
        <v>321.22500000000002</v>
      </c>
      <c r="DF20" s="123">
        <f t="shared" si="44"/>
        <v>482.16562499999998</v>
      </c>
      <c r="DG20" s="123">
        <f t="shared" si="45"/>
        <v>600.12241379310342</v>
      </c>
      <c r="DH20" s="123">
        <f t="shared" si="46"/>
        <v>18.147758620689654</v>
      </c>
      <c r="DI20" s="123">
        <f t="shared" si="85"/>
        <v>41.771874999999987</v>
      </c>
      <c r="DJ20" s="123">
        <f t="shared" si="86"/>
        <v>83.715624999999989</v>
      </c>
      <c r="DK20" s="123">
        <f t="shared" si="87"/>
        <v>125.66249999999992</v>
      </c>
      <c r="DL20" s="123">
        <f t="shared" si="88"/>
        <v>156.53620689655173</v>
      </c>
      <c r="DM20" s="123">
        <f t="shared" si="89"/>
        <v>-2.0636206896551719</v>
      </c>
      <c r="DN20" s="123">
        <f t="shared" si="90"/>
        <v>95.224137931034477</v>
      </c>
      <c r="DO20" s="123">
        <f t="shared" si="91"/>
        <v>39.11724137931035</v>
      </c>
      <c r="DP20" s="123">
        <f t="shared" si="92"/>
        <v>73.460344827586226</v>
      </c>
      <c r="DQ20" s="123">
        <f t="shared" si="93"/>
        <v>100.47068965517242</v>
      </c>
      <c r="DR20" s="123">
        <f t="shared" si="94"/>
        <v>120.95172413793104</v>
      </c>
      <c r="DS20" s="123">
        <f t="shared" si="48"/>
        <v>1.3158524904214522E-2</v>
      </c>
      <c r="DT20" s="123">
        <f t="shared" si="49"/>
        <v>29.179310344827595</v>
      </c>
      <c r="DU20" s="261">
        <f t="shared" si="95"/>
        <v>4.9995275888133029E-3</v>
      </c>
      <c r="DV20" s="261">
        <f t="shared" si="96"/>
        <v>4.962915721844291E-3</v>
      </c>
      <c r="DW20" s="261">
        <f t="shared" si="97"/>
        <v>-3.0930715197956654E-5</v>
      </c>
      <c r="DX20" s="123" t="e">
        <f t="shared" si="98"/>
        <v>#DIV/0!</v>
      </c>
      <c r="DY20" s="123" t="e">
        <f t="shared" si="99"/>
        <v>#DIV/0!</v>
      </c>
      <c r="DZ20" s="123" t="e">
        <f t="shared" si="100"/>
        <v>#DIV/0!</v>
      </c>
      <c r="EA20" s="123" t="e">
        <f t="shared" si="101"/>
        <v>#DIV/0!</v>
      </c>
      <c r="EB20" s="176">
        <f t="shared" si="51"/>
        <v>5.6253448275861953</v>
      </c>
      <c r="EC20" s="125">
        <f t="shared" si="52"/>
        <v>0</v>
      </c>
      <c r="ED20" s="179">
        <f t="shared" si="102"/>
        <v>120</v>
      </c>
      <c r="EE20" s="125">
        <f t="shared" si="103"/>
        <v>100</v>
      </c>
      <c r="EF20" s="106"/>
      <c r="EG20" s="106"/>
    </row>
    <row r="21" spans="1:137" ht="11.25" customHeight="1">
      <c r="A21" s="82" t="s">
        <v>189</v>
      </c>
      <c r="B21" s="37">
        <v>34</v>
      </c>
      <c r="C21" s="255">
        <v>61.78</v>
      </c>
      <c r="D21" s="37">
        <v>109</v>
      </c>
      <c r="E21" s="37">
        <v>114</v>
      </c>
      <c r="F21" s="39">
        <v>0.17777777777777778</v>
      </c>
      <c r="G21" s="113">
        <v>618.03</v>
      </c>
      <c r="H21" s="135">
        <v>160.9</v>
      </c>
      <c r="I21" s="135">
        <v>322.89999999999998</v>
      </c>
      <c r="J21" s="135">
        <v>484.8</v>
      </c>
      <c r="K21" s="135">
        <v>581.6</v>
      </c>
      <c r="L21" s="135">
        <f t="shared" si="106"/>
        <v>36.42999999999995</v>
      </c>
      <c r="M21" s="211">
        <v>154.5</v>
      </c>
      <c r="N21" s="135">
        <v>41.8</v>
      </c>
      <c r="O21" s="135">
        <v>83.8</v>
      </c>
      <c r="P21" s="135">
        <v>125.7</v>
      </c>
      <c r="Q21" s="135">
        <v>157.6</v>
      </c>
      <c r="R21" s="136">
        <f t="shared" si="107"/>
        <v>-3.0999999999999943</v>
      </c>
      <c r="S21" s="213">
        <v>82</v>
      </c>
      <c r="T21" s="43">
        <v>43.1</v>
      </c>
      <c r="U21" s="43">
        <v>78</v>
      </c>
      <c r="V21" s="43">
        <v>104.3</v>
      </c>
      <c r="W21" s="43">
        <v>124.3</v>
      </c>
      <c r="X21" s="184">
        <v>0.61527777777777781</v>
      </c>
      <c r="Y21" s="184">
        <v>0.62847222222222221</v>
      </c>
      <c r="Z21" s="184">
        <f t="shared" si="108"/>
        <v>1.3194444444444398E-2</v>
      </c>
      <c r="AA21" s="43">
        <v>29.1</v>
      </c>
      <c r="AB21" s="260">
        <v>5.162037037037037E-3</v>
      </c>
      <c r="AC21" s="260">
        <v>5.0231481481481481E-3</v>
      </c>
      <c r="AD21" s="260">
        <f t="shared" si="4"/>
        <v>-1.3888888888888892E-4</v>
      </c>
      <c r="AE21" s="167"/>
      <c r="AF21" s="47"/>
      <c r="AG21" s="38"/>
      <c r="AH21" s="47"/>
      <c r="AI21" s="158">
        <v>1354.78</v>
      </c>
      <c r="AJ21" s="158">
        <v>1348.75</v>
      </c>
      <c r="AK21" s="169">
        <f t="shared" si="104"/>
        <v>6.0299999999999727</v>
      </c>
      <c r="AL21" s="191">
        <v>0.67638888888888893</v>
      </c>
      <c r="AM21" s="191">
        <v>0.68402777777777779</v>
      </c>
      <c r="AN21" s="192">
        <f t="shared" si="105"/>
        <v>7.6388888888888618E-3</v>
      </c>
      <c r="AO21" s="148">
        <f t="shared" si="53"/>
        <v>28.089877583208697</v>
      </c>
      <c r="AP21" s="149">
        <f t="shared" si="54"/>
        <v>47.910122416791303</v>
      </c>
      <c r="AQ21" s="149">
        <f t="shared" si="7"/>
        <v>61.691860138971634</v>
      </c>
      <c r="AR21" s="149">
        <f t="shared" si="8"/>
        <v>61.857105378269807</v>
      </c>
      <c r="AS21" s="149">
        <f t="shared" si="9"/>
        <v>109.94095976728137</v>
      </c>
      <c r="AT21" s="149">
        <f t="shared" si="10"/>
        <v>114.8176609223738</v>
      </c>
      <c r="AU21" s="149">
        <f t="shared" si="55"/>
        <v>111.93239626243108</v>
      </c>
      <c r="AV21" s="149">
        <f t="shared" si="56"/>
        <v>114.92967270308615</v>
      </c>
      <c r="AW21" s="149">
        <f t="shared" si="57"/>
        <v>0.17368036968193748</v>
      </c>
      <c r="AX21" s="149">
        <f t="shared" si="58"/>
        <v>0.18908304027974834</v>
      </c>
      <c r="AY21" s="123">
        <f t="shared" si="11"/>
        <v>156.83979641263412</v>
      </c>
      <c r="AZ21" s="123">
        <f t="shared" si="12"/>
        <v>163.64145358736593</v>
      </c>
      <c r="BA21" s="123">
        <f t="shared" si="13"/>
        <v>314.2100390293777</v>
      </c>
      <c r="BB21" s="123">
        <f t="shared" si="14"/>
        <v>328.23996097062235</v>
      </c>
      <c r="BC21" s="123">
        <f t="shared" si="15"/>
        <v>471.56159398390412</v>
      </c>
      <c r="BD21" s="123">
        <f t="shared" si="16"/>
        <v>492.76965601609584</v>
      </c>
      <c r="BE21" s="123">
        <f t="shared" si="17"/>
        <v>588.52671906979549</v>
      </c>
      <c r="BF21" s="123">
        <f t="shared" si="18"/>
        <v>611.71810851641135</v>
      </c>
      <c r="BG21" s="123">
        <f t="shared" si="19"/>
        <v>6.4247474531250646</v>
      </c>
      <c r="BH21" s="123">
        <f t="shared" si="20"/>
        <v>29.870769788254243</v>
      </c>
      <c r="BI21" s="123">
        <f t="shared" si="21"/>
        <v>41.634833977180243</v>
      </c>
      <c r="BJ21" s="123">
        <f t="shared" si="22"/>
        <v>41.908916022819731</v>
      </c>
      <c r="BK21" s="123">
        <f t="shared" si="23"/>
        <v>83.527280129290489</v>
      </c>
      <c r="BL21" s="123">
        <f t="shared" si="24"/>
        <v>83.903969870709489</v>
      </c>
      <c r="BM21" s="123">
        <f t="shared" si="25"/>
        <v>125.49642578417671</v>
      </c>
      <c r="BN21" s="123">
        <f t="shared" si="26"/>
        <v>125.82857421582314</v>
      </c>
      <c r="BO21" s="123">
        <f t="shared" si="27"/>
        <v>155.1049414176334</v>
      </c>
      <c r="BP21" s="123">
        <f t="shared" si="28"/>
        <v>157.96747237547007</v>
      </c>
      <c r="BQ21" s="123">
        <f t="shared" si="29"/>
        <v>-3.4739700111749907</v>
      </c>
      <c r="BR21" s="123">
        <f t="shared" si="30"/>
        <v>-0.65327136813535303</v>
      </c>
      <c r="BS21" s="123">
        <f t="shared" si="59"/>
        <v>56.437095452304185</v>
      </c>
      <c r="BT21" s="123">
        <f t="shared" si="60"/>
        <v>134.01118040976476</v>
      </c>
      <c r="BU21" s="123">
        <f t="shared" si="61"/>
        <v>35.424087856897714</v>
      </c>
      <c r="BV21" s="123">
        <f t="shared" si="62"/>
        <v>42.810394901722987</v>
      </c>
      <c r="BW21" s="123">
        <f t="shared" si="63"/>
        <v>68.667936470774464</v>
      </c>
      <c r="BX21" s="123">
        <f t="shared" si="64"/>
        <v>78.252753184397989</v>
      </c>
      <c r="BY21" s="123">
        <f t="shared" si="65"/>
        <v>94.547228197183259</v>
      </c>
      <c r="BZ21" s="123">
        <f t="shared" si="66"/>
        <v>106.39415111316158</v>
      </c>
      <c r="CA21" s="123">
        <f t="shared" si="67"/>
        <v>114.2973449594912</v>
      </c>
      <c r="CB21" s="123">
        <f t="shared" si="68"/>
        <v>127.60610331637088</v>
      </c>
      <c r="CC21" s="123">
        <f t="shared" si="69"/>
        <v>1.1625982470516784E-2</v>
      </c>
      <c r="CD21" s="123">
        <f t="shared" si="70"/>
        <v>1.4691067337912261E-2</v>
      </c>
      <c r="CE21" s="123">
        <f t="shared" si="71"/>
        <v>28.696690452912026</v>
      </c>
      <c r="CF21" s="123">
        <f t="shared" si="72"/>
        <v>29.661930236743164</v>
      </c>
      <c r="CG21" s="261">
        <f t="shared" si="31"/>
        <v>4.6579973341037062E-3</v>
      </c>
      <c r="CH21" s="261">
        <f t="shared" si="32"/>
        <v>5.3410578435228997E-3</v>
      </c>
      <c r="CI21" s="261">
        <f t="shared" si="33"/>
        <v>4.6322196240640304E-3</v>
      </c>
      <c r="CJ21" s="261">
        <f t="shared" si="34"/>
        <v>5.2936118196245515E-3</v>
      </c>
      <c r="CK21" s="261">
        <f t="shared" si="35"/>
        <v>-2.62020899613848E-4</v>
      </c>
      <c r="CL21" s="261">
        <f t="shared" si="36"/>
        <v>2.0015946921793468E-4</v>
      </c>
      <c r="CM21" s="123" t="e">
        <f t="shared" si="73"/>
        <v>#DIV/0!</v>
      </c>
      <c r="CN21" s="123" t="e">
        <f t="shared" si="74"/>
        <v>#DIV/0!</v>
      </c>
      <c r="CO21" s="123" t="e">
        <f t="shared" si="75"/>
        <v>#DIV/0!</v>
      </c>
      <c r="CP21" s="123" t="e">
        <f t="shared" si="76"/>
        <v>#DIV/0!</v>
      </c>
      <c r="CQ21" s="123" t="e">
        <f t="shared" si="77"/>
        <v>#DIV/0!</v>
      </c>
      <c r="CR21" s="123" t="e">
        <f t="shared" si="78"/>
        <v>#DIV/0!</v>
      </c>
      <c r="CS21" s="123" t="e">
        <f t="shared" si="79"/>
        <v>#DIV/0!</v>
      </c>
      <c r="CT21" s="123" t="e">
        <f t="shared" si="80"/>
        <v>#DIV/0!</v>
      </c>
      <c r="CU21" s="124">
        <f t="shared" si="81"/>
        <v>4.9388614429463438</v>
      </c>
      <c r="CV21" s="173">
        <f t="shared" si="82"/>
        <v>6.3118282122260467</v>
      </c>
      <c r="CW21" s="124">
        <f t="shared" si="83"/>
        <v>0</v>
      </c>
      <c r="CX21" s="171">
        <f t="shared" si="84"/>
        <v>0</v>
      </c>
      <c r="CY21" s="122">
        <f t="shared" si="37"/>
        <v>38</v>
      </c>
      <c r="CZ21" s="231">
        <f t="shared" si="38"/>
        <v>61.774482758620721</v>
      </c>
      <c r="DA21" s="123">
        <f t="shared" si="39"/>
        <v>112.37931034482759</v>
      </c>
      <c r="DB21" s="123">
        <f t="shared" si="40"/>
        <v>113.43103448275862</v>
      </c>
      <c r="DC21" s="123">
        <f t="shared" si="41"/>
        <v>0.18138170498084291</v>
      </c>
      <c r="DD21" s="123">
        <f t="shared" si="42"/>
        <v>160.24062500000002</v>
      </c>
      <c r="DE21" s="123">
        <f t="shared" si="43"/>
        <v>321.22500000000002</v>
      </c>
      <c r="DF21" s="123">
        <f t="shared" si="44"/>
        <v>482.16562499999998</v>
      </c>
      <c r="DG21" s="123">
        <f t="shared" si="45"/>
        <v>600.12241379310342</v>
      </c>
      <c r="DH21" s="123">
        <f t="shared" si="46"/>
        <v>18.147758620689654</v>
      </c>
      <c r="DI21" s="123">
        <f t="shared" si="85"/>
        <v>41.771874999999987</v>
      </c>
      <c r="DJ21" s="123">
        <f t="shared" si="86"/>
        <v>83.715624999999989</v>
      </c>
      <c r="DK21" s="123">
        <f t="shared" si="87"/>
        <v>125.66249999999992</v>
      </c>
      <c r="DL21" s="123">
        <f t="shared" si="88"/>
        <v>156.53620689655173</v>
      </c>
      <c r="DM21" s="123">
        <f t="shared" si="89"/>
        <v>-2.0636206896551719</v>
      </c>
      <c r="DN21" s="123">
        <f t="shared" si="90"/>
        <v>95.224137931034477</v>
      </c>
      <c r="DO21" s="123">
        <f t="shared" si="91"/>
        <v>39.11724137931035</v>
      </c>
      <c r="DP21" s="123">
        <f t="shared" si="92"/>
        <v>73.460344827586226</v>
      </c>
      <c r="DQ21" s="123">
        <f t="shared" si="93"/>
        <v>100.47068965517242</v>
      </c>
      <c r="DR21" s="123">
        <f t="shared" si="94"/>
        <v>120.95172413793104</v>
      </c>
      <c r="DS21" s="123">
        <f t="shared" si="48"/>
        <v>1.3158524904214522E-2</v>
      </c>
      <c r="DT21" s="123">
        <f t="shared" si="49"/>
        <v>29.179310344827595</v>
      </c>
      <c r="DU21" s="261">
        <f t="shared" si="95"/>
        <v>4.9995275888133029E-3</v>
      </c>
      <c r="DV21" s="261">
        <f t="shared" si="96"/>
        <v>4.962915721844291E-3</v>
      </c>
      <c r="DW21" s="261">
        <f t="shared" si="97"/>
        <v>-3.0930715197956654E-5</v>
      </c>
      <c r="DX21" s="123" t="e">
        <f t="shared" si="98"/>
        <v>#DIV/0!</v>
      </c>
      <c r="DY21" s="123" t="e">
        <f t="shared" si="99"/>
        <v>#DIV/0!</v>
      </c>
      <c r="DZ21" s="123" t="e">
        <f t="shared" si="100"/>
        <v>#DIV/0!</v>
      </c>
      <c r="EA21" s="123" t="e">
        <f t="shared" si="101"/>
        <v>#DIV/0!</v>
      </c>
      <c r="EB21" s="176">
        <f t="shared" si="51"/>
        <v>5.6253448275861953</v>
      </c>
      <c r="EC21" s="125">
        <f t="shared" si="52"/>
        <v>0</v>
      </c>
      <c r="ED21" s="179">
        <f t="shared" si="102"/>
        <v>120</v>
      </c>
      <c r="EE21" s="125">
        <f t="shared" si="103"/>
        <v>100</v>
      </c>
      <c r="EF21" s="106"/>
      <c r="EG21" s="106"/>
    </row>
    <row r="22" spans="1:137" ht="11.25" customHeight="1">
      <c r="A22" s="82" t="s">
        <v>190</v>
      </c>
      <c r="B22" s="37">
        <v>35</v>
      </c>
      <c r="C22" s="255">
        <v>61.8</v>
      </c>
      <c r="D22" s="37">
        <v>109</v>
      </c>
      <c r="E22" s="37">
        <v>113</v>
      </c>
      <c r="F22" s="39">
        <v>0.18055555555555555</v>
      </c>
      <c r="G22" s="113">
        <v>618.36</v>
      </c>
      <c r="H22" s="135">
        <v>161.6</v>
      </c>
      <c r="I22" s="135">
        <v>323.8</v>
      </c>
      <c r="J22" s="135">
        <v>486</v>
      </c>
      <c r="K22" s="135">
        <v>583.5</v>
      </c>
      <c r="L22" s="135">
        <f t="shared" si="106"/>
        <v>34.860000000000014</v>
      </c>
      <c r="M22" s="211">
        <v>154.41</v>
      </c>
      <c r="N22" s="135">
        <v>41.8</v>
      </c>
      <c r="O22" s="135">
        <v>83.7</v>
      </c>
      <c r="P22" s="135">
        <v>125.7</v>
      </c>
      <c r="Q22" s="135">
        <v>156.69999999999999</v>
      </c>
      <c r="R22" s="136">
        <f t="shared" si="107"/>
        <v>-2.289999999999992</v>
      </c>
      <c r="S22" s="212">
        <v>91</v>
      </c>
      <c r="T22" s="43">
        <v>43.5</v>
      </c>
      <c r="U22" s="43">
        <v>76.599999999999994</v>
      </c>
      <c r="V22" s="43">
        <v>102.7</v>
      </c>
      <c r="W22" s="43">
        <v>122.5</v>
      </c>
      <c r="X22" s="184">
        <v>0.61805555555555558</v>
      </c>
      <c r="Y22" s="184">
        <v>0.63124999999999998</v>
      </c>
      <c r="Z22" s="184">
        <f t="shared" si="108"/>
        <v>1.3194444444444398E-2</v>
      </c>
      <c r="AA22" s="43">
        <v>29.2</v>
      </c>
      <c r="AB22" s="260">
        <v>5.2777777777777771E-3</v>
      </c>
      <c r="AC22" s="260">
        <v>5.2430555555555555E-3</v>
      </c>
      <c r="AD22" s="260">
        <f t="shared" si="4"/>
        <v>-3.4722222222221578E-5</v>
      </c>
      <c r="AE22" s="167"/>
      <c r="AF22" s="47"/>
      <c r="AG22" s="38"/>
      <c r="AH22" s="47"/>
      <c r="AI22" s="157">
        <v>1355.04</v>
      </c>
      <c r="AJ22" s="158">
        <v>1349.74</v>
      </c>
      <c r="AK22" s="169">
        <f t="shared" si="104"/>
        <v>5.2999999999999545</v>
      </c>
      <c r="AL22" s="191">
        <v>0.67986111111111114</v>
      </c>
      <c r="AM22" s="191">
        <v>0.6875</v>
      </c>
      <c r="AN22" s="192">
        <f t="shared" si="105"/>
        <v>7.6388888888888618E-3</v>
      </c>
      <c r="AO22" s="148">
        <f t="shared" si="53"/>
        <v>28.089877583208697</v>
      </c>
      <c r="AP22" s="149">
        <f t="shared" si="54"/>
        <v>47.910122416791303</v>
      </c>
      <c r="AQ22" s="149">
        <f t="shared" si="7"/>
        <v>61.691860138971634</v>
      </c>
      <c r="AR22" s="149">
        <f t="shared" si="8"/>
        <v>61.857105378269807</v>
      </c>
      <c r="AS22" s="149">
        <f t="shared" si="9"/>
        <v>109.94095976728137</v>
      </c>
      <c r="AT22" s="149">
        <f t="shared" si="10"/>
        <v>114.8176609223738</v>
      </c>
      <c r="AU22" s="149">
        <f t="shared" si="55"/>
        <v>111.93239626243108</v>
      </c>
      <c r="AV22" s="149">
        <f t="shared" si="56"/>
        <v>114.92967270308615</v>
      </c>
      <c r="AW22" s="149">
        <f t="shared" si="57"/>
        <v>0.17368036968193748</v>
      </c>
      <c r="AX22" s="149">
        <f t="shared" si="58"/>
        <v>0.18908304027974834</v>
      </c>
      <c r="AY22" s="123">
        <f t="shared" si="11"/>
        <v>156.83979641263412</v>
      </c>
      <c r="AZ22" s="123">
        <f t="shared" si="12"/>
        <v>163.64145358736593</v>
      </c>
      <c r="BA22" s="123">
        <f t="shared" si="13"/>
        <v>314.2100390293777</v>
      </c>
      <c r="BB22" s="123">
        <f t="shared" si="14"/>
        <v>328.23996097062235</v>
      </c>
      <c r="BC22" s="123">
        <f t="shared" si="15"/>
        <v>471.56159398390412</v>
      </c>
      <c r="BD22" s="123">
        <f t="shared" si="16"/>
        <v>492.76965601609584</v>
      </c>
      <c r="BE22" s="123">
        <f t="shared" si="17"/>
        <v>588.52671906979549</v>
      </c>
      <c r="BF22" s="123">
        <f t="shared" si="18"/>
        <v>611.71810851641135</v>
      </c>
      <c r="BG22" s="123">
        <f t="shared" si="19"/>
        <v>6.4247474531250646</v>
      </c>
      <c r="BH22" s="123">
        <f t="shared" si="20"/>
        <v>29.870769788254243</v>
      </c>
      <c r="BI22" s="123">
        <f t="shared" si="21"/>
        <v>41.634833977180243</v>
      </c>
      <c r="BJ22" s="123">
        <f t="shared" si="22"/>
        <v>41.908916022819731</v>
      </c>
      <c r="BK22" s="123">
        <f t="shared" si="23"/>
        <v>83.527280129290489</v>
      </c>
      <c r="BL22" s="123">
        <f t="shared" si="24"/>
        <v>83.903969870709489</v>
      </c>
      <c r="BM22" s="123">
        <f t="shared" si="25"/>
        <v>125.49642578417671</v>
      </c>
      <c r="BN22" s="123">
        <f t="shared" si="26"/>
        <v>125.82857421582314</v>
      </c>
      <c r="BO22" s="123">
        <f t="shared" si="27"/>
        <v>155.1049414176334</v>
      </c>
      <c r="BP22" s="123">
        <f t="shared" si="28"/>
        <v>157.96747237547007</v>
      </c>
      <c r="BQ22" s="123">
        <f t="shared" si="29"/>
        <v>-3.4739700111749907</v>
      </c>
      <c r="BR22" s="123">
        <f t="shared" si="30"/>
        <v>-0.65327136813535303</v>
      </c>
      <c r="BS22" s="123">
        <f t="shared" si="59"/>
        <v>56.437095452304185</v>
      </c>
      <c r="BT22" s="123">
        <f t="shared" si="60"/>
        <v>134.01118040976476</v>
      </c>
      <c r="BU22" s="123">
        <f t="shared" si="61"/>
        <v>35.424087856897714</v>
      </c>
      <c r="BV22" s="123">
        <f t="shared" si="62"/>
        <v>42.810394901722987</v>
      </c>
      <c r="BW22" s="123">
        <f t="shared" si="63"/>
        <v>68.667936470774464</v>
      </c>
      <c r="BX22" s="123">
        <f t="shared" si="64"/>
        <v>78.252753184397989</v>
      </c>
      <c r="BY22" s="123">
        <f t="shared" si="65"/>
        <v>94.547228197183259</v>
      </c>
      <c r="BZ22" s="123">
        <f t="shared" si="66"/>
        <v>106.39415111316158</v>
      </c>
      <c r="CA22" s="123">
        <f t="shared" si="67"/>
        <v>114.2973449594912</v>
      </c>
      <c r="CB22" s="123">
        <f t="shared" si="68"/>
        <v>127.60610331637088</v>
      </c>
      <c r="CC22" s="123">
        <f t="shared" si="69"/>
        <v>1.1625982470516784E-2</v>
      </c>
      <c r="CD22" s="123">
        <f t="shared" si="70"/>
        <v>1.4691067337912261E-2</v>
      </c>
      <c r="CE22" s="123">
        <f t="shared" si="71"/>
        <v>28.696690452912026</v>
      </c>
      <c r="CF22" s="123">
        <f t="shared" si="72"/>
        <v>29.661930236743164</v>
      </c>
      <c r="CG22" s="261">
        <f t="shared" si="31"/>
        <v>4.6579973341037062E-3</v>
      </c>
      <c r="CH22" s="261">
        <f t="shared" si="32"/>
        <v>5.3410578435228997E-3</v>
      </c>
      <c r="CI22" s="261">
        <f t="shared" si="33"/>
        <v>4.6322196240640304E-3</v>
      </c>
      <c r="CJ22" s="261">
        <f t="shared" si="34"/>
        <v>5.2936118196245515E-3</v>
      </c>
      <c r="CK22" s="261">
        <f t="shared" si="35"/>
        <v>-2.62020899613848E-4</v>
      </c>
      <c r="CL22" s="261">
        <f t="shared" si="36"/>
        <v>2.0015946921793468E-4</v>
      </c>
      <c r="CM22" s="123" t="e">
        <f t="shared" si="73"/>
        <v>#DIV/0!</v>
      </c>
      <c r="CN22" s="123" t="e">
        <f t="shared" si="74"/>
        <v>#DIV/0!</v>
      </c>
      <c r="CO22" s="123" t="e">
        <f t="shared" si="75"/>
        <v>#DIV/0!</v>
      </c>
      <c r="CP22" s="123" t="e">
        <f t="shared" si="76"/>
        <v>#DIV/0!</v>
      </c>
      <c r="CQ22" s="123" t="e">
        <f t="shared" si="77"/>
        <v>#DIV/0!</v>
      </c>
      <c r="CR22" s="123" t="e">
        <f t="shared" si="78"/>
        <v>#DIV/0!</v>
      </c>
      <c r="CS22" s="123" t="e">
        <f t="shared" si="79"/>
        <v>#DIV/0!</v>
      </c>
      <c r="CT22" s="123" t="e">
        <f t="shared" si="80"/>
        <v>#DIV/0!</v>
      </c>
      <c r="CU22" s="124">
        <f t="shared" si="81"/>
        <v>4.9388614429463438</v>
      </c>
      <c r="CV22" s="173">
        <f t="shared" si="82"/>
        <v>6.3118282122260467</v>
      </c>
      <c r="CW22" s="124">
        <f t="shared" si="83"/>
        <v>0</v>
      </c>
      <c r="CX22" s="171">
        <f t="shared" si="84"/>
        <v>0</v>
      </c>
      <c r="CY22" s="122">
        <f t="shared" ref="CY22:CY27" si="109">B$91</f>
        <v>38</v>
      </c>
      <c r="CZ22" s="231">
        <f t="shared" ref="CZ22:DA27" si="110">C$91</f>
        <v>61.774482758620721</v>
      </c>
      <c r="DA22" s="123">
        <f t="shared" si="110"/>
        <v>112.37931034482759</v>
      </c>
      <c r="DB22" s="123">
        <f t="shared" ref="DB22:DB27" si="111">E$91</f>
        <v>113.43103448275862</v>
      </c>
      <c r="DC22" s="123">
        <f t="shared" ref="DC22:DC27" si="112">F$91</f>
        <v>0.18138170498084291</v>
      </c>
      <c r="DD22" s="123">
        <f t="shared" si="42"/>
        <v>160.24062500000002</v>
      </c>
      <c r="DE22" s="123">
        <f t="shared" si="43"/>
        <v>321.22500000000002</v>
      </c>
      <c r="DF22" s="123">
        <f t="shared" si="44"/>
        <v>482.16562499999998</v>
      </c>
      <c r="DG22" s="123">
        <f t="shared" si="45"/>
        <v>600.12241379310342</v>
      </c>
      <c r="DH22" s="123">
        <f t="shared" si="46"/>
        <v>18.147758620689654</v>
      </c>
      <c r="DI22" s="123">
        <f t="shared" si="85"/>
        <v>41.771874999999987</v>
      </c>
      <c r="DJ22" s="123">
        <f t="shared" si="86"/>
        <v>83.715624999999989</v>
      </c>
      <c r="DK22" s="123">
        <f t="shared" si="87"/>
        <v>125.66249999999992</v>
      </c>
      <c r="DL22" s="123">
        <f t="shared" si="88"/>
        <v>156.53620689655173</v>
      </c>
      <c r="DM22" s="123">
        <f t="shared" si="89"/>
        <v>-2.0636206896551719</v>
      </c>
      <c r="DN22" s="123">
        <f t="shared" si="90"/>
        <v>95.224137931034477</v>
      </c>
      <c r="DO22" s="123">
        <f t="shared" ref="DO22:DO27" si="113">T$91</f>
        <v>39.11724137931035</v>
      </c>
      <c r="DP22" s="123">
        <f t="shared" ref="DP22:DP27" si="114">U$91</f>
        <v>73.460344827586226</v>
      </c>
      <c r="DQ22" s="123">
        <f t="shared" ref="DQ22:DQ27" si="115">V$91</f>
        <v>100.47068965517242</v>
      </c>
      <c r="DR22" s="123">
        <f t="shared" ref="DR22:DR27" si="116">W$91</f>
        <v>120.95172413793104</v>
      </c>
      <c r="DS22" s="123">
        <f t="shared" si="48"/>
        <v>1.3158524904214522E-2</v>
      </c>
      <c r="DT22" s="123">
        <f t="shared" si="49"/>
        <v>29.179310344827595</v>
      </c>
      <c r="DU22" s="261">
        <f t="shared" ref="DU22:DX27" si="117">AB$91</f>
        <v>4.9995275888133029E-3</v>
      </c>
      <c r="DV22" s="261">
        <f t="shared" si="117"/>
        <v>4.962915721844291E-3</v>
      </c>
      <c r="DW22" s="261">
        <f t="shared" si="117"/>
        <v>-3.0930715197956654E-5</v>
      </c>
      <c r="DX22" s="123" t="e">
        <f t="shared" si="117"/>
        <v>#DIV/0!</v>
      </c>
      <c r="DY22" s="123" t="e">
        <f t="shared" ref="DY22:DY27" si="118">AF$91</f>
        <v>#DIV/0!</v>
      </c>
      <c r="DZ22" s="123" t="e">
        <f t="shared" ref="DZ22:DZ27" si="119">AG$91</f>
        <v>#DIV/0!</v>
      </c>
      <c r="EA22" s="123" t="e">
        <f t="shared" ref="EA22:EA27" si="120">AH$91</f>
        <v>#DIV/0!</v>
      </c>
      <c r="EB22" s="176">
        <f t="shared" si="51"/>
        <v>5.6253448275861953</v>
      </c>
      <c r="EC22" s="125">
        <f t="shared" si="52"/>
        <v>0</v>
      </c>
      <c r="ED22" s="179">
        <f t="shared" si="102"/>
        <v>120</v>
      </c>
      <c r="EE22" s="125">
        <f t="shared" si="103"/>
        <v>100</v>
      </c>
      <c r="EF22" s="106"/>
      <c r="EG22" s="106"/>
    </row>
    <row r="23" spans="1:137" ht="11.25" customHeight="1">
      <c r="A23" s="82" t="s">
        <v>191</v>
      </c>
      <c r="B23" s="37">
        <v>33</v>
      </c>
      <c r="C23" s="255">
        <v>61.76</v>
      </c>
      <c r="D23" s="37">
        <v>110</v>
      </c>
      <c r="E23" s="37">
        <v>113</v>
      </c>
      <c r="F23" s="39">
        <v>0.17847222222222223</v>
      </c>
      <c r="G23" s="113">
        <f>220.96+8.87+22.08+35.35+53.01+39.8+61.76+57.45+119.24</f>
        <v>618.52</v>
      </c>
      <c r="H23" s="135">
        <v>161.5</v>
      </c>
      <c r="I23" s="135">
        <v>323.60000000000002</v>
      </c>
      <c r="J23" s="135">
        <v>485.5</v>
      </c>
      <c r="K23" s="135">
        <v>589</v>
      </c>
      <c r="L23" s="135">
        <f t="shared" si="106"/>
        <v>29.519999999999982</v>
      </c>
      <c r="M23" s="211">
        <f>30.89+123.63</f>
        <v>154.51999999999998</v>
      </c>
      <c r="N23" s="135">
        <v>41.7</v>
      </c>
      <c r="O23" s="135">
        <v>83.7</v>
      </c>
      <c r="P23" s="135">
        <v>125.6</v>
      </c>
      <c r="Q23" s="135">
        <v>157</v>
      </c>
      <c r="R23" s="136">
        <f t="shared" si="107"/>
        <v>-2.4800000000000182</v>
      </c>
      <c r="S23" s="212">
        <v>92</v>
      </c>
      <c r="T23" s="43">
        <v>42.3</v>
      </c>
      <c r="U23" s="43">
        <v>76.2</v>
      </c>
      <c r="V23" s="43">
        <v>103.1</v>
      </c>
      <c r="W23" s="43">
        <v>123.6</v>
      </c>
      <c r="X23" s="184">
        <v>0.61597222222222225</v>
      </c>
      <c r="Y23" s="184">
        <v>0.62916666666666665</v>
      </c>
      <c r="Z23" s="184">
        <f t="shared" si="108"/>
        <v>1.3194444444444398E-2</v>
      </c>
      <c r="AA23" s="43">
        <v>29.4</v>
      </c>
      <c r="AB23" s="260">
        <v>5.2199074074074066E-3</v>
      </c>
      <c r="AC23" s="260">
        <v>5.1504629629629635E-3</v>
      </c>
      <c r="AD23" s="260">
        <f t="shared" si="4"/>
        <v>-6.9444444444443157E-5</v>
      </c>
      <c r="AE23" s="48"/>
      <c r="AF23" s="47"/>
      <c r="AG23" s="38"/>
      <c r="AH23" s="47"/>
      <c r="AI23" s="157">
        <v>1355.4</v>
      </c>
      <c r="AJ23" s="158">
        <v>1349.61</v>
      </c>
      <c r="AK23" s="169">
        <f t="shared" si="104"/>
        <v>5.790000000000191</v>
      </c>
      <c r="AL23" s="191">
        <v>0.68194444444444446</v>
      </c>
      <c r="AM23" s="191">
        <v>0.69097222222222221</v>
      </c>
      <c r="AN23" s="192">
        <f t="shared" si="105"/>
        <v>9.0277777777777457E-3</v>
      </c>
      <c r="AO23" s="148">
        <f t="shared" si="53"/>
        <v>28.089877583208697</v>
      </c>
      <c r="AP23" s="149">
        <f t="shared" si="54"/>
        <v>47.910122416791303</v>
      </c>
      <c r="AQ23" s="149">
        <f t="shared" si="7"/>
        <v>61.691860138971634</v>
      </c>
      <c r="AR23" s="149">
        <f t="shared" si="8"/>
        <v>61.857105378269807</v>
      </c>
      <c r="AS23" s="149">
        <f t="shared" si="9"/>
        <v>109.94095976728137</v>
      </c>
      <c r="AT23" s="149">
        <f t="shared" si="10"/>
        <v>114.8176609223738</v>
      </c>
      <c r="AU23" s="149">
        <f t="shared" si="55"/>
        <v>111.93239626243108</v>
      </c>
      <c r="AV23" s="149">
        <f t="shared" si="56"/>
        <v>114.92967270308615</v>
      </c>
      <c r="AW23" s="149">
        <f t="shared" si="57"/>
        <v>0.17368036968193748</v>
      </c>
      <c r="AX23" s="149">
        <f t="shared" si="58"/>
        <v>0.18908304027974834</v>
      </c>
      <c r="AY23" s="123">
        <f t="shared" si="11"/>
        <v>156.83979641263412</v>
      </c>
      <c r="AZ23" s="123">
        <f t="shared" si="12"/>
        <v>163.64145358736593</v>
      </c>
      <c r="BA23" s="123">
        <f t="shared" si="13"/>
        <v>314.2100390293777</v>
      </c>
      <c r="BB23" s="123">
        <f t="shared" si="14"/>
        <v>328.23996097062235</v>
      </c>
      <c r="BC23" s="123">
        <f t="shared" si="15"/>
        <v>471.56159398390412</v>
      </c>
      <c r="BD23" s="123">
        <f t="shared" si="16"/>
        <v>492.76965601609584</v>
      </c>
      <c r="BE23" s="123">
        <f t="shared" si="17"/>
        <v>588.52671906979549</v>
      </c>
      <c r="BF23" s="123">
        <f t="shared" si="18"/>
        <v>611.71810851641135</v>
      </c>
      <c r="BG23" s="123">
        <f t="shared" si="19"/>
        <v>6.4247474531250646</v>
      </c>
      <c r="BH23" s="123">
        <f t="shared" si="20"/>
        <v>29.870769788254243</v>
      </c>
      <c r="BI23" s="123">
        <f t="shared" si="21"/>
        <v>41.634833977180243</v>
      </c>
      <c r="BJ23" s="123">
        <f t="shared" si="22"/>
        <v>41.908916022819731</v>
      </c>
      <c r="BK23" s="123">
        <f t="shared" si="23"/>
        <v>83.527280129290489</v>
      </c>
      <c r="BL23" s="123">
        <f t="shared" si="24"/>
        <v>83.903969870709489</v>
      </c>
      <c r="BM23" s="123">
        <f t="shared" si="25"/>
        <v>125.49642578417671</v>
      </c>
      <c r="BN23" s="123">
        <f t="shared" si="26"/>
        <v>125.82857421582314</v>
      </c>
      <c r="BO23" s="123">
        <f t="shared" si="27"/>
        <v>155.1049414176334</v>
      </c>
      <c r="BP23" s="123">
        <f t="shared" si="28"/>
        <v>157.96747237547007</v>
      </c>
      <c r="BQ23" s="123">
        <f t="shared" si="29"/>
        <v>-3.4739700111749907</v>
      </c>
      <c r="BR23" s="123">
        <f t="shared" si="30"/>
        <v>-0.65327136813535303</v>
      </c>
      <c r="BS23" s="123">
        <f t="shared" si="59"/>
        <v>56.437095452304185</v>
      </c>
      <c r="BT23" s="123">
        <f t="shared" si="60"/>
        <v>134.01118040976476</v>
      </c>
      <c r="BU23" s="123">
        <f t="shared" si="61"/>
        <v>35.424087856897714</v>
      </c>
      <c r="BV23" s="123">
        <f t="shared" si="62"/>
        <v>42.810394901722987</v>
      </c>
      <c r="BW23" s="123">
        <f t="shared" si="63"/>
        <v>68.667936470774464</v>
      </c>
      <c r="BX23" s="123">
        <f t="shared" si="64"/>
        <v>78.252753184397989</v>
      </c>
      <c r="BY23" s="123">
        <f t="shared" si="65"/>
        <v>94.547228197183259</v>
      </c>
      <c r="BZ23" s="123">
        <f t="shared" si="66"/>
        <v>106.39415111316158</v>
      </c>
      <c r="CA23" s="123">
        <f t="shared" si="67"/>
        <v>114.2973449594912</v>
      </c>
      <c r="CB23" s="123">
        <f t="shared" si="68"/>
        <v>127.60610331637088</v>
      </c>
      <c r="CC23" s="123">
        <f t="shared" si="69"/>
        <v>1.1625982470516784E-2</v>
      </c>
      <c r="CD23" s="123">
        <f t="shared" si="70"/>
        <v>1.4691067337912261E-2</v>
      </c>
      <c r="CE23" s="123">
        <f t="shared" si="71"/>
        <v>28.696690452912026</v>
      </c>
      <c r="CF23" s="123">
        <f t="shared" si="72"/>
        <v>29.661930236743164</v>
      </c>
      <c r="CG23" s="261">
        <f t="shared" si="31"/>
        <v>4.6579973341037062E-3</v>
      </c>
      <c r="CH23" s="261">
        <f t="shared" si="32"/>
        <v>5.3410578435228997E-3</v>
      </c>
      <c r="CI23" s="261">
        <f t="shared" si="33"/>
        <v>4.6322196240640304E-3</v>
      </c>
      <c r="CJ23" s="261">
        <f t="shared" si="34"/>
        <v>5.2936118196245515E-3</v>
      </c>
      <c r="CK23" s="261">
        <f t="shared" si="35"/>
        <v>-2.62020899613848E-4</v>
      </c>
      <c r="CL23" s="261">
        <f t="shared" si="36"/>
        <v>2.0015946921793468E-4</v>
      </c>
      <c r="CM23" s="123" t="e">
        <f t="shared" si="73"/>
        <v>#DIV/0!</v>
      </c>
      <c r="CN23" s="123" t="e">
        <f t="shared" si="74"/>
        <v>#DIV/0!</v>
      </c>
      <c r="CO23" s="123" t="e">
        <f t="shared" si="75"/>
        <v>#DIV/0!</v>
      </c>
      <c r="CP23" s="123" t="e">
        <f t="shared" si="76"/>
        <v>#DIV/0!</v>
      </c>
      <c r="CQ23" s="123" t="e">
        <f t="shared" si="77"/>
        <v>#DIV/0!</v>
      </c>
      <c r="CR23" s="123" t="e">
        <f t="shared" si="78"/>
        <v>#DIV/0!</v>
      </c>
      <c r="CS23" s="123" t="e">
        <f t="shared" si="79"/>
        <v>#DIV/0!</v>
      </c>
      <c r="CT23" s="123" t="e">
        <f t="shared" si="80"/>
        <v>#DIV/0!</v>
      </c>
      <c r="CU23" s="124">
        <f t="shared" si="81"/>
        <v>4.9388614429463438</v>
      </c>
      <c r="CV23" s="173">
        <f t="shared" si="82"/>
        <v>6.3118282122260467</v>
      </c>
      <c r="CW23" s="124">
        <f t="shared" si="83"/>
        <v>0</v>
      </c>
      <c r="CX23" s="171">
        <f t="shared" si="84"/>
        <v>0</v>
      </c>
      <c r="CY23" s="122">
        <f t="shared" si="109"/>
        <v>38</v>
      </c>
      <c r="CZ23" s="231">
        <f t="shared" si="110"/>
        <v>61.774482758620721</v>
      </c>
      <c r="DA23" s="123">
        <f t="shared" si="110"/>
        <v>112.37931034482759</v>
      </c>
      <c r="DB23" s="123">
        <f t="shared" si="111"/>
        <v>113.43103448275862</v>
      </c>
      <c r="DC23" s="123">
        <f t="shared" si="112"/>
        <v>0.18138170498084291</v>
      </c>
      <c r="DD23" s="123">
        <f t="shared" si="42"/>
        <v>160.24062500000002</v>
      </c>
      <c r="DE23" s="123">
        <f t="shared" si="43"/>
        <v>321.22500000000002</v>
      </c>
      <c r="DF23" s="123">
        <f t="shared" si="44"/>
        <v>482.16562499999998</v>
      </c>
      <c r="DG23" s="123">
        <f t="shared" si="45"/>
        <v>600.12241379310342</v>
      </c>
      <c r="DH23" s="123">
        <f t="shared" si="46"/>
        <v>18.147758620689654</v>
      </c>
      <c r="DI23" s="123">
        <f t="shared" si="85"/>
        <v>41.771874999999987</v>
      </c>
      <c r="DJ23" s="123">
        <f t="shared" si="86"/>
        <v>83.715624999999989</v>
      </c>
      <c r="DK23" s="123">
        <f t="shared" si="87"/>
        <v>125.66249999999992</v>
      </c>
      <c r="DL23" s="123">
        <f t="shared" si="88"/>
        <v>156.53620689655173</v>
      </c>
      <c r="DM23" s="123">
        <f t="shared" si="89"/>
        <v>-2.0636206896551719</v>
      </c>
      <c r="DN23" s="123">
        <f t="shared" si="90"/>
        <v>95.224137931034477</v>
      </c>
      <c r="DO23" s="123">
        <f t="shared" si="113"/>
        <v>39.11724137931035</v>
      </c>
      <c r="DP23" s="123">
        <f t="shared" si="114"/>
        <v>73.460344827586226</v>
      </c>
      <c r="DQ23" s="123">
        <f t="shared" si="115"/>
        <v>100.47068965517242</v>
      </c>
      <c r="DR23" s="123">
        <f t="shared" si="116"/>
        <v>120.95172413793104</v>
      </c>
      <c r="DS23" s="123">
        <f t="shared" si="48"/>
        <v>1.3158524904214522E-2</v>
      </c>
      <c r="DT23" s="123">
        <f t="shared" si="49"/>
        <v>29.179310344827595</v>
      </c>
      <c r="DU23" s="261">
        <f t="shared" si="117"/>
        <v>4.9995275888133029E-3</v>
      </c>
      <c r="DV23" s="261">
        <f t="shared" si="117"/>
        <v>4.962915721844291E-3</v>
      </c>
      <c r="DW23" s="261">
        <f t="shared" si="117"/>
        <v>-3.0930715197956654E-5</v>
      </c>
      <c r="DX23" s="123" t="e">
        <f t="shared" si="117"/>
        <v>#DIV/0!</v>
      </c>
      <c r="DY23" s="123" t="e">
        <f t="shared" si="118"/>
        <v>#DIV/0!</v>
      </c>
      <c r="DZ23" s="123" t="e">
        <f t="shared" si="119"/>
        <v>#DIV/0!</v>
      </c>
      <c r="EA23" s="123" t="e">
        <f t="shared" si="120"/>
        <v>#DIV/0!</v>
      </c>
      <c r="EB23" s="176">
        <f t="shared" si="51"/>
        <v>5.6253448275861953</v>
      </c>
      <c r="EC23" s="125">
        <f t="shared" si="52"/>
        <v>0</v>
      </c>
      <c r="ED23" s="179">
        <f t="shared" si="102"/>
        <v>120</v>
      </c>
      <c r="EE23" s="125">
        <f t="shared" si="103"/>
        <v>100</v>
      </c>
      <c r="EF23" s="106"/>
      <c r="EG23" s="106"/>
    </row>
    <row r="24" spans="1:137" s="293" customFormat="1" ht="11.25" customHeight="1">
      <c r="A24" s="277" t="s">
        <v>192</v>
      </c>
      <c r="B24" s="160">
        <v>31</v>
      </c>
      <c r="C24" s="257">
        <v>61.8</v>
      </c>
      <c r="D24" s="160">
        <v>112</v>
      </c>
      <c r="E24" s="160">
        <v>114</v>
      </c>
      <c r="F24" s="278">
        <v>0.18333333333333335</v>
      </c>
      <c r="G24" s="270">
        <f>220.77+8.9+22.09+35.33+52.98+39.71+61.8+57.47+119.15</f>
        <v>618.20000000000005</v>
      </c>
      <c r="H24" s="217">
        <v>158.5</v>
      </c>
      <c r="I24" s="217">
        <v>317.5</v>
      </c>
      <c r="J24" s="217">
        <v>476.4</v>
      </c>
      <c r="K24" s="217">
        <v>585.9</v>
      </c>
      <c r="L24" s="217">
        <f t="shared" si="106"/>
        <v>32.300000000000068</v>
      </c>
      <c r="M24" s="228">
        <f>123.6+30.9</f>
        <v>154.5</v>
      </c>
      <c r="N24" s="217">
        <v>41.8</v>
      </c>
      <c r="O24" s="217">
        <v>83.8</v>
      </c>
      <c r="P24" s="217">
        <v>125.7</v>
      </c>
      <c r="Q24" s="217">
        <v>157.1</v>
      </c>
      <c r="R24" s="279">
        <f t="shared" si="107"/>
        <v>-2.5999999999999943</v>
      </c>
      <c r="S24" s="218">
        <v>108</v>
      </c>
      <c r="T24" s="219">
        <v>39.4</v>
      </c>
      <c r="U24" s="219">
        <v>72.900000000000006</v>
      </c>
      <c r="V24" s="219">
        <v>99.7</v>
      </c>
      <c r="W24" s="219">
        <v>119.6</v>
      </c>
      <c r="X24" s="280">
        <v>0.62083333333333335</v>
      </c>
      <c r="Y24" s="220">
        <v>0.63402777777777775</v>
      </c>
      <c r="Z24" s="220">
        <f t="shared" si="108"/>
        <v>1.3194444444444398E-2</v>
      </c>
      <c r="AA24" s="219">
        <v>28.9</v>
      </c>
      <c r="AB24" s="281">
        <v>5.0231481481481481E-3</v>
      </c>
      <c r="AC24" s="281">
        <v>5.0000000000000001E-3</v>
      </c>
      <c r="AD24" s="281">
        <f t="shared" ref="AD24:AD32" si="121">AC24-AB24</f>
        <v>-2.3148148148148008E-5</v>
      </c>
      <c r="AE24" s="221"/>
      <c r="AF24" s="166"/>
      <c r="AG24" s="222"/>
      <c r="AH24" s="166"/>
      <c r="AI24" s="223">
        <v>1354.95</v>
      </c>
      <c r="AJ24" s="224">
        <v>1349.31</v>
      </c>
      <c r="AK24" s="225">
        <f t="shared" si="104"/>
        <v>5.6400000000001</v>
      </c>
      <c r="AL24" s="226">
        <v>0.68194444444444446</v>
      </c>
      <c r="AM24" s="226">
        <v>0.6875</v>
      </c>
      <c r="AN24" s="227">
        <f t="shared" si="105"/>
        <v>5.5555555555555358E-3</v>
      </c>
      <c r="AO24" s="282">
        <f t="shared" si="53"/>
        <v>28.089877583208697</v>
      </c>
      <c r="AP24" s="283">
        <f t="shared" si="54"/>
        <v>47.910122416791303</v>
      </c>
      <c r="AQ24" s="283">
        <f t="shared" si="7"/>
        <v>61.691860138971634</v>
      </c>
      <c r="AR24" s="283">
        <f t="shared" si="8"/>
        <v>61.857105378269807</v>
      </c>
      <c r="AS24" s="283">
        <f t="shared" si="9"/>
        <v>109.94095976728137</v>
      </c>
      <c r="AT24" s="283">
        <f t="shared" si="10"/>
        <v>114.8176609223738</v>
      </c>
      <c r="AU24" s="283">
        <f t="shared" si="55"/>
        <v>111.93239626243108</v>
      </c>
      <c r="AV24" s="283">
        <f t="shared" si="56"/>
        <v>114.92967270308615</v>
      </c>
      <c r="AW24" s="283">
        <f t="shared" si="57"/>
        <v>0.17368036968193748</v>
      </c>
      <c r="AX24" s="283">
        <f t="shared" si="58"/>
        <v>0.18908304027974834</v>
      </c>
      <c r="AY24" s="284">
        <f t="shared" si="11"/>
        <v>156.83979641263412</v>
      </c>
      <c r="AZ24" s="284">
        <f t="shared" si="12"/>
        <v>163.64145358736593</v>
      </c>
      <c r="BA24" s="284">
        <f t="shared" si="13"/>
        <v>314.2100390293777</v>
      </c>
      <c r="BB24" s="284">
        <f t="shared" si="14"/>
        <v>328.23996097062235</v>
      </c>
      <c r="BC24" s="284">
        <f t="shared" si="15"/>
        <v>471.56159398390412</v>
      </c>
      <c r="BD24" s="284">
        <f t="shared" si="16"/>
        <v>492.76965601609584</v>
      </c>
      <c r="BE24" s="284">
        <f t="shared" si="17"/>
        <v>588.52671906979549</v>
      </c>
      <c r="BF24" s="284">
        <f t="shared" si="18"/>
        <v>611.71810851641135</v>
      </c>
      <c r="BG24" s="284">
        <f t="shared" si="19"/>
        <v>6.4247474531250646</v>
      </c>
      <c r="BH24" s="284">
        <f t="shared" si="20"/>
        <v>29.870769788254243</v>
      </c>
      <c r="BI24" s="284">
        <f t="shared" si="21"/>
        <v>41.634833977180243</v>
      </c>
      <c r="BJ24" s="284">
        <f t="shared" si="22"/>
        <v>41.908916022819731</v>
      </c>
      <c r="BK24" s="284">
        <f t="shared" si="23"/>
        <v>83.527280129290489</v>
      </c>
      <c r="BL24" s="284">
        <f t="shared" si="24"/>
        <v>83.903969870709489</v>
      </c>
      <c r="BM24" s="284">
        <f t="shared" si="25"/>
        <v>125.49642578417671</v>
      </c>
      <c r="BN24" s="284">
        <f t="shared" si="26"/>
        <v>125.82857421582314</v>
      </c>
      <c r="BO24" s="284">
        <f t="shared" si="27"/>
        <v>155.1049414176334</v>
      </c>
      <c r="BP24" s="284">
        <f t="shared" si="28"/>
        <v>157.96747237547007</v>
      </c>
      <c r="BQ24" s="284">
        <f t="shared" si="29"/>
        <v>-3.4739700111749907</v>
      </c>
      <c r="BR24" s="284">
        <f t="shared" si="30"/>
        <v>-0.65327136813535303</v>
      </c>
      <c r="BS24" s="284">
        <f t="shared" si="59"/>
        <v>56.437095452304185</v>
      </c>
      <c r="BT24" s="284">
        <f t="shared" si="60"/>
        <v>134.01118040976476</v>
      </c>
      <c r="BU24" s="284">
        <f t="shared" si="61"/>
        <v>35.424087856897714</v>
      </c>
      <c r="BV24" s="284">
        <f t="shared" si="62"/>
        <v>42.810394901722987</v>
      </c>
      <c r="BW24" s="284">
        <f t="shared" si="63"/>
        <v>68.667936470774464</v>
      </c>
      <c r="BX24" s="284">
        <f t="shared" si="64"/>
        <v>78.252753184397989</v>
      </c>
      <c r="BY24" s="284">
        <f t="shared" si="65"/>
        <v>94.547228197183259</v>
      </c>
      <c r="BZ24" s="284">
        <f t="shared" si="66"/>
        <v>106.39415111316158</v>
      </c>
      <c r="CA24" s="284">
        <f t="shared" si="67"/>
        <v>114.2973449594912</v>
      </c>
      <c r="CB24" s="284">
        <f t="shared" si="68"/>
        <v>127.60610331637088</v>
      </c>
      <c r="CC24" s="284">
        <f t="shared" si="69"/>
        <v>1.1625982470516784E-2</v>
      </c>
      <c r="CD24" s="284">
        <f t="shared" si="70"/>
        <v>1.4691067337912261E-2</v>
      </c>
      <c r="CE24" s="284">
        <f t="shared" si="71"/>
        <v>28.696690452912026</v>
      </c>
      <c r="CF24" s="284">
        <f t="shared" si="72"/>
        <v>29.661930236743164</v>
      </c>
      <c r="CG24" s="263">
        <f t="shared" si="31"/>
        <v>4.6579973341037062E-3</v>
      </c>
      <c r="CH24" s="263">
        <f t="shared" si="32"/>
        <v>5.3410578435228997E-3</v>
      </c>
      <c r="CI24" s="263">
        <f t="shared" si="33"/>
        <v>4.6322196240640304E-3</v>
      </c>
      <c r="CJ24" s="263">
        <f t="shared" si="34"/>
        <v>5.2936118196245515E-3</v>
      </c>
      <c r="CK24" s="263">
        <f t="shared" si="35"/>
        <v>-2.62020899613848E-4</v>
      </c>
      <c r="CL24" s="263">
        <f t="shared" si="36"/>
        <v>2.0015946921793468E-4</v>
      </c>
      <c r="CM24" s="284" t="e">
        <f t="shared" si="73"/>
        <v>#DIV/0!</v>
      </c>
      <c r="CN24" s="284" t="e">
        <f t="shared" si="74"/>
        <v>#DIV/0!</v>
      </c>
      <c r="CO24" s="284" t="e">
        <f t="shared" si="75"/>
        <v>#DIV/0!</v>
      </c>
      <c r="CP24" s="284" t="e">
        <f t="shared" si="76"/>
        <v>#DIV/0!</v>
      </c>
      <c r="CQ24" s="284" t="e">
        <f t="shared" si="77"/>
        <v>#DIV/0!</v>
      </c>
      <c r="CR24" s="284" t="e">
        <f t="shared" si="78"/>
        <v>#DIV/0!</v>
      </c>
      <c r="CS24" s="284" t="e">
        <f t="shared" si="79"/>
        <v>#DIV/0!</v>
      </c>
      <c r="CT24" s="284" t="e">
        <f t="shared" si="80"/>
        <v>#DIV/0!</v>
      </c>
      <c r="CU24" s="285">
        <f t="shared" si="81"/>
        <v>4.9388614429463438</v>
      </c>
      <c r="CV24" s="286">
        <f t="shared" si="82"/>
        <v>6.3118282122260467</v>
      </c>
      <c r="CW24" s="285">
        <f t="shared" si="83"/>
        <v>0</v>
      </c>
      <c r="CX24" s="287">
        <f t="shared" si="84"/>
        <v>0</v>
      </c>
      <c r="CY24" s="288">
        <f t="shared" si="109"/>
        <v>38</v>
      </c>
      <c r="CZ24" s="18">
        <f t="shared" si="110"/>
        <v>61.774482758620721</v>
      </c>
      <c r="DA24" s="284">
        <f t="shared" si="110"/>
        <v>112.37931034482759</v>
      </c>
      <c r="DB24" s="284">
        <f t="shared" si="111"/>
        <v>113.43103448275862</v>
      </c>
      <c r="DC24" s="284">
        <f t="shared" si="112"/>
        <v>0.18138170498084291</v>
      </c>
      <c r="DD24" s="284">
        <f t="shared" si="42"/>
        <v>160.24062500000002</v>
      </c>
      <c r="DE24" s="284">
        <f t="shared" si="43"/>
        <v>321.22500000000002</v>
      </c>
      <c r="DF24" s="284">
        <f t="shared" si="44"/>
        <v>482.16562499999998</v>
      </c>
      <c r="DG24" s="284">
        <f t="shared" si="45"/>
        <v>600.12241379310342</v>
      </c>
      <c r="DH24" s="284">
        <f t="shared" si="46"/>
        <v>18.147758620689654</v>
      </c>
      <c r="DI24" s="284">
        <f t="shared" si="85"/>
        <v>41.771874999999987</v>
      </c>
      <c r="DJ24" s="284">
        <f t="shared" si="86"/>
        <v>83.715624999999989</v>
      </c>
      <c r="DK24" s="284">
        <f t="shared" si="87"/>
        <v>125.66249999999992</v>
      </c>
      <c r="DL24" s="284">
        <f t="shared" si="88"/>
        <v>156.53620689655173</v>
      </c>
      <c r="DM24" s="284">
        <f t="shared" si="89"/>
        <v>-2.0636206896551719</v>
      </c>
      <c r="DN24" s="284">
        <f t="shared" si="90"/>
        <v>95.224137931034477</v>
      </c>
      <c r="DO24" s="284">
        <f t="shared" si="113"/>
        <v>39.11724137931035</v>
      </c>
      <c r="DP24" s="284">
        <f t="shared" si="114"/>
        <v>73.460344827586226</v>
      </c>
      <c r="DQ24" s="284">
        <f t="shared" si="115"/>
        <v>100.47068965517242</v>
      </c>
      <c r="DR24" s="284">
        <f t="shared" si="116"/>
        <v>120.95172413793104</v>
      </c>
      <c r="DS24" s="284">
        <f t="shared" si="48"/>
        <v>1.3158524904214522E-2</v>
      </c>
      <c r="DT24" s="284">
        <f t="shared" si="49"/>
        <v>29.179310344827595</v>
      </c>
      <c r="DU24" s="263">
        <f t="shared" si="117"/>
        <v>4.9995275888133029E-3</v>
      </c>
      <c r="DV24" s="263">
        <f t="shared" si="117"/>
        <v>4.962915721844291E-3</v>
      </c>
      <c r="DW24" s="263">
        <f t="shared" si="117"/>
        <v>-3.0930715197956654E-5</v>
      </c>
      <c r="DX24" s="284" t="e">
        <f t="shared" si="117"/>
        <v>#DIV/0!</v>
      </c>
      <c r="DY24" s="284" t="e">
        <f t="shared" si="118"/>
        <v>#DIV/0!</v>
      </c>
      <c r="DZ24" s="284" t="e">
        <f t="shared" si="119"/>
        <v>#DIV/0!</v>
      </c>
      <c r="EA24" s="284" t="e">
        <f t="shared" si="120"/>
        <v>#DIV/0!</v>
      </c>
      <c r="EB24" s="289">
        <f t="shared" si="51"/>
        <v>5.6253448275861953</v>
      </c>
      <c r="EC24" s="290">
        <f t="shared" si="52"/>
        <v>0</v>
      </c>
      <c r="ED24" s="291">
        <f t="shared" si="102"/>
        <v>120</v>
      </c>
      <c r="EE24" s="290">
        <f t="shared" si="103"/>
        <v>100</v>
      </c>
      <c r="EF24" s="292"/>
      <c r="EG24" s="292"/>
    </row>
    <row r="25" spans="1:137" ht="11.25" customHeight="1">
      <c r="A25" s="82" t="s">
        <v>193</v>
      </c>
      <c r="B25" s="160">
        <v>32</v>
      </c>
      <c r="C25" s="257">
        <v>61.77</v>
      </c>
      <c r="D25" s="160">
        <v>113</v>
      </c>
      <c r="E25" s="160">
        <v>114</v>
      </c>
      <c r="F25" s="216">
        <v>0.18611111111111112</v>
      </c>
      <c r="G25" s="270">
        <f>220.81+8.85+22.07+35.35+52.97+39.73+61.77+57.49+119.17</f>
        <v>618.20999999999992</v>
      </c>
      <c r="H25" s="217">
        <v>158.30000000000001</v>
      </c>
      <c r="I25" s="217">
        <v>317.5</v>
      </c>
      <c r="J25" s="217">
        <v>476.6</v>
      </c>
      <c r="K25" s="217">
        <v>592.4</v>
      </c>
      <c r="L25" s="135">
        <f t="shared" si="106"/>
        <v>25.809999999999945</v>
      </c>
      <c r="M25" s="228">
        <f>123.51+30.89</f>
        <v>154.4</v>
      </c>
      <c r="N25" s="217">
        <v>41.8</v>
      </c>
      <c r="O25" s="217">
        <v>83.8</v>
      </c>
      <c r="P25" s="217">
        <v>125.7</v>
      </c>
      <c r="Q25" s="217">
        <v>157</v>
      </c>
      <c r="R25" s="136">
        <f t="shared" si="107"/>
        <v>-2.5999999999999943</v>
      </c>
      <c r="S25" s="218">
        <v>95</v>
      </c>
      <c r="T25" s="219">
        <v>39</v>
      </c>
      <c r="U25" s="219">
        <v>71.2</v>
      </c>
      <c r="V25" s="219">
        <v>97.1</v>
      </c>
      <c r="W25" s="219">
        <v>117.5</v>
      </c>
      <c r="X25" s="185">
        <v>0.62361111111111112</v>
      </c>
      <c r="Y25" s="220">
        <v>0.63680555555555551</v>
      </c>
      <c r="Z25" s="184">
        <f t="shared" si="108"/>
        <v>1.3194444444444398E-2</v>
      </c>
      <c r="AA25" s="219">
        <v>29</v>
      </c>
      <c r="AB25" s="260">
        <v>5.1041666666666666E-3</v>
      </c>
      <c r="AC25" s="260">
        <v>5.0694444444444441E-3</v>
      </c>
      <c r="AD25" s="260">
        <f t="shared" si="121"/>
        <v>-3.4722222222222446E-5</v>
      </c>
      <c r="AE25" s="221"/>
      <c r="AF25" s="166"/>
      <c r="AG25" s="222"/>
      <c r="AH25" s="166"/>
      <c r="AI25" s="223">
        <v>1354.9</v>
      </c>
      <c r="AJ25" s="224">
        <v>1349.29</v>
      </c>
      <c r="AK25" s="225">
        <f t="shared" si="104"/>
        <v>5.6100000000001273</v>
      </c>
      <c r="AL25" s="226">
        <v>0.6875</v>
      </c>
      <c r="AM25" s="226">
        <v>0.69444444444444453</v>
      </c>
      <c r="AN25" s="227">
        <f t="shared" si="105"/>
        <v>6.9444444444445308E-3</v>
      </c>
      <c r="AO25" s="148">
        <f t="shared" si="53"/>
        <v>28.089877583208697</v>
      </c>
      <c r="AP25" s="149">
        <f t="shared" si="54"/>
        <v>47.910122416791303</v>
      </c>
      <c r="AQ25" s="149">
        <f t="shared" si="7"/>
        <v>61.691860138971634</v>
      </c>
      <c r="AR25" s="149">
        <f t="shared" si="8"/>
        <v>61.857105378269807</v>
      </c>
      <c r="AS25" s="149">
        <f t="shared" si="9"/>
        <v>109.94095976728137</v>
      </c>
      <c r="AT25" s="149">
        <f t="shared" si="10"/>
        <v>114.8176609223738</v>
      </c>
      <c r="AU25" s="149">
        <f t="shared" si="55"/>
        <v>111.93239626243108</v>
      </c>
      <c r="AV25" s="149">
        <f t="shared" si="56"/>
        <v>114.92967270308615</v>
      </c>
      <c r="AW25" s="149">
        <f t="shared" si="57"/>
        <v>0.17368036968193748</v>
      </c>
      <c r="AX25" s="149">
        <f t="shared" si="58"/>
        <v>0.18908304027974834</v>
      </c>
      <c r="AY25" s="123">
        <f t="shared" si="11"/>
        <v>156.83979641263412</v>
      </c>
      <c r="AZ25" s="123">
        <f t="shared" si="12"/>
        <v>163.64145358736593</v>
      </c>
      <c r="BA25" s="123">
        <f t="shared" si="13"/>
        <v>314.2100390293777</v>
      </c>
      <c r="BB25" s="123">
        <f t="shared" si="14"/>
        <v>328.23996097062235</v>
      </c>
      <c r="BC25" s="123">
        <f t="shared" si="15"/>
        <v>471.56159398390412</v>
      </c>
      <c r="BD25" s="123">
        <f t="shared" si="16"/>
        <v>492.76965601609584</v>
      </c>
      <c r="BE25" s="123">
        <f t="shared" si="17"/>
        <v>588.52671906979549</v>
      </c>
      <c r="BF25" s="123">
        <f t="shared" si="18"/>
        <v>611.71810851641135</v>
      </c>
      <c r="BG25" s="123">
        <f t="shared" si="19"/>
        <v>6.4247474531250646</v>
      </c>
      <c r="BH25" s="123">
        <f t="shared" si="20"/>
        <v>29.870769788254243</v>
      </c>
      <c r="BI25" s="123">
        <f t="shared" si="21"/>
        <v>41.634833977180243</v>
      </c>
      <c r="BJ25" s="123">
        <f t="shared" si="22"/>
        <v>41.908916022819731</v>
      </c>
      <c r="BK25" s="123">
        <f t="shared" si="23"/>
        <v>83.527280129290489</v>
      </c>
      <c r="BL25" s="123">
        <f t="shared" si="24"/>
        <v>83.903969870709489</v>
      </c>
      <c r="BM25" s="123">
        <f t="shared" si="25"/>
        <v>125.49642578417671</v>
      </c>
      <c r="BN25" s="123">
        <f t="shared" si="26"/>
        <v>125.82857421582314</v>
      </c>
      <c r="BO25" s="123">
        <f t="shared" si="27"/>
        <v>155.1049414176334</v>
      </c>
      <c r="BP25" s="123">
        <f t="shared" si="28"/>
        <v>157.96747237547007</v>
      </c>
      <c r="BQ25" s="123">
        <f t="shared" si="29"/>
        <v>-3.4739700111749907</v>
      </c>
      <c r="BR25" s="123">
        <f t="shared" si="30"/>
        <v>-0.65327136813535303</v>
      </c>
      <c r="BS25" s="123">
        <f t="shared" si="59"/>
        <v>56.437095452304185</v>
      </c>
      <c r="BT25" s="123">
        <f t="shared" si="60"/>
        <v>134.01118040976476</v>
      </c>
      <c r="BU25" s="123">
        <f t="shared" si="61"/>
        <v>35.424087856897714</v>
      </c>
      <c r="BV25" s="123">
        <f t="shared" si="62"/>
        <v>42.810394901722987</v>
      </c>
      <c r="BW25" s="123">
        <f t="shared" si="63"/>
        <v>68.667936470774464</v>
      </c>
      <c r="BX25" s="123">
        <f t="shared" si="64"/>
        <v>78.252753184397989</v>
      </c>
      <c r="BY25" s="123">
        <f t="shared" si="65"/>
        <v>94.547228197183259</v>
      </c>
      <c r="BZ25" s="123">
        <f t="shared" si="66"/>
        <v>106.39415111316158</v>
      </c>
      <c r="CA25" s="123">
        <f t="shared" si="67"/>
        <v>114.2973449594912</v>
      </c>
      <c r="CB25" s="123">
        <f t="shared" si="68"/>
        <v>127.60610331637088</v>
      </c>
      <c r="CC25" s="123">
        <f t="shared" si="69"/>
        <v>1.1625982470516784E-2</v>
      </c>
      <c r="CD25" s="123">
        <f t="shared" si="70"/>
        <v>1.4691067337912261E-2</v>
      </c>
      <c r="CE25" s="123">
        <f t="shared" si="71"/>
        <v>28.696690452912026</v>
      </c>
      <c r="CF25" s="123">
        <f t="shared" si="72"/>
        <v>29.661930236743164</v>
      </c>
      <c r="CG25" s="261">
        <f t="shared" si="31"/>
        <v>4.6579973341037062E-3</v>
      </c>
      <c r="CH25" s="261">
        <f t="shared" si="32"/>
        <v>5.3410578435228997E-3</v>
      </c>
      <c r="CI25" s="261">
        <f t="shared" si="33"/>
        <v>4.6322196240640304E-3</v>
      </c>
      <c r="CJ25" s="261">
        <f t="shared" si="34"/>
        <v>5.2936118196245515E-3</v>
      </c>
      <c r="CK25" s="261">
        <f t="shared" si="35"/>
        <v>-2.62020899613848E-4</v>
      </c>
      <c r="CL25" s="261">
        <f t="shared" si="36"/>
        <v>2.0015946921793468E-4</v>
      </c>
      <c r="CM25" s="123" t="e">
        <f t="shared" si="73"/>
        <v>#DIV/0!</v>
      </c>
      <c r="CN25" s="123" t="e">
        <f t="shared" si="74"/>
        <v>#DIV/0!</v>
      </c>
      <c r="CO25" s="123" t="e">
        <f t="shared" si="75"/>
        <v>#DIV/0!</v>
      </c>
      <c r="CP25" s="123" t="e">
        <f t="shared" si="76"/>
        <v>#DIV/0!</v>
      </c>
      <c r="CQ25" s="123" t="e">
        <f t="shared" si="77"/>
        <v>#DIV/0!</v>
      </c>
      <c r="CR25" s="123" t="e">
        <f t="shared" si="78"/>
        <v>#DIV/0!</v>
      </c>
      <c r="CS25" s="123" t="e">
        <f t="shared" si="79"/>
        <v>#DIV/0!</v>
      </c>
      <c r="CT25" s="123" t="e">
        <f t="shared" si="80"/>
        <v>#DIV/0!</v>
      </c>
      <c r="CU25" s="124">
        <f t="shared" si="81"/>
        <v>4.9388614429463438</v>
      </c>
      <c r="CV25" s="173">
        <f t="shared" si="82"/>
        <v>6.3118282122260467</v>
      </c>
      <c r="CW25" s="124">
        <f t="shared" si="83"/>
        <v>0</v>
      </c>
      <c r="CX25" s="171">
        <f t="shared" si="84"/>
        <v>0</v>
      </c>
      <c r="CY25" s="122">
        <f t="shared" si="109"/>
        <v>38</v>
      </c>
      <c r="CZ25" s="231">
        <f t="shared" si="110"/>
        <v>61.774482758620721</v>
      </c>
      <c r="DA25" s="123">
        <f t="shared" si="110"/>
        <v>112.37931034482759</v>
      </c>
      <c r="DB25" s="123">
        <f t="shared" si="111"/>
        <v>113.43103448275862</v>
      </c>
      <c r="DC25" s="123">
        <f t="shared" si="112"/>
        <v>0.18138170498084291</v>
      </c>
      <c r="DD25" s="123">
        <f t="shared" si="42"/>
        <v>160.24062500000002</v>
      </c>
      <c r="DE25" s="123">
        <f t="shared" si="43"/>
        <v>321.22500000000002</v>
      </c>
      <c r="DF25" s="123">
        <f t="shared" si="44"/>
        <v>482.16562499999998</v>
      </c>
      <c r="DG25" s="123">
        <f t="shared" si="45"/>
        <v>600.12241379310342</v>
      </c>
      <c r="DH25" s="123">
        <f t="shared" si="46"/>
        <v>18.147758620689654</v>
      </c>
      <c r="DI25" s="123">
        <f t="shared" si="85"/>
        <v>41.771874999999987</v>
      </c>
      <c r="DJ25" s="123">
        <f t="shared" si="86"/>
        <v>83.715624999999989</v>
      </c>
      <c r="DK25" s="123">
        <f t="shared" si="87"/>
        <v>125.66249999999992</v>
      </c>
      <c r="DL25" s="123">
        <f t="shared" si="88"/>
        <v>156.53620689655173</v>
      </c>
      <c r="DM25" s="123">
        <f t="shared" si="89"/>
        <v>-2.0636206896551719</v>
      </c>
      <c r="DN25" s="123">
        <f t="shared" si="90"/>
        <v>95.224137931034477</v>
      </c>
      <c r="DO25" s="123">
        <f t="shared" si="113"/>
        <v>39.11724137931035</v>
      </c>
      <c r="DP25" s="123">
        <f t="shared" si="114"/>
        <v>73.460344827586226</v>
      </c>
      <c r="DQ25" s="123">
        <f t="shared" si="115"/>
        <v>100.47068965517242</v>
      </c>
      <c r="DR25" s="123">
        <f t="shared" si="116"/>
        <v>120.95172413793104</v>
      </c>
      <c r="DS25" s="123">
        <f t="shared" si="48"/>
        <v>1.3158524904214522E-2</v>
      </c>
      <c r="DT25" s="123">
        <f t="shared" si="49"/>
        <v>29.179310344827595</v>
      </c>
      <c r="DU25" s="261">
        <f t="shared" si="117"/>
        <v>4.9995275888133029E-3</v>
      </c>
      <c r="DV25" s="261">
        <f t="shared" si="117"/>
        <v>4.962915721844291E-3</v>
      </c>
      <c r="DW25" s="261">
        <f t="shared" si="117"/>
        <v>-3.0930715197956654E-5</v>
      </c>
      <c r="DX25" s="123" t="e">
        <f t="shared" si="117"/>
        <v>#DIV/0!</v>
      </c>
      <c r="DY25" s="123" t="e">
        <f t="shared" si="118"/>
        <v>#DIV/0!</v>
      </c>
      <c r="DZ25" s="123" t="e">
        <f t="shared" si="119"/>
        <v>#DIV/0!</v>
      </c>
      <c r="EA25" s="123" t="e">
        <f t="shared" si="120"/>
        <v>#DIV/0!</v>
      </c>
      <c r="EB25" s="176">
        <f t="shared" si="51"/>
        <v>5.6253448275861953</v>
      </c>
      <c r="EC25" s="125">
        <f t="shared" si="52"/>
        <v>0</v>
      </c>
      <c r="ED25" s="179">
        <f t="shared" si="102"/>
        <v>120</v>
      </c>
      <c r="EE25" s="125">
        <f t="shared" si="103"/>
        <v>100</v>
      </c>
      <c r="EF25" s="106"/>
      <c r="EG25" s="106"/>
    </row>
    <row r="26" spans="1:137" ht="11.25" customHeight="1">
      <c r="A26" s="82" t="s">
        <v>194</v>
      </c>
      <c r="B26" s="37">
        <v>33</v>
      </c>
      <c r="C26" s="255">
        <v>61.81</v>
      </c>
      <c r="D26" s="37">
        <v>114</v>
      </c>
      <c r="E26" s="37">
        <v>113</v>
      </c>
      <c r="F26" s="39">
        <v>0.18611111111111112</v>
      </c>
      <c r="G26" s="113">
        <v>618.47</v>
      </c>
      <c r="H26" s="135">
        <v>158.6</v>
      </c>
      <c r="I26" s="135">
        <v>317.8</v>
      </c>
      <c r="J26" s="135">
        <v>477.1</v>
      </c>
      <c r="K26" s="135">
        <v>595.6</v>
      </c>
      <c r="L26" s="135">
        <f t="shared" si="106"/>
        <v>22.870000000000005</v>
      </c>
      <c r="M26" s="211">
        <v>154.47999999999999</v>
      </c>
      <c r="N26" s="135">
        <v>41.7</v>
      </c>
      <c r="O26" s="135">
        <v>83.7</v>
      </c>
      <c r="P26" s="135">
        <v>125.7</v>
      </c>
      <c r="Q26" s="135">
        <v>156.5</v>
      </c>
      <c r="R26" s="136">
        <f t="shared" si="107"/>
        <v>-2.0200000000000102</v>
      </c>
      <c r="S26" s="212">
        <v>59</v>
      </c>
      <c r="T26" s="43">
        <v>37.5</v>
      </c>
      <c r="U26" s="43">
        <v>70.5</v>
      </c>
      <c r="V26" s="43">
        <v>96.7</v>
      </c>
      <c r="W26" s="43">
        <v>117.4</v>
      </c>
      <c r="X26" s="184">
        <v>0.62361111111111112</v>
      </c>
      <c r="Y26" s="184">
        <v>0.63680555555555551</v>
      </c>
      <c r="Z26" s="184">
        <f t="shared" si="108"/>
        <v>1.3194444444444398E-2</v>
      </c>
      <c r="AA26" s="43">
        <v>29.1</v>
      </c>
      <c r="AB26" s="260">
        <v>5.2546296296296299E-3</v>
      </c>
      <c r="AC26" s="260">
        <v>5.1041666666666666E-3</v>
      </c>
      <c r="AD26" s="260">
        <f t="shared" si="121"/>
        <v>-1.5046296296296335E-4</v>
      </c>
      <c r="AE26" s="48"/>
      <c r="AF26" s="47"/>
      <c r="AG26" s="38"/>
      <c r="AH26" s="47"/>
      <c r="AI26" s="157">
        <v>1355.18</v>
      </c>
      <c r="AJ26" s="158">
        <v>1349.53</v>
      </c>
      <c r="AK26" s="225">
        <f t="shared" si="104"/>
        <v>5.6500000000000909</v>
      </c>
      <c r="AL26" s="191">
        <v>0.68541666666666667</v>
      </c>
      <c r="AM26" s="191">
        <v>0.69444444444444453</v>
      </c>
      <c r="AN26" s="227">
        <f t="shared" si="105"/>
        <v>9.0277777777778567E-3</v>
      </c>
      <c r="AO26" s="148">
        <f t="shared" si="53"/>
        <v>28.089877583208697</v>
      </c>
      <c r="AP26" s="149">
        <f t="shared" si="54"/>
        <v>47.910122416791303</v>
      </c>
      <c r="AQ26" s="149">
        <f t="shared" si="7"/>
        <v>61.691860138971634</v>
      </c>
      <c r="AR26" s="149">
        <f t="shared" si="8"/>
        <v>61.857105378269807</v>
      </c>
      <c r="AS26" s="149">
        <f t="shared" si="9"/>
        <v>109.94095976728137</v>
      </c>
      <c r="AT26" s="149">
        <f t="shared" si="10"/>
        <v>114.8176609223738</v>
      </c>
      <c r="AU26" s="149">
        <f t="shared" si="55"/>
        <v>111.93239626243108</v>
      </c>
      <c r="AV26" s="149">
        <f t="shared" si="56"/>
        <v>114.92967270308615</v>
      </c>
      <c r="AW26" s="149">
        <f t="shared" si="57"/>
        <v>0.17368036968193748</v>
      </c>
      <c r="AX26" s="149">
        <f t="shared" si="58"/>
        <v>0.18908304027974834</v>
      </c>
      <c r="AY26" s="123">
        <f t="shared" si="11"/>
        <v>156.83979641263412</v>
      </c>
      <c r="AZ26" s="123">
        <f t="shared" si="12"/>
        <v>163.64145358736593</v>
      </c>
      <c r="BA26" s="123">
        <f t="shared" si="13"/>
        <v>314.2100390293777</v>
      </c>
      <c r="BB26" s="123">
        <f t="shared" si="14"/>
        <v>328.23996097062235</v>
      </c>
      <c r="BC26" s="123">
        <f t="shared" si="15"/>
        <v>471.56159398390412</v>
      </c>
      <c r="BD26" s="123">
        <f t="shared" si="16"/>
        <v>492.76965601609584</v>
      </c>
      <c r="BE26" s="123">
        <f t="shared" si="17"/>
        <v>588.52671906979549</v>
      </c>
      <c r="BF26" s="123">
        <f t="shared" si="18"/>
        <v>611.71810851641135</v>
      </c>
      <c r="BG26" s="123">
        <f t="shared" si="19"/>
        <v>6.4247474531250646</v>
      </c>
      <c r="BH26" s="123">
        <f t="shared" si="20"/>
        <v>29.870769788254243</v>
      </c>
      <c r="BI26" s="123">
        <f t="shared" si="21"/>
        <v>41.634833977180243</v>
      </c>
      <c r="BJ26" s="123">
        <f t="shared" si="22"/>
        <v>41.908916022819731</v>
      </c>
      <c r="BK26" s="123">
        <f t="shared" si="23"/>
        <v>83.527280129290489</v>
      </c>
      <c r="BL26" s="123">
        <f t="shared" si="24"/>
        <v>83.903969870709489</v>
      </c>
      <c r="BM26" s="123">
        <f t="shared" si="25"/>
        <v>125.49642578417671</v>
      </c>
      <c r="BN26" s="123">
        <f t="shared" si="26"/>
        <v>125.82857421582314</v>
      </c>
      <c r="BO26" s="123">
        <f t="shared" si="27"/>
        <v>155.1049414176334</v>
      </c>
      <c r="BP26" s="123">
        <f t="shared" si="28"/>
        <v>157.96747237547007</v>
      </c>
      <c r="BQ26" s="123">
        <f t="shared" si="29"/>
        <v>-3.4739700111749907</v>
      </c>
      <c r="BR26" s="123">
        <f t="shared" si="30"/>
        <v>-0.65327136813535303</v>
      </c>
      <c r="BS26" s="123">
        <f t="shared" si="59"/>
        <v>56.437095452304185</v>
      </c>
      <c r="BT26" s="123">
        <f t="shared" si="60"/>
        <v>134.01118040976476</v>
      </c>
      <c r="BU26" s="123">
        <f t="shared" si="61"/>
        <v>35.424087856897714</v>
      </c>
      <c r="BV26" s="123">
        <f t="shared" si="62"/>
        <v>42.810394901722987</v>
      </c>
      <c r="BW26" s="123">
        <f t="shared" si="63"/>
        <v>68.667936470774464</v>
      </c>
      <c r="BX26" s="123">
        <f t="shared" si="64"/>
        <v>78.252753184397989</v>
      </c>
      <c r="BY26" s="123">
        <f t="shared" si="65"/>
        <v>94.547228197183259</v>
      </c>
      <c r="BZ26" s="123">
        <f t="shared" si="66"/>
        <v>106.39415111316158</v>
      </c>
      <c r="CA26" s="123">
        <f t="shared" si="67"/>
        <v>114.2973449594912</v>
      </c>
      <c r="CB26" s="123">
        <f t="shared" si="68"/>
        <v>127.60610331637088</v>
      </c>
      <c r="CC26" s="123">
        <f t="shared" si="69"/>
        <v>1.1625982470516784E-2</v>
      </c>
      <c r="CD26" s="123">
        <f t="shared" si="70"/>
        <v>1.4691067337912261E-2</v>
      </c>
      <c r="CE26" s="123">
        <f t="shared" si="71"/>
        <v>28.696690452912026</v>
      </c>
      <c r="CF26" s="123">
        <f t="shared" si="72"/>
        <v>29.661930236743164</v>
      </c>
      <c r="CG26" s="261">
        <f t="shared" si="31"/>
        <v>4.6579973341037062E-3</v>
      </c>
      <c r="CH26" s="261">
        <f t="shared" si="32"/>
        <v>5.3410578435228997E-3</v>
      </c>
      <c r="CI26" s="261">
        <f t="shared" si="33"/>
        <v>4.6322196240640304E-3</v>
      </c>
      <c r="CJ26" s="261">
        <f t="shared" si="34"/>
        <v>5.2936118196245515E-3</v>
      </c>
      <c r="CK26" s="261">
        <f t="shared" si="35"/>
        <v>-2.62020899613848E-4</v>
      </c>
      <c r="CL26" s="261">
        <f t="shared" si="36"/>
        <v>2.0015946921793468E-4</v>
      </c>
      <c r="CM26" s="123" t="e">
        <f t="shared" si="73"/>
        <v>#DIV/0!</v>
      </c>
      <c r="CN26" s="123" t="e">
        <f t="shared" si="74"/>
        <v>#DIV/0!</v>
      </c>
      <c r="CO26" s="123" t="e">
        <f t="shared" si="75"/>
        <v>#DIV/0!</v>
      </c>
      <c r="CP26" s="123" t="e">
        <f t="shared" si="76"/>
        <v>#DIV/0!</v>
      </c>
      <c r="CQ26" s="123" t="e">
        <f t="shared" si="77"/>
        <v>#DIV/0!</v>
      </c>
      <c r="CR26" s="123" t="e">
        <f t="shared" si="78"/>
        <v>#DIV/0!</v>
      </c>
      <c r="CS26" s="123" t="e">
        <f t="shared" si="79"/>
        <v>#DIV/0!</v>
      </c>
      <c r="CT26" s="123" t="e">
        <f t="shared" si="80"/>
        <v>#DIV/0!</v>
      </c>
      <c r="CU26" s="124">
        <f t="shared" si="81"/>
        <v>4.9388614429463438</v>
      </c>
      <c r="CV26" s="173">
        <f t="shared" si="82"/>
        <v>6.3118282122260467</v>
      </c>
      <c r="CW26" s="124">
        <f t="shared" si="83"/>
        <v>0</v>
      </c>
      <c r="CX26" s="171">
        <f t="shared" si="84"/>
        <v>0</v>
      </c>
      <c r="CY26" s="122">
        <f t="shared" si="109"/>
        <v>38</v>
      </c>
      <c r="CZ26" s="231">
        <f t="shared" si="110"/>
        <v>61.774482758620721</v>
      </c>
      <c r="DA26" s="123">
        <f t="shared" si="110"/>
        <v>112.37931034482759</v>
      </c>
      <c r="DB26" s="123">
        <f t="shared" si="111"/>
        <v>113.43103448275862</v>
      </c>
      <c r="DC26" s="123">
        <f t="shared" si="112"/>
        <v>0.18138170498084291</v>
      </c>
      <c r="DD26" s="123">
        <f t="shared" si="42"/>
        <v>160.24062500000002</v>
      </c>
      <c r="DE26" s="123">
        <f t="shared" si="43"/>
        <v>321.22500000000002</v>
      </c>
      <c r="DF26" s="123">
        <f t="shared" si="44"/>
        <v>482.16562499999998</v>
      </c>
      <c r="DG26" s="123">
        <f t="shared" si="45"/>
        <v>600.12241379310342</v>
      </c>
      <c r="DH26" s="123">
        <f t="shared" si="46"/>
        <v>18.147758620689654</v>
      </c>
      <c r="DI26" s="123">
        <f t="shared" si="85"/>
        <v>41.771874999999987</v>
      </c>
      <c r="DJ26" s="123">
        <f t="shared" si="86"/>
        <v>83.715624999999989</v>
      </c>
      <c r="DK26" s="123">
        <f t="shared" si="87"/>
        <v>125.66249999999992</v>
      </c>
      <c r="DL26" s="123">
        <f t="shared" si="88"/>
        <v>156.53620689655173</v>
      </c>
      <c r="DM26" s="123">
        <f t="shared" si="89"/>
        <v>-2.0636206896551719</v>
      </c>
      <c r="DN26" s="123">
        <f t="shared" si="90"/>
        <v>95.224137931034477</v>
      </c>
      <c r="DO26" s="123">
        <f t="shared" si="113"/>
        <v>39.11724137931035</v>
      </c>
      <c r="DP26" s="123">
        <f t="shared" si="114"/>
        <v>73.460344827586226</v>
      </c>
      <c r="DQ26" s="123">
        <f t="shared" si="115"/>
        <v>100.47068965517242</v>
      </c>
      <c r="DR26" s="123">
        <f t="shared" si="116"/>
        <v>120.95172413793104</v>
      </c>
      <c r="DS26" s="123">
        <f t="shared" si="48"/>
        <v>1.3158524904214522E-2</v>
      </c>
      <c r="DT26" s="123">
        <f t="shared" si="49"/>
        <v>29.179310344827595</v>
      </c>
      <c r="DU26" s="261">
        <f t="shared" si="117"/>
        <v>4.9995275888133029E-3</v>
      </c>
      <c r="DV26" s="261">
        <f t="shared" si="117"/>
        <v>4.962915721844291E-3</v>
      </c>
      <c r="DW26" s="261">
        <f t="shared" si="117"/>
        <v>-3.0930715197956654E-5</v>
      </c>
      <c r="DX26" s="123" t="e">
        <f t="shared" si="117"/>
        <v>#DIV/0!</v>
      </c>
      <c r="DY26" s="123" t="e">
        <f t="shared" si="118"/>
        <v>#DIV/0!</v>
      </c>
      <c r="DZ26" s="123" t="e">
        <f t="shared" si="119"/>
        <v>#DIV/0!</v>
      </c>
      <c r="EA26" s="123" t="e">
        <f t="shared" si="120"/>
        <v>#DIV/0!</v>
      </c>
      <c r="EB26" s="176">
        <f t="shared" si="51"/>
        <v>5.6253448275861953</v>
      </c>
      <c r="EC26" s="125">
        <f t="shared" si="52"/>
        <v>0</v>
      </c>
      <c r="ED26" s="179">
        <f t="shared" si="102"/>
        <v>120</v>
      </c>
      <c r="EE26" s="125">
        <f t="shared" si="103"/>
        <v>100</v>
      </c>
      <c r="EF26" s="106"/>
      <c r="EG26" s="106"/>
    </row>
    <row r="27" spans="1:137" ht="11.25" customHeight="1">
      <c r="A27" s="82" t="s">
        <v>195</v>
      </c>
      <c r="B27" s="37">
        <v>32</v>
      </c>
      <c r="C27" s="255">
        <v>61.78</v>
      </c>
      <c r="D27" s="37">
        <v>114</v>
      </c>
      <c r="E27" s="37">
        <v>113</v>
      </c>
      <c r="F27" s="83">
        <v>0.18333333333333335</v>
      </c>
      <c r="G27" s="113">
        <f>220.82+8.87+22.1+35.34+53+39.78+61.78+57.52+119.19</f>
        <v>618.39999999999986</v>
      </c>
      <c r="H27" s="135">
        <v>158.5</v>
      </c>
      <c r="I27" s="135">
        <v>317.7</v>
      </c>
      <c r="J27" s="135">
        <v>476.8</v>
      </c>
      <c r="K27" s="135">
        <v>593</v>
      </c>
      <c r="L27" s="135">
        <f t="shared" si="106"/>
        <v>25.399999999999864</v>
      </c>
      <c r="M27" s="211">
        <f>30.92+123.68</f>
        <v>154.60000000000002</v>
      </c>
      <c r="N27" s="135">
        <v>41.8</v>
      </c>
      <c r="O27" s="135">
        <v>83.7</v>
      </c>
      <c r="P27" s="135">
        <v>125.6</v>
      </c>
      <c r="Q27" s="135">
        <v>156.69999999999999</v>
      </c>
      <c r="R27" s="136">
        <f t="shared" si="107"/>
        <v>-2.0999999999999659</v>
      </c>
      <c r="S27" s="212">
        <v>62</v>
      </c>
      <c r="T27" s="43">
        <v>38.4</v>
      </c>
      <c r="U27" s="43">
        <v>72.7</v>
      </c>
      <c r="V27" s="43">
        <v>98</v>
      </c>
      <c r="W27" s="43">
        <v>119.9</v>
      </c>
      <c r="X27" s="184">
        <v>0.62083333333333335</v>
      </c>
      <c r="Y27" s="184">
        <v>0.63402777777777775</v>
      </c>
      <c r="Z27" s="184">
        <f t="shared" si="108"/>
        <v>1.3194444444444398E-2</v>
      </c>
      <c r="AA27" s="43">
        <v>29.3</v>
      </c>
      <c r="AB27" s="260">
        <v>5.115740740740741E-3</v>
      </c>
      <c r="AC27" s="260">
        <v>5.1504629629629635E-3</v>
      </c>
      <c r="AD27" s="260">
        <f t="shared" si="121"/>
        <v>3.4722222222222446E-5</v>
      </c>
      <c r="AE27" s="48"/>
      <c r="AF27" s="47"/>
      <c r="AG27" s="38"/>
      <c r="AH27" s="47"/>
      <c r="AI27" s="157">
        <v>1355.28</v>
      </c>
      <c r="AJ27" s="158">
        <v>1349.5</v>
      </c>
      <c r="AK27" s="225">
        <f t="shared" si="104"/>
        <v>5.7799999999999727</v>
      </c>
      <c r="AL27" s="191">
        <v>0.68194444444444446</v>
      </c>
      <c r="AM27" s="191">
        <v>0.6875</v>
      </c>
      <c r="AN27" s="227">
        <f t="shared" si="105"/>
        <v>5.5555555555555358E-3</v>
      </c>
      <c r="AO27" s="148">
        <f t="shared" si="53"/>
        <v>28.089877583208697</v>
      </c>
      <c r="AP27" s="149">
        <f t="shared" si="54"/>
        <v>47.910122416791303</v>
      </c>
      <c r="AQ27" s="149">
        <f t="shared" si="7"/>
        <v>61.691860138971634</v>
      </c>
      <c r="AR27" s="149">
        <f t="shared" si="8"/>
        <v>61.857105378269807</v>
      </c>
      <c r="AS27" s="149">
        <f t="shared" si="9"/>
        <v>109.94095976728137</v>
      </c>
      <c r="AT27" s="149">
        <f t="shared" si="10"/>
        <v>114.8176609223738</v>
      </c>
      <c r="AU27" s="149">
        <f t="shared" si="55"/>
        <v>111.93239626243108</v>
      </c>
      <c r="AV27" s="149">
        <f t="shared" si="56"/>
        <v>114.92967270308615</v>
      </c>
      <c r="AW27" s="149">
        <f t="shared" si="57"/>
        <v>0.17368036968193748</v>
      </c>
      <c r="AX27" s="149">
        <f t="shared" si="58"/>
        <v>0.18908304027974834</v>
      </c>
      <c r="AY27" s="123">
        <f t="shared" si="11"/>
        <v>156.83979641263412</v>
      </c>
      <c r="AZ27" s="123">
        <f t="shared" si="12"/>
        <v>163.64145358736593</v>
      </c>
      <c r="BA27" s="123">
        <f t="shared" si="13"/>
        <v>314.2100390293777</v>
      </c>
      <c r="BB27" s="123">
        <f t="shared" si="14"/>
        <v>328.23996097062235</v>
      </c>
      <c r="BC27" s="123">
        <f t="shared" si="15"/>
        <v>471.56159398390412</v>
      </c>
      <c r="BD27" s="123">
        <f t="shared" si="16"/>
        <v>492.76965601609584</v>
      </c>
      <c r="BE27" s="123">
        <f t="shared" si="17"/>
        <v>588.52671906979549</v>
      </c>
      <c r="BF27" s="123">
        <f t="shared" si="18"/>
        <v>611.71810851641135</v>
      </c>
      <c r="BG27" s="123">
        <f t="shared" si="19"/>
        <v>6.4247474531250646</v>
      </c>
      <c r="BH27" s="123">
        <f t="shared" si="20"/>
        <v>29.870769788254243</v>
      </c>
      <c r="BI27" s="123">
        <f t="shared" si="21"/>
        <v>41.634833977180243</v>
      </c>
      <c r="BJ27" s="123">
        <f t="shared" si="22"/>
        <v>41.908916022819731</v>
      </c>
      <c r="BK27" s="123">
        <f t="shared" si="23"/>
        <v>83.527280129290489</v>
      </c>
      <c r="BL27" s="123">
        <f t="shared" si="24"/>
        <v>83.903969870709489</v>
      </c>
      <c r="BM27" s="123">
        <f t="shared" si="25"/>
        <v>125.49642578417671</v>
      </c>
      <c r="BN27" s="123">
        <f t="shared" si="26"/>
        <v>125.82857421582314</v>
      </c>
      <c r="BO27" s="123">
        <f t="shared" si="27"/>
        <v>155.1049414176334</v>
      </c>
      <c r="BP27" s="123">
        <f t="shared" si="28"/>
        <v>157.96747237547007</v>
      </c>
      <c r="BQ27" s="123">
        <f t="shared" si="29"/>
        <v>-3.4739700111749907</v>
      </c>
      <c r="BR27" s="123">
        <f t="shared" si="30"/>
        <v>-0.65327136813535303</v>
      </c>
      <c r="BS27" s="123">
        <f t="shared" si="59"/>
        <v>56.437095452304185</v>
      </c>
      <c r="BT27" s="123">
        <f t="shared" si="60"/>
        <v>134.01118040976476</v>
      </c>
      <c r="BU27" s="123">
        <f t="shared" si="61"/>
        <v>35.424087856897714</v>
      </c>
      <c r="BV27" s="123">
        <f t="shared" si="62"/>
        <v>42.810394901722987</v>
      </c>
      <c r="BW27" s="123">
        <f t="shared" si="63"/>
        <v>68.667936470774464</v>
      </c>
      <c r="BX27" s="123">
        <f t="shared" si="64"/>
        <v>78.252753184397989</v>
      </c>
      <c r="BY27" s="123">
        <f t="shared" si="65"/>
        <v>94.547228197183259</v>
      </c>
      <c r="BZ27" s="123">
        <f t="shared" si="66"/>
        <v>106.39415111316158</v>
      </c>
      <c r="CA27" s="123">
        <f t="shared" si="67"/>
        <v>114.2973449594912</v>
      </c>
      <c r="CB27" s="123">
        <f t="shared" si="68"/>
        <v>127.60610331637088</v>
      </c>
      <c r="CC27" s="123">
        <f t="shared" si="69"/>
        <v>1.1625982470516784E-2</v>
      </c>
      <c r="CD27" s="123">
        <f t="shared" si="70"/>
        <v>1.4691067337912261E-2</v>
      </c>
      <c r="CE27" s="123">
        <f t="shared" si="71"/>
        <v>28.696690452912026</v>
      </c>
      <c r="CF27" s="123">
        <f t="shared" si="72"/>
        <v>29.661930236743164</v>
      </c>
      <c r="CG27" s="261">
        <f t="shared" si="31"/>
        <v>4.6579973341037062E-3</v>
      </c>
      <c r="CH27" s="261">
        <f t="shared" si="32"/>
        <v>5.3410578435228997E-3</v>
      </c>
      <c r="CI27" s="261">
        <f t="shared" si="33"/>
        <v>4.6322196240640304E-3</v>
      </c>
      <c r="CJ27" s="261">
        <f t="shared" si="34"/>
        <v>5.2936118196245515E-3</v>
      </c>
      <c r="CK27" s="261">
        <f t="shared" si="35"/>
        <v>-2.62020899613848E-4</v>
      </c>
      <c r="CL27" s="261">
        <f t="shared" si="36"/>
        <v>2.0015946921793468E-4</v>
      </c>
      <c r="CM27" s="123" t="e">
        <f t="shared" si="73"/>
        <v>#DIV/0!</v>
      </c>
      <c r="CN27" s="123" t="e">
        <f t="shared" si="74"/>
        <v>#DIV/0!</v>
      </c>
      <c r="CO27" s="123" t="e">
        <f t="shared" si="75"/>
        <v>#DIV/0!</v>
      </c>
      <c r="CP27" s="123" t="e">
        <f t="shared" si="76"/>
        <v>#DIV/0!</v>
      </c>
      <c r="CQ27" s="123" t="e">
        <f t="shared" si="77"/>
        <v>#DIV/0!</v>
      </c>
      <c r="CR27" s="123" t="e">
        <f t="shared" si="78"/>
        <v>#DIV/0!</v>
      </c>
      <c r="CS27" s="123" t="e">
        <f t="shared" si="79"/>
        <v>#DIV/0!</v>
      </c>
      <c r="CT27" s="123" t="e">
        <f t="shared" si="80"/>
        <v>#DIV/0!</v>
      </c>
      <c r="CU27" s="124">
        <f t="shared" si="81"/>
        <v>4.9388614429463438</v>
      </c>
      <c r="CV27" s="173">
        <f t="shared" si="82"/>
        <v>6.3118282122260467</v>
      </c>
      <c r="CW27" s="124">
        <f t="shared" si="83"/>
        <v>0</v>
      </c>
      <c r="CX27" s="171">
        <f t="shared" si="84"/>
        <v>0</v>
      </c>
      <c r="CY27" s="122">
        <f t="shared" si="109"/>
        <v>38</v>
      </c>
      <c r="CZ27" s="231">
        <f t="shared" si="110"/>
        <v>61.774482758620721</v>
      </c>
      <c r="DA27" s="123">
        <f t="shared" si="110"/>
        <v>112.37931034482759</v>
      </c>
      <c r="DB27" s="123">
        <f t="shared" si="111"/>
        <v>113.43103448275862</v>
      </c>
      <c r="DC27" s="123">
        <f t="shared" si="112"/>
        <v>0.18138170498084291</v>
      </c>
      <c r="DD27" s="123">
        <f t="shared" si="42"/>
        <v>160.24062500000002</v>
      </c>
      <c r="DE27" s="123">
        <f t="shared" si="43"/>
        <v>321.22500000000002</v>
      </c>
      <c r="DF27" s="123">
        <f t="shared" si="44"/>
        <v>482.16562499999998</v>
      </c>
      <c r="DG27" s="123">
        <f t="shared" si="45"/>
        <v>600.12241379310342</v>
      </c>
      <c r="DH27" s="123">
        <f t="shared" si="46"/>
        <v>18.147758620689654</v>
      </c>
      <c r="DI27" s="123">
        <f t="shared" si="85"/>
        <v>41.771874999999987</v>
      </c>
      <c r="DJ27" s="123">
        <f t="shared" si="86"/>
        <v>83.715624999999989</v>
      </c>
      <c r="DK27" s="123">
        <f t="shared" si="87"/>
        <v>125.66249999999992</v>
      </c>
      <c r="DL27" s="123">
        <f t="shared" si="88"/>
        <v>156.53620689655173</v>
      </c>
      <c r="DM27" s="123">
        <f t="shared" si="89"/>
        <v>-2.0636206896551719</v>
      </c>
      <c r="DN27" s="123">
        <f t="shared" si="90"/>
        <v>95.224137931034477</v>
      </c>
      <c r="DO27" s="123">
        <f t="shared" si="113"/>
        <v>39.11724137931035</v>
      </c>
      <c r="DP27" s="123">
        <f t="shared" si="114"/>
        <v>73.460344827586226</v>
      </c>
      <c r="DQ27" s="123">
        <f t="shared" si="115"/>
        <v>100.47068965517242</v>
      </c>
      <c r="DR27" s="123">
        <f t="shared" si="116"/>
        <v>120.95172413793104</v>
      </c>
      <c r="DS27" s="123">
        <f t="shared" si="48"/>
        <v>1.3158524904214522E-2</v>
      </c>
      <c r="DT27" s="123">
        <f t="shared" si="49"/>
        <v>29.179310344827595</v>
      </c>
      <c r="DU27" s="261">
        <f t="shared" si="117"/>
        <v>4.9995275888133029E-3</v>
      </c>
      <c r="DV27" s="261">
        <f t="shared" si="117"/>
        <v>4.962915721844291E-3</v>
      </c>
      <c r="DW27" s="261">
        <f t="shared" si="117"/>
        <v>-3.0930715197956654E-5</v>
      </c>
      <c r="DX27" s="123" t="e">
        <f t="shared" si="117"/>
        <v>#DIV/0!</v>
      </c>
      <c r="DY27" s="123" t="e">
        <f t="shared" si="118"/>
        <v>#DIV/0!</v>
      </c>
      <c r="DZ27" s="123" t="e">
        <f t="shared" si="119"/>
        <v>#DIV/0!</v>
      </c>
      <c r="EA27" s="123" t="e">
        <f t="shared" si="120"/>
        <v>#DIV/0!</v>
      </c>
      <c r="EB27" s="176">
        <f t="shared" si="51"/>
        <v>5.6253448275861953</v>
      </c>
      <c r="EC27" s="125">
        <f t="shared" si="52"/>
        <v>0</v>
      </c>
      <c r="ED27" s="179">
        <f t="shared" si="102"/>
        <v>120</v>
      </c>
      <c r="EE27" s="125">
        <f t="shared" si="103"/>
        <v>100</v>
      </c>
      <c r="EF27" s="106"/>
      <c r="EG27" s="106"/>
    </row>
    <row r="28" spans="1:137" ht="11.25" customHeight="1">
      <c r="A28" s="82" t="s">
        <v>196</v>
      </c>
      <c r="B28" s="37">
        <v>38</v>
      </c>
      <c r="C28" s="255">
        <v>61.82</v>
      </c>
      <c r="D28" s="37">
        <v>113</v>
      </c>
      <c r="E28" s="37">
        <v>114</v>
      </c>
      <c r="F28" s="83">
        <v>0.18333333333333335</v>
      </c>
      <c r="G28" s="113">
        <f>220.77+8.85+22.1+35.35+53.02+39.78+61.82+57.45+119.11</f>
        <v>618.25</v>
      </c>
      <c r="H28" s="135">
        <v>159.19999999999999</v>
      </c>
      <c r="I28" s="135">
        <v>318.8</v>
      </c>
      <c r="J28" s="135">
        <v>478.4</v>
      </c>
      <c r="K28" s="135">
        <v>595.29999999999995</v>
      </c>
      <c r="L28" s="135">
        <f t="shared" si="106"/>
        <v>22.950000000000045</v>
      </c>
      <c r="M28" s="211">
        <f>123.57+30.93</f>
        <v>154.5</v>
      </c>
      <c r="N28" s="135">
        <v>41.8</v>
      </c>
      <c r="O28" s="135">
        <v>83.8</v>
      </c>
      <c r="P28" s="135">
        <v>125.7</v>
      </c>
      <c r="Q28" s="135">
        <v>157.1</v>
      </c>
      <c r="R28" s="136">
        <f t="shared" si="107"/>
        <v>-2.5999999999999943</v>
      </c>
      <c r="S28" s="212">
        <v>94</v>
      </c>
      <c r="T28" s="43">
        <v>38.6</v>
      </c>
      <c r="U28" s="43">
        <v>71.7</v>
      </c>
      <c r="V28" s="43">
        <v>98.7</v>
      </c>
      <c r="W28" s="43">
        <v>119.3</v>
      </c>
      <c r="X28" s="184">
        <v>0.62083333333333335</v>
      </c>
      <c r="Y28" s="184">
        <v>0.63402777777777775</v>
      </c>
      <c r="Z28" s="184">
        <f t="shared" si="108"/>
        <v>1.3194444444444398E-2</v>
      </c>
      <c r="AA28" s="43">
        <v>29.2</v>
      </c>
      <c r="AB28" s="260">
        <v>5.208333333333333E-3</v>
      </c>
      <c r="AC28" s="260">
        <v>5.162037037037037E-3</v>
      </c>
      <c r="AD28" s="260">
        <f t="shared" si="121"/>
        <v>-4.6296296296296016E-5</v>
      </c>
      <c r="AE28" s="48"/>
      <c r="AF28" s="47"/>
      <c r="AG28" s="38"/>
      <c r="AH28" s="47"/>
      <c r="AI28" s="157">
        <v>1354.96</v>
      </c>
      <c r="AJ28" s="158">
        <v>1349.34</v>
      </c>
      <c r="AK28" s="225">
        <f t="shared" si="104"/>
        <v>5.6200000000001182</v>
      </c>
      <c r="AL28" s="191">
        <v>0.68194444444444446</v>
      </c>
      <c r="AM28" s="191">
        <v>0.6875</v>
      </c>
      <c r="AN28" s="227">
        <f t="shared" si="105"/>
        <v>5.5555555555555358E-3</v>
      </c>
      <c r="AO28" s="148">
        <f t="shared" si="53"/>
        <v>28.089877583208697</v>
      </c>
      <c r="AP28" s="149">
        <f t="shared" si="54"/>
        <v>47.910122416791303</v>
      </c>
      <c r="AQ28" s="149">
        <f t="shared" si="7"/>
        <v>61.691860138971634</v>
      </c>
      <c r="AR28" s="149">
        <f t="shared" si="8"/>
        <v>61.857105378269807</v>
      </c>
      <c r="AS28" s="149">
        <f t="shared" si="9"/>
        <v>109.94095976728137</v>
      </c>
      <c r="AT28" s="149">
        <f t="shared" si="10"/>
        <v>114.8176609223738</v>
      </c>
      <c r="AU28" s="149">
        <f t="shared" si="55"/>
        <v>111.93239626243108</v>
      </c>
      <c r="AV28" s="149">
        <f t="shared" si="56"/>
        <v>114.92967270308615</v>
      </c>
      <c r="AW28" s="149">
        <f t="shared" si="57"/>
        <v>0.17368036968193748</v>
      </c>
      <c r="AX28" s="149">
        <f t="shared" si="58"/>
        <v>0.18908304027974834</v>
      </c>
      <c r="AY28" s="123">
        <f t="shared" si="11"/>
        <v>156.83979641263412</v>
      </c>
      <c r="AZ28" s="123">
        <f t="shared" si="12"/>
        <v>163.64145358736593</v>
      </c>
      <c r="BA28" s="123">
        <f t="shared" si="13"/>
        <v>314.2100390293777</v>
      </c>
      <c r="BB28" s="123">
        <f t="shared" si="14"/>
        <v>328.23996097062235</v>
      </c>
      <c r="BC28" s="123">
        <f t="shared" si="15"/>
        <v>471.56159398390412</v>
      </c>
      <c r="BD28" s="123">
        <f t="shared" si="16"/>
        <v>492.76965601609584</v>
      </c>
      <c r="BE28" s="123">
        <f t="shared" si="17"/>
        <v>588.52671906979549</v>
      </c>
      <c r="BF28" s="123">
        <f t="shared" si="18"/>
        <v>611.71810851641135</v>
      </c>
      <c r="BG28" s="123">
        <f t="shared" si="19"/>
        <v>6.4247474531250646</v>
      </c>
      <c r="BH28" s="123">
        <f t="shared" si="20"/>
        <v>29.870769788254243</v>
      </c>
      <c r="BI28" s="123">
        <f t="shared" si="21"/>
        <v>41.634833977180243</v>
      </c>
      <c r="BJ28" s="123">
        <f t="shared" si="22"/>
        <v>41.908916022819731</v>
      </c>
      <c r="BK28" s="123">
        <f t="shared" si="23"/>
        <v>83.527280129290489</v>
      </c>
      <c r="BL28" s="123">
        <f t="shared" si="24"/>
        <v>83.903969870709489</v>
      </c>
      <c r="BM28" s="123">
        <f t="shared" si="25"/>
        <v>125.49642578417671</v>
      </c>
      <c r="BN28" s="123">
        <f t="shared" si="26"/>
        <v>125.82857421582314</v>
      </c>
      <c r="BO28" s="123">
        <f t="shared" si="27"/>
        <v>155.1049414176334</v>
      </c>
      <c r="BP28" s="123">
        <f t="shared" si="28"/>
        <v>157.96747237547007</v>
      </c>
      <c r="BQ28" s="123">
        <f t="shared" si="29"/>
        <v>-3.4739700111749907</v>
      </c>
      <c r="BR28" s="123">
        <f t="shared" si="30"/>
        <v>-0.65327136813535303</v>
      </c>
      <c r="BS28" s="123">
        <f t="shared" si="59"/>
        <v>56.437095452304185</v>
      </c>
      <c r="BT28" s="123">
        <f t="shared" si="60"/>
        <v>134.01118040976476</v>
      </c>
      <c r="BU28" s="123">
        <f t="shared" si="61"/>
        <v>35.424087856897714</v>
      </c>
      <c r="BV28" s="123">
        <f t="shared" si="62"/>
        <v>42.810394901722987</v>
      </c>
      <c r="BW28" s="123">
        <f t="shared" si="63"/>
        <v>68.667936470774464</v>
      </c>
      <c r="BX28" s="123">
        <f t="shared" si="64"/>
        <v>78.252753184397989</v>
      </c>
      <c r="BY28" s="123">
        <f t="shared" si="65"/>
        <v>94.547228197183259</v>
      </c>
      <c r="BZ28" s="123">
        <f t="shared" si="66"/>
        <v>106.39415111316158</v>
      </c>
      <c r="CA28" s="123">
        <f t="shared" si="67"/>
        <v>114.2973449594912</v>
      </c>
      <c r="CB28" s="123">
        <f t="shared" si="68"/>
        <v>127.60610331637088</v>
      </c>
      <c r="CC28" s="123">
        <f t="shared" si="69"/>
        <v>1.1625982470516784E-2</v>
      </c>
      <c r="CD28" s="123">
        <f t="shared" si="70"/>
        <v>1.4691067337912261E-2</v>
      </c>
      <c r="CE28" s="123">
        <f t="shared" si="71"/>
        <v>28.696690452912026</v>
      </c>
      <c r="CF28" s="123">
        <f t="shared" si="72"/>
        <v>29.661930236743164</v>
      </c>
      <c r="CG28" s="261">
        <f t="shared" si="31"/>
        <v>4.6579973341037062E-3</v>
      </c>
      <c r="CH28" s="261">
        <f t="shared" si="32"/>
        <v>5.3410578435228997E-3</v>
      </c>
      <c r="CI28" s="261">
        <f t="shared" si="33"/>
        <v>4.6322196240640304E-3</v>
      </c>
      <c r="CJ28" s="261">
        <f t="shared" si="34"/>
        <v>5.2936118196245515E-3</v>
      </c>
      <c r="CK28" s="261">
        <f t="shared" si="35"/>
        <v>-2.62020899613848E-4</v>
      </c>
      <c r="CL28" s="261">
        <f t="shared" si="36"/>
        <v>2.0015946921793468E-4</v>
      </c>
      <c r="CM28" s="123" t="e">
        <f t="shared" si="73"/>
        <v>#DIV/0!</v>
      </c>
      <c r="CN28" s="123" t="e">
        <f t="shared" si="74"/>
        <v>#DIV/0!</v>
      </c>
      <c r="CO28" s="123" t="e">
        <f t="shared" si="75"/>
        <v>#DIV/0!</v>
      </c>
      <c r="CP28" s="123" t="e">
        <f t="shared" si="76"/>
        <v>#DIV/0!</v>
      </c>
      <c r="CQ28" s="123" t="e">
        <f t="shared" si="77"/>
        <v>#DIV/0!</v>
      </c>
      <c r="CR28" s="123" t="e">
        <f t="shared" si="78"/>
        <v>#DIV/0!</v>
      </c>
      <c r="CS28" s="123" t="e">
        <f t="shared" si="79"/>
        <v>#DIV/0!</v>
      </c>
      <c r="CT28" s="123" t="e">
        <f t="shared" si="80"/>
        <v>#DIV/0!</v>
      </c>
      <c r="CU28" s="124">
        <f t="shared" si="81"/>
        <v>4.9388614429463438</v>
      </c>
      <c r="CV28" s="173">
        <f t="shared" si="82"/>
        <v>6.3118282122260467</v>
      </c>
      <c r="CW28" s="124">
        <f t="shared" si="83"/>
        <v>0</v>
      </c>
      <c r="CX28" s="171">
        <f t="shared" si="84"/>
        <v>0</v>
      </c>
      <c r="CY28" s="122">
        <f>B$91</f>
        <v>38</v>
      </c>
      <c r="CZ28" s="231">
        <f>C$91</f>
        <v>61.774482758620721</v>
      </c>
      <c r="DA28" s="123">
        <f>D$91</f>
        <v>112.37931034482759</v>
      </c>
      <c r="DB28" s="123">
        <f>E$91</f>
        <v>113.43103448275862</v>
      </c>
      <c r="DC28" s="123">
        <f>F$91</f>
        <v>0.18138170498084291</v>
      </c>
      <c r="DD28" s="123">
        <f t="shared" si="42"/>
        <v>160.24062500000002</v>
      </c>
      <c r="DE28" s="123">
        <f t="shared" si="43"/>
        <v>321.22500000000002</v>
      </c>
      <c r="DF28" s="123">
        <f t="shared" si="44"/>
        <v>482.16562499999998</v>
      </c>
      <c r="DG28" s="123">
        <f t="shared" si="45"/>
        <v>600.12241379310342</v>
      </c>
      <c r="DH28" s="123">
        <f t="shared" si="46"/>
        <v>18.147758620689654</v>
      </c>
      <c r="DI28" s="123">
        <f t="shared" si="85"/>
        <v>41.771874999999987</v>
      </c>
      <c r="DJ28" s="123">
        <f t="shared" si="86"/>
        <v>83.715624999999989</v>
      </c>
      <c r="DK28" s="123">
        <f t="shared" si="87"/>
        <v>125.66249999999992</v>
      </c>
      <c r="DL28" s="123">
        <f t="shared" si="88"/>
        <v>156.53620689655173</v>
      </c>
      <c r="DM28" s="123">
        <f t="shared" si="89"/>
        <v>-2.0636206896551719</v>
      </c>
      <c r="DN28" s="123">
        <f t="shared" si="90"/>
        <v>95.224137931034477</v>
      </c>
      <c r="DO28" s="123">
        <f>T$91</f>
        <v>39.11724137931035</v>
      </c>
      <c r="DP28" s="123">
        <f>U$91</f>
        <v>73.460344827586226</v>
      </c>
      <c r="DQ28" s="123">
        <f>V$91</f>
        <v>100.47068965517242</v>
      </c>
      <c r="DR28" s="123">
        <f>W$91</f>
        <v>120.95172413793104</v>
      </c>
      <c r="DS28" s="123">
        <f t="shared" si="48"/>
        <v>1.3158524904214522E-2</v>
      </c>
      <c r="DT28" s="123">
        <f t="shared" si="49"/>
        <v>29.179310344827595</v>
      </c>
      <c r="DU28" s="261">
        <f t="shared" ref="DU28:DZ28" si="122">AB$91</f>
        <v>4.9995275888133029E-3</v>
      </c>
      <c r="DV28" s="261">
        <f t="shared" si="122"/>
        <v>4.962915721844291E-3</v>
      </c>
      <c r="DW28" s="261">
        <f t="shared" si="122"/>
        <v>-3.0930715197956654E-5</v>
      </c>
      <c r="DX28" s="123" t="e">
        <f t="shared" si="122"/>
        <v>#DIV/0!</v>
      </c>
      <c r="DY28" s="123" t="e">
        <f t="shared" si="122"/>
        <v>#DIV/0!</v>
      </c>
      <c r="DZ28" s="123" t="e">
        <f t="shared" si="122"/>
        <v>#DIV/0!</v>
      </c>
      <c r="EA28" s="123" t="e">
        <f>AH$91</f>
        <v>#DIV/0!</v>
      </c>
      <c r="EB28" s="176">
        <f t="shared" si="51"/>
        <v>5.6253448275861953</v>
      </c>
      <c r="EC28" s="125">
        <f t="shared" si="52"/>
        <v>0</v>
      </c>
      <c r="ED28" s="179">
        <f t="shared" si="102"/>
        <v>120</v>
      </c>
      <c r="EE28" s="125">
        <f t="shared" si="103"/>
        <v>100</v>
      </c>
      <c r="EF28" s="106"/>
      <c r="EG28" s="106"/>
    </row>
    <row r="29" spans="1:137" ht="11.25" customHeight="1">
      <c r="A29" s="82" t="s">
        <v>197</v>
      </c>
      <c r="B29" s="160">
        <v>32</v>
      </c>
      <c r="C29" s="257">
        <v>61.78</v>
      </c>
      <c r="D29" s="160">
        <v>113</v>
      </c>
      <c r="E29" s="160">
        <v>114</v>
      </c>
      <c r="F29" s="162">
        <v>0.18541666666666667</v>
      </c>
      <c r="G29" s="113">
        <f>220.75+8.86+22.11+35.33+53.03+39.76+61.78+57.48+119.14</f>
        <v>618.24</v>
      </c>
      <c r="H29" s="135">
        <v>158.6</v>
      </c>
      <c r="I29" s="135">
        <v>317.8</v>
      </c>
      <c r="J29" s="135">
        <v>477.2</v>
      </c>
      <c r="K29" s="135">
        <v>592.9</v>
      </c>
      <c r="L29" s="135">
        <f t="shared" si="106"/>
        <v>25.340000000000032</v>
      </c>
      <c r="M29" s="211">
        <f>123.54+30.9</f>
        <v>154.44</v>
      </c>
      <c r="N29" s="135">
        <v>41.7</v>
      </c>
      <c r="O29" s="135">
        <v>83.7</v>
      </c>
      <c r="P29" s="135">
        <v>125.6</v>
      </c>
      <c r="Q29" s="135">
        <v>156.80000000000001</v>
      </c>
      <c r="R29" s="136">
        <f t="shared" si="107"/>
        <v>-2.3600000000000136</v>
      </c>
      <c r="S29" s="212">
        <v>101</v>
      </c>
      <c r="T29" s="161">
        <v>37.700000000000003</v>
      </c>
      <c r="U29" s="161">
        <v>71.400000000000006</v>
      </c>
      <c r="V29" s="161">
        <v>97.9</v>
      </c>
      <c r="W29" s="161">
        <v>117.6</v>
      </c>
      <c r="X29" s="186">
        <v>0.62291666666666667</v>
      </c>
      <c r="Y29" s="186">
        <v>0.63611111111111118</v>
      </c>
      <c r="Z29" s="184">
        <f t="shared" si="108"/>
        <v>1.3194444444444509E-2</v>
      </c>
      <c r="AA29" s="161">
        <v>29.2</v>
      </c>
      <c r="AB29" s="260">
        <v>5.3009259259259251E-3</v>
      </c>
      <c r="AC29" s="260">
        <v>5.162037037037037E-3</v>
      </c>
      <c r="AD29" s="260">
        <f t="shared" si="121"/>
        <v>-1.3888888888888805E-4</v>
      </c>
      <c r="AE29" s="57"/>
      <c r="AF29" s="57"/>
      <c r="AG29" s="2"/>
      <c r="AH29" s="57"/>
      <c r="AI29" s="157">
        <v>1354.94</v>
      </c>
      <c r="AJ29" s="158">
        <v>1349.52</v>
      </c>
      <c r="AK29" s="225">
        <f t="shared" si="104"/>
        <v>5.4200000000000728</v>
      </c>
      <c r="AL29" s="191">
        <v>0.68472222222222223</v>
      </c>
      <c r="AM29" s="191">
        <v>0.69097222222222221</v>
      </c>
      <c r="AN29" s="227">
        <f t="shared" si="105"/>
        <v>6.2499999999999778E-3</v>
      </c>
      <c r="AO29" s="148">
        <f t="shared" si="53"/>
        <v>28.089877583208697</v>
      </c>
      <c r="AP29" s="149">
        <f t="shared" si="54"/>
        <v>47.910122416791303</v>
      </c>
      <c r="AQ29" s="149">
        <f t="shared" si="7"/>
        <v>61.691860138971634</v>
      </c>
      <c r="AR29" s="149">
        <f t="shared" si="8"/>
        <v>61.857105378269807</v>
      </c>
      <c r="AS29" s="149">
        <f t="shared" si="9"/>
        <v>109.94095976728137</v>
      </c>
      <c r="AT29" s="149">
        <f t="shared" si="10"/>
        <v>114.8176609223738</v>
      </c>
      <c r="AU29" s="149">
        <f t="shared" si="55"/>
        <v>111.93239626243108</v>
      </c>
      <c r="AV29" s="149">
        <f t="shared" si="56"/>
        <v>114.92967270308615</v>
      </c>
      <c r="AW29" s="149">
        <f t="shared" si="57"/>
        <v>0.17368036968193748</v>
      </c>
      <c r="AX29" s="149">
        <f t="shared" si="58"/>
        <v>0.18908304027974834</v>
      </c>
      <c r="AY29" s="123">
        <f t="shared" si="11"/>
        <v>156.83979641263412</v>
      </c>
      <c r="AZ29" s="123">
        <f t="shared" si="12"/>
        <v>163.64145358736593</v>
      </c>
      <c r="BA29" s="123">
        <f t="shared" si="13"/>
        <v>314.2100390293777</v>
      </c>
      <c r="BB29" s="123">
        <f t="shared" si="14"/>
        <v>328.23996097062235</v>
      </c>
      <c r="BC29" s="123">
        <f t="shared" si="15"/>
        <v>471.56159398390412</v>
      </c>
      <c r="BD29" s="123">
        <f t="shared" si="16"/>
        <v>492.76965601609584</v>
      </c>
      <c r="BE29" s="123">
        <f t="shared" si="17"/>
        <v>588.52671906979549</v>
      </c>
      <c r="BF29" s="123">
        <f t="shared" si="18"/>
        <v>611.71810851641135</v>
      </c>
      <c r="BG29" s="123">
        <f t="shared" si="19"/>
        <v>6.4247474531250646</v>
      </c>
      <c r="BH29" s="123">
        <f t="shared" si="20"/>
        <v>29.870769788254243</v>
      </c>
      <c r="BI29" s="123">
        <f t="shared" si="21"/>
        <v>41.634833977180243</v>
      </c>
      <c r="BJ29" s="123">
        <f t="shared" si="22"/>
        <v>41.908916022819731</v>
      </c>
      <c r="BK29" s="123">
        <f t="shared" si="23"/>
        <v>83.527280129290489</v>
      </c>
      <c r="BL29" s="123">
        <f t="shared" si="24"/>
        <v>83.903969870709489</v>
      </c>
      <c r="BM29" s="123">
        <f t="shared" si="25"/>
        <v>125.49642578417671</v>
      </c>
      <c r="BN29" s="123">
        <f t="shared" si="26"/>
        <v>125.82857421582314</v>
      </c>
      <c r="BO29" s="123">
        <f t="shared" si="27"/>
        <v>155.1049414176334</v>
      </c>
      <c r="BP29" s="123">
        <f t="shared" si="28"/>
        <v>157.96747237547007</v>
      </c>
      <c r="BQ29" s="123">
        <f t="shared" si="29"/>
        <v>-3.4739700111749907</v>
      </c>
      <c r="BR29" s="123">
        <f t="shared" si="30"/>
        <v>-0.65327136813535303</v>
      </c>
      <c r="BS29" s="123">
        <f t="shared" si="59"/>
        <v>56.437095452304185</v>
      </c>
      <c r="BT29" s="123">
        <f t="shared" si="60"/>
        <v>134.01118040976476</v>
      </c>
      <c r="BU29" s="123">
        <f t="shared" si="61"/>
        <v>35.424087856897714</v>
      </c>
      <c r="BV29" s="123">
        <f t="shared" si="62"/>
        <v>42.810394901722987</v>
      </c>
      <c r="BW29" s="123">
        <f t="shared" si="63"/>
        <v>68.667936470774464</v>
      </c>
      <c r="BX29" s="123">
        <f t="shared" si="64"/>
        <v>78.252753184397989</v>
      </c>
      <c r="BY29" s="123">
        <f t="shared" si="65"/>
        <v>94.547228197183259</v>
      </c>
      <c r="BZ29" s="123">
        <f t="shared" si="66"/>
        <v>106.39415111316158</v>
      </c>
      <c r="CA29" s="123">
        <f t="shared" si="67"/>
        <v>114.2973449594912</v>
      </c>
      <c r="CB29" s="123">
        <f t="shared" si="68"/>
        <v>127.60610331637088</v>
      </c>
      <c r="CC29" s="123">
        <f t="shared" si="69"/>
        <v>1.1625982470516784E-2</v>
      </c>
      <c r="CD29" s="123">
        <f t="shared" si="70"/>
        <v>1.4691067337912261E-2</v>
      </c>
      <c r="CE29" s="123">
        <f t="shared" si="71"/>
        <v>28.696690452912026</v>
      </c>
      <c r="CF29" s="123">
        <f t="shared" si="72"/>
        <v>29.661930236743164</v>
      </c>
      <c r="CG29" s="261">
        <f t="shared" si="31"/>
        <v>4.6579973341037062E-3</v>
      </c>
      <c r="CH29" s="261">
        <f t="shared" si="32"/>
        <v>5.3410578435228997E-3</v>
      </c>
      <c r="CI29" s="261">
        <f t="shared" si="33"/>
        <v>4.6322196240640304E-3</v>
      </c>
      <c r="CJ29" s="261">
        <f t="shared" si="34"/>
        <v>5.2936118196245515E-3</v>
      </c>
      <c r="CK29" s="261">
        <f t="shared" si="35"/>
        <v>-2.62020899613848E-4</v>
      </c>
      <c r="CL29" s="261">
        <f t="shared" si="36"/>
        <v>2.0015946921793468E-4</v>
      </c>
      <c r="CM29" s="123" t="e">
        <f t="shared" si="73"/>
        <v>#DIV/0!</v>
      </c>
      <c r="CN29" s="123" t="e">
        <f t="shared" si="74"/>
        <v>#DIV/0!</v>
      </c>
      <c r="CO29" s="123" t="e">
        <f t="shared" si="75"/>
        <v>#DIV/0!</v>
      </c>
      <c r="CP29" s="123" t="e">
        <f t="shared" si="76"/>
        <v>#DIV/0!</v>
      </c>
      <c r="CQ29" s="123" t="e">
        <f t="shared" si="77"/>
        <v>#DIV/0!</v>
      </c>
      <c r="CR29" s="123" t="e">
        <f t="shared" si="78"/>
        <v>#DIV/0!</v>
      </c>
      <c r="CS29" s="123" t="e">
        <f t="shared" si="79"/>
        <v>#DIV/0!</v>
      </c>
      <c r="CT29" s="123" t="e">
        <f t="shared" si="80"/>
        <v>#DIV/0!</v>
      </c>
      <c r="CU29" s="124">
        <f t="shared" si="81"/>
        <v>4.9388614429463438</v>
      </c>
      <c r="CV29" s="173">
        <f t="shared" si="82"/>
        <v>6.3118282122260467</v>
      </c>
      <c r="CW29" s="124">
        <f t="shared" si="83"/>
        <v>0</v>
      </c>
      <c r="CX29" s="171">
        <f t="shared" si="84"/>
        <v>0</v>
      </c>
      <c r="CY29" s="122">
        <f>B$91</f>
        <v>38</v>
      </c>
      <c r="CZ29" s="231">
        <f t="shared" ref="CZ29:DC30" si="123">C$91</f>
        <v>61.774482758620721</v>
      </c>
      <c r="DA29" s="123">
        <f t="shared" si="123"/>
        <v>112.37931034482759</v>
      </c>
      <c r="DB29" s="123">
        <f t="shared" si="123"/>
        <v>113.43103448275862</v>
      </c>
      <c r="DC29" s="123">
        <f t="shared" si="123"/>
        <v>0.18138170498084291</v>
      </c>
      <c r="DD29" s="123">
        <f t="shared" ref="DD29:DH30" si="124">H$91</f>
        <v>160.24062500000002</v>
      </c>
      <c r="DE29" s="123">
        <f t="shared" si="124"/>
        <v>321.22500000000002</v>
      </c>
      <c r="DF29" s="123">
        <f t="shared" si="124"/>
        <v>482.16562499999998</v>
      </c>
      <c r="DG29" s="123">
        <f t="shared" si="124"/>
        <v>600.12241379310342</v>
      </c>
      <c r="DH29" s="123">
        <f t="shared" si="124"/>
        <v>18.147758620689654</v>
      </c>
      <c r="DI29" s="123">
        <f t="shared" si="85"/>
        <v>41.771874999999987</v>
      </c>
      <c r="DJ29" s="123">
        <f t="shared" si="86"/>
        <v>83.715624999999989</v>
      </c>
      <c r="DK29" s="123">
        <f t="shared" si="87"/>
        <v>125.66249999999992</v>
      </c>
      <c r="DL29" s="123">
        <f t="shared" si="88"/>
        <v>156.53620689655173</v>
      </c>
      <c r="DM29" s="123">
        <f t="shared" si="89"/>
        <v>-2.0636206896551719</v>
      </c>
      <c r="DN29" s="123">
        <f t="shared" si="90"/>
        <v>95.224137931034477</v>
      </c>
      <c r="DO29" s="123">
        <f t="shared" ref="DO29:DR30" si="125">T$91</f>
        <v>39.11724137931035</v>
      </c>
      <c r="DP29" s="123">
        <f t="shared" si="125"/>
        <v>73.460344827586226</v>
      </c>
      <c r="DQ29" s="123">
        <f t="shared" si="125"/>
        <v>100.47068965517242</v>
      </c>
      <c r="DR29" s="123">
        <f t="shared" si="125"/>
        <v>120.95172413793104</v>
      </c>
      <c r="DS29" s="123">
        <f t="shared" si="48"/>
        <v>1.3158524904214522E-2</v>
      </c>
      <c r="DT29" s="123">
        <f t="shared" si="49"/>
        <v>29.179310344827595</v>
      </c>
      <c r="DU29" s="261">
        <f t="shared" ref="DU29:DZ30" si="126">AB$91</f>
        <v>4.9995275888133029E-3</v>
      </c>
      <c r="DV29" s="261">
        <f t="shared" si="126"/>
        <v>4.962915721844291E-3</v>
      </c>
      <c r="DW29" s="261">
        <f t="shared" si="126"/>
        <v>-3.0930715197956654E-5</v>
      </c>
      <c r="DX29" s="123" t="e">
        <f t="shared" si="126"/>
        <v>#DIV/0!</v>
      </c>
      <c r="DY29" s="123" t="e">
        <f t="shared" si="126"/>
        <v>#DIV/0!</v>
      </c>
      <c r="DZ29" s="123" t="e">
        <f t="shared" si="126"/>
        <v>#DIV/0!</v>
      </c>
      <c r="EA29" s="123" t="e">
        <f>AH$91</f>
        <v>#DIV/0!</v>
      </c>
      <c r="EB29" s="176">
        <f t="shared" si="51"/>
        <v>5.6253448275861953</v>
      </c>
      <c r="EC29" s="125">
        <f t="shared" si="52"/>
        <v>0</v>
      </c>
      <c r="ED29" s="179">
        <f t="shared" si="102"/>
        <v>120</v>
      </c>
      <c r="EE29" s="125">
        <f t="shared" si="103"/>
        <v>100</v>
      </c>
      <c r="EF29" s="106"/>
      <c r="EG29" s="106"/>
    </row>
    <row r="30" spans="1:137" ht="11.25" customHeight="1">
      <c r="A30" s="82" t="s">
        <v>198</v>
      </c>
      <c r="B30" s="160">
        <v>35</v>
      </c>
      <c r="C30" s="257">
        <v>61.95</v>
      </c>
      <c r="D30" s="160">
        <v>113</v>
      </c>
      <c r="E30" s="160">
        <v>114</v>
      </c>
      <c r="F30" s="39">
        <v>0.17986111111111111</v>
      </c>
      <c r="G30" s="113">
        <f>220.89+8.85+22.1+35.36+53.1+39.8+61.95+57.48+119.23</f>
        <v>618.76</v>
      </c>
      <c r="H30" s="135">
        <v>159</v>
      </c>
      <c r="I30" s="135">
        <v>318.60000000000002</v>
      </c>
      <c r="J30" s="135">
        <v>478.1</v>
      </c>
      <c r="K30" s="159">
        <v>597.5</v>
      </c>
      <c r="L30" s="135">
        <f t="shared" si="106"/>
        <v>21.259999999999991</v>
      </c>
      <c r="M30" s="211">
        <f>123.62+30.93</f>
        <v>154.55000000000001</v>
      </c>
      <c r="N30" s="135">
        <v>41.8</v>
      </c>
      <c r="O30" s="135">
        <v>83.7</v>
      </c>
      <c r="P30" s="135">
        <v>125.7</v>
      </c>
      <c r="Q30" s="159">
        <v>157.1</v>
      </c>
      <c r="R30" s="136">
        <f t="shared" si="107"/>
        <v>-2.5499999999999829</v>
      </c>
      <c r="S30" s="212">
        <v>99</v>
      </c>
      <c r="T30" s="161">
        <v>37.799999999999997</v>
      </c>
      <c r="U30" s="161">
        <v>72.900000000000006</v>
      </c>
      <c r="V30" s="161">
        <v>100.5</v>
      </c>
      <c r="W30" s="161">
        <v>121.9</v>
      </c>
      <c r="X30" s="184">
        <v>0.61736111111111114</v>
      </c>
      <c r="Y30" s="186">
        <v>0.63055555555555554</v>
      </c>
      <c r="Z30" s="184">
        <f t="shared" si="108"/>
        <v>1.3194444444444398E-2</v>
      </c>
      <c r="AA30" s="161">
        <v>27.5</v>
      </c>
      <c r="AB30" s="260">
        <v>5.1041666666666666E-3</v>
      </c>
      <c r="AC30" s="260">
        <v>5.138888888888889E-3</v>
      </c>
      <c r="AD30" s="260">
        <f t="shared" si="121"/>
        <v>3.4722222222222446E-5</v>
      </c>
      <c r="AE30" s="57"/>
      <c r="AF30" s="57"/>
      <c r="AG30" s="2"/>
      <c r="AH30" s="57"/>
      <c r="AI30" s="155">
        <v>1355.67</v>
      </c>
      <c r="AJ30" s="155">
        <v>1349.92</v>
      </c>
      <c r="AK30" s="225">
        <f t="shared" si="104"/>
        <v>5.75</v>
      </c>
      <c r="AL30" s="191">
        <v>0.68055555555555547</v>
      </c>
      <c r="AM30" s="191">
        <v>0.6875</v>
      </c>
      <c r="AN30" s="227">
        <f t="shared" si="105"/>
        <v>6.9444444444445308E-3</v>
      </c>
      <c r="AO30" s="148">
        <f t="shared" si="53"/>
        <v>28.089877583208697</v>
      </c>
      <c r="AP30" s="149">
        <f t="shared" si="54"/>
        <v>47.910122416791303</v>
      </c>
      <c r="AQ30" s="149">
        <f t="shared" si="7"/>
        <v>61.691860138971634</v>
      </c>
      <c r="AR30" s="149">
        <f t="shared" si="8"/>
        <v>61.857105378269807</v>
      </c>
      <c r="AS30" s="149">
        <f t="shared" si="9"/>
        <v>109.94095976728137</v>
      </c>
      <c r="AT30" s="149">
        <f t="shared" si="10"/>
        <v>114.8176609223738</v>
      </c>
      <c r="AU30" s="149">
        <f t="shared" si="55"/>
        <v>111.93239626243108</v>
      </c>
      <c r="AV30" s="149">
        <f t="shared" si="56"/>
        <v>114.92967270308615</v>
      </c>
      <c r="AW30" s="149">
        <f t="shared" si="57"/>
        <v>0.17368036968193748</v>
      </c>
      <c r="AX30" s="149">
        <f t="shared" si="58"/>
        <v>0.18908304027974834</v>
      </c>
      <c r="AY30" s="123">
        <f t="shared" si="11"/>
        <v>156.83979641263412</v>
      </c>
      <c r="AZ30" s="123">
        <f t="shared" si="12"/>
        <v>163.64145358736593</v>
      </c>
      <c r="BA30" s="123">
        <f t="shared" si="13"/>
        <v>314.2100390293777</v>
      </c>
      <c r="BB30" s="123">
        <f t="shared" si="14"/>
        <v>328.23996097062235</v>
      </c>
      <c r="BC30" s="123">
        <f t="shared" si="15"/>
        <v>471.56159398390412</v>
      </c>
      <c r="BD30" s="123">
        <f t="shared" si="16"/>
        <v>492.76965601609584</v>
      </c>
      <c r="BE30" s="123">
        <f t="shared" si="17"/>
        <v>588.52671906979549</v>
      </c>
      <c r="BF30" s="123">
        <f t="shared" si="18"/>
        <v>611.71810851641135</v>
      </c>
      <c r="BG30" s="123">
        <f t="shared" si="19"/>
        <v>6.4247474531250646</v>
      </c>
      <c r="BH30" s="123">
        <f t="shared" si="20"/>
        <v>29.870769788254243</v>
      </c>
      <c r="BI30" s="123">
        <f t="shared" si="21"/>
        <v>41.634833977180243</v>
      </c>
      <c r="BJ30" s="123">
        <f t="shared" si="22"/>
        <v>41.908916022819731</v>
      </c>
      <c r="BK30" s="123">
        <f t="shared" si="23"/>
        <v>83.527280129290489</v>
      </c>
      <c r="BL30" s="123">
        <f t="shared" si="24"/>
        <v>83.903969870709489</v>
      </c>
      <c r="BM30" s="123">
        <f t="shared" si="25"/>
        <v>125.49642578417671</v>
      </c>
      <c r="BN30" s="123">
        <f t="shared" si="26"/>
        <v>125.82857421582314</v>
      </c>
      <c r="BO30" s="123">
        <f t="shared" si="27"/>
        <v>155.1049414176334</v>
      </c>
      <c r="BP30" s="123">
        <f t="shared" si="28"/>
        <v>157.96747237547007</v>
      </c>
      <c r="BQ30" s="123">
        <f t="shared" si="29"/>
        <v>-3.4739700111749907</v>
      </c>
      <c r="BR30" s="123">
        <f t="shared" si="30"/>
        <v>-0.65327136813535303</v>
      </c>
      <c r="BS30" s="123">
        <f t="shared" si="59"/>
        <v>56.437095452304185</v>
      </c>
      <c r="BT30" s="123">
        <f t="shared" si="60"/>
        <v>134.01118040976476</v>
      </c>
      <c r="BU30" s="123">
        <f t="shared" si="61"/>
        <v>35.424087856897714</v>
      </c>
      <c r="BV30" s="123">
        <f t="shared" si="62"/>
        <v>42.810394901722987</v>
      </c>
      <c r="BW30" s="123">
        <f t="shared" si="63"/>
        <v>68.667936470774464</v>
      </c>
      <c r="BX30" s="123">
        <f t="shared" si="64"/>
        <v>78.252753184397989</v>
      </c>
      <c r="BY30" s="123">
        <f t="shared" si="65"/>
        <v>94.547228197183259</v>
      </c>
      <c r="BZ30" s="123">
        <f t="shared" si="66"/>
        <v>106.39415111316158</v>
      </c>
      <c r="CA30" s="123">
        <f t="shared" si="67"/>
        <v>114.2973449594912</v>
      </c>
      <c r="CB30" s="123">
        <f t="shared" si="68"/>
        <v>127.60610331637088</v>
      </c>
      <c r="CC30" s="123">
        <f t="shared" si="69"/>
        <v>1.1625982470516784E-2</v>
      </c>
      <c r="CD30" s="123">
        <f t="shared" si="70"/>
        <v>1.4691067337912261E-2</v>
      </c>
      <c r="CE30" s="123">
        <f t="shared" si="71"/>
        <v>28.696690452912026</v>
      </c>
      <c r="CF30" s="123">
        <f t="shared" si="72"/>
        <v>29.661930236743164</v>
      </c>
      <c r="CG30" s="261">
        <f t="shared" si="31"/>
        <v>4.6579973341037062E-3</v>
      </c>
      <c r="CH30" s="261">
        <f t="shared" si="32"/>
        <v>5.3410578435228997E-3</v>
      </c>
      <c r="CI30" s="261">
        <f t="shared" si="33"/>
        <v>4.6322196240640304E-3</v>
      </c>
      <c r="CJ30" s="261">
        <f t="shared" si="34"/>
        <v>5.2936118196245515E-3</v>
      </c>
      <c r="CK30" s="261">
        <f t="shared" si="35"/>
        <v>-2.62020899613848E-4</v>
      </c>
      <c r="CL30" s="261">
        <f t="shared" si="36"/>
        <v>2.0015946921793468E-4</v>
      </c>
      <c r="CM30" s="123" t="e">
        <f t="shared" si="73"/>
        <v>#DIV/0!</v>
      </c>
      <c r="CN30" s="123" t="e">
        <f t="shared" si="74"/>
        <v>#DIV/0!</v>
      </c>
      <c r="CO30" s="123" t="e">
        <f t="shared" si="75"/>
        <v>#DIV/0!</v>
      </c>
      <c r="CP30" s="123" t="e">
        <f t="shared" si="76"/>
        <v>#DIV/0!</v>
      </c>
      <c r="CQ30" s="123" t="e">
        <f t="shared" si="77"/>
        <v>#DIV/0!</v>
      </c>
      <c r="CR30" s="123" t="e">
        <f t="shared" si="78"/>
        <v>#DIV/0!</v>
      </c>
      <c r="CS30" s="123" t="e">
        <f t="shared" si="79"/>
        <v>#DIV/0!</v>
      </c>
      <c r="CT30" s="123" t="e">
        <f t="shared" si="80"/>
        <v>#DIV/0!</v>
      </c>
      <c r="CU30" s="124">
        <f t="shared" si="81"/>
        <v>4.9388614429463438</v>
      </c>
      <c r="CV30" s="173">
        <f t="shared" si="82"/>
        <v>6.3118282122260467</v>
      </c>
      <c r="CW30" s="124">
        <f t="shared" si="83"/>
        <v>0</v>
      </c>
      <c r="CX30" s="171">
        <f t="shared" si="84"/>
        <v>0</v>
      </c>
      <c r="CY30" s="122">
        <f>B$91</f>
        <v>38</v>
      </c>
      <c r="CZ30" s="231">
        <f t="shared" si="123"/>
        <v>61.774482758620721</v>
      </c>
      <c r="DA30" s="123">
        <f t="shared" si="123"/>
        <v>112.37931034482759</v>
      </c>
      <c r="DB30" s="123">
        <f t="shared" si="123"/>
        <v>113.43103448275862</v>
      </c>
      <c r="DC30" s="123">
        <f t="shared" si="123"/>
        <v>0.18138170498084291</v>
      </c>
      <c r="DD30" s="123">
        <f t="shared" si="124"/>
        <v>160.24062500000002</v>
      </c>
      <c r="DE30" s="123">
        <f t="shared" si="124"/>
        <v>321.22500000000002</v>
      </c>
      <c r="DF30" s="123">
        <f t="shared" si="124"/>
        <v>482.16562499999998</v>
      </c>
      <c r="DG30" s="123">
        <f t="shared" si="124"/>
        <v>600.12241379310342</v>
      </c>
      <c r="DH30" s="123">
        <f t="shared" si="124"/>
        <v>18.147758620689654</v>
      </c>
      <c r="DI30" s="123">
        <f t="shared" si="85"/>
        <v>41.771874999999987</v>
      </c>
      <c r="DJ30" s="123">
        <f t="shared" si="86"/>
        <v>83.715624999999989</v>
      </c>
      <c r="DK30" s="123">
        <f t="shared" si="87"/>
        <v>125.66249999999992</v>
      </c>
      <c r="DL30" s="123">
        <f t="shared" si="88"/>
        <v>156.53620689655173</v>
      </c>
      <c r="DM30" s="123">
        <f t="shared" si="89"/>
        <v>-2.0636206896551719</v>
      </c>
      <c r="DN30" s="123">
        <f t="shared" si="90"/>
        <v>95.224137931034477</v>
      </c>
      <c r="DO30" s="123">
        <f t="shared" si="125"/>
        <v>39.11724137931035</v>
      </c>
      <c r="DP30" s="123">
        <f t="shared" si="125"/>
        <v>73.460344827586226</v>
      </c>
      <c r="DQ30" s="123">
        <f t="shared" si="125"/>
        <v>100.47068965517242</v>
      </c>
      <c r="DR30" s="123">
        <f t="shared" si="125"/>
        <v>120.95172413793104</v>
      </c>
      <c r="DS30" s="123">
        <f t="shared" si="48"/>
        <v>1.3158524904214522E-2</v>
      </c>
      <c r="DT30" s="123">
        <f t="shared" si="49"/>
        <v>29.179310344827595</v>
      </c>
      <c r="DU30" s="261">
        <f t="shared" si="126"/>
        <v>4.9995275888133029E-3</v>
      </c>
      <c r="DV30" s="261">
        <f t="shared" si="126"/>
        <v>4.962915721844291E-3</v>
      </c>
      <c r="DW30" s="261">
        <f t="shared" si="126"/>
        <v>-3.0930715197956654E-5</v>
      </c>
      <c r="DX30" s="123" t="e">
        <f t="shared" si="126"/>
        <v>#DIV/0!</v>
      </c>
      <c r="DY30" s="123" t="e">
        <f t="shared" si="126"/>
        <v>#DIV/0!</v>
      </c>
      <c r="DZ30" s="123" t="e">
        <f t="shared" si="126"/>
        <v>#DIV/0!</v>
      </c>
      <c r="EA30" s="123" t="e">
        <f>AH$91</f>
        <v>#DIV/0!</v>
      </c>
      <c r="EB30" s="176">
        <f t="shared" si="51"/>
        <v>5.6253448275861953</v>
      </c>
      <c r="EC30" s="125">
        <f t="shared" si="52"/>
        <v>0</v>
      </c>
      <c r="ED30" s="179">
        <f t="shared" si="102"/>
        <v>120</v>
      </c>
      <c r="EE30" s="125">
        <f t="shared" si="103"/>
        <v>100</v>
      </c>
      <c r="EF30" s="106"/>
      <c r="EG30" s="106"/>
    </row>
    <row r="31" spans="1:137" ht="11.25" customHeight="1">
      <c r="A31" s="82" t="s">
        <v>199</v>
      </c>
      <c r="B31" s="160">
        <v>34</v>
      </c>
      <c r="C31" s="257">
        <v>61.8</v>
      </c>
      <c r="D31" s="160">
        <v>113</v>
      </c>
      <c r="E31" s="160">
        <v>114</v>
      </c>
      <c r="F31" s="162">
        <v>0.18194444444444444</v>
      </c>
      <c r="G31" s="113">
        <f>220.75+8.89+22.12+35.33+53.02+39.8+61.8+57.39+119.2</f>
        <v>618.29999999999995</v>
      </c>
      <c r="H31" s="135">
        <v>159.19999999999999</v>
      </c>
      <c r="I31" s="135">
        <v>319.10000000000002</v>
      </c>
      <c r="J31" s="135">
        <v>479.1</v>
      </c>
      <c r="K31" s="159">
        <v>593.79999999999995</v>
      </c>
      <c r="L31" s="135">
        <f t="shared" si="106"/>
        <v>24.5</v>
      </c>
      <c r="M31" s="211">
        <f>30.92+123.57</f>
        <v>154.49</v>
      </c>
      <c r="N31" s="135">
        <v>41.8</v>
      </c>
      <c r="O31" s="135">
        <v>83.7</v>
      </c>
      <c r="P31" s="135">
        <v>125.7</v>
      </c>
      <c r="Q31" s="159">
        <v>157</v>
      </c>
      <c r="R31" s="136">
        <f t="shared" si="107"/>
        <v>-2.5099999999999909</v>
      </c>
      <c r="S31" s="212">
        <v>97</v>
      </c>
      <c r="T31" s="161">
        <v>38.4</v>
      </c>
      <c r="U31" s="161">
        <v>72.2</v>
      </c>
      <c r="V31" s="161">
        <v>99.9</v>
      </c>
      <c r="W31" s="161">
        <v>120.6</v>
      </c>
      <c r="X31" s="186">
        <v>0.61944444444444446</v>
      </c>
      <c r="Y31" s="186">
        <v>0.63263888888888886</v>
      </c>
      <c r="Z31" s="184">
        <f t="shared" si="108"/>
        <v>1.3194444444444398E-2</v>
      </c>
      <c r="AA31" s="161">
        <v>29.1</v>
      </c>
      <c r="AB31" s="260">
        <v>4.9305555555555552E-3</v>
      </c>
      <c r="AC31" s="260">
        <v>4.9768518518518521E-3</v>
      </c>
      <c r="AD31" s="260">
        <f t="shared" si="121"/>
        <v>4.6296296296296884E-5</v>
      </c>
      <c r="AE31" s="57"/>
      <c r="AF31" s="57"/>
      <c r="AG31" s="2"/>
      <c r="AH31" s="57"/>
      <c r="AI31" s="155">
        <v>1354.92</v>
      </c>
      <c r="AJ31" s="155">
        <v>1349.25</v>
      </c>
      <c r="AK31" s="225">
        <f t="shared" si="104"/>
        <v>5.6700000000000728</v>
      </c>
      <c r="AL31" s="191">
        <v>0.67986111111111114</v>
      </c>
      <c r="AM31" s="191">
        <v>0.6875</v>
      </c>
      <c r="AN31" s="227">
        <f t="shared" si="105"/>
        <v>7.6388888888888618E-3</v>
      </c>
      <c r="AO31" s="148">
        <f t="shared" si="53"/>
        <v>28.089877583208697</v>
      </c>
      <c r="AP31" s="149">
        <f t="shared" si="54"/>
        <v>47.910122416791303</v>
      </c>
      <c r="AQ31" s="149">
        <f t="shared" si="7"/>
        <v>61.691860138971634</v>
      </c>
      <c r="AR31" s="149">
        <f t="shared" si="8"/>
        <v>61.857105378269807</v>
      </c>
      <c r="AS31" s="149">
        <f t="shared" si="9"/>
        <v>109.94095976728137</v>
      </c>
      <c r="AT31" s="149">
        <f t="shared" si="10"/>
        <v>114.8176609223738</v>
      </c>
      <c r="AU31" s="149">
        <f t="shared" si="55"/>
        <v>111.93239626243108</v>
      </c>
      <c r="AV31" s="149">
        <f t="shared" si="56"/>
        <v>114.92967270308615</v>
      </c>
      <c r="AW31" s="149">
        <f t="shared" si="57"/>
        <v>0.17368036968193748</v>
      </c>
      <c r="AX31" s="149">
        <f t="shared" si="58"/>
        <v>0.18908304027974834</v>
      </c>
      <c r="AY31" s="123">
        <f t="shared" si="11"/>
        <v>156.83979641263412</v>
      </c>
      <c r="AZ31" s="123">
        <f t="shared" si="12"/>
        <v>163.64145358736593</v>
      </c>
      <c r="BA31" s="123">
        <f t="shared" si="13"/>
        <v>314.2100390293777</v>
      </c>
      <c r="BB31" s="123">
        <f t="shared" si="14"/>
        <v>328.23996097062235</v>
      </c>
      <c r="BC31" s="123">
        <f t="shared" si="15"/>
        <v>471.56159398390412</v>
      </c>
      <c r="BD31" s="123">
        <f t="shared" si="16"/>
        <v>492.76965601609584</v>
      </c>
      <c r="BE31" s="123">
        <f t="shared" si="17"/>
        <v>588.52671906979549</v>
      </c>
      <c r="BF31" s="123">
        <f t="shared" si="18"/>
        <v>611.71810851641135</v>
      </c>
      <c r="BG31" s="123">
        <f t="shared" si="19"/>
        <v>6.4247474531250646</v>
      </c>
      <c r="BH31" s="123">
        <f t="shared" si="20"/>
        <v>29.870769788254243</v>
      </c>
      <c r="BI31" s="123">
        <f t="shared" si="21"/>
        <v>41.634833977180243</v>
      </c>
      <c r="BJ31" s="123">
        <f t="shared" si="22"/>
        <v>41.908916022819731</v>
      </c>
      <c r="BK31" s="123">
        <f t="shared" si="23"/>
        <v>83.527280129290489</v>
      </c>
      <c r="BL31" s="123">
        <f t="shared" si="24"/>
        <v>83.903969870709489</v>
      </c>
      <c r="BM31" s="123">
        <f t="shared" si="25"/>
        <v>125.49642578417671</v>
      </c>
      <c r="BN31" s="123">
        <f t="shared" si="26"/>
        <v>125.82857421582314</v>
      </c>
      <c r="BO31" s="123">
        <f t="shared" si="27"/>
        <v>155.1049414176334</v>
      </c>
      <c r="BP31" s="123">
        <f t="shared" si="28"/>
        <v>157.96747237547007</v>
      </c>
      <c r="BQ31" s="123">
        <f t="shared" si="29"/>
        <v>-3.4739700111749907</v>
      </c>
      <c r="BR31" s="123">
        <f t="shared" si="30"/>
        <v>-0.65327136813535303</v>
      </c>
      <c r="BS31" s="123">
        <f t="shared" si="59"/>
        <v>56.437095452304185</v>
      </c>
      <c r="BT31" s="123">
        <f t="shared" si="60"/>
        <v>134.01118040976476</v>
      </c>
      <c r="BU31" s="123">
        <f t="shared" si="61"/>
        <v>35.424087856897714</v>
      </c>
      <c r="BV31" s="123">
        <f t="shared" si="62"/>
        <v>42.810394901722987</v>
      </c>
      <c r="BW31" s="123">
        <f t="shared" si="63"/>
        <v>68.667936470774464</v>
      </c>
      <c r="BX31" s="123">
        <f t="shared" si="64"/>
        <v>78.252753184397989</v>
      </c>
      <c r="BY31" s="123">
        <f t="shared" si="65"/>
        <v>94.547228197183259</v>
      </c>
      <c r="BZ31" s="123">
        <f t="shared" si="66"/>
        <v>106.39415111316158</v>
      </c>
      <c r="CA31" s="123">
        <f t="shared" si="67"/>
        <v>114.2973449594912</v>
      </c>
      <c r="CB31" s="123">
        <f t="shared" si="68"/>
        <v>127.60610331637088</v>
      </c>
      <c r="CC31" s="123">
        <f t="shared" si="69"/>
        <v>1.1625982470516784E-2</v>
      </c>
      <c r="CD31" s="123">
        <f t="shared" si="70"/>
        <v>1.4691067337912261E-2</v>
      </c>
      <c r="CE31" s="123">
        <f t="shared" si="71"/>
        <v>28.696690452912026</v>
      </c>
      <c r="CF31" s="123">
        <f t="shared" si="72"/>
        <v>29.661930236743164</v>
      </c>
      <c r="CG31" s="261">
        <f t="shared" si="31"/>
        <v>4.6579973341037062E-3</v>
      </c>
      <c r="CH31" s="261">
        <f t="shared" si="32"/>
        <v>5.3410578435228997E-3</v>
      </c>
      <c r="CI31" s="261">
        <f t="shared" si="33"/>
        <v>4.6322196240640304E-3</v>
      </c>
      <c r="CJ31" s="261">
        <f t="shared" si="34"/>
        <v>5.2936118196245515E-3</v>
      </c>
      <c r="CK31" s="261">
        <f t="shared" si="35"/>
        <v>-2.62020899613848E-4</v>
      </c>
      <c r="CL31" s="261">
        <f t="shared" si="36"/>
        <v>2.0015946921793468E-4</v>
      </c>
      <c r="CM31" s="123" t="e">
        <f t="shared" si="73"/>
        <v>#DIV/0!</v>
      </c>
      <c r="CN31" s="123" t="e">
        <f t="shared" si="74"/>
        <v>#DIV/0!</v>
      </c>
      <c r="CO31" s="123" t="e">
        <f t="shared" si="75"/>
        <v>#DIV/0!</v>
      </c>
      <c r="CP31" s="123" t="e">
        <f t="shared" si="76"/>
        <v>#DIV/0!</v>
      </c>
      <c r="CQ31" s="123" t="e">
        <f t="shared" si="77"/>
        <v>#DIV/0!</v>
      </c>
      <c r="CR31" s="123" t="e">
        <f t="shared" si="78"/>
        <v>#DIV/0!</v>
      </c>
      <c r="CS31" s="123" t="e">
        <f t="shared" si="79"/>
        <v>#DIV/0!</v>
      </c>
      <c r="CT31" s="123" t="e">
        <f t="shared" si="80"/>
        <v>#DIV/0!</v>
      </c>
      <c r="CU31" s="124">
        <f t="shared" si="81"/>
        <v>4.9388614429463438</v>
      </c>
      <c r="CV31" s="173">
        <f t="shared" si="82"/>
        <v>6.3118282122260467</v>
      </c>
      <c r="CW31" s="124">
        <f t="shared" si="83"/>
        <v>0</v>
      </c>
      <c r="CX31" s="171">
        <f t="shared" si="84"/>
        <v>0</v>
      </c>
      <c r="CY31" s="122">
        <f>B$91</f>
        <v>38</v>
      </c>
      <c r="CZ31" s="231">
        <f t="shared" ref="CZ31:DC32" si="127">C$91</f>
        <v>61.774482758620721</v>
      </c>
      <c r="DA31" s="123">
        <f t="shared" si="127"/>
        <v>112.37931034482759</v>
      </c>
      <c r="DB31" s="123">
        <f t="shared" si="127"/>
        <v>113.43103448275862</v>
      </c>
      <c r="DC31" s="123">
        <f t="shared" si="127"/>
        <v>0.18138170498084291</v>
      </c>
      <c r="DD31" s="123">
        <f t="shared" ref="DD31:DH32" si="128">H$91</f>
        <v>160.24062500000002</v>
      </c>
      <c r="DE31" s="123">
        <f t="shared" si="128"/>
        <v>321.22500000000002</v>
      </c>
      <c r="DF31" s="123">
        <f t="shared" si="128"/>
        <v>482.16562499999998</v>
      </c>
      <c r="DG31" s="123">
        <f t="shared" si="128"/>
        <v>600.12241379310342</v>
      </c>
      <c r="DH31" s="123">
        <f t="shared" si="128"/>
        <v>18.147758620689654</v>
      </c>
      <c r="DI31" s="123">
        <f t="shared" si="85"/>
        <v>41.771874999999987</v>
      </c>
      <c r="DJ31" s="123">
        <f t="shared" si="86"/>
        <v>83.715624999999989</v>
      </c>
      <c r="DK31" s="123">
        <f t="shared" si="87"/>
        <v>125.66249999999992</v>
      </c>
      <c r="DL31" s="123">
        <f t="shared" si="88"/>
        <v>156.53620689655173</v>
      </c>
      <c r="DM31" s="123">
        <f t="shared" si="89"/>
        <v>-2.0636206896551719</v>
      </c>
      <c r="DN31" s="123">
        <f t="shared" si="90"/>
        <v>95.224137931034477</v>
      </c>
      <c r="DO31" s="123">
        <f t="shared" ref="DO31:DR32" si="129">T$91</f>
        <v>39.11724137931035</v>
      </c>
      <c r="DP31" s="123">
        <f t="shared" si="129"/>
        <v>73.460344827586226</v>
      </c>
      <c r="DQ31" s="123">
        <f t="shared" si="129"/>
        <v>100.47068965517242</v>
      </c>
      <c r="DR31" s="123">
        <f t="shared" si="129"/>
        <v>120.95172413793104</v>
      </c>
      <c r="DS31" s="123">
        <f t="shared" si="48"/>
        <v>1.3158524904214522E-2</v>
      </c>
      <c r="DT31" s="123">
        <f t="shared" si="49"/>
        <v>29.179310344827595</v>
      </c>
      <c r="DU31" s="261">
        <f t="shared" ref="DU31:DZ32" si="130">AB$91</f>
        <v>4.9995275888133029E-3</v>
      </c>
      <c r="DV31" s="261">
        <f t="shared" si="130"/>
        <v>4.962915721844291E-3</v>
      </c>
      <c r="DW31" s="261">
        <f t="shared" si="130"/>
        <v>-3.0930715197956654E-5</v>
      </c>
      <c r="DX31" s="123" t="e">
        <f t="shared" si="130"/>
        <v>#DIV/0!</v>
      </c>
      <c r="DY31" s="123" t="e">
        <f t="shared" si="130"/>
        <v>#DIV/0!</v>
      </c>
      <c r="DZ31" s="123" t="e">
        <f t="shared" si="130"/>
        <v>#DIV/0!</v>
      </c>
      <c r="EA31" s="123" t="e">
        <f>AH$91</f>
        <v>#DIV/0!</v>
      </c>
      <c r="EB31" s="176">
        <f t="shared" si="51"/>
        <v>5.6253448275861953</v>
      </c>
      <c r="EC31" s="125">
        <f t="shared" si="52"/>
        <v>0</v>
      </c>
      <c r="ED31" s="179">
        <f t="shared" si="102"/>
        <v>120</v>
      </c>
      <c r="EE31" s="125">
        <f t="shared" si="103"/>
        <v>100</v>
      </c>
      <c r="EF31" s="106"/>
      <c r="EG31" s="106"/>
    </row>
    <row r="32" spans="1:137" ht="11.25" customHeight="1">
      <c r="A32" s="82" t="s">
        <v>200</v>
      </c>
      <c r="B32" s="160">
        <v>33</v>
      </c>
      <c r="C32" s="257">
        <v>61.82</v>
      </c>
      <c r="D32" s="160">
        <v>113</v>
      </c>
      <c r="E32" s="160">
        <v>114</v>
      </c>
      <c r="F32" s="39">
        <v>0.18124999999999999</v>
      </c>
      <c r="G32" s="274">
        <f>220.69+8.9+22.11+35.31+53.01+39.8+61.82+57.44+119.24</f>
        <v>618.31999999999994</v>
      </c>
      <c r="H32" s="159">
        <v>159.6</v>
      </c>
      <c r="I32" s="159">
        <v>319.8</v>
      </c>
      <c r="J32" s="159">
        <v>480</v>
      </c>
      <c r="K32" s="159">
        <v>591.4</v>
      </c>
      <c r="L32" s="135">
        <f t="shared" si="106"/>
        <v>26.919999999999959</v>
      </c>
      <c r="M32" s="271">
        <f>30.92+123.62</f>
        <v>154.54000000000002</v>
      </c>
      <c r="N32" s="159">
        <v>41.8</v>
      </c>
      <c r="O32" s="159">
        <v>83.7</v>
      </c>
      <c r="P32" s="159">
        <v>125.7</v>
      </c>
      <c r="Q32" s="159">
        <v>157.19999999999999</v>
      </c>
      <c r="R32" s="136">
        <f t="shared" si="107"/>
        <v>-2.6599999999999682</v>
      </c>
      <c r="S32" s="294"/>
      <c r="T32" s="161">
        <v>39.200000000000003</v>
      </c>
      <c r="U32" s="161">
        <v>72.8</v>
      </c>
      <c r="V32" s="161">
        <v>100.5</v>
      </c>
      <c r="W32" s="161">
        <v>121.1</v>
      </c>
      <c r="X32" s="184">
        <v>0.61875000000000002</v>
      </c>
      <c r="Y32" s="186">
        <v>0.63194444444444442</v>
      </c>
      <c r="Z32" s="184">
        <f t="shared" si="108"/>
        <v>1.3194444444444398E-2</v>
      </c>
      <c r="AA32" s="161">
        <v>29.1</v>
      </c>
      <c r="AB32" s="260">
        <v>4.8611111111111112E-3</v>
      </c>
      <c r="AC32" s="260">
        <v>4.7685185185185183E-3</v>
      </c>
      <c r="AD32" s="260">
        <f t="shared" si="121"/>
        <v>-9.25925925925929E-5</v>
      </c>
      <c r="AE32" s="166"/>
      <c r="AF32" s="166"/>
      <c r="AG32" s="222"/>
      <c r="AH32" s="166"/>
      <c r="AI32" s="155">
        <v>1355.2</v>
      </c>
      <c r="AJ32" s="155">
        <v>1349</v>
      </c>
      <c r="AK32" s="225">
        <f t="shared" si="104"/>
        <v>6.2000000000000455</v>
      </c>
      <c r="AL32" s="191">
        <v>0.67638888888888893</v>
      </c>
      <c r="AM32" s="191">
        <v>0.68055555555555547</v>
      </c>
      <c r="AN32" s="227">
        <f t="shared" si="105"/>
        <v>4.1666666666665408E-3</v>
      </c>
      <c r="AO32" s="148">
        <f t="shared" si="53"/>
        <v>28.089877583208697</v>
      </c>
      <c r="AP32" s="149">
        <f t="shared" si="54"/>
        <v>47.910122416791303</v>
      </c>
      <c r="AQ32" s="149">
        <f t="shared" si="7"/>
        <v>61.691860138971634</v>
      </c>
      <c r="AR32" s="149">
        <f t="shared" si="8"/>
        <v>61.857105378269807</v>
      </c>
      <c r="AS32" s="149">
        <f t="shared" si="9"/>
        <v>109.94095976728137</v>
      </c>
      <c r="AT32" s="149">
        <f t="shared" si="10"/>
        <v>114.8176609223738</v>
      </c>
      <c r="AU32" s="149">
        <f t="shared" si="55"/>
        <v>111.93239626243108</v>
      </c>
      <c r="AV32" s="149">
        <f t="shared" si="56"/>
        <v>114.92967270308615</v>
      </c>
      <c r="AW32" s="149">
        <f t="shared" si="57"/>
        <v>0.17368036968193748</v>
      </c>
      <c r="AX32" s="149">
        <f t="shared" si="58"/>
        <v>0.18908304027974834</v>
      </c>
      <c r="AY32" s="123">
        <f t="shared" si="11"/>
        <v>156.83979641263412</v>
      </c>
      <c r="AZ32" s="123">
        <f t="shared" si="12"/>
        <v>163.64145358736593</v>
      </c>
      <c r="BA32" s="123">
        <f t="shared" si="13"/>
        <v>314.2100390293777</v>
      </c>
      <c r="BB32" s="123">
        <f t="shared" si="14"/>
        <v>328.23996097062235</v>
      </c>
      <c r="BC32" s="123">
        <f t="shared" si="15"/>
        <v>471.56159398390412</v>
      </c>
      <c r="BD32" s="123">
        <f t="shared" si="16"/>
        <v>492.76965601609584</v>
      </c>
      <c r="BE32" s="123">
        <f t="shared" si="17"/>
        <v>588.52671906979549</v>
      </c>
      <c r="BF32" s="123">
        <f t="shared" si="18"/>
        <v>611.71810851641135</v>
      </c>
      <c r="BG32" s="123">
        <f t="shared" si="19"/>
        <v>6.4247474531250646</v>
      </c>
      <c r="BH32" s="123">
        <f t="shared" si="20"/>
        <v>29.870769788254243</v>
      </c>
      <c r="BI32" s="123">
        <f t="shared" si="21"/>
        <v>41.634833977180243</v>
      </c>
      <c r="BJ32" s="123">
        <f t="shared" si="22"/>
        <v>41.908916022819731</v>
      </c>
      <c r="BK32" s="123">
        <f t="shared" si="23"/>
        <v>83.527280129290489</v>
      </c>
      <c r="BL32" s="123">
        <f t="shared" si="24"/>
        <v>83.903969870709489</v>
      </c>
      <c r="BM32" s="123">
        <f t="shared" si="25"/>
        <v>125.49642578417671</v>
      </c>
      <c r="BN32" s="123">
        <f t="shared" si="26"/>
        <v>125.82857421582314</v>
      </c>
      <c r="BO32" s="123">
        <f t="shared" si="27"/>
        <v>155.1049414176334</v>
      </c>
      <c r="BP32" s="123">
        <f t="shared" si="28"/>
        <v>157.96747237547007</v>
      </c>
      <c r="BQ32" s="123">
        <f t="shared" si="29"/>
        <v>-3.4739700111749907</v>
      </c>
      <c r="BR32" s="123">
        <f t="shared" si="30"/>
        <v>-0.65327136813535303</v>
      </c>
      <c r="BS32" s="123">
        <f t="shared" si="59"/>
        <v>56.437095452304185</v>
      </c>
      <c r="BT32" s="123">
        <f t="shared" si="60"/>
        <v>134.01118040976476</v>
      </c>
      <c r="BU32" s="123">
        <f t="shared" si="61"/>
        <v>35.424087856897714</v>
      </c>
      <c r="BV32" s="123">
        <f t="shared" si="62"/>
        <v>42.810394901722987</v>
      </c>
      <c r="BW32" s="123">
        <f t="shared" si="63"/>
        <v>68.667936470774464</v>
      </c>
      <c r="BX32" s="123">
        <f t="shared" si="64"/>
        <v>78.252753184397989</v>
      </c>
      <c r="BY32" s="123">
        <f t="shared" si="65"/>
        <v>94.547228197183259</v>
      </c>
      <c r="BZ32" s="123">
        <f t="shared" si="66"/>
        <v>106.39415111316158</v>
      </c>
      <c r="CA32" s="123">
        <f t="shared" si="67"/>
        <v>114.2973449594912</v>
      </c>
      <c r="CB32" s="123">
        <f t="shared" si="68"/>
        <v>127.60610331637088</v>
      </c>
      <c r="CC32" s="123">
        <f t="shared" si="69"/>
        <v>1.1625982470516784E-2</v>
      </c>
      <c r="CD32" s="123">
        <f t="shared" si="70"/>
        <v>1.4691067337912261E-2</v>
      </c>
      <c r="CE32" s="123">
        <f t="shared" si="71"/>
        <v>28.696690452912026</v>
      </c>
      <c r="CF32" s="123">
        <f t="shared" si="72"/>
        <v>29.661930236743164</v>
      </c>
      <c r="CG32" s="261">
        <f t="shared" si="31"/>
        <v>4.6579973341037062E-3</v>
      </c>
      <c r="CH32" s="261">
        <f t="shared" si="32"/>
        <v>5.3410578435228997E-3</v>
      </c>
      <c r="CI32" s="261">
        <f t="shared" si="33"/>
        <v>4.6322196240640304E-3</v>
      </c>
      <c r="CJ32" s="261">
        <f t="shared" si="34"/>
        <v>5.2936118196245515E-3</v>
      </c>
      <c r="CK32" s="261">
        <f t="shared" si="35"/>
        <v>-2.62020899613848E-4</v>
      </c>
      <c r="CL32" s="261">
        <f t="shared" si="36"/>
        <v>2.0015946921793468E-4</v>
      </c>
      <c r="CM32" s="123" t="e">
        <f t="shared" si="73"/>
        <v>#DIV/0!</v>
      </c>
      <c r="CN32" s="123" t="e">
        <f t="shared" si="74"/>
        <v>#DIV/0!</v>
      </c>
      <c r="CO32" s="123" t="e">
        <f t="shared" si="75"/>
        <v>#DIV/0!</v>
      </c>
      <c r="CP32" s="123" t="e">
        <f t="shared" si="76"/>
        <v>#DIV/0!</v>
      </c>
      <c r="CQ32" s="123" t="e">
        <f t="shared" si="77"/>
        <v>#DIV/0!</v>
      </c>
      <c r="CR32" s="123" t="e">
        <f t="shared" si="78"/>
        <v>#DIV/0!</v>
      </c>
      <c r="CS32" s="123" t="e">
        <f t="shared" si="79"/>
        <v>#DIV/0!</v>
      </c>
      <c r="CT32" s="123" t="e">
        <f t="shared" si="80"/>
        <v>#DIV/0!</v>
      </c>
      <c r="CU32" s="124">
        <f t="shared" si="81"/>
        <v>4.9388614429463438</v>
      </c>
      <c r="CV32" s="173">
        <f t="shared" si="82"/>
        <v>6.3118282122260467</v>
      </c>
      <c r="CW32" s="124">
        <f t="shared" si="83"/>
        <v>0</v>
      </c>
      <c r="CX32" s="171">
        <f t="shared" si="84"/>
        <v>0</v>
      </c>
      <c r="CY32" s="122">
        <f>B$91</f>
        <v>38</v>
      </c>
      <c r="CZ32" s="231">
        <f t="shared" si="127"/>
        <v>61.774482758620721</v>
      </c>
      <c r="DA32" s="123">
        <f t="shared" si="127"/>
        <v>112.37931034482759</v>
      </c>
      <c r="DB32" s="123">
        <f t="shared" si="127"/>
        <v>113.43103448275862</v>
      </c>
      <c r="DC32" s="123">
        <f t="shared" si="127"/>
        <v>0.18138170498084291</v>
      </c>
      <c r="DD32" s="123">
        <f t="shared" si="128"/>
        <v>160.24062500000002</v>
      </c>
      <c r="DE32" s="123">
        <f t="shared" si="128"/>
        <v>321.22500000000002</v>
      </c>
      <c r="DF32" s="123">
        <f t="shared" si="128"/>
        <v>482.16562499999998</v>
      </c>
      <c r="DG32" s="123">
        <f t="shared" si="128"/>
        <v>600.12241379310342</v>
      </c>
      <c r="DH32" s="123">
        <f t="shared" si="128"/>
        <v>18.147758620689654</v>
      </c>
      <c r="DI32" s="123">
        <f t="shared" si="85"/>
        <v>41.771874999999987</v>
      </c>
      <c r="DJ32" s="123">
        <f t="shared" si="86"/>
        <v>83.715624999999989</v>
      </c>
      <c r="DK32" s="123">
        <f t="shared" si="87"/>
        <v>125.66249999999992</v>
      </c>
      <c r="DL32" s="123">
        <f t="shared" si="88"/>
        <v>156.53620689655173</v>
      </c>
      <c r="DM32" s="123">
        <f t="shared" si="89"/>
        <v>-2.0636206896551719</v>
      </c>
      <c r="DN32" s="123">
        <f t="shared" si="90"/>
        <v>95.224137931034477</v>
      </c>
      <c r="DO32" s="123">
        <f t="shared" si="129"/>
        <v>39.11724137931035</v>
      </c>
      <c r="DP32" s="123">
        <f t="shared" si="129"/>
        <v>73.460344827586226</v>
      </c>
      <c r="DQ32" s="123">
        <f t="shared" si="129"/>
        <v>100.47068965517242</v>
      </c>
      <c r="DR32" s="123">
        <f t="shared" si="129"/>
        <v>120.95172413793104</v>
      </c>
      <c r="DS32" s="123">
        <f t="shared" si="48"/>
        <v>1.3158524904214522E-2</v>
      </c>
      <c r="DT32" s="123">
        <f t="shared" si="49"/>
        <v>29.179310344827595</v>
      </c>
      <c r="DU32" s="261">
        <f t="shared" si="130"/>
        <v>4.9995275888133029E-3</v>
      </c>
      <c r="DV32" s="261">
        <f t="shared" si="130"/>
        <v>4.962915721844291E-3</v>
      </c>
      <c r="DW32" s="261">
        <f t="shared" si="130"/>
        <v>-3.0930715197956654E-5</v>
      </c>
      <c r="DX32" s="123" t="e">
        <f t="shared" si="130"/>
        <v>#DIV/0!</v>
      </c>
      <c r="DY32" s="123" t="e">
        <f t="shared" si="130"/>
        <v>#DIV/0!</v>
      </c>
      <c r="DZ32" s="123" t="e">
        <f t="shared" si="130"/>
        <v>#DIV/0!</v>
      </c>
      <c r="EA32" s="123" t="e">
        <f>AH$91</f>
        <v>#DIV/0!</v>
      </c>
      <c r="EB32" s="176">
        <f t="shared" si="51"/>
        <v>5.6253448275861953</v>
      </c>
      <c r="EC32" s="125">
        <f t="shared" si="52"/>
        <v>0</v>
      </c>
      <c r="ED32" s="179">
        <f t="shared" si="102"/>
        <v>120</v>
      </c>
      <c r="EE32" s="125">
        <f t="shared" si="103"/>
        <v>100</v>
      </c>
      <c r="EF32" s="106"/>
      <c r="EG32" s="106"/>
    </row>
    <row r="33" spans="1:137" ht="11.25" customHeight="1">
      <c r="A33" s="82" t="s">
        <v>201</v>
      </c>
      <c r="B33" s="160">
        <v>36</v>
      </c>
      <c r="C33" s="257">
        <v>61.82</v>
      </c>
      <c r="D33" s="160">
        <v>112</v>
      </c>
      <c r="E33" s="160">
        <v>114</v>
      </c>
      <c r="F33" s="162">
        <v>0.18194444444444444</v>
      </c>
      <c r="G33" s="274">
        <v>618.4</v>
      </c>
      <c r="H33" s="159">
        <v>159.19999999999999</v>
      </c>
      <c r="I33" s="159">
        <v>319.2</v>
      </c>
      <c r="J33" s="159">
        <v>479</v>
      </c>
      <c r="K33" s="159">
        <v>591.29999999999995</v>
      </c>
      <c r="L33" s="135">
        <f t="shared" si="106"/>
        <v>27.100000000000023</v>
      </c>
      <c r="M33" s="271">
        <v>154.53</v>
      </c>
      <c r="N33" s="159">
        <v>41.8</v>
      </c>
      <c r="O33" s="159">
        <v>83.7</v>
      </c>
      <c r="P33" s="159">
        <v>125.7</v>
      </c>
      <c r="Q33" s="159">
        <v>157.4</v>
      </c>
      <c r="R33" s="136">
        <f t="shared" si="107"/>
        <v>-2.8700000000000045</v>
      </c>
      <c r="S33" s="272">
        <v>47</v>
      </c>
      <c r="T33" s="161">
        <v>38.799999999999997</v>
      </c>
      <c r="U33" s="161">
        <v>72.8</v>
      </c>
      <c r="V33" s="161">
        <v>100</v>
      </c>
      <c r="W33" s="161">
        <v>120.5</v>
      </c>
      <c r="X33" s="186">
        <v>0.61944444444444446</v>
      </c>
      <c r="Y33" s="186">
        <v>0.63263888888888886</v>
      </c>
      <c r="Z33" s="184">
        <f t="shared" si="108"/>
        <v>1.3194444444444398E-2</v>
      </c>
      <c r="AA33" s="161">
        <v>29</v>
      </c>
      <c r="AB33" s="260">
        <v>4.9652777777777777E-3</v>
      </c>
      <c r="AC33" s="260">
        <v>4.8611111111111112E-3</v>
      </c>
      <c r="AD33" s="260">
        <f>AC33-AB33</f>
        <v>-1.0416666666666647E-4</v>
      </c>
      <c r="AE33" s="166"/>
      <c r="AF33" s="166"/>
      <c r="AG33" s="222"/>
      <c r="AH33" s="166"/>
      <c r="AI33" s="155">
        <v>1355.25</v>
      </c>
      <c r="AJ33" s="155">
        <v>1349.51</v>
      </c>
      <c r="AK33" s="225">
        <f t="shared" si="104"/>
        <v>5.7400000000000091</v>
      </c>
      <c r="AL33" s="196">
        <v>0.67847222222222225</v>
      </c>
      <c r="AM33" s="196">
        <v>0.6875</v>
      </c>
      <c r="AN33" s="227">
        <f t="shared" si="105"/>
        <v>9.0277777777777457E-3</v>
      </c>
      <c r="AO33" s="148">
        <f t="shared" si="53"/>
        <v>28.089877583208697</v>
      </c>
      <c r="AP33" s="149">
        <f t="shared" si="54"/>
        <v>47.910122416791303</v>
      </c>
      <c r="AQ33" s="149">
        <f t="shared" si="7"/>
        <v>61.691860138971634</v>
      </c>
      <c r="AR33" s="149">
        <f t="shared" si="8"/>
        <v>61.857105378269807</v>
      </c>
      <c r="AS33" s="149">
        <f t="shared" si="9"/>
        <v>109.94095976728137</v>
      </c>
      <c r="AT33" s="149">
        <f t="shared" si="10"/>
        <v>114.8176609223738</v>
      </c>
      <c r="AU33" s="149">
        <f t="shared" si="55"/>
        <v>111.93239626243108</v>
      </c>
      <c r="AV33" s="149">
        <f t="shared" si="56"/>
        <v>114.92967270308615</v>
      </c>
      <c r="AW33" s="149">
        <f t="shared" si="57"/>
        <v>0.17368036968193748</v>
      </c>
      <c r="AX33" s="149">
        <f t="shared" si="58"/>
        <v>0.18908304027974834</v>
      </c>
      <c r="AY33" s="123">
        <f t="shared" si="11"/>
        <v>156.83979641263412</v>
      </c>
      <c r="AZ33" s="123">
        <f t="shared" si="12"/>
        <v>163.64145358736593</v>
      </c>
      <c r="BA33" s="123">
        <f t="shared" si="13"/>
        <v>314.2100390293777</v>
      </c>
      <c r="BB33" s="123">
        <f t="shared" si="14"/>
        <v>328.23996097062235</v>
      </c>
      <c r="BC33" s="123">
        <f t="shared" si="15"/>
        <v>471.56159398390412</v>
      </c>
      <c r="BD33" s="123">
        <f t="shared" si="16"/>
        <v>492.76965601609584</v>
      </c>
      <c r="BE33" s="123">
        <f t="shared" si="17"/>
        <v>588.52671906979549</v>
      </c>
      <c r="BF33" s="123">
        <f t="shared" si="18"/>
        <v>611.71810851641135</v>
      </c>
      <c r="BG33" s="123">
        <f t="shared" si="19"/>
        <v>6.4247474531250646</v>
      </c>
      <c r="BH33" s="123">
        <f t="shared" si="20"/>
        <v>29.870769788254243</v>
      </c>
      <c r="BI33" s="123">
        <f t="shared" si="21"/>
        <v>41.634833977180243</v>
      </c>
      <c r="BJ33" s="123">
        <f t="shared" si="22"/>
        <v>41.908916022819731</v>
      </c>
      <c r="BK33" s="123">
        <f t="shared" si="23"/>
        <v>83.527280129290489</v>
      </c>
      <c r="BL33" s="123">
        <f t="shared" si="24"/>
        <v>83.903969870709489</v>
      </c>
      <c r="BM33" s="123">
        <f t="shared" si="25"/>
        <v>125.49642578417671</v>
      </c>
      <c r="BN33" s="123">
        <f t="shared" si="26"/>
        <v>125.82857421582314</v>
      </c>
      <c r="BO33" s="123">
        <f t="shared" si="27"/>
        <v>155.1049414176334</v>
      </c>
      <c r="BP33" s="123">
        <f t="shared" si="28"/>
        <v>157.96747237547007</v>
      </c>
      <c r="BQ33" s="123">
        <f t="shared" si="29"/>
        <v>-3.4739700111749907</v>
      </c>
      <c r="BR33" s="123">
        <f t="shared" si="30"/>
        <v>-0.65327136813535303</v>
      </c>
      <c r="BS33" s="123">
        <f t="shared" si="59"/>
        <v>56.437095452304185</v>
      </c>
      <c r="BT33" s="123">
        <f t="shared" si="60"/>
        <v>134.01118040976476</v>
      </c>
      <c r="BU33" s="123">
        <f t="shared" si="61"/>
        <v>35.424087856897714</v>
      </c>
      <c r="BV33" s="123">
        <f t="shared" si="62"/>
        <v>42.810394901722987</v>
      </c>
      <c r="BW33" s="123">
        <f t="shared" si="63"/>
        <v>68.667936470774464</v>
      </c>
      <c r="BX33" s="123">
        <f t="shared" si="64"/>
        <v>78.252753184397989</v>
      </c>
      <c r="BY33" s="123">
        <f t="shared" si="65"/>
        <v>94.547228197183259</v>
      </c>
      <c r="BZ33" s="123">
        <f t="shared" si="66"/>
        <v>106.39415111316158</v>
      </c>
      <c r="CA33" s="123">
        <f t="shared" si="67"/>
        <v>114.2973449594912</v>
      </c>
      <c r="CB33" s="123">
        <f t="shared" si="68"/>
        <v>127.60610331637088</v>
      </c>
      <c r="CC33" s="123">
        <f t="shared" si="69"/>
        <v>1.1625982470516784E-2</v>
      </c>
      <c r="CD33" s="123">
        <f t="shared" si="70"/>
        <v>1.4691067337912261E-2</v>
      </c>
      <c r="CE33" s="123">
        <f t="shared" si="71"/>
        <v>28.696690452912026</v>
      </c>
      <c r="CF33" s="123">
        <f t="shared" si="72"/>
        <v>29.661930236743164</v>
      </c>
      <c r="CG33" s="261">
        <f t="shared" si="31"/>
        <v>4.6579973341037062E-3</v>
      </c>
      <c r="CH33" s="261">
        <f t="shared" si="32"/>
        <v>5.3410578435228997E-3</v>
      </c>
      <c r="CI33" s="261">
        <f t="shared" si="33"/>
        <v>4.6322196240640304E-3</v>
      </c>
      <c r="CJ33" s="261">
        <f t="shared" si="34"/>
        <v>5.2936118196245515E-3</v>
      </c>
      <c r="CK33" s="261">
        <f t="shared" si="35"/>
        <v>-2.62020899613848E-4</v>
      </c>
      <c r="CL33" s="261">
        <f t="shared" si="36"/>
        <v>2.0015946921793468E-4</v>
      </c>
      <c r="CM33" s="123" t="e">
        <f t="shared" si="73"/>
        <v>#DIV/0!</v>
      </c>
      <c r="CN33" s="123" t="e">
        <f t="shared" si="74"/>
        <v>#DIV/0!</v>
      </c>
      <c r="CO33" s="123" t="e">
        <f t="shared" si="75"/>
        <v>#DIV/0!</v>
      </c>
      <c r="CP33" s="123" t="e">
        <f t="shared" si="76"/>
        <v>#DIV/0!</v>
      </c>
      <c r="CQ33" s="123" t="e">
        <f t="shared" si="77"/>
        <v>#DIV/0!</v>
      </c>
      <c r="CR33" s="123" t="e">
        <f t="shared" si="78"/>
        <v>#DIV/0!</v>
      </c>
      <c r="CS33" s="123" t="e">
        <f t="shared" si="79"/>
        <v>#DIV/0!</v>
      </c>
      <c r="CT33" s="123" t="e">
        <f t="shared" si="80"/>
        <v>#DIV/0!</v>
      </c>
      <c r="CU33" s="124">
        <f t="shared" si="81"/>
        <v>4.9388614429463438</v>
      </c>
      <c r="CV33" s="173">
        <f t="shared" si="82"/>
        <v>6.3118282122260467</v>
      </c>
      <c r="CW33" s="124">
        <f t="shared" si="83"/>
        <v>0</v>
      </c>
      <c r="CX33" s="171">
        <f t="shared" si="84"/>
        <v>0</v>
      </c>
      <c r="CY33" s="122">
        <f t="shared" ref="CY33:CY38" si="131">B$91</f>
        <v>38</v>
      </c>
      <c r="CZ33" s="231">
        <f t="shared" ref="CZ33:CZ38" si="132">C$91</f>
        <v>61.774482758620721</v>
      </c>
      <c r="DA33" s="123">
        <f t="shared" ref="DA33:DA38" si="133">D$91</f>
        <v>112.37931034482759</v>
      </c>
      <c r="DB33" s="123">
        <f t="shared" ref="DB33:DB38" si="134">E$91</f>
        <v>113.43103448275862</v>
      </c>
      <c r="DC33" s="123">
        <f t="shared" ref="DC33:DC38" si="135">F$91</f>
        <v>0.18138170498084291</v>
      </c>
      <c r="DD33" s="123">
        <f t="shared" ref="DD33:DD38" si="136">H$91</f>
        <v>160.24062500000002</v>
      </c>
      <c r="DE33" s="123">
        <f t="shared" ref="DE33:DE38" si="137">I$91</f>
        <v>321.22500000000002</v>
      </c>
      <c r="DF33" s="123">
        <f t="shared" ref="DF33:DF38" si="138">J$91</f>
        <v>482.16562499999998</v>
      </c>
      <c r="DG33" s="123">
        <f t="shared" ref="DG33:DG38" si="139">K$91</f>
        <v>600.12241379310342</v>
      </c>
      <c r="DH33" s="123">
        <f t="shared" ref="DH33:DH38" si="140">L$91</f>
        <v>18.147758620689654</v>
      </c>
      <c r="DI33" s="123">
        <f t="shared" ref="DI33:DI38" si="141">N$91</f>
        <v>41.771874999999987</v>
      </c>
      <c r="DJ33" s="123">
        <f t="shared" ref="DJ33:DJ38" si="142">O$91</f>
        <v>83.715624999999989</v>
      </c>
      <c r="DK33" s="123">
        <f t="shared" ref="DK33:DK38" si="143">P$91</f>
        <v>125.66249999999992</v>
      </c>
      <c r="DL33" s="123">
        <f t="shared" ref="DL33:DL38" si="144">Q$91</f>
        <v>156.53620689655173</v>
      </c>
      <c r="DM33" s="123">
        <f t="shared" ref="DM33:DM38" si="145">R$91</f>
        <v>-2.0636206896551719</v>
      </c>
      <c r="DN33" s="123">
        <f t="shared" ref="DN33:DN38" si="146">S$91</f>
        <v>95.224137931034477</v>
      </c>
      <c r="DO33" s="123">
        <f t="shared" ref="DO33:DO38" si="147">T$91</f>
        <v>39.11724137931035</v>
      </c>
      <c r="DP33" s="123">
        <f t="shared" ref="DP33:DP38" si="148">U$91</f>
        <v>73.460344827586226</v>
      </c>
      <c r="DQ33" s="123">
        <f t="shared" ref="DQ33:DQ38" si="149">V$91</f>
        <v>100.47068965517242</v>
      </c>
      <c r="DR33" s="123">
        <f t="shared" ref="DR33:DR38" si="150">W$91</f>
        <v>120.95172413793104</v>
      </c>
      <c r="DS33" s="123">
        <f t="shared" ref="DS33:DS38" si="151">Z$91</f>
        <v>1.3158524904214522E-2</v>
      </c>
      <c r="DT33" s="123">
        <f t="shared" ref="DT33:DT38" si="152">AA$91</f>
        <v>29.179310344827595</v>
      </c>
      <c r="DU33" s="261">
        <f t="shared" ref="DU33:DU38" si="153">AB$91</f>
        <v>4.9995275888133029E-3</v>
      </c>
      <c r="DV33" s="261">
        <f t="shared" ref="DV33:DV38" si="154">AC$91</f>
        <v>4.962915721844291E-3</v>
      </c>
      <c r="DW33" s="261">
        <f t="shared" ref="DW33:DW38" si="155">AD$91</f>
        <v>-3.0930715197956654E-5</v>
      </c>
      <c r="DX33" s="123" t="e">
        <f t="shared" ref="DX33:DX38" si="156">AE$91</f>
        <v>#DIV/0!</v>
      </c>
      <c r="DY33" s="123" t="e">
        <f t="shared" ref="DY33:DY38" si="157">AF$91</f>
        <v>#DIV/0!</v>
      </c>
      <c r="DZ33" s="123" t="e">
        <f t="shared" ref="DZ33:DZ38" si="158">AG$91</f>
        <v>#DIV/0!</v>
      </c>
      <c r="EA33" s="123" t="e">
        <f t="shared" ref="EA33:EA38" si="159">AH$91</f>
        <v>#DIV/0!</v>
      </c>
      <c r="EB33" s="176">
        <f t="shared" ref="EB33:EB38" si="160">AK$91</f>
        <v>5.6253448275861953</v>
      </c>
      <c r="EC33" s="125">
        <f t="shared" ref="EC33:EC38" si="161">AN$91</f>
        <v>0</v>
      </c>
      <c r="ED33" s="179">
        <f t="shared" si="102"/>
        <v>120</v>
      </c>
      <c r="EE33" s="125">
        <f t="shared" si="103"/>
        <v>100</v>
      </c>
      <c r="EF33" s="106"/>
      <c r="EG33" s="106"/>
    </row>
    <row r="34" spans="1:137" ht="11.25" customHeight="1">
      <c r="A34" s="82" t="s">
        <v>202</v>
      </c>
      <c r="B34" s="160">
        <v>36</v>
      </c>
      <c r="C34" s="257">
        <v>61.75</v>
      </c>
      <c r="D34" s="160">
        <v>112</v>
      </c>
      <c r="E34" s="160">
        <v>114</v>
      </c>
      <c r="F34" s="162">
        <v>0.17986111111111111</v>
      </c>
      <c r="G34" s="274">
        <v>618.35</v>
      </c>
      <c r="H34" s="159">
        <v>159.5</v>
      </c>
      <c r="I34" s="159">
        <v>319.7</v>
      </c>
      <c r="J34" s="159">
        <v>479.8</v>
      </c>
      <c r="K34" s="159">
        <v>592.1</v>
      </c>
      <c r="L34" s="135">
        <f t="shared" si="106"/>
        <v>26.25</v>
      </c>
      <c r="M34" s="271">
        <v>154.46</v>
      </c>
      <c r="N34" s="159">
        <v>41.8</v>
      </c>
      <c r="O34" s="159">
        <v>83.7</v>
      </c>
      <c r="P34" s="159">
        <v>125.7</v>
      </c>
      <c r="Q34" s="159">
        <v>157.69999999999999</v>
      </c>
      <c r="R34" s="136">
        <f t="shared" si="107"/>
        <v>-3.2399999999999807</v>
      </c>
      <c r="S34" s="272"/>
      <c r="T34" s="161">
        <v>39.299999999999997</v>
      </c>
      <c r="U34" s="161">
        <v>73.099999999999994</v>
      </c>
      <c r="V34" s="161">
        <v>101</v>
      </c>
      <c r="W34" s="161">
        <v>122.2</v>
      </c>
      <c r="X34" s="186">
        <v>0.61736111111111114</v>
      </c>
      <c r="Y34" s="186">
        <v>0.62986111111111109</v>
      </c>
      <c r="Z34" s="184">
        <f t="shared" si="108"/>
        <v>1.2499999999999956E-2</v>
      </c>
      <c r="AA34" s="161">
        <v>28.8</v>
      </c>
      <c r="AB34" s="260">
        <v>5.115740740740741E-3</v>
      </c>
      <c r="AC34" s="260">
        <v>5.2314814814814819E-3</v>
      </c>
      <c r="AD34" s="260">
        <f>AC34-AB34</f>
        <v>1.1574074074074091E-4</v>
      </c>
      <c r="AE34" s="166"/>
      <c r="AF34" s="166"/>
      <c r="AG34" s="222"/>
      <c r="AH34" s="166"/>
      <c r="AI34" s="155">
        <v>1355.14</v>
      </c>
      <c r="AJ34" s="155">
        <v>1349.43</v>
      </c>
      <c r="AK34" s="225">
        <f t="shared" si="104"/>
        <v>5.7100000000000364</v>
      </c>
      <c r="AL34" s="196">
        <v>0.6791666666666667</v>
      </c>
      <c r="AM34" s="196">
        <v>0.6875</v>
      </c>
      <c r="AN34" s="227">
        <f t="shared" si="105"/>
        <v>8.3333333333333037E-3</v>
      </c>
      <c r="AO34" s="148">
        <f t="shared" si="53"/>
        <v>28.089877583208697</v>
      </c>
      <c r="AP34" s="149">
        <f t="shared" si="54"/>
        <v>47.910122416791303</v>
      </c>
      <c r="AQ34" s="149">
        <f t="shared" si="7"/>
        <v>61.691860138971634</v>
      </c>
      <c r="AR34" s="149">
        <f t="shared" si="8"/>
        <v>61.857105378269807</v>
      </c>
      <c r="AS34" s="149">
        <f t="shared" si="9"/>
        <v>109.94095976728137</v>
      </c>
      <c r="AT34" s="149">
        <f t="shared" si="10"/>
        <v>114.8176609223738</v>
      </c>
      <c r="AU34" s="149">
        <f t="shared" si="55"/>
        <v>111.93239626243108</v>
      </c>
      <c r="AV34" s="149">
        <f t="shared" si="56"/>
        <v>114.92967270308615</v>
      </c>
      <c r="AW34" s="149">
        <f t="shared" si="57"/>
        <v>0.17368036968193748</v>
      </c>
      <c r="AX34" s="149">
        <f t="shared" si="58"/>
        <v>0.18908304027974834</v>
      </c>
      <c r="AY34" s="123">
        <f t="shared" si="11"/>
        <v>156.83979641263412</v>
      </c>
      <c r="AZ34" s="123">
        <f t="shared" si="12"/>
        <v>163.64145358736593</v>
      </c>
      <c r="BA34" s="123">
        <f t="shared" si="13"/>
        <v>314.2100390293777</v>
      </c>
      <c r="BB34" s="123">
        <f t="shared" si="14"/>
        <v>328.23996097062235</v>
      </c>
      <c r="BC34" s="123">
        <f t="shared" si="15"/>
        <v>471.56159398390412</v>
      </c>
      <c r="BD34" s="123">
        <f t="shared" si="16"/>
        <v>492.76965601609584</v>
      </c>
      <c r="BE34" s="123">
        <f t="shared" si="17"/>
        <v>588.52671906979549</v>
      </c>
      <c r="BF34" s="123">
        <f t="shared" si="18"/>
        <v>611.71810851641135</v>
      </c>
      <c r="BG34" s="123">
        <f t="shared" si="19"/>
        <v>6.4247474531250646</v>
      </c>
      <c r="BH34" s="123">
        <f t="shared" si="20"/>
        <v>29.870769788254243</v>
      </c>
      <c r="BI34" s="123">
        <f t="shared" si="21"/>
        <v>41.634833977180243</v>
      </c>
      <c r="BJ34" s="123">
        <f t="shared" si="22"/>
        <v>41.908916022819731</v>
      </c>
      <c r="BK34" s="123">
        <f t="shared" si="23"/>
        <v>83.527280129290489</v>
      </c>
      <c r="BL34" s="123">
        <f t="shared" si="24"/>
        <v>83.903969870709489</v>
      </c>
      <c r="BM34" s="123">
        <f t="shared" si="25"/>
        <v>125.49642578417671</v>
      </c>
      <c r="BN34" s="123">
        <f t="shared" si="26"/>
        <v>125.82857421582314</v>
      </c>
      <c r="BO34" s="123">
        <f t="shared" si="27"/>
        <v>155.1049414176334</v>
      </c>
      <c r="BP34" s="123">
        <f t="shared" si="28"/>
        <v>157.96747237547007</v>
      </c>
      <c r="BQ34" s="123">
        <f t="shared" si="29"/>
        <v>-3.4739700111749907</v>
      </c>
      <c r="BR34" s="123">
        <f t="shared" si="30"/>
        <v>-0.65327136813535303</v>
      </c>
      <c r="BS34" s="123">
        <f t="shared" si="59"/>
        <v>56.437095452304185</v>
      </c>
      <c r="BT34" s="123">
        <f t="shared" si="60"/>
        <v>134.01118040976476</v>
      </c>
      <c r="BU34" s="123">
        <f t="shared" si="61"/>
        <v>35.424087856897714</v>
      </c>
      <c r="BV34" s="123">
        <f t="shared" si="62"/>
        <v>42.810394901722987</v>
      </c>
      <c r="BW34" s="123">
        <f t="shared" si="63"/>
        <v>68.667936470774464</v>
      </c>
      <c r="BX34" s="123">
        <f t="shared" si="64"/>
        <v>78.252753184397989</v>
      </c>
      <c r="BY34" s="123">
        <f t="shared" si="65"/>
        <v>94.547228197183259</v>
      </c>
      <c r="BZ34" s="123">
        <f t="shared" si="66"/>
        <v>106.39415111316158</v>
      </c>
      <c r="CA34" s="123">
        <f t="shared" si="67"/>
        <v>114.2973449594912</v>
      </c>
      <c r="CB34" s="123">
        <f t="shared" si="68"/>
        <v>127.60610331637088</v>
      </c>
      <c r="CC34" s="123">
        <f t="shared" si="69"/>
        <v>1.1625982470516784E-2</v>
      </c>
      <c r="CD34" s="123">
        <f t="shared" si="70"/>
        <v>1.4691067337912261E-2</v>
      </c>
      <c r="CE34" s="123">
        <f t="shared" si="71"/>
        <v>28.696690452912026</v>
      </c>
      <c r="CF34" s="123">
        <f t="shared" si="72"/>
        <v>29.661930236743164</v>
      </c>
      <c r="CG34" s="261">
        <f t="shared" si="31"/>
        <v>4.6579973341037062E-3</v>
      </c>
      <c r="CH34" s="261">
        <f t="shared" si="32"/>
        <v>5.3410578435228997E-3</v>
      </c>
      <c r="CI34" s="261">
        <f t="shared" si="33"/>
        <v>4.6322196240640304E-3</v>
      </c>
      <c r="CJ34" s="261">
        <f t="shared" si="34"/>
        <v>5.2936118196245515E-3</v>
      </c>
      <c r="CK34" s="261">
        <f t="shared" si="35"/>
        <v>-2.62020899613848E-4</v>
      </c>
      <c r="CL34" s="261">
        <f t="shared" si="36"/>
        <v>2.0015946921793468E-4</v>
      </c>
      <c r="CM34" s="123" t="e">
        <f t="shared" si="73"/>
        <v>#DIV/0!</v>
      </c>
      <c r="CN34" s="123" t="e">
        <f t="shared" si="74"/>
        <v>#DIV/0!</v>
      </c>
      <c r="CO34" s="123" t="e">
        <f t="shared" si="75"/>
        <v>#DIV/0!</v>
      </c>
      <c r="CP34" s="123" t="e">
        <f t="shared" si="76"/>
        <v>#DIV/0!</v>
      </c>
      <c r="CQ34" s="123" t="e">
        <f t="shared" si="77"/>
        <v>#DIV/0!</v>
      </c>
      <c r="CR34" s="123" t="e">
        <f t="shared" si="78"/>
        <v>#DIV/0!</v>
      </c>
      <c r="CS34" s="123" t="e">
        <f t="shared" si="79"/>
        <v>#DIV/0!</v>
      </c>
      <c r="CT34" s="123" t="e">
        <f t="shared" si="80"/>
        <v>#DIV/0!</v>
      </c>
      <c r="CU34" s="124">
        <f t="shared" si="81"/>
        <v>4.9388614429463438</v>
      </c>
      <c r="CV34" s="173">
        <f t="shared" si="82"/>
        <v>6.3118282122260467</v>
      </c>
      <c r="CW34" s="124">
        <f t="shared" si="83"/>
        <v>0</v>
      </c>
      <c r="CX34" s="171">
        <f t="shared" si="84"/>
        <v>0</v>
      </c>
      <c r="CY34" s="122">
        <f t="shared" si="131"/>
        <v>38</v>
      </c>
      <c r="CZ34" s="231">
        <f t="shared" si="132"/>
        <v>61.774482758620721</v>
      </c>
      <c r="DA34" s="123">
        <f t="shared" si="133"/>
        <v>112.37931034482759</v>
      </c>
      <c r="DB34" s="123">
        <f t="shared" si="134"/>
        <v>113.43103448275862</v>
      </c>
      <c r="DC34" s="123">
        <f t="shared" si="135"/>
        <v>0.18138170498084291</v>
      </c>
      <c r="DD34" s="123">
        <f t="shared" si="136"/>
        <v>160.24062500000002</v>
      </c>
      <c r="DE34" s="123">
        <f t="shared" si="137"/>
        <v>321.22500000000002</v>
      </c>
      <c r="DF34" s="123">
        <f t="shared" si="138"/>
        <v>482.16562499999998</v>
      </c>
      <c r="DG34" s="123">
        <f t="shared" si="139"/>
        <v>600.12241379310342</v>
      </c>
      <c r="DH34" s="123">
        <f t="shared" si="140"/>
        <v>18.147758620689654</v>
      </c>
      <c r="DI34" s="123">
        <f t="shared" si="141"/>
        <v>41.771874999999987</v>
      </c>
      <c r="DJ34" s="123">
        <f t="shared" si="142"/>
        <v>83.715624999999989</v>
      </c>
      <c r="DK34" s="123">
        <f t="shared" si="143"/>
        <v>125.66249999999992</v>
      </c>
      <c r="DL34" s="123">
        <f t="shared" si="144"/>
        <v>156.53620689655173</v>
      </c>
      <c r="DM34" s="123">
        <f t="shared" si="145"/>
        <v>-2.0636206896551719</v>
      </c>
      <c r="DN34" s="123">
        <f t="shared" si="146"/>
        <v>95.224137931034477</v>
      </c>
      <c r="DO34" s="123">
        <f t="shared" si="147"/>
        <v>39.11724137931035</v>
      </c>
      <c r="DP34" s="123">
        <f t="shared" si="148"/>
        <v>73.460344827586226</v>
      </c>
      <c r="DQ34" s="123">
        <f t="shared" si="149"/>
        <v>100.47068965517242</v>
      </c>
      <c r="DR34" s="123">
        <f t="shared" si="150"/>
        <v>120.95172413793104</v>
      </c>
      <c r="DS34" s="123">
        <f t="shared" si="151"/>
        <v>1.3158524904214522E-2</v>
      </c>
      <c r="DT34" s="123">
        <f t="shared" si="152"/>
        <v>29.179310344827595</v>
      </c>
      <c r="DU34" s="261">
        <f t="shared" si="153"/>
        <v>4.9995275888133029E-3</v>
      </c>
      <c r="DV34" s="261">
        <f t="shared" si="154"/>
        <v>4.962915721844291E-3</v>
      </c>
      <c r="DW34" s="261">
        <f t="shared" si="155"/>
        <v>-3.0930715197956654E-5</v>
      </c>
      <c r="DX34" s="123" t="e">
        <f t="shared" si="156"/>
        <v>#DIV/0!</v>
      </c>
      <c r="DY34" s="123" t="e">
        <f t="shared" si="157"/>
        <v>#DIV/0!</v>
      </c>
      <c r="DZ34" s="123" t="e">
        <f t="shared" si="158"/>
        <v>#DIV/0!</v>
      </c>
      <c r="EA34" s="123" t="e">
        <f t="shared" si="159"/>
        <v>#DIV/0!</v>
      </c>
      <c r="EB34" s="176">
        <f t="shared" si="160"/>
        <v>5.6253448275861953</v>
      </c>
      <c r="EC34" s="125">
        <f t="shared" si="161"/>
        <v>0</v>
      </c>
      <c r="ED34" s="179">
        <f t="shared" si="102"/>
        <v>120</v>
      </c>
      <c r="EE34" s="125">
        <f t="shared" si="103"/>
        <v>100</v>
      </c>
      <c r="EF34" s="106"/>
      <c r="EG34" s="106"/>
    </row>
    <row r="35" spans="1:137" ht="11.25" customHeight="1">
      <c r="A35" s="82" t="s">
        <v>203</v>
      </c>
      <c r="B35" s="160">
        <v>36</v>
      </c>
      <c r="C35" s="257">
        <v>61.78</v>
      </c>
      <c r="D35" s="160">
        <v>112</v>
      </c>
      <c r="E35" s="160">
        <v>114</v>
      </c>
      <c r="F35" s="162">
        <v>0.17916666666666667</v>
      </c>
      <c r="G35" s="274">
        <f>220.71+8.87+22.07+35.35+52.99+39.72+61.78+57.52+119.2</f>
        <v>618.21</v>
      </c>
      <c r="H35" s="159">
        <v>159.69999999999999</v>
      </c>
      <c r="I35" s="159">
        <v>320.10000000000002</v>
      </c>
      <c r="J35" s="159">
        <v>480.3</v>
      </c>
      <c r="K35" s="159">
        <v>592.5</v>
      </c>
      <c r="L35" s="135">
        <f t="shared" si="106"/>
        <v>25.710000000000036</v>
      </c>
      <c r="M35" s="271">
        <f>123.59+30.89</f>
        <v>154.48000000000002</v>
      </c>
      <c r="N35" s="159">
        <v>41.8</v>
      </c>
      <c r="O35" s="159">
        <v>83.8</v>
      </c>
      <c r="P35" s="159">
        <v>125.7</v>
      </c>
      <c r="Q35" s="159">
        <v>158.1</v>
      </c>
      <c r="R35" s="136">
        <f t="shared" si="107"/>
        <v>-3.6199999999999761</v>
      </c>
      <c r="S35" s="272">
        <v>100</v>
      </c>
      <c r="T35" s="161">
        <v>38.799999999999997</v>
      </c>
      <c r="U35" s="161">
        <v>73.7</v>
      </c>
      <c r="V35" s="161">
        <v>101.9</v>
      </c>
      <c r="W35" s="161">
        <v>122.8</v>
      </c>
      <c r="X35" s="186">
        <v>0.6166666666666667</v>
      </c>
      <c r="Y35" s="186">
        <v>0.62916666666666665</v>
      </c>
      <c r="Z35" s="184">
        <f t="shared" si="108"/>
        <v>1.2499999999999956E-2</v>
      </c>
      <c r="AA35" s="161">
        <v>29</v>
      </c>
      <c r="AB35" s="260">
        <v>5.0115740740740737E-3</v>
      </c>
      <c r="AC35" s="260">
        <v>5.208333333333333E-3</v>
      </c>
      <c r="AD35" s="260">
        <f>AC35-AB35</f>
        <v>1.9675925925925937E-4</v>
      </c>
      <c r="AE35" s="166"/>
      <c r="AF35" s="166"/>
      <c r="AG35" s="222"/>
      <c r="AH35" s="166"/>
      <c r="AI35" s="155">
        <v>1355.08</v>
      </c>
      <c r="AJ35" s="155">
        <v>1349.09</v>
      </c>
      <c r="AK35" s="225">
        <f t="shared" si="104"/>
        <v>5.9900000000000091</v>
      </c>
      <c r="AL35" s="196">
        <v>0.6791666666666667</v>
      </c>
      <c r="AM35" s="196">
        <v>0.6875</v>
      </c>
      <c r="AN35" s="227">
        <f t="shared" si="105"/>
        <v>8.3333333333333037E-3</v>
      </c>
      <c r="AO35" s="148">
        <f t="shared" si="53"/>
        <v>28.089877583208697</v>
      </c>
      <c r="AP35" s="149">
        <f t="shared" si="54"/>
        <v>47.910122416791303</v>
      </c>
      <c r="AQ35" s="149">
        <f t="shared" si="7"/>
        <v>61.691860138971634</v>
      </c>
      <c r="AR35" s="149">
        <f t="shared" si="8"/>
        <v>61.857105378269807</v>
      </c>
      <c r="AS35" s="149">
        <f t="shared" si="9"/>
        <v>109.94095976728137</v>
      </c>
      <c r="AT35" s="149">
        <f t="shared" si="10"/>
        <v>114.8176609223738</v>
      </c>
      <c r="AU35" s="149">
        <f t="shared" si="55"/>
        <v>111.93239626243108</v>
      </c>
      <c r="AV35" s="149">
        <f t="shared" si="56"/>
        <v>114.92967270308615</v>
      </c>
      <c r="AW35" s="149">
        <f t="shared" si="57"/>
        <v>0.17368036968193748</v>
      </c>
      <c r="AX35" s="149">
        <f t="shared" si="58"/>
        <v>0.18908304027974834</v>
      </c>
      <c r="AY35" s="123">
        <f t="shared" si="11"/>
        <v>156.83979641263412</v>
      </c>
      <c r="AZ35" s="123">
        <f t="shared" si="12"/>
        <v>163.64145358736593</v>
      </c>
      <c r="BA35" s="123">
        <f t="shared" si="13"/>
        <v>314.2100390293777</v>
      </c>
      <c r="BB35" s="123">
        <f t="shared" si="14"/>
        <v>328.23996097062235</v>
      </c>
      <c r="BC35" s="123">
        <f t="shared" si="15"/>
        <v>471.56159398390412</v>
      </c>
      <c r="BD35" s="123">
        <f t="shared" si="16"/>
        <v>492.76965601609584</v>
      </c>
      <c r="BE35" s="123">
        <f t="shared" si="17"/>
        <v>588.52671906979549</v>
      </c>
      <c r="BF35" s="123">
        <f t="shared" si="18"/>
        <v>611.71810851641135</v>
      </c>
      <c r="BG35" s="123">
        <f t="shared" si="19"/>
        <v>6.4247474531250646</v>
      </c>
      <c r="BH35" s="123">
        <f t="shared" si="20"/>
        <v>29.870769788254243</v>
      </c>
      <c r="BI35" s="123">
        <f t="shared" si="21"/>
        <v>41.634833977180243</v>
      </c>
      <c r="BJ35" s="123">
        <f t="shared" si="22"/>
        <v>41.908916022819731</v>
      </c>
      <c r="BK35" s="123">
        <f t="shared" si="23"/>
        <v>83.527280129290489</v>
      </c>
      <c r="BL35" s="123">
        <f t="shared" si="24"/>
        <v>83.903969870709489</v>
      </c>
      <c r="BM35" s="123">
        <f t="shared" si="25"/>
        <v>125.49642578417671</v>
      </c>
      <c r="BN35" s="123">
        <f t="shared" si="26"/>
        <v>125.82857421582314</v>
      </c>
      <c r="BO35" s="123">
        <f t="shared" si="27"/>
        <v>155.1049414176334</v>
      </c>
      <c r="BP35" s="123">
        <f t="shared" si="28"/>
        <v>157.96747237547007</v>
      </c>
      <c r="BQ35" s="123">
        <f t="shared" si="29"/>
        <v>-3.4739700111749907</v>
      </c>
      <c r="BR35" s="123">
        <f t="shared" si="30"/>
        <v>-0.65327136813535303</v>
      </c>
      <c r="BS35" s="123">
        <f t="shared" si="59"/>
        <v>56.437095452304185</v>
      </c>
      <c r="BT35" s="123">
        <f t="shared" si="60"/>
        <v>134.01118040976476</v>
      </c>
      <c r="BU35" s="123">
        <f t="shared" si="61"/>
        <v>35.424087856897714</v>
      </c>
      <c r="BV35" s="123">
        <f t="shared" si="62"/>
        <v>42.810394901722987</v>
      </c>
      <c r="BW35" s="123">
        <f t="shared" si="63"/>
        <v>68.667936470774464</v>
      </c>
      <c r="BX35" s="123">
        <f t="shared" si="64"/>
        <v>78.252753184397989</v>
      </c>
      <c r="BY35" s="123">
        <f t="shared" si="65"/>
        <v>94.547228197183259</v>
      </c>
      <c r="BZ35" s="123">
        <f t="shared" si="66"/>
        <v>106.39415111316158</v>
      </c>
      <c r="CA35" s="123">
        <f t="shared" si="67"/>
        <v>114.2973449594912</v>
      </c>
      <c r="CB35" s="123">
        <f t="shared" si="68"/>
        <v>127.60610331637088</v>
      </c>
      <c r="CC35" s="123">
        <f t="shared" si="69"/>
        <v>1.1625982470516784E-2</v>
      </c>
      <c r="CD35" s="123">
        <f t="shared" si="70"/>
        <v>1.4691067337912261E-2</v>
      </c>
      <c r="CE35" s="123">
        <f t="shared" si="71"/>
        <v>28.696690452912026</v>
      </c>
      <c r="CF35" s="123">
        <f t="shared" si="72"/>
        <v>29.661930236743164</v>
      </c>
      <c r="CG35" s="261">
        <f t="shared" si="31"/>
        <v>4.6579973341037062E-3</v>
      </c>
      <c r="CH35" s="261">
        <f t="shared" si="32"/>
        <v>5.3410578435228997E-3</v>
      </c>
      <c r="CI35" s="261">
        <f t="shared" si="33"/>
        <v>4.6322196240640304E-3</v>
      </c>
      <c r="CJ35" s="261">
        <f t="shared" si="34"/>
        <v>5.2936118196245515E-3</v>
      </c>
      <c r="CK35" s="261">
        <f t="shared" si="35"/>
        <v>-2.62020899613848E-4</v>
      </c>
      <c r="CL35" s="261">
        <f t="shared" si="36"/>
        <v>2.0015946921793468E-4</v>
      </c>
      <c r="CM35" s="123" t="e">
        <f t="shared" si="73"/>
        <v>#DIV/0!</v>
      </c>
      <c r="CN35" s="123" t="e">
        <f t="shared" si="74"/>
        <v>#DIV/0!</v>
      </c>
      <c r="CO35" s="123" t="e">
        <f t="shared" si="75"/>
        <v>#DIV/0!</v>
      </c>
      <c r="CP35" s="123" t="e">
        <f t="shared" si="76"/>
        <v>#DIV/0!</v>
      </c>
      <c r="CQ35" s="123" t="e">
        <f t="shared" si="77"/>
        <v>#DIV/0!</v>
      </c>
      <c r="CR35" s="123" t="e">
        <f t="shared" si="78"/>
        <v>#DIV/0!</v>
      </c>
      <c r="CS35" s="123" t="e">
        <f t="shared" si="79"/>
        <v>#DIV/0!</v>
      </c>
      <c r="CT35" s="123" t="e">
        <f t="shared" si="80"/>
        <v>#DIV/0!</v>
      </c>
      <c r="CU35" s="124">
        <f t="shared" si="81"/>
        <v>4.9388614429463438</v>
      </c>
      <c r="CV35" s="173">
        <f t="shared" si="82"/>
        <v>6.3118282122260467</v>
      </c>
      <c r="CW35" s="124">
        <f t="shared" si="83"/>
        <v>0</v>
      </c>
      <c r="CX35" s="171">
        <f t="shared" si="84"/>
        <v>0</v>
      </c>
      <c r="CY35" s="122">
        <f t="shared" si="131"/>
        <v>38</v>
      </c>
      <c r="CZ35" s="231">
        <f t="shared" si="132"/>
        <v>61.774482758620721</v>
      </c>
      <c r="DA35" s="123">
        <f t="shared" si="133"/>
        <v>112.37931034482759</v>
      </c>
      <c r="DB35" s="123">
        <f t="shared" si="134"/>
        <v>113.43103448275862</v>
      </c>
      <c r="DC35" s="123">
        <f t="shared" si="135"/>
        <v>0.18138170498084291</v>
      </c>
      <c r="DD35" s="123">
        <f t="shared" si="136"/>
        <v>160.24062500000002</v>
      </c>
      <c r="DE35" s="123">
        <f t="shared" si="137"/>
        <v>321.22500000000002</v>
      </c>
      <c r="DF35" s="123">
        <f t="shared" si="138"/>
        <v>482.16562499999998</v>
      </c>
      <c r="DG35" s="123">
        <f t="shared" si="139"/>
        <v>600.12241379310342</v>
      </c>
      <c r="DH35" s="123">
        <f t="shared" si="140"/>
        <v>18.147758620689654</v>
      </c>
      <c r="DI35" s="123">
        <f t="shared" si="141"/>
        <v>41.771874999999987</v>
      </c>
      <c r="DJ35" s="123">
        <f t="shared" si="142"/>
        <v>83.715624999999989</v>
      </c>
      <c r="DK35" s="123">
        <f t="shared" si="143"/>
        <v>125.66249999999992</v>
      </c>
      <c r="DL35" s="123">
        <f t="shared" si="144"/>
        <v>156.53620689655173</v>
      </c>
      <c r="DM35" s="123">
        <f t="shared" si="145"/>
        <v>-2.0636206896551719</v>
      </c>
      <c r="DN35" s="123">
        <f t="shared" si="146"/>
        <v>95.224137931034477</v>
      </c>
      <c r="DO35" s="123">
        <f t="shared" si="147"/>
        <v>39.11724137931035</v>
      </c>
      <c r="DP35" s="123">
        <f t="shared" si="148"/>
        <v>73.460344827586226</v>
      </c>
      <c r="DQ35" s="123">
        <f t="shared" si="149"/>
        <v>100.47068965517242</v>
      </c>
      <c r="DR35" s="123">
        <f t="shared" si="150"/>
        <v>120.95172413793104</v>
      </c>
      <c r="DS35" s="123">
        <f t="shared" si="151"/>
        <v>1.3158524904214522E-2</v>
      </c>
      <c r="DT35" s="123">
        <f t="shared" si="152"/>
        <v>29.179310344827595</v>
      </c>
      <c r="DU35" s="261">
        <f t="shared" si="153"/>
        <v>4.9995275888133029E-3</v>
      </c>
      <c r="DV35" s="261">
        <f t="shared" si="154"/>
        <v>4.962915721844291E-3</v>
      </c>
      <c r="DW35" s="261">
        <f t="shared" si="155"/>
        <v>-3.0930715197956654E-5</v>
      </c>
      <c r="DX35" s="123" t="e">
        <f t="shared" si="156"/>
        <v>#DIV/0!</v>
      </c>
      <c r="DY35" s="123" t="e">
        <f t="shared" si="157"/>
        <v>#DIV/0!</v>
      </c>
      <c r="DZ35" s="123" t="e">
        <f t="shared" si="158"/>
        <v>#DIV/0!</v>
      </c>
      <c r="EA35" s="123" t="e">
        <f t="shared" si="159"/>
        <v>#DIV/0!</v>
      </c>
      <c r="EB35" s="176">
        <f t="shared" si="160"/>
        <v>5.6253448275861953</v>
      </c>
      <c r="EC35" s="125">
        <f t="shared" si="161"/>
        <v>0</v>
      </c>
      <c r="ED35" s="179">
        <f t="shared" si="102"/>
        <v>120</v>
      </c>
      <c r="EE35" s="125">
        <f t="shared" si="103"/>
        <v>100</v>
      </c>
      <c r="EF35" s="106"/>
      <c r="EG35" s="106"/>
    </row>
    <row r="36" spans="1:137" ht="11.25" customHeight="1">
      <c r="A36" s="82" t="s">
        <v>204</v>
      </c>
      <c r="B36" s="160">
        <v>37</v>
      </c>
      <c r="C36" s="257">
        <v>61.8</v>
      </c>
      <c r="D36" s="160">
        <v>112</v>
      </c>
      <c r="E36" s="160">
        <v>114</v>
      </c>
      <c r="F36" s="162">
        <v>0.17986111111111111</v>
      </c>
      <c r="G36" s="274">
        <v>618.01</v>
      </c>
      <c r="H36" s="159">
        <v>159.1</v>
      </c>
      <c r="I36" s="159">
        <v>318.89999999999998</v>
      </c>
      <c r="J36" s="159">
        <v>478.7</v>
      </c>
      <c r="K36" s="159">
        <v>586</v>
      </c>
      <c r="L36" s="135">
        <f t="shared" si="106"/>
        <v>32.009999999999991</v>
      </c>
      <c r="M36" s="271">
        <v>154.41999999999999</v>
      </c>
      <c r="N36" s="159">
        <v>41.8</v>
      </c>
      <c r="O36" s="159">
        <v>83.8</v>
      </c>
      <c r="P36" s="159">
        <v>125.8</v>
      </c>
      <c r="Q36" s="159">
        <v>158</v>
      </c>
      <c r="R36" s="136">
        <f t="shared" si="107"/>
        <v>-3.5800000000000125</v>
      </c>
      <c r="S36" s="272">
        <v>97</v>
      </c>
      <c r="T36" s="161">
        <v>40.200000000000003</v>
      </c>
      <c r="U36" s="161">
        <v>74.2</v>
      </c>
      <c r="V36" s="161">
        <v>100</v>
      </c>
      <c r="W36" s="161">
        <v>123</v>
      </c>
      <c r="X36" s="186">
        <v>0.61736111111111114</v>
      </c>
      <c r="Y36" s="186">
        <v>0.62986111111111109</v>
      </c>
      <c r="Z36" s="184">
        <f t="shared" si="108"/>
        <v>1.2499999999999956E-2</v>
      </c>
      <c r="AA36" s="161">
        <v>29.1</v>
      </c>
      <c r="AB36" s="260">
        <v>5.0694444444444441E-3</v>
      </c>
      <c r="AC36" s="260">
        <v>5.115740740740741E-3</v>
      </c>
      <c r="AD36" s="260">
        <f>AC36-AB36</f>
        <v>4.6296296296296884E-5</v>
      </c>
      <c r="AE36" s="166"/>
      <c r="AF36" s="166"/>
      <c r="AG36" s="222"/>
      <c r="AH36" s="166"/>
      <c r="AI36" s="155">
        <v>1354.72</v>
      </c>
      <c r="AJ36" s="155">
        <v>1349.09</v>
      </c>
      <c r="AK36" s="225">
        <f t="shared" si="104"/>
        <v>5.6300000000001091</v>
      </c>
      <c r="AL36" s="196">
        <v>0.6791666666666667</v>
      </c>
      <c r="AM36" s="196">
        <v>0.6875</v>
      </c>
      <c r="AN36" s="227">
        <f t="shared" si="105"/>
        <v>8.3333333333333037E-3</v>
      </c>
      <c r="AO36" s="148">
        <f t="shared" si="53"/>
        <v>28.089877583208697</v>
      </c>
      <c r="AP36" s="149">
        <f t="shared" si="54"/>
        <v>47.910122416791303</v>
      </c>
      <c r="AQ36" s="149">
        <f t="shared" si="7"/>
        <v>61.691860138971634</v>
      </c>
      <c r="AR36" s="149">
        <f t="shared" si="8"/>
        <v>61.857105378269807</v>
      </c>
      <c r="AS36" s="149">
        <f t="shared" si="9"/>
        <v>109.94095976728137</v>
      </c>
      <c r="AT36" s="149">
        <f t="shared" si="10"/>
        <v>114.8176609223738</v>
      </c>
      <c r="AU36" s="149">
        <f t="shared" si="55"/>
        <v>111.93239626243108</v>
      </c>
      <c r="AV36" s="149">
        <f t="shared" si="56"/>
        <v>114.92967270308615</v>
      </c>
      <c r="AW36" s="149">
        <f t="shared" si="57"/>
        <v>0.17368036968193748</v>
      </c>
      <c r="AX36" s="149">
        <f t="shared" si="58"/>
        <v>0.18908304027974834</v>
      </c>
      <c r="AY36" s="123">
        <f t="shared" si="11"/>
        <v>156.83979641263412</v>
      </c>
      <c r="AZ36" s="123">
        <f t="shared" si="12"/>
        <v>163.64145358736593</v>
      </c>
      <c r="BA36" s="123">
        <f t="shared" si="13"/>
        <v>314.2100390293777</v>
      </c>
      <c r="BB36" s="123">
        <f t="shared" si="14"/>
        <v>328.23996097062235</v>
      </c>
      <c r="BC36" s="123">
        <f t="shared" si="15"/>
        <v>471.56159398390412</v>
      </c>
      <c r="BD36" s="123">
        <f t="shared" si="16"/>
        <v>492.76965601609584</v>
      </c>
      <c r="BE36" s="123">
        <f t="shared" si="17"/>
        <v>588.52671906979549</v>
      </c>
      <c r="BF36" s="123">
        <f t="shared" si="18"/>
        <v>611.71810851641135</v>
      </c>
      <c r="BG36" s="123">
        <f t="shared" si="19"/>
        <v>6.4247474531250646</v>
      </c>
      <c r="BH36" s="123">
        <f t="shared" si="20"/>
        <v>29.870769788254243</v>
      </c>
      <c r="BI36" s="123">
        <f t="shared" si="21"/>
        <v>41.634833977180243</v>
      </c>
      <c r="BJ36" s="123">
        <f t="shared" si="22"/>
        <v>41.908916022819731</v>
      </c>
      <c r="BK36" s="123">
        <f t="shared" si="23"/>
        <v>83.527280129290489</v>
      </c>
      <c r="BL36" s="123">
        <f t="shared" si="24"/>
        <v>83.903969870709489</v>
      </c>
      <c r="BM36" s="123">
        <f t="shared" si="25"/>
        <v>125.49642578417671</v>
      </c>
      <c r="BN36" s="123">
        <f t="shared" si="26"/>
        <v>125.82857421582314</v>
      </c>
      <c r="BO36" s="123">
        <f t="shared" si="27"/>
        <v>155.1049414176334</v>
      </c>
      <c r="BP36" s="123">
        <f t="shared" si="28"/>
        <v>157.96747237547007</v>
      </c>
      <c r="BQ36" s="123">
        <f t="shared" si="29"/>
        <v>-3.4739700111749907</v>
      </c>
      <c r="BR36" s="123">
        <f t="shared" si="30"/>
        <v>-0.65327136813535303</v>
      </c>
      <c r="BS36" s="123">
        <f t="shared" si="59"/>
        <v>56.437095452304185</v>
      </c>
      <c r="BT36" s="123">
        <f t="shared" si="60"/>
        <v>134.01118040976476</v>
      </c>
      <c r="BU36" s="123">
        <f t="shared" si="61"/>
        <v>35.424087856897714</v>
      </c>
      <c r="BV36" s="123">
        <f t="shared" si="62"/>
        <v>42.810394901722987</v>
      </c>
      <c r="BW36" s="123">
        <f t="shared" si="63"/>
        <v>68.667936470774464</v>
      </c>
      <c r="BX36" s="123">
        <f t="shared" si="64"/>
        <v>78.252753184397989</v>
      </c>
      <c r="BY36" s="123">
        <f t="shared" si="65"/>
        <v>94.547228197183259</v>
      </c>
      <c r="BZ36" s="123">
        <f t="shared" si="66"/>
        <v>106.39415111316158</v>
      </c>
      <c r="CA36" s="123">
        <f t="shared" si="67"/>
        <v>114.2973449594912</v>
      </c>
      <c r="CB36" s="123">
        <f t="shared" si="68"/>
        <v>127.60610331637088</v>
      </c>
      <c r="CC36" s="123">
        <f t="shared" si="69"/>
        <v>1.1625982470516784E-2</v>
      </c>
      <c r="CD36" s="123">
        <f t="shared" si="70"/>
        <v>1.4691067337912261E-2</v>
      </c>
      <c r="CE36" s="123">
        <f t="shared" si="71"/>
        <v>28.696690452912026</v>
      </c>
      <c r="CF36" s="123">
        <f t="shared" si="72"/>
        <v>29.661930236743164</v>
      </c>
      <c r="CG36" s="261">
        <f t="shared" si="31"/>
        <v>4.6579973341037062E-3</v>
      </c>
      <c r="CH36" s="261">
        <f t="shared" si="32"/>
        <v>5.3410578435228997E-3</v>
      </c>
      <c r="CI36" s="261">
        <f t="shared" si="33"/>
        <v>4.6322196240640304E-3</v>
      </c>
      <c r="CJ36" s="261">
        <f t="shared" si="34"/>
        <v>5.2936118196245515E-3</v>
      </c>
      <c r="CK36" s="261">
        <f t="shared" si="35"/>
        <v>-2.62020899613848E-4</v>
      </c>
      <c r="CL36" s="261">
        <f t="shared" si="36"/>
        <v>2.0015946921793468E-4</v>
      </c>
      <c r="CM36" s="123" t="e">
        <f t="shared" si="73"/>
        <v>#DIV/0!</v>
      </c>
      <c r="CN36" s="123" t="e">
        <f t="shared" si="74"/>
        <v>#DIV/0!</v>
      </c>
      <c r="CO36" s="123" t="e">
        <f t="shared" si="75"/>
        <v>#DIV/0!</v>
      </c>
      <c r="CP36" s="123" t="e">
        <f t="shared" si="76"/>
        <v>#DIV/0!</v>
      </c>
      <c r="CQ36" s="123" t="e">
        <f t="shared" si="77"/>
        <v>#DIV/0!</v>
      </c>
      <c r="CR36" s="123" t="e">
        <f t="shared" si="78"/>
        <v>#DIV/0!</v>
      </c>
      <c r="CS36" s="123" t="e">
        <f t="shared" si="79"/>
        <v>#DIV/0!</v>
      </c>
      <c r="CT36" s="123" t="e">
        <f t="shared" si="80"/>
        <v>#DIV/0!</v>
      </c>
      <c r="CU36" s="124">
        <f t="shared" si="81"/>
        <v>4.9388614429463438</v>
      </c>
      <c r="CV36" s="173">
        <f t="shared" si="82"/>
        <v>6.3118282122260467</v>
      </c>
      <c r="CW36" s="124">
        <f t="shared" si="83"/>
        <v>0</v>
      </c>
      <c r="CX36" s="171">
        <f t="shared" si="84"/>
        <v>0</v>
      </c>
      <c r="CY36" s="122">
        <f t="shared" si="131"/>
        <v>38</v>
      </c>
      <c r="CZ36" s="231">
        <f t="shared" si="132"/>
        <v>61.774482758620721</v>
      </c>
      <c r="DA36" s="123">
        <f t="shared" si="133"/>
        <v>112.37931034482759</v>
      </c>
      <c r="DB36" s="123">
        <f t="shared" si="134"/>
        <v>113.43103448275862</v>
      </c>
      <c r="DC36" s="123">
        <f t="shared" si="135"/>
        <v>0.18138170498084291</v>
      </c>
      <c r="DD36" s="123">
        <f t="shared" si="136"/>
        <v>160.24062500000002</v>
      </c>
      <c r="DE36" s="123">
        <f t="shared" si="137"/>
        <v>321.22500000000002</v>
      </c>
      <c r="DF36" s="123">
        <f t="shared" si="138"/>
        <v>482.16562499999998</v>
      </c>
      <c r="DG36" s="123">
        <f t="shared" si="139"/>
        <v>600.12241379310342</v>
      </c>
      <c r="DH36" s="123">
        <f t="shared" si="140"/>
        <v>18.147758620689654</v>
      </c>
      <c r="DI36" s="123">
        <f t="shared" si="141"/>
        <v>41.771874999999987</v>
      </c>
      <c r="DJ36" s="123">
        <f t="shared" si="142"/>
        <v>83.715624999999989</v>
      </c>
      <c r="DK36" s="123">
        <f t="shared" si="143"/>
        <v>125.66249999999992</v>
      </c>
      <c r="DL36" s="123">
        <f t="shared" si="144"/>
        <v>156.53620689655173</v>
      </c>
      <c r="DM36" s="123">
        <f t="shared" si="145"/>
        <v>-2.0636206896551719</v>
      </c>
      <c r="DN36" s="123">
        <f t="shared" si="146"/>
        <v>95.224137931034477</v>
      </c>
      <c r="DO36" s="123">
        <f t="shared" si="147"/>
        <v>39.11724137931035</v>
      </c>
      <c r="DP36" s="123">
        <f t="shared" si="148"/>
        <v>73.460344827586226</v>
      </c>
      <c r="DQ36" s="123">
        <f t="shared" si="149"/>
        <v>100.47068965517242</v>
      </c>
      <c r="DR36" s="123">
        <f t="shared" si="150"/>
        <v>120.95172413793104</v>
      </c>
      <c r="DS36" s="123">
        <f t="shared" si="151"/>
        <v>1.3158524904214522E-2</v>
      </c>
      <c r="DT36" s="123">
        <f t="shared" si="152"/>
        <v>29.179310344827595</v>
      </c>
      <c r="DU36" s="261">
        <f t="shared" si="153"/>
        <v>4.9995275888133029E-3</v>
      </c>
      <c r="DV36" s="261">
        <f t="shared" si="154"/>
        <v>4.962915721844291E-3</v>
      </c>
      <c r="DW36" s="261">
        <f t="shared" si="155"/>
        <v>-3.0930715197956654E-5</v>
      </c>
      <c r="DX36" s="123" t="e">
        <f t="shared" si="156"/>
        <v>#DIV/0!</v>
      </c>
      <c r="DY36" s="123" t="e">
        <f t="shared" si="157"/>
        <v>#DIV/0!</v>
      </c>
      <c r="DZ36" s="123" t="e">
        <f t="shared" si="158"/>
        <v>#DIV/0!</v>
      </c>
      <c r="EA36" s="123" t="e">
        <f t="shared" si="159"/>
        <v>#DIV/0!</v>
      </c>
      <c r="EB36" s="176">
        <f t="shared" si="160"/>
        <v>5.6253448275861953</v>
      </c>
      <c r="EC36" s="125">
        <f t="shared" si="161"/>
        <v>0</v>
      </c>
      <c r="ED36" s="179">
        <f t="shared" si="102"/>
        <v>120</v>
      </c>
      <c r="EE36" s="125">
        <f t="shared" si="103"/>
        <v>100</v>
      </c>
      <c r="EF36" s="106"/>
      <c r="EG36" s="106"/>
    </row>
    <row r="37" spans="1:137" ht="11.25" customHeight="1">
      <c r="A37" s="82" t="s">
        <v>205</v>
      </c>
      <c r="B37" s="160">
        <v>42</v>
      </c>
      <c r="C37" s="257">
        <v>61.75</v>
      </c>
      <c r="D37" s="160">
        <v>112</v>
      </c>
      <c r="E37" s="160">
        <v>114</v>
      </c>
      <c r="F37" s="39">
        <v>0.17847222222222223</v>
      </c>
      <c r="G37" s="274">
        <v>618.1</v>
      </c>
      <c r="H37" s="159">
        <v>159.80000000000001</v>
      </c>
      <c r="I37" s="159">
        <v>320.10000000000002</v>
      </c>
      <c r="J37" s="159">
        <v>480.3</v>
      </c>
      <c r="K37" s="159">
        <v>589.79999999999995</v>
      </c>
      <c r="L37" s="135">
        <f t="shared" si="106"/>
        <v>28.300000000000068</v>
      </c>
      <c r="M37" s="271">
        <v>154.41999999999999</v>
      </c>
      <c r="N37" s="159">
        <v>41.8</v>
      </c>
      <c r="O37" s="159">
        <v>83.7</v>
      </c>
      <c r="P37" s="159">
        <v>125.7</v>
      </c>
      <c r="Q37" s="159">
        <v>157.80000000000001</v>
      </c>
      <c r="R37" s="136">
        <f t="shared" si="107"/>
        <v>-3.3800000000000239</v>
      </c>
      <c r="S37" s="272"/>
      <c r="T37" s="161">
        <v>39.5</v>
      </c>
      <c r="U37" s="161">
        <v>74.5</v>
      </c>
      <c r="V37" s="161">
        <v>102.3</v>
      </c>
      <c r="W37" s="161">
        <v>123.8</v>
      </c>
      <c r="X37" s="184">
        <v>0.61597222222222225</v>
      </c>
      <c r="Y37" s="186">
        <v>0.62847222222222221</v>
      </c>
      <c r="Z37" s="184">
        <f t="shared" si="108"/>
        <v>1.2499999999999956E-2</v>
      </c>
      <c r="AA37" s="161">
        <v>29.3</v>
      </c>
      <c r="AB37" s="260">
        <v>5.0115740740740737E-3</v>
      </c>
      <c r="AC37" s="260">
        <v>5.115740740740741E-3</v>
      </c>
      <c r="AD37" s="260">
        <f>AC37-AB37</f>
        <v>1.0416666666666734E-4</v>
      </c>
      <c r="AE37" s="166"/>
      <c r="AF37" s="166"/>
      <c r="AG37" s="222"/>
      <c r="AH37" s="166"/>
      <c r="AI37" s="155">
        <v>1354.89</v>
      </c>
      <c r="AJ37" s="155">
        <v>1348.87</v>
      </c>
      <c r="AK37" s="225">
        <f t="shared" si="104"/>
        <v>6.0200000000002092</v>
      </c>
      <c r="AL37" s="196">
        <v>0.67500000000000004</v>
      </c>
      <c r="AM37" s="196">
        <v>0.6875</v>
      </c>
      <c r="AN37" s="227">
        <f t="shared" si="105"/>
        <v>1.2499999999999956E-2</v>
      </c>
      <c r="AO37" s="148">
        <f t="shared" si="53"/>
        <v>28.089877583208697</v>
      </c>
      <c r="AP37" s="149">
        <f t="shared" si="54"/>
        <v>47.910122416791303</v>
      </c>
      <c r="AQ37" s="149">
        <f t="shared" si="7"/>
        <v>61.691860138971634</v>
      </c>
      <c r="AR37" s="149">
        <f t="shared" si="8"/>
        <v>61.857105378269807</v>
      </c>
      <c r="AS37" s="149">
        <f t="shared" si="9"/>
        <v>109.94095976728137</v>
      </c>
      <c r="AT37" s="149">
        <f t="shared" si="10"/>
        <v>114.8176609223738</v>
      </c>
      <c r="AU37" s="149">
        <f t="shared" si="55"/>
        <v>111.93239626243108</v>
      </c>
      <c r="AV37" s="149">
        <f t="shared" si="56"/>
        <v>114.92967270308615</v>
      </c>
      <c r="AW37" s="149">
        <f t="shared" si="57"/>
        <v>0.17368036968193748</v>
      </c>
      <c r="AX37" s="149">
        <f t="shared" si="58"/>
        <v>0.18908304027974834</v>
      </c>
      <c r="AY37" s="123">
        <f t="shared" si="11"/>
        <v>156.83979641263412</v>
      </c>
      <c r="AZ37" s="123">
        <f t="shared" si="12"/>
        <v>163.64145358736593</v>
      </c>
      <c r="BA37" s="123">
        <f t="shared" si="13"/>
        <v>314.2100390293777</v>
      </c>
      <c r="BB37" s="123">
        <f t="shared" si="14"/>
        <v>328.23996097062235</v>
      </c>
      <c r="BC37" s="123">
        <f t="shared" si="15"/>
        <v>471.56159398390412</v>
      </c>
      <c r="BD37" s="123">
        <f t="shared" si="16"/>
        <v>492.76965601609584</v>
      </c>
      <c r="BE37" s="123">
        <f t="shared" si="17"/>
        <v>588.52671906979549</v>
      </c>
      <c r="BF37" s="123">
        <f t="shared" si="18"/>
        <v>611.71810851641135</v>
      </c>
      <c r="BG37" s="123">
        <f t="shared" si="19"/>
        <v>6.4247474531250646</v>
      </c>
      <c r="BH37" s="123">
        <f t="shared" si="20"/>
        <v>29.870769788254243</v>
      </c>
      <c r="BI37" s="123">
        <f t="shared" si="21"/>
        <v>41.634833977180243</v>
      </c>
      <c r="BJ37" s="123">
        <f t="shared" si="22"/>
        <v>41.908916022819731</v>
      </c>
      <c r="BK37" s="123">
        <f t="shared" si="23"/>
        <v>83.527280129290489</v>
      </c>
      <c r="BL37" s="123">
        <f t="shared" si="24"/>
        <v>83.903969870709489</v>
      </c>
      <c r="BM37" s="123">
        <f t="shared" si="25"/>
        <v>125.49642578417671</v>
      </c>
      <c r="BN37" s="123">
        <f t="shared" si="26"/>
        <v>125.82857421582314</v>
      </c>
      <c r="BO37" s="123">
        <f t="shared" si="27"/>
        <v>155.1049414176334</v>
      </c>
      <c r="BP37" s="123">
        <f t="shared" si="28"/>
        <v>157.96747237547007</v>
      </c>
      <c r="BQ37" s="123">
        <f t="shared" si="29"/>
        <v>-3.4739700111749907</v>
      </c>
      <c r="BR37" s="123">
        <f t="shared" si="30"/>
        <v>-0.65327136813535303</v>
      </c>
      <c r="BS37" s="123">
        <f t="shared" si="59"/>
        <v>56.437095452304185</v>
      </c>
      <c r="BT37" s="123">
        <f t="shared" si="60"/>
        <v>134.01118040976476</v>
      </c>
      <c r="BU37" s="123">
        <f t="shared" si="61"/>
        <v>35.424087856897714</v>
      </c>
      <c r="BV37" s="123">
        <f t="shared" si="62"/>
        <v>42.810394901722987</v>
      </c>
      <c r="BW37" s="123">
        <f t="shared" si="63"/>
        <v>68.667936470774464</v>
      </c>
      <c r="BX37" s="123">
        <f t="shared" si="64"/>
        <v>78.252753184397989</v>
      </c>
      <c r="BY37" s="123">
        <f t="shared" si="65"/>
        <v>94.547228197183259</v>
      </c>
      <c r="BZ37" s="123">
        <f t="shared" si="66"/>
        <v>106.39415111316158</v>
      </c>
      <c r="CA37" s="123">
        <f t="shared" si="67"/>
        <v>114.2973449594912</v>
      </c>
      <c r="CB37" s="123">
        <f t="shared" si="68"/>
        <v>127.60610331637088</v>
      </c>
      <c r="CC37" s="123">
        <f t="shared" si="69"/>
        <v>1.1625982470516784E-2</v>
      </c>
      <c r="CD37" s="123">
        <f t="shared" si="70"/>
        <v>1.4691067337912261E-2</v>
      </c>
      <c r="CE37" s="123">
        <f t="shared" si="71"/>
        <v>28.696690452912026</v>
      </c>
      <c r="CF37" s="123">
        <f t="shared" si="72"/>
        <v>29.661930236743164</v>
      </c>
      <c r="CG37" s="261">
        <f t="shared" si="31"/>
        <v>4.6579973341037062E-3</v>
      </c>
      <c r="CH37" s="261">
        <f t="shared" si="32"/>
        <v>5.3410578435228997E-3</v>
      </c>
      <c r="CI37" s="261">
        <f t="shared" si="33"/>
        <v>4.6322196240640304E-3</v>
      </c>
      <c r="CJ37" s="261">
        <f t="shared" si="34"/>
        <v>5.2936118196245515E-3</v>
      </c>
      <c r="CK37" s="261">
        <f t="shared" si="35"/>
        <v>-2.62020899613848E-4</v>
      </c>
      <c r="CL37" s="261">
        <f t="shared" si="36"/>
        <v>2.0015946921793468E-4</v>
      </c>
      <c r="CM37" s="123" t="e">
        <f t="shared" si="73"/>
        <v>#DIV/0!</v>
      </c>
      <c r="CN37" s="123" t="e">
        <f t="shared" si="74"/>
        <v>#DIV/0!</v>
      </c>
      <c r="CO37" s="123" t="e">
        <f t="shared" si="75"/>
        <v>#DIV/0!</v>
      </c>
      <c r="CP37" s="123" t="e">
        <f t="shared" si="76"/>
        <v>#DIV/0!</v>
      </c>
      <c r="CQ37" s="123" t="e">
        <f t="shared" si="77"/>
        <v>#DIV/0!</v>
      </c>
      <c r="CR37" s="123" t="e">
        <f t="shared" si="78"/>
        <v>#DIV/0!</v>
      </c>
      <c r="CS37" s="123" t="e">
        <f t="shared" si="79"/>
        <v>#DIV/0!</v>
      </c>
      <c r="CT37" s="123" t="e">
        <f t="shared" si="80"/>
        <v>#DIV/0!</v>
      </c>
      <c r="CU37" s="124">
        <f t="shared" si="81"/>
        <v>4.9388614429463438</v>
      </c>
      <c r="CV37" s="173">
        <f t="shared" si="82"/>
        <v>6.3118282122260467</v>
      </c>
      <c r="CW37" s="124">
        <f t="shared" si="83"/>
        <v>0</v>
      </c>
      <c r="CX37" s="171">
        <f t="shared" si="84"/>
        <v>0</v>
      </c>
      <c r="CY37" s="122">
        <f t="shared" si="131"/>
        <v>38</v>
      </c>
      <c r="CZ37" s="231">
        <f t="shared" si="132"/>
        <v>61.774482758620721</v>
      </c>
      <c r="DA37" s="123">
        <f t="shared" si="133"/>
        <v>112.37931034482759</v>
      </c>
      <c r="DB37" s="123">
        <f t="shared" si="134"/>
        <v>113.43103448275862</v>
      </c>
      <c r="DC37" s="123">
        <f t="shared" si="135"/>
        <v>0.18138170498084291</v>
      </c>
      <c r="DD37" s="123">
        <f t="shared" si="136"/>
        <v>160.24062500000002</v>
      </c>
      <c r="DE37" s="123">
        <f t="shared" si="137"/>
        <v>321.22500000000002</v>
      </c>
      <c r="DF37" s="123">
        <f t="shared" si="138"/>
        <v>482.16562499999998</v>
      </c>
      <c r="DG37" s="123">
        <f t="shared" si="139"/>
        <v>600.12241379310342</v>
      </c>
      <c r="DH37" s="123">
        <f t="shared" si="140"/>
        <v>18.147758620689654</v>
      </c>
      <c r="DI37" s="123">
        <f t="shared" si="141"/>
        <v>41.771874999999987</v>
      </c>
      <c r="DJ37" s="123">
        <f t="shared" si="142"/>
        <v>83.715624999999989</v>
      </c>
      <c r="DK37" s="123">
        <f t="shared" si="143"/>
        <v>125.66249999999992</v>
      </c>
      <c r="DL37" s="123">
        <f t="shared" si="144"/>
        <v>156.53620689655173</v>
      </c>
      <c r="DM37" s="123">
        <f t="shared" si="145"/>
        <v>-2.0636206896551719</v>
      </c>
      <c r="DN37" s="123">
        <f t="shared" si="146"/>
        <v>95.224137931034477</v>
      </c>
      <c r="DO37" s="123">
        <f t="shared" si="147"/>
        <v>39.11724137931035</v>
      </c>
      <c r="DP37" s="123">
        <f t="shared" si="148"/>
        <v>73.460344827586226</v>
      </c>
      <c r="DQ37" s="123">
        <f t="shared" si="149"/>
        <v>100.47068965517242</v>
      </c>
      <c r="DR37" s="123">
        <f t="shared" si="150"/>
        <v>120.95172413793104</v>
      </c>
      <c r="DS37" s="123">
        <f t="shared" si="151"/>
        <v>1.3158524904214522E-2</v>
      </c>
      <c r="DT37" s="123">
        <f t="shared" si="152"/>
        <v>29.179310344827595</v>
      </c>
      <c r="DU37" s="261">
        <f t="shared" si="153"/>
        <v>4.9995275888133029E-3</v>
      </c>
      <c r="DV37" s="261">
        <f t="shared" si="154"/>
        <v>4.962915721844291E-3</v>
      </c>
      <c r="DW37" s="261">
        <f t="shared" si="155"/>
        <v>-3.0930715197956654E-5</v>
      </c>
      <c r="DX37" s="123" t="e">
        <f t="shared" si="156"/>
        <v>#DIV/0!</v>
      </c>
      <c r="DY37" s="123" t="e">
        <f t="shared" si="157"/>
        <v>#DIV/0!</v>
      </c>
      <c r="DZ37" s="123" t="e">
        <f t="shared" si="158"/>
        <v>#DIV/0!</v>
      </c>
      <c r="EA37" s="123" t="e">
        <f t="shared" si="159"/>
        <v>#DIV/0!</v>
      </c>
      <c r="EB37" s="176">
        <f t="shared" si="160"/>
        <v>5.6253448275861953</v>
      </c>
      <c r="EC37" s="125">
        <f t="shared" si="161"/>
        <v>0</v>
      </c>
      <c r="ED37" s="179">
        <f t="shared" si="102"/>
        <v>120</v>
      </c>
      <c r="EE37" s="125">
        <f t="shared" si="103"/>
        <v>100</v>
      </c>
      <c r="EF37" s="106"/>
      <c r="EG37" s="106"/>
    </row>
    <row r="38" spans="1:137" ht="11.25" customHeight="1">
      <c r="A38" s="82"/>
      <c r="B38" s="160"/>
      <c r="C38" s="257"/>
      <c r="D38" s="160"/>
      <c r="E38" s="160"/>
      <c r="F38" s="162"/>
      <c r="G38" s="274"/>
      <c r="H38" s="159"/>
      <c r="I38" s="159"/>
      <c r="J38" s="159"/>
      <c r="K38" s="159"/>
      <c r="L38" s="135"/>
      <c r="M38" s="271"/>
      <c r="N38" s="159"/>
      <c r="O38" s="159"/>
      <c r="P38" s="159"/>
      <c r="Q38" s="159"/>
      <c r="R38" s="136"/>
      <c r="S38" s="272"/>
      <c r="T38" s="161"/>
      <c r="U38" s="161"/>
      <c r="V38" s="161"/>
      <c r="W38" s="161"/>
      <c r="X38" s="186"/>
      <c r="Y38" s="186"/>
      <c r="Z38" s="184"/>
      <c r="AA38" s="161"/>
      <c r="AB38" s="260"/>
      <c r="AC38" s="260"/>
      <c r="AD38" s="273"/>
      <c r="AE38" s="166"/>
      <c r="AF38" s="166"/>
      <c r="AG38" s="222"/>
      <c r="AH38" s="166"/>
      <c r="AI38" s="155"/>
      <c r="AJ38" s="155"/>
      <c r="AK38" s="225"/>
      <c r="AL38" s="196"/>
      <c r="AM38" s="196"/>
      <c r="AN38" s="227"/>
      <c r="AO38" s="148">
        <f t="shared" si="53"/>
        <v>28.089877583208697</v>
      </c>
      <c r="AP38" s="149">
        <f t="shared" si="54"/>
        <v>47.910122416791303</v>
      </c>
      <c r="AQ38" s="149">
        <f t="shared" si="7"/>
        <v>61.691860138971634</v>
      </c>
      <c r="AR38" s="149">
        <f t="shared" si="8"/>
        <v>61.857105378269807</v>
      </c>
      <c r="AS38" s="149">
        <f t="shared" si="9"/>
        <v>109.94095976728137</v>
      </c>
      <c r="AT38" s="149">
        <f t="shared" si="10"/>
        <v>114.8176609223738</v>
      </c>
      <c r="AU38" s="149">
        <f t="shared" si="55"/>
        <v>111.93239626243108</v>
      </c>
      <c r="AV38" s="149">
        <f t="shared" si="56"/>
        <v>114.92967270308615</v>
      </c>
      <c r="AW38" s="149">
        <f t="shared" si="57"/>
        <v>0.17368036968193748</v>
      </c>
      <c r="AX38" s="149">
        <f t="shared" si="58"/>
        <v>0.18908304027974834</v>
      </c>
      <c r="AY38" s="123">
        <f t="shared" si="11"/>
        <v>156.83979641263412</v>
      </c>
      <c r="AZ38" s="123">
        <f t="shared" si="12"/>
        <v>163.64145358736593</v>
      </c>
      <c r="BA38" s="123">
        <f t="shared" si="13"/>
        <v>314.2100390293777</v>
      </c>
      <c r="BB38" s="123">
        <f t="shared" si="14"/>
        <v>328.23996097062235</v>
      </c>
      <c r="BC38" s="123">
        <f t="shared" si="15"/>
        <v>471.56159398390412</v>
      </c>
      <c r="BD38" s="123">
        <f t="shared" si="16"/>
        <v>492.76965601609584</v>
      </c>
      <c r="BE38" s="123">
        <f t="shared" si="17"/>
        <v>588.52671906979549</v>
      </c>
      <c r="BF38" s="123">
        <f t="shared" si="18"/>
        <v>611.71810851641135</v>
      </c>
      <c r="BG38" s="123">
        <f t="shared" si="19"/>
        <v>6.4247474531250646</v>
      </c>
      <c r="BH38" s="123">
        <f t="shared" si="20"/>
        <v>29.870769788254243</v>
      </c>
      <c r="BI38" s="123">
        <f t="shared" si="21"/>
        <v>41.634833977180243</v>
      </c>
      <c r="BJ38" s="123">
        <f t="shared" si="22"/>
        <v>41.908916022819731</v>
      </c>
      <c r="BK38" s="123">
        <f t="shared" si="23"/>
        <v>83.527280129290489</v>
      </c>
      <c r="BL38" s="123">
        <f t="shared" si="24"/>
        <v>83.903969870709489</v>
      </c>
      <c r="BM38" s="123">
        <f t="shared" si="25"/>
        <v>125.49642578417671</v>
      </c>
      <c r="BN38" s="123">
        <f t="shared" si="26"/>
        <v>125.82857421582314</v>
      </c>
      <c r="BO38" s="123">
        <f t="shared" si="27"/>
        <v>155.1049414176334</v>
      </c>
      <c r="BP38" s="123">
        <f t="shared" si="28"/>
        <v>157.96747237547007</v>
      </c>
      <c r="BQ38" s="123">
        <f t="shared" si="29"/>
        <v>-3.4739700111749907</v>
      </c>
      <c r="BR38" s="123">
        <f t="shared" si="30"/>
        <v>-0.65327136813535303</v>
      </c>
      <c r="BS38" s="123">
        <f t="shared" si="59"/>
        <v>56.437095452304185</v>
      </c>
      <c r="BT38" s="123">
        <f t="shared" si="60"/>
        <v>134.01118040976476</v>
      </c>
      <c r="BU38" s="123">
        <f t="shared" si="61"/>
        <v>35.424087856897714</v>
      </c>
      <c r="BV38" s="123">
        <f t="shared" si="62"/>
        <v>42.810394901722987</v>
      </c>
      <c r="BW38" s="123">
        <f t="shared" si="63"/>
        <v>68.667936470774464</v>
      </c>
      <c r="BX38" s="123">
        <f t="shared" si="64"/>
        <v>78.252753184397989</v>
      </c>
      <c r="BY38" s="123">
        <f t="shared" si="65"/>
        <v>94.547228197183259</v>
      </c>
      <c r="BZ38" s="123">
        <f t="shared" si="66"/>
        <v>106.39415111316158</v>
      </c>
      <c r="CA38" s="123">
        <f t="shared" si="67"/>
        <v>114.2973449594912</v>
      </c>
      <c r="CB38" s="123">
        <f t="shared" si="68"/>
        <v>127.60610331637088</v>
      </c>
      <c r="CC38" s="123">
        <f t="shared" si="69"/>
        <v>1.1625982470516784E-2</v>
      </c>
      <c r="CD38" s="123">
        <f t="shared" si="70"/>
        <v>1.4691067337912261E-2</v>
      </c>
      <c r="CE38" s="123">
        <f t="shared" si="71"/>
        <v>28.696690452912026</v>
      </c>
      <c r="CF38" s="123">
        <f t="shared" si="72"/>
        <v>29.661930236743164</v>
      </c>
      <c r="CG38" s="261">
        <f t="shared" si="31"/>
        <v>4.6579973341037062E-3</v>
      </c>
      <c r="CH38" s="261">
        <f t="shared" si="32"/>
        <v>5.3410578435228997E-3</v>
      </c>
      <c r="CI38" s="261">
        <f t="shared" si="33"/>
        <v>4.6322196240640304E-3</v>
      </c>
      <c r="CJ38" s="261">
        <f t="shared" si="34"/>
        <v>5.2936118196245515E-3</v>
      </c>
      <c r="CK38" s="261">
        <f t="shared" si="35"/>
        <v>-2.62020899613848E-4</v>
      </c>
      <c r="CL38" s="261">
        <f t="shared" si="36"/>
        <v>2.0015946921793468E-4</v>
      </c>
      <c r="CM38" s="123" t="e">
        <f t="shared" si="73"/>
        <v>#DIV/0!</v>
      </c>
      <c r="CN38" s="123" t="e">
        <f t="shared" si="74"/>
        <v>#DIV/0!</v>
      </c>
      <c r="CO38" s="123" t="e">
        <f t="shared" si="75"/>
        <v>#DIV/0!</v>
      </c>
      <c r="CP38" s="123" t="e">
        <f t="shared" si="76"/>
        <v>#DIV/0!</v>
      </c>
      <c r="CQ38" s="123" t="e">
        <f t="shared" si="77"/>
        <v>#DIV/0!</v>
      </c>
      <c r="CR38" s="123" t="e">
        <f t="shared" si="78"/>
        <v>#DIV/0!</v>
      </c>
      <c r="CS38" s="123" t="e">
        <f t="shared" si="79"/>
        <v>#DIV/0!</v>
      </c>
      <c r="CT38" s="123" t="e">
        <f t="shared" si="80"/>
        <v>#DIV/0!</v>
      </c>
      <c r="CU38" s="124">
        <f t="shared" si="81"/>
        <v>4.9388614429463438</v>
      </c>
      <c r="CV38" s="173">
        <f t="shared" si="82"/>
        <v>6.3118282122260467</v>
      </c>
      <c r="CW38" s="124">
        <f t="shared" si="83"/>
        <v>0</v>
      </c>
      <c r="CX38" s="171">
        <f t="shared" si="84"/>
        <v>0</v>
      </c>
      <c r="CY38" s="122">
        <f t="shared" si="131"/>
        <v>38</v>
      </c>
      <c r="CZ38" s="231">
        <f t="shared" si="132"/>
        <v>61.774482758620721</v>
      </c>
      <c r="DA38" s="123">
        <f t="shared" si="133"/>
        <v>112.37931034482759</v>
      </c>
      <c r="DB38" s="123">
        <f t="shared" si="134"/>
        <v>113.43103448275862</v>
      </c>
      <c r="DC38" s="123">
        <f t="shared" si="135"/>
        <v>0.18138170498084291</v>
      </c>
      <c r="DD38" s="123">
        <f t="shared" si="136"/>
        <v>160.24062500000002</v>
      </c>
      <c r="DE38" s="123">
        <f t="shared" si="137"/>
        <v>321.22500000000002</v>
      </c>
      <c r="DF38" s="123">
        <f t="shared" si="138"/>
        <v>482.16562499999998</v>
      </c>
      <c r="DG38" s="123">
        <f t="shared" si="139"/>
        <v>600.12241379310342</v>
      </c>
      <c r="DH38" s="123">
        <f t="shared" si="140"/>
        <v>18.147758620689654</v>
      </c>
      <c r="DI38" s="123">
        <f t="shared" si="141"/>
        <v>41.771874999999987</v>
      </c>
      <c r="DJ38" s="123">
        <f t="shared" si="142"/>
        <v>83.715624999999989</v>
      </c>
      <c r="DK38" s="123">
        <f t="shared" si="143"/>
        <v>125.66249999999992</v>
      </c>
      <c r="DL38" s="123">
        <f t="shared" si="144"/>
        <v>156.53620689655173</v>
      </c>
      <c r="DM38" s="123">
        <f t="shared" si="145"/>
        <v>-2.0636206896551719</v>
      </c>
      <c r="DN38" s="123">
        <f t="shared" si="146"/>
        <v>95.224137931034477</v>
      </c>
      <c r="DO38" s="123">
        <f t="shared" si="147"/>
        <v>39.11724137931035</v>
      </c>
      <c r="DP38" s="123">
        <f t="shared" si="148"/>
        <v>73.460344827586226</v>
      </c>
      <c r="DQ38" s="123">
        <f t="shared" si="149"/>
        <v>100.47068965517242</v>
      </c>
      <c r="DR38" s="123">
        <f t="shared" si="150"/>
        <v>120.95172413793104</v>
      </c>
      <c r="DS38" s="123">
        <f t="shared" si="151"/>
        <v>1.3158524904214522E-2</v>
      </c>
      <c r="DT38" s="123">
        <f t="shared" si="152"/>
        <v>29.179310344827595</v>
      </c>
      <c r="DU38" s="261">
        <f t="shared" si="153"/>
        <v>4.9995275888133029E-3</v>
      </c>
      <c r="DV38" s="261">
        <f t="shared" si="154"/>
        <v>4.962915721844291E-3</v>
      </c>
      <c r="DW38" s="261">
        <f t="shared" si="155"/>
        <v>-3.0930715197956654E-5</v>
      </c>
      <c r="DX38" s="123" t="e">
        <f t="shared" si="156"/>
        <v>#DIV/0!</v>
      </c>
      <c r="DY38" s="123" t="e">
        <f t="shared" si="157"/>
        <v>#DIV/0!</v>
      </c>
      <c r="DZ38" s="123" t="e">
        <f t="shared" si="158"/>
        <v>#DIV/0!</v>
      </c>
      <c r="EA38" s="123" t="e">
        <f t="shared" si="159"/>
        <v>#DIV/0!</v>
      </c>
      <c r="EB38" s="176">
        <f t="shared" si="160"/>
        <v>5.6253448275861953</v>
      </c>
      <c r="EC38" s="125">
        <f t="shared" si="161"/>
        <v>0</v>
      </c>
      <c r="ED38" s="179">
        <f t="shared" si="102"/>
        <v>120</v>
      </c>
      <c r="EE38" s="125">
        <f t="shared" si="103"/>
        <v>100</v>
      </c>
      <c r="EF38" s="106"/>
      <c r="EG38" s="106"/>
    </row>
    <row r="39" spans="1:137" ht="11.25" customHeight="1">
      <c r="A39" s="82"/>
      <c r="B39" s="160"/>
      <c r="C39" s="257"/>
      <c r="D39" s="160"/>
      <c r="E39" s="160"/>
      <c r="F39" s="162"/>
      <c r="G39" s="274"/>
      <c r="H39" s="159"/>
      <c r="I39" s="159"/>
      <c r="J39" s="159"/>
      <c r="K39" s="159"/>
      <c r="L39" s="135"/>
      <c r="M39" s="271"/>
      <c r="N39" s="159"/>
      <c r="O39" s="159"/>
      <c r="P39" s="159"/>
      <c r="Q39" s="159"/>
      <c r="R39" s="136"/>
      <c r="S39" s="272"/>
      <c r="T39" s="161"/>
      <c r="U39" s="161"/>
      <c r="V39" s="161"/>
      <c r="W39" s="161"/>
      <c r="X39" s="186"/>
      <c r="Y39" s="186"/>
      <c r="Z39" s="184"/>
      <c r="AA39" s="161"/>
      <c r="AB39" s="260"/>
      <c r="AC39" s="260"/>
      <c r="AD39" s="273"/>
      <c r="AE39" s="166"/>
      <c r="AF39" s="166"/>
      <c r="AG39" s="222"/>
      <c r="AH39" s="166"/>
      <c r="AI39" s="155"/>
      <c r="AJ39" s="155"/>
      <c r="AK39" s="225"/>
      <c r="AL39" s="196"/>
      <c r="AM39" s="196"/>
      <c r="AN39" s="227"/>
      <c r="AO39" s="148">
        <f t="shared" si="53"/>
        <v>28.089877583208697</v>
      </c>
      <c r="AP39" s="149">
        <f t="shared" si="54"/>
        <v>47.910122416791303</v>
      </c>
      <c r="AQ39" s="149">
        <f t="shared" si="7"/>
        <v>61.691860138971634</v>
      </c>
      <c r="AR39" s="149">
        <f t="shared" si="8"/>
        <v>61.857105378269807</v>
      </c>
      <c r="AS39" s="149">
        <f t="shared" si="9"/>
        <v>109.94095976728137</v>
      </c>
      <c r="AT39" s="149">
        <f t="shared" si="10"/>
        <v>114.8176609223738</v>
      </c>
      <c r="AU39" s="149">
        <f t="shared" si="55"/>
        <v>111.93239626243108</v>
      </c>
      <c r="AV39" s="149">
        <f t="shared" si="56"/>
        <v>114.92967270308615</v>
      </c>
      <c r="AW39" s="149">
        <f t="shared" si="57"/>
        <v>0.17368036968193748</v>
      </c>
      <c r="AX39" s="149">
        <f t="shared" si="58"/>
        <v>0.18908304027974834</v>
      </c>
      <c r="AY39" s="123">
        <f t="shared" si="11"/>
        <v>156.83979641263412</v>
      </c>
      <c r="AZ39" s="123">
        <f t="shared" si="12"/>
        <v>163.64145358736593</v>
      </c>
      <c r="BA39" s="123">
        <f t="shared" si="13"/>
        <v>314.2100390293777</v>
      </c>
      <c r="BB39" s="123">
        <f t="shared" si="14"/>
        <v>328.23996097062235</v>
      </c>
      <c r="BC39" s="123">
        <f t="shared" si="15"/>
        <v>471.56159398390412</v>
      </c>
      <c r="BD39" s="123">
        <f t="shared" si="16"/>
        <v>492.76965601609584</v>
      </c>
      <c r="BE39" s="123">
        <f t="shared" si="17"/>
        <v>588.52671906979549</v>
      </c>
      <c r="BF39" s="123">
        <f t="shared" si="18"/>
        <v>611.71810851641135</v>
      </c>
      <c r="BG39" s="123">
        <f t="shared" si="19"/>
        <v>6.4247474531250646</v>
      </c>
      <c r="BH39" s="123">
        <f t="shared" si="20"/>
        <v>29.870769788254243</v>
      </c>
      <c r="BI39" s="123">
        <f t="shared" si="21"/>
        <v>41.634833977180243</v>
      </c>
      <c r="BJ39" s="123">
        <f t="shared" si="22"/>
        <v>41.908916022819731</v>
      </c>
      <c r="BK39" s="123">
        <f t="shared" si="23"/>
        <v>83.527280129290489</v>
      </c>
      <c r="BL39" s="123">
        <f t="shared" si="24"/>
        <v>83.903969870709489</v>
      </c>
      <c r="BM39" s="123">
        <f t="shared" si="25"/>
        <v>125.49642578417671</v>
      </c>
      <c r="BN39" s="123">
        <f t="shared" si="26"/>
        <v>125.82857421582314</v>
      </c>
      <c r="BO39" s="123">
        <f t="shared" si="27"/>
        <v>155.1049414176334</v>
      </c>
      <c r="BP39" s="123">
        <f t="shared" si="28"/>
        <v>157.96747237547007</v>
      </c>
      <c r="BQ39" s="123">
        <f t="shared" si="29"/>
        <v>-3.4739700111749907</v>
      </c>
      <c r="BR39" s="123">
        <f t="shared" si="30"/>
        <v>-0.65327136813535303</v>
      </c>
      <c r="BS39" s="123">
        <f t="shared" si="59"/>
        <v>56.437095452304185</v>
      </c>
      <c r="BT39" s="123">
        <f t="shared" si="60"/>
        <v>134.01118040976476</v>
      </c>
      <c r="BU39" s="123">
        <f t="shared" si="61"/>
        <v>35.424087856897714</v>
      </c>
      <c r="BV39" s="123">
        <f t="shared" si="62"/>
        <v>42.810394901722987</v>
      </c>
      <c r="BW39" s="123">
        <f t="shared" si="63"/>
        <v>68.667936470774464</v>
      </c>
      <c r="BX39" s="123">
        <f t="shared" si="64"/>
        <v>78.252753184397989</v>
      </c>
      <c r="BY39" s="123">
        <f t="shared" si="65"/>
        <v>94.547228197183259</v>
      </c>
      <c r="BZ39" s="123">
        <f t="shared" si="66"/>
        <v>106.39415111316158</v>
      </c>
      <c r="CA39" s="123">
        <f t="shared" si="67"/>
        <v>114.2973449594912</v>
      </c>
      <c r="CB39" s="123">
        <f t="shared" si="68"/>
        <v>127.60610331637088</v>
      </c>
      <c r="CC39" s="123">
        <f t="shared" si="69"/>
        <v>1.1625982470516784E-2</v>
      </c>
      <c r="CD39" s="123">
        <f t="shared" si="70"/>
        <v>1.4691067337912261E-2</v>
      </c>
      <c r="CE39" s="123">
        <f t="shared" si="71"/>
        <v>28.696690452912026</v>
      </c>
      <c r="CF39" s="123">
        <f t="shared" si="72"/>
        <v>29.661930236743164</v>
      </c>
      <c r="CG39" s="261">
        <f t="shared" si="31"/>
        <v>4.6579973341037062E-3</v>
      </c>
      <c r="CH39" s="261">
        <f t="shared" si="32"/>
        <v>5.3410578435228997E-3</v>
      </c>
      <c r="CI39" s="261">
        <f t="shared" si="33"/>
        <v>4.6322196240640304E-3</v>
      </c>
      <c r="CJ39" s="261">
        <f t="shared" si="34"/>
        <v>5.2936118196245515E-3</v>
      </c>
      <c r="CK39" s="261">
        <f t="shared" si="35"/>
        <v>-2.62020899613848E-4</v>
      </c>
      <c r="CL39" s="261">
        <f t="shared" si="36"/>
        <v>2.0015946921793468E-4</v>
      </c>
      <c r="CM39" s="123" t="e">
        <f t="shared" si="73"/>
        <v>#DIV/0!</v>
      </c>
      <c r="CN39" s="123" t="e">
        <f t="shared" si="74"/>
        <v>#DIV/0!</v>
      </c>
      <c r="CO39" s="123" t="e">
        <f t="shared" si="75"/>
        <v>#DIV/0!</v>
      </c>
      <c r="CP39" s="123" t="e">
        <f t="shared" si="76"/>
        <v>#DIV/0!</v>
      </c>
      <c r="CQ39" s="123" t="e">
        <f t="shared" si="77"/>
        <v>#DIV/0!</v>
      </c>
      <c r="CR39" s="123" t="e">
        <f t="shared" si="78"/>
        <v>#DIV/0!</v>
      </c>
      <c r="CS39" s="123" t="e">
        <f t="shared" si="79"/>
        <v>#DIV/0!</v>
      </c>
      <c r="CT39" s="123" t="e">
        <f t="shared" si="80"/>
        <v>#DIV/0!</v>
      </c>
      <c r="CU39" s="124">
        <f t="shared" si="81"/>
        <v>4.9388614429463438</v>
      </c>
      <c r="CV39" s="173">
        <f t="shared" si="82"/>
        <v>6.3118282122260467</v>
      </c>
      <c r="CW39" s="124">
        <f t="shared" si="83"/>
        <v>0</v>
      </c>
      <c r="CX39" s="171">
        <f t="shared" si="84"/>
        <v>0</v>
      </c>
      <c r="CY39" s="122">
        <f t="shared" ref="CY39:CY61" si="162">B$91</f>
        <v>38</v>
      </c>
      <c r="CZ39" s="231">
        <f t="shared" ref="CZ39:CZ61" si="163">C$91</f>
        <v>61.774482758620721</v>
      </c>
      <c r="DA39" s="123">
        <f t="shared" ref="DA39:DA61" si="164">D$91</f>
        <v>112.37931034482759</v>
      </c>
      <c r="DB39" s="123">
        <f t="shared" ref="DB39:DB61" si="165">E$91</f>
        <v>113.43103448275862</v>
      </c>
      <c r="DC39" s="123">
        <f t="shared" ref="DC39:DC61" si="166">F$91</f>
        <v>0.18138170498084291</v>
      </c>
      <c r="DD39" s="123">
        <f t="shared" ref="DD39:DD61" si="167">H$91</f>
        <v>160.24062500000002</v>
      </c>
      <c r="DE39" s="123">
        <f t="shared" ref="DE39:DE61" si="168">I$91</f>
        <v>321.22500000000002</v>
      </c>
      <c r="DF39" s="123">
        <f t="shared" ref="DF39:DF61" si="169">J$91</f>
        <v>482.16562499999998</v>
      </c>
      <c r="DG39" s="123">
        <f t="shared" ref="DG39:DG61" si="170">K$91</f>
        <v>600.12241379310342</v>
      </c>
      <c r="DH39" s="123">
        <f t="shared" ref="DH39:DH61" si="171">L$91</f>
        <v>18.147758620689654</v>
      </c>
      <c r="DI39" s="123">
        <f t="shared" ref="DI39:DI61" si="172">N$91</f>
        <v>41.771874999999987</v>
      </c>
      <c r="DJ39" s="123">
        <f t="shared" ref="DJ39:DJ61" si="173">O$91</f>
        <v>83.715624999999989</v>
      </c>
      <c r="DK39" s="123">
        <f t="shared" ref="DK39:DK61" si="174">P$91</f>
        <v>125.66249999999992</v>
      </c>
      <c r="DL39" s="123">
        <f t="shared" ref="DL39:DL61" si="175">Q$91</f>
        <v>156.53620689655173</v>
      </c>
      <c r="DM39" s="123">
        <f t="shared" ref="DM39:DM61" si="176">R$91</f>
        <v>-2.0636206896551719</v>
      </c>
      <c r="DN39" s="123">
        <f t="shared" ref="DN39:DN61" si="177">S$91</f>
        <v>95.224137931034477</v>
      </c>
      <c r="DO39" s="123">
        <f t="shared" ref="DO39:DO61" si="178">T$91</f>
        <v>39.11724137931035</v>
      </c>
      <c r="DP39" s="123">
        <f t="shared" ref="DP39:DP61" si="179">U$91</f>
        <v>73.460344827586226</v>
      </c>
      <c r="DQ39" s="123">
        <f t="shared" ref="DQ39:DQ61" si="180">V$91</f>
        <v>100.47068965517242</v>
      </c>
      <c r="DR39" s="123">
        <f t="shared" ref="DR39:DR61" si="181">W$91</f>
        <v>120.95172413793104</v>
      </c>
      <c r="DS39" s="123">
        <f t="shared" ref="DS39:DS61" si="182">Z$91</f>
        <v>1.3158524904214522E-2</v>
      </c>
      <c r="DT39" s="123">
        <f t="shared" ref="DT39:DT61" si="183">AA$91</f>
        <v>29.179310344827595</v>
      </c>
      <c r="DU39" s="261">
        <f t="shared" ref="DU39:DU61" si="184">AB$91</f>
        <v>4.9995275888133029E-3</v>
      </c>
      <c r="DV39" s="261">
        <f t="shared" ref="DV39:DV61" si="185">AC$91</f>
        <v>4.962915721844291E-3</v>
      </c>
      <c r="DW39" s="261">
        <f t="shared" ref="DW39:DW61" si="186">AD$91</f>
        <v>-3.0930715197956654E-5</v>
      </c>
      <c r="DX39" s="123" t="e">
        <f t="shared" ref="DX39:DX61" si="187">AE$91</f>
        <v>#DIV/0!</v>
      </c>
      <c r="DY39" s="123" t="e">
        <f t="shared" ref="DY39:DY61" si="188">AF$91</f>
        <v>#DIV/0!</v>
      </c>
      <c r="DZ39" s="123" t="e">
        <f t="shared" ref="DZ39:DZ61" si="189">AG$91</f>
        <v>#DIV/0!</v>
      </c>
      <c r="EA39" s="123" t="e">
        <f t="shared" ref="EA39:EA61" si="190">AH$91</f>
        <v>#DIV/0!</v>
      </c>
      <c r="EB39" s="176">
        <f t="shared" ref="EB39:EB61" si="191">AK$91</f>
        <v>5.6253448275861953</v>
      </c>
      <c r="EC39" s="125">
        <f t="shared" ref="EC39:EC61" si="192">AN$91</f>
        <v>0</v>
      </c>
      <c r="ED39" s="179">
        <f t="shared" si="102"/>
        <v>120</v>
      </c>
      <c r="EE39" s="125">
        <f t="shared" si="103"/>
        <v>100</v>
      </c>
      <c r="EF39" s="106"/>
      <c r="EG39" s="106"/>
    </row>
    <row r="40" spans="1:137" ht="11.25" customHeight="1">
      <c r="A40" s="82"/>
      <c r="B40" s="160"/>
      <c r="C40" s="257"/>
      <c r="D40" s="160"/>
      <c r="E40" s="160"/>
      <c r="F40" s="162"/>
      <c r="G40" s="274"/>
      <c r="H40" s="159"/>
      <c r="I40" s="159"/>
      <c r="J40" s="159"/>
      <c r="K40" s="159"/>
      <c r="L40" s="135"/>
      <c r="M40" s="271"/>
      <c r="N40" s="159"/>
      <c r="O40" s="159"/>
      <c r="P40" s="159"/>
      <c r="Q40" s="159"/>
      <c r="R40" s="136"/>
      <c r="S40" s="272"/>
      <c r="T40" s="161"/>
      <c r="U40" s="161"/>
      <c r="V40" s="161"/>
      <c r="W40" s="161"/>
      <c r="X40" s="186"/>
      <c r="Y40" s="186"/>
      <c r="Z40" s="184"/>
      <c r="AA40" s="161"/>
      <c r="AB40" s="273"/>
      <c r="AC40" s="273"/>
      <c r="AD40" s="273"/>
      <c r="AE40" s="166"/>
      <c r="AF40" s="166"/>
      <c r="AG40" s="222"/>
      <c r="AH40" s="166"/>
      <c r="AI40" s="155"/>
      <c r="AJ40" s="155"/>
      <c r="AK40" s="225"/>
      <c r="AL40" s="196"/>
      <c r="AM40" s="196"/>
      <c r="AN40" s="227"/>
      <c r="AO40" s="148">
        <f t="shared" si="53"/>
        <v>28.089877583208697</v>
      </c>
      <c r="AP40" s="149">
        <f t="shared" si="54"/>
        <v>47.910122416791303</v>
      </c>
      <c r="AQ40" s="149">
        <f t="shared" si="7"/>
        <v>61.691860138971634</v>
      </c>
      <c r="AR40" s="149">
        <f t="shared" si="8"/>
        <v>61.857105378269807</v>
      </c>
      <c r="AS40" s="149">
        <f t="shared" si="9"/>
        <v>109.94095976728137</v>
      </c>
      <c r="AT40" s="149">
        <f t="shared" si="10"/>
        <v>114.8176609223738</v>
      </c>
      <c r="AU40" s="149">
        <f t="shared" si="55"/>
        <v>111.93239626243108</v>
      </c>
      <c r="AV40" s="149">
        <f t="shared" si="56"/>
        <v>114.92967270308615</v>
      </c>
      <c r="AW40" s="149">
        <f t="shared" si="57"/>
        <v>0.17368036968193748</v>
      </c>
      <c r="AX40" s="149">
        <f t="shared" si="58"/>
        <v>0.18908304027974834</v>
      </c>
      <c r="AY40" s="123">
        <f t="shared" si="11"/>
        <v>156.83979641263412</v>
      </c>
      <c r="AZ40" s="123">
        <f t="shared" si="12"/>
        <v>163.64145358736593</v>
      </c>
      <c r="BA40" s="123">
        <f t="shared" si="13"/>
        <v>314.2100390293777</v>
      </c>
      <c r="BB40" s="123">
        <f t="shared" si="14"/>
        <v>328.23996097062235</v>
      </c>
      <c r="BC40" s="123">
        <f t="shared" si="15"/>
        <v>471.56159398390412</v>
      </c>
      <c r="BD40" s="123">
        <f t="shared" si="16"/>
        <v>492.76965601609584</v>
      </c>
      <c r="BE40" s="123">
        <f t="shared" si="17"/>
        <v>588.52671906979549</v>
      </c>
      <c r="BF40" s="123">
        <f t="shared" si="18"/>
        <v>611.71810851641135</v>
      </c>
      <c r="BG40" s="123">
        <f t="shared" si="19"/>
        <v>6.4247474531250646</v>
      </c>
      <c r="BH40" s="123">
        <f t="shared" si="20"/>
        <v>29.870769788254243</v>
      </c>
      <c r="BI40" s="123">
        <f t="shared" si="21"/>
        <v>41.634833977180243</v>
      </c>
      <c r="BJ40" s="123">
        <f t="shared" si="22"/>
        <v>41.908916022819731</v>
      </c>
      <c r="BK40" s="123">
        <f t="shared" si="23"/>
        <v>83.527280129290489</v>
      </c>
      <c r="BL40" s="123">
        <f t="shared" si="24"/>
        <v>83.903969870709489</v>
      </c>
      <c r="BM40" s="123">
        <f t="shared" si="25"/>
        <v>125.49642578417671</v>
      </c>
      <c r="BN40" s="123">
        <f t="shared" si="26"/>
        <v>125.82857421582314</v>
      </c>
      <c r="BO40" s="123">
        <f t="shared" si="27"/>
        <v>155.1049414176334</v>
      </c>
      <c r="BP40" s="123">
        <f t="shared" si="28"/>
        <v>157.96747237547007</v>
      </c>
      <c r="BQ40" s="123">
        <f t="shared" si="29"/>
        <v>-3.4739700111749907</v>
      </c>
      <c r="BR40" s="123">
        <f t="shared" si="30"/>
        <v>-0.65327136813535303</v>
      </c>
      <c r="BS40" s="123">
        <f t="shared" si="59"/>
        <v>56.437095452304185</v>
      </c>
      <c r="BT40" s="123">
        <f t="shared" si="60"/>
        <v>134.01118040976476</v>
      </c>
      <c r="BU40" s="123">
        <f t="shared" si="61"/>
        <v>35.424087856897714</v>
      </c>
      <c r="BV40" s="123">
        <f t="shared" si="62"/>
        <v>42.810394901722987</v>
      </c>
      <c r="BW40" s="123">
        <f t="shared" si="63"/>
        <v>68.667936470774464</v>
      </c>
      <c r="BX40" s="123">
        <f t="shared" si="64"/>
        <v>78.252753184397989</v>
      </c>
      <c r="BY40" s="123">
        <f t="shared" si="65"/>
        <v>94.547228197183259</v>
      </c>
      <c r="BZ40" s="123">
        <f t="shared" si="66"/>
        <v>106.39415111316158</v>
      </c>
      <c r="CA40" s="123">
        <f t="shared" si="67"/>
        <v>114.2973449594912</v>
      </c>
      <c r="CB40" s="123">
        <f t="shared" si="68"/>
        <v>127.60610331637088</v>
      </c>
      <c r="CC40" s="123">
        <f t="shared" si="69"/>
        <v>1.1625982470516784E-2</v>
      </c>
      <c r="CD40" s="123">
        <f t="shared" si="70"/>
        <v>1.4691067337912261E-2</v>
      </c>
      <c r="CE40" s="123">
        <f t="shared" si="71"/>
        <v>28.696690452912026</v>
      </c>
      <c r="CF40" s="123">
        <f t="shared" si="72"/>
        <v>29.661930236743164</v>
      </c>
      <c r="CG40" s="261">
        <f t="shared" si="31"/>
        <v>4.6579973341037062E-3</v>
      </c>
      <c r="CH40" s="261">
        <f t="shared" si="32"/>
        <v>5.3410578435228997E-3</v>
      </c>
      <c r="CI40" s="261">
        <f t="shared" si="33"/>
        <v>4.6322196240640304E-3</v>
      </c>
      <c r="CJ40" s="261">
        <f t="shared" si="34"/>
        <v>5.2936118196245515E-3</v>
      </c>
      <c r="CK40" s="261">
        <f t="shared" si="35"/>
        <v>-2.62020899613848E-4</v>
      </c>
      <c r="CL40" s="261">
        <f t="shared" si="36"/>
        <v>2.0015946921793468E-4</v>
      </c>
      <c r="CM40" s="123" t="e">
        <f t="shared" si="73"/>
        <v>#DIV/0!</v>
      </c>
      <c r="CN40" s="123" t="e">
        <f t="shared" si="74"/>
        <v>#DIV/0!</v>
      </c>
      <c r="CO40" s="123" t="e">
        <f t="shared" si="75"/>
        <v>#DIV/0!</v>
      </c>
      <c r="CP40" s="123" t="e">
        <f t="shared" si="76"/>
        <v>#DIV/0!</v>
      </c>
      <c r="CQ40" s="123" t="e">
        <f t="shared" si="77"/>
        <v>#DIV/0!</v>
      </c>
      <c r="CR40" s="123" t="e">
        <f t="shared" si="78"/>
        <v>#DIV/0!</v>
      </c>
      <c r="CS40" s="123" t="e">
        <f t="shared" si="79"/>
        <v>#DIV/0!</v>
      </c>
      <c r="CT40" s="123" t="e">
        <f t="shared" si="80"/>
        <v>#DIV/0!</v>
      </c>
      <c r="CU40" s="124">
        <f t="shared" si="81"/>
        <v>4.9388614429463438</v>
      </c>
      <c r="CV40" s="173">
        <f t="shared" si="82"/>
        <v>6.3118282122260467</v>
      </c>
      <c r="CW40" s="124">
        <f t="shared" si="83"/>
        <v>0</v>
      </c>
      <c r="CX40" s="171">
        <f t="shared" si="84"/>
        <v>0</v>
      </c>
      <c r="CY40" s="122">
        <f t="shared" si="162"/>
        <v>38</v>
      </c>
      <c r="CZ40" s="231">
        <f t="shared" si="163"/>
        <v>61.774482758620721</v>
      </c>
      <c r="DA40" s="123">
        <f t="shared" si="164"/>
        <v>112.37931034482759</v>
      </c>
      <c r="DB40" s="123">
        <f t="shared" si="165"/>
        <v>113.43103448275862</v>
      </c>
      <c r="DC40" s="123">
        <f t="shared" si="166"/>
        <v>0.18138170498084291</v>
      </c>
      <c r="DD40" s="123">
        <f t="shared" si="167"/>
        <v>160.24062500000002</v>
      </c>
      <c r="DE40" s="123">
        <f t="shared" si="168"/>
        <v>321.22500000000002</v>
      </c>
      <c r="DF40" s="123">
        <f t="shared" si="169"/>
        <v>482.16562499999998</v>
      </c>
      <c r="DG40" s="123">
        <f t="shared" si="170"/>
        <v>600.12241379310342</v>
      </c>
      <c r="DH40" s="123">
        <f t="shared" si="171"/>
        <v>18.147758620689654</v>
      </c>
      <c r="DI40" s="123">
        <f t="shared" si="172"/>
        <v>41.771874999999987</v>
      </c>
      <c r="DJ40" s="123">
        <f t="shared" si="173"/>
        <v>83.715624999999989</v>
      </c>
      <c r="DK40" s="123">
        <f t="shared" si="174"/>
        <v>125.66249999999992</v>
      </c>
      <c r="DL40" s="123">
        <f t="shared" si="175"/>
        <v>156.53620689655173</v>
      </c>
      <c r="DM40" s="123">
        <f t="shared" si="176"/>
        <v>-2.0636206896551719</v>
      </c>
      <c r="DN40" s="123">
        <f t="shared" si="177"/>
        <v>95.224137931034477</v>
      </c>
      <c r="DO40" s="123">
        <f t="shared" si="178"/>
        <v>39.11724137931035</v>
      </c>
      <c r="DP40" s="123">
        <f t="shared" si="179"/>
        <v>73.460344827586226</v>
      </c>
      <c r="DQ40" s="123">
        <f t="shared" si="180"/>
        <v>100.47068965517242</v>
      </c>
      <c r="DR40" s="123">
        <f t="shared" si="181"/>
        <v>120.95172413793104</v>
      </c>
      <c r="DS40" s="123">
        <f t="shared" si="182"/>
        <v>1.3158524904214522E-2</v>
      </c>
      <c r="DT40" s="123">
        <f t="shared" si="183"/>
        <v>29.179310344827595</v>
      </c>
      <c r="DU40" s="261">
        <f t="shared" si="184"/>
        <v>4.9995275888133029E-3</v>
      </c>
      <c r="DV40" s="261">
        <f t="shared" si="185"/>
        <v>4.962915721844291E-3</v>
      </c>
      <c r="DW40" s="261">
        <f t="shared" si="186"/>
        <v>-3.0930715197956654E-5</v>
      </c>
      <c r="DX40" s="123" t="e">
        <f t="shared" si="187"/>
        <v>#DIV/0!</v>
      </c>
      <c r="DY40" s="123" t="e">
        <f t="shared" si="188"/>
        <v>#DIV/0!</v>
      </c>
      <c r="DZ40" s="123" t="e">
        <f t="shared" si="189"/>
        <v>#DIV/0!</v>
      </c>
      <c r="EA40" s="123" t="e">
        <f t="shared" si="190"/>
        <v>#DIV/0!</v>
      </c>
      <c r="EB40" s="176">
        <f t="shared" si="191"/>
        <v>5.6253448275861953</v>
      </c>
      <c r="EC40" s="125">
        <f t="shared" si="192"/>
        <v>0</v>
      </c>
      <c r="ED40" s="179">
        <f t="shared" si="102"/>
        <v>120</v>
      </c>
      <c r="EE40" s="125">
        <f t="shared" si="103"/>
        <v>100</v>
      </c>
      <c r="EF40" s="106"/>
      <c r="EG40" s="106"/>
    </row>
    <row r="41" spans="1:137" ht="11.25" customHeight="1">
      <c r="A41" s="82"/>
      <c r="B41" s="160"/>
      <c r="C41" s="257"/>
      <c r="D41" s="160"/>
      <c r="E41" s="160"/>
      <c r="F41" s="162"/>
      <c r="G41" s="274"/>
      <c r="H41" s="159"/>
      <c r="I41" s="159"/>
      <c r="J41" s="159"/>
      <c r="K41" s="159"/>
      <c r="L41" s="135"/>
      <c r="M41" s="271"/>
      <c r="N41" s="159"/>
      <c r="O41" s="159"/>
      <c r="P41" s="159"/>
      <c r="Q41" s="159"/>
      <c r="R41" s="136"/>
      <c r="S41" s="272"/>
      <c r="T41" s="161"/>
      <c r="U41" s="161"/>
      <c r="V41" s="161"/>
      <c r="W41" s="161"/>
      <c r="X41" s="186"/>
      <c r="Y41" s="186"/>
      <c r="Z41" s="184"/>
      <c r="AA41" s="161"/>
      <c r="AB41" s="260"/>
      <c r="AC41" s="260"/>
      <c r="AD41" s="273"/>
      <c r="AE41" s="166"/>
      <c r="AF41" s="166"/>
      <c r="AG41" s="222"/>
      <c r="AH41" s="166"/>
      <c r="AI41" s="155"/>
      <c r="AJ41" s="155"/>
      <c r="AK41" s="225"/>
      <c r="AL41" s="196"/>
      <c r="AM41" s="196"/>
      <c r="AN41" s="227"/>
      <c r="AO41" s="148">
        <f t="shared" si="53"/>
        <v>28.089877583208697</v>
      </c>
      <c r="AP41" s="149">
        <f t="shared" si="54"/>
        <v>47.910122416791303</v>
      </c>
      <c r="AQ41" s="149">
        <f t="shared" si="7"/>
        <v>61.691860138971634</v>
      </c>
      <c r="AR41" s="149">
        <f t="shared" si="8"/>
        <v>61.857105378269807</v>
      </c>
      <c r="AS41" s="149">
        <f t="shared" si="9"/>
        <v>109.94095976728137</v>
      </c>
      <c r="AT41" s="149">
        <f t="shared" si="10"/>
        <v>114.8176609223738</v>
      </c>
      <c r="AU41" s="149">
        <f t="shared" si="55"/>
        <v>111.93239626243108</v>
      </c>
      <c r="AV41" s="149">
        <f t="shared" si="56"/>
        <v>114.92967270308615</v>
      </c>
      <c r="AW41" s="149">
        <f t="shared" si="57"/>
        <v>0.17368036968193748</v>
      </c>
      <c r="AX41" s="149">
        <f t="shared" si="58"/>
        <v>0.18908304027974834</v>
      </c>
      <c r="AY41" s="123">
        <f t="shared" si="11"/>
        <v>156.83979641263412</v>
      </c>
      <c r="AZ41" s="123">
        <f t="shared" si="12"/>
        <v>163.64145358736593</v>
      </c>
      <c r="BA41" s="123">
        <f t="shared" si="13"/>
        <v>314.2100390293777</v>
      </c>
      <c r="BB41" s="123">
        <f t="shared" si="14"/>
        <v>328.23996097062235</v>
      </c>
      <c r="BC41" s="123">
        <f t="shared" si="15"/>
        <v>471.56159398390412</v>
      </c>
      <c r="BD41" s="123">
        <f t="shared" si="16"/>
        <v>492.76965601609584</v>
      </c>
      <c r="BE41" s="123">
        <f t="shared" si="17"/>
        <v>588.52671906979549</v>
      </c>
      <c r="BF41" s="123">
        <f t="shared" si="18"/>
        <v>611.71810851641135</v>
      </c>
      <c r="BG41" s="123">
        <f t="shared" si="19"/>
        <v>6.4247474531250646</v>
      </c>
      <c r="BH41" s="123">
        <f t="shared" si="20"/>
        <v>29.870769788254243</v>
      </c>
      <c r="BI41" s="123">
        <f t="shared" si="21"/>
        <v>41.634833977180243</v>
      </c>
      <c r="BJ41" s="123">
        <f t="shared" si="22"/>
        <v>41.908916022819731</v>
      </c>
      <c r="BK41" s="123">
        <f t="shared" si="23"/>
        <v>83.527280129290489</v>
      </c>
      <c r="BL41" s="123">
        <f t="shared" si="24"/>
        <v>83.903969870709489</v>
      </c>
      <c r="BM41" s="123">
        <f t="shared" si="25"/>
        <v>125.49642578417671</v>
      </c>
      <c r="BN41" s="123">
        <f t="shared" si="26"/>
        <v>125.82857421582314</v>
      </c>
      <c r="BO41" s="123">
        <f t="shared" si="27"/>
        <v>155.1049414176334</v>
      </c>
      <c r="BP41" s="123">
        <f t="shared" si="28"/>
        <v>157.96747237547007</v>
      </c>
      <c r="BQ41" s="123">
        <f t="shared" si="29"/>
        <v>-3.4739700111749907</v>
      </c>
      <c r="BR41" s="123">
        <f t="shared" si="30"/>
        <v>-0.65327136813535303</v>
      </c>
      <c r="BS41" s="123">
        <f t="shared" si="59"/>
        <v>56.437095452304185</v>
      </c>
      <c r="BT41" s="123">
        <f t="shared" si="60"/>
        <v>134.01118040976476</v>
      </c>
      <c r="BU41" s="123">
        <f t="shared" si="61"/>
        <v>35.424087856897714</v>
      </c>
      <c r="BV41" s="123">
        <f t="shared" si="62"/>
        <v>42.810394901722987</v>
      </c>
      <c r="BW41" s="123">
        <f t="shared" si="63"/>
        <v>68.667936470774464</v>
      </c>
      <c r="BX41" s="123">
        <f t="shared" si="64"/>
        <v>78.252753184397989</v>
      </c>
      <c r="BY41" s="123">
        <f t="shared" si="65"/>
        <v>94.547228197183259</v>
      </c>
      <c r="BZ41" s="123">
        <f t="shared" si="66"/>
        <v>106.39415111316158</v>
      </c>
      <c r="CA41" s="123">
        <f t="shared" si="67"/>
        <v>114.2973449594912</v>
      </c>
      <c r="CB41" s="123">
        <f t="shared" si="68"/>
        <v>127.60610331637088</v>
      </c>
      <c r="CC41" s="123">
        <f t="shared" si="69"/>
        <v>1.1625982470516784E-2</v>
      </c>
      <c r="CD41" s="123">
        <f t="shared" si="70"/>
        <v>1.4691067337912261E-2</v>
      </c>
      <c r="CE41" s="123">
        <f t="shared" si="71"/>
        <v>28.696690452912026</v>
      </c>
      <c r="CF41" s="123">
        <f t="shared" si="72"/>
        <v>29.661930236743164</v>
      </c>
      <c r="CG41" s="261">
        <f t="shared" si="31"/>
        <v>4.6579973341037062E-3</v>
      </c>
      <c r="CH41" s="261">
        <f t="shared" si="32"/>
        <v>5.3410578435228997E-3</v>
      </c>
      <c r="CI41" s="261">
        <f t="shared" si="33"/>
        <v>4.6322196240640304E-3</v>
      </c>
      <c r="CJ41" s="261">
        <f t="shared" si="34"/>
        <v>5.2936118196245515E-3</v>
      </c>
      <c r="CK41" s="261">
        <f t="shared" si="35"/>
        <v>-2.62020899613848E-4</v>
      </c>
      <c r="CL41" s="261">
        <f t="shared" si="36"/>
        <v>2.0015946921793468E-4</v>
      </c>
      <c r="CM41" s="123" t="e">
        <f t="shared" si="73"/>
        <v>#DIV/0!</v>
      </c>
      <c r="CN41" s="123" t="e">
        <f t="shared" si="74"/>
        <v>#DIV/0!</v>
      </c>
      <c r="CO41" s="123" t="e">
        <f t="shared" si="75"/>
        <v>#DIV/0!</v>
      </c>
      <c r="CP41" s="123" t="e">
        <f t="shared" si="76"/>
        <v>#DIV/0!</v>
      </c>
      <c r="CQ41" s="123" t="e">
        <f t="shared" si="77"/>
        <v>#DIV/0!</v>
      </c>
      <c r="CR41" s="123" t="e">
        <f t="shared" si="78"/>
        <v>#DIV/0!</v>
      </c>
      <c r="CS41" s="123" t="e">
        <f t="shared" si="79"/>
        <v>#DIV/0!</v>
      </c>
      <c r="CT41" s="123" t="e">
        <f t="shared" si="80"/>
        <v>#DIV/0!</v>
      </c>
      <c r="CU41" s="124">
        <f t="shared" si="81"/>
        <v>4.9388614429463438</v>
      </c>
      <c r="CV41" s="173">
        <f t="shared" si="82"/>
        <v>6.3118282122260467</v>
      </c>
      <c r="CW41" s="124">
        <f t="shared" si="83"/>
        <v>0</v>
      </c>
      <c r="CX41" s="171">
        <f t="shared" si="84"/>
        <v>0</v>
      </c>
      <c r="CY41" s="122">
        <f t="shared" si="162"/>
        <v>38</v>
      </c>
      <c r="CZ41" s="231">
        <f t="shared" si="163"/>
        <v>61.774482758620721</v>
      </c>
      <c r="DA41" s="123">
        <f t="shared" si="164"/>
        <v>112.37931034482759</v>
      </c>
      <c r="DB41" s="123">
        <f t="shared" si="165"/>
        <v>113.43103448275862</v>
      </c>
      <c r="DC41" s="123">
        <f t="shared" si="166"/>
        <v>0.18138170498084291</v>
      </c>
      <c r="DD41" s="123">
        <f t="shared" si="167"/>
        <v>160.24062500000002</v>
      </c>
      <c r="DE41" s="123">
        <f t="shared" si="168"/>
        <v>321.22500000000002</v>
      </c>
      <c r="DF41" s="123">
        <f t="shared" si="169"/>
        <v>482.16562499999998</v>
      </c>
      <c r="DG41" s="123">
        <f t="shared" si="170"/>
        <v>600.12241379310342</v>
      </c>
      <c r="DH41" s="123">
        <f t="shared" si="171"/>
        <v>18.147758620689654</v>
      </c>
      <c r="DI41" s="123">
        <f t="shared" si="172"/>
        <v>41.771874999999987</v>
      </c>
      <c r="DJ41" s="123">
        <f t="shared" si="173"/>
        <v>83.715624999999989</v>
      </c>
      <c r="DK41" s="123">
        <f t="shared" si="174"/>
        <v>125.66249999999992</v>
      </c>
      <c r="DL41" s="123">
        <f t="shared" si="175"/>
        <v>156.53620689655173</v>
      </c>
      <c r="DM41" s="123">
        <f t="shared" si="176"/>
        <v>-2.0636206896551719</v>
      </c>
      <c r="DN41" s="123">
        <f t="shared" si="177"/>
        <v>95.224137931034477</v>
      </c>
      <c r="DO41" s="123">
        <f t="shared" si="178"/>
        <v>39.11724137931035</v>
      </c>
      <c r="DP41" s="123">
        <f t="shared" si="179"/>
        <v>73.460344827586226</v>
      </c>
      <c r="DQ41" s="123">
        <f t="shared" si="180"/>
        <v>100.47068965517242</v>
      </c>
      <c r="DR41" s="123">
        <f t="shared" si="181"/>
        <v>120.95172413793104</v>
      </c>
      <c r="DS41" s="123">
        <f t="shared" si="182"/>
        <v>1.3158524904214522E-2</v>
      </c>
      <c r="DT41" s="123">
        <f t="shared" si="183"/>
        <v>29.179310344827595</v>
      </c>
      <c r="DU41" s="261">
        <f t="shared" si="184"/>
        <v>4.9995275888133029E-3</v>
      </c>
      <c r="DV41" s="261">
        <f t="shared" si="185"/>
        <v>4.962915721844291E-3</v>
      </c>
      <c r="DW41" s="261">
        <f t="shared" si="186"/>
        <v>-3.0930715197956654E-5</v>
      </c>
      <c r="DX41" s="123" t="e">
        <f t="shared" si="187"/>
        <v>#DIV/0!</v>
      </c>
      <c r="DY41" s="123" t="e">
        <f t="shared" si="188"/>
        <v>#DIV/0!</v>
      </c>
      <c r="DZ41" s="123" t="e">
        <f t="shared" si="189"/>
        <v>#DIV/0!</v>
      </c>
      <c r="EA41" s="123" t="e">
        <f t="shared" si="190"/>
        <v>#DIV/0!</v>
      </c>
      <c r="EB41" s="176">
        <f t="shared" si="191"/>
        <v>5.6253448275861953</v>
      </c>
      <c r="EC41" s="125">
        <f t="shared" si="192"/>
        <v>0</v>
      </c>
      <c r="ED41" s="179">
        <f t="shared" si="102"/>
        <v>120</v>
      </c>
      <c r="EE41" s="125">
        <f t="shared" si="103"/>
        <v>100</v>
      </c>
      <c r="EF41" s="106"/>
      <c r="EG41" s="106"/>
    </row>
    <row r="42" spans="1:137" ht="11.25" customHeight="1">
      <c r="A42" s="82"/>
      <c r="B42" s="160"/>
      <c r="C42" s="257"/>
      <c r="D42" s="160"/>
      <c r="E42" s="160"/>
      <c r="F42" s="162"/>
      <c r="G42" s="274"/>
      <c r="H42" s="159"/>
      <c r="I42" s="159"/>
      <c r="J42" s="159"/>
      <c r="K42" s="159"/>
      <c r="L42" s="135"/>
      <c r="M42" s="271"/>
      <c r="N42" s="159"/>
      <c r="O42" s="159"/>
      <c r="P42" s="159"/>
      <c r="Q42" s="159"/>
      <c r="R42" s="136"/>
      <c r="S42" s="272"/>
      <c r="T42" s="161"/>
      <c r="U42" s="161"/>
      <c r="V42" s="161"/>
      <c r="W42" s="161"/>
      <c r="X42" s="186"/>
      <c r="Y42" s="186"/>
      <c r="Z42" s="184"/>
      <c r="AA42" s="161"/>
      <c r="AB42" s="260"/>
      <c r="AC42" s="260"/>
      <c r="AD42" s="273"/>
      <c r="AE42" s="166"/>
      <c r="AF42" s="166"/>
      <c r="AG42" s="222"/>
      <c r="AH42" s="166"/>
      <c r="AI42" s="155"/>
      <c r="AJ42" s="155"/>
      <c r="AK42" s="225"/>
      <c r="AL42" s="196"/>
      <c r="AM42" s="196"/>
      <c r="AN42" s="227"/>
      <c r="AO42" s="148">
        <f t="shared" si="53"/>
        <v>28.089877583208697</v>
      </c>
      <c r="AP42" s="149">
        <f t="shared" si="54"/>
        <v>47.910122416791303</v>
      </c>
      <c r="AQ42" s="149">
        <f t="shared" si="7"/>
        <v>61.691860138971634</v>
      </c>
      <c r="AR42" s="149">
        <f t="shared" si="8"/>
        <v>61.857105378269807</v>
      </c>
      <c r="AS42" s="149">
        <f t="shared" si="9"/>
        <v>109.94095976728137</v>
      </c>
      <c r="AT42" s="149">
        <f t="shared" si="10"/>
        <v>114.8176609223738</v>
      </c>
      <c r="AU42" s="149">
        <f t="shared" si="55"/>
        <v>111.93239626243108</v>
      </c>
      <c r="AV42" s="149">
        <f t="shared" si="56"/>
        <v>114.92967270308615</v>
      </c>
      <c r="AW42" s="149">
        <f t="shared" si="57"/>
        <v>0.17368036968193748</v>
      </c>
      <c r="AX42" s="149">
        <f t="shared" si="58"/>
        <v>0.18908304027974834</v>
      </c>
      <c r="AY42" s="123">
        <f t="shared" si="11"/>
        <v>156.83979641263412</v>
      </c>
      <c r="AZ42" s="123">
        <f t="shared" si="12"/>
        <v>163.64145358736593</v>
      </c>
      <c r="BA42" s="123">
        <f t="shared" si="13"/>
        <v>314.2100390293777</v>
      </c>
      <c r="BB42" s="123">
        <f t="shared" si="14"/>
        <v>328.23996097062235</v>
      </c>
      <c r="BC42" s="123">
        <f t="shared" si="15"/>
        <v>471.56159398390412</v>
      </c>
      <c r="BD42" s="123">
        <f t="shared" si="16"/>
        <v>492.76965601609584</v>
      </c>
      <c r="BE42" s="123">
        <f t="shared" si="17"/>
        <v>588.52671906979549</v>
      </c>
      <c r="BF42" s="123">
        <f t="shared" si="18"/>
        <v>611.71810851641135</v>
      </c>
      <c r="BG42" s="123">
        <f t="shared" si="19"/>
        <v>6.4247474531250646</v>
      </c>
      <c r="BH42" s="123">
        <f t="shared" si="20"/>
        <v>29.870769788254243</v>
      </c>
      <c r="BI42" s="123">
        <f t="shared" si="21"/>
        <v>41.634833977180243</v>
      </c>
      <c r="BJ42" s="123">
        <f t="shared" si="22"/>
        <v>41.908916022819731</v>
      </c>
      <c r="BK42" s="123">
        <f t="shared" si="23"/>
        <v>83.527280129290489</v>
      </c>
      <c r="BL42" s="123">
        <f t="shared" si="24"/>
        <v>83.903969870709489</v>
      </c>
      <c r="BM42" s="123">
        <f t="shared" si="25"/>
        <v>125.49642578417671</v>
      </c>
      <c r="BN42" s="123">
        <f t="shared" si="26"/>
        <v>125.82857421582314</v>
      </c>
      <c r="BO42" s="123">
        <f t="shared" si="27"/>
        <v>155.1049414176334</v>
      </c>
      <c r="BP42" s="123">
        <f t="shared" si="28"/>
        <v>157.96747237547007</v>
      </c>
      <c r="BQ42" s="123">
        <f t="shared" si="29"/>
        <v>-3.4739700111749907</v>
      </c>
      <c r="BR42" s="123">
        <f t="shared" si="30"/>
        <v>-0.65327136813535303</v>
      </c>
      <c r="BS42" s="123">
        <f t="shared" si="59"/>
        <v>56.437095452304185</v>
      </c>
      <c r="BT42" s="123">
        <f t="shared" si="60"/>
        <v>134.01118040976476</v>
      </c>
      <c r="BU42" s="123">
        <f t="shared" si="61"/>
        <v>35.424087856897714</v>
      </c>
      <c r="BV42" s="123">
        <f t="shared" si="62"/>
        <v>42.810394901722987</v>
      </c>
      <c r="BW42" s="123">
        <f t="shared" si="63"/>
        <v>68.667936470774464</v>
      </c>
      <c r="BX42" s="123">
        <f t="shared" si="64"/>
        <v>78.252753184397989</v>
      </c>
      <c r="BY42" s="123">
        <f t="shared" si="65"/>
        <v>94.547228197183259</v>
      </c>
      <c r="BZ42" s="123">
        <f t="shared" si="66"/>
        <v>106.39415111316158</v>
      </c>
      <c r="CA42" s="123">
        <f t="shared" si="67"/>
        <v>114.2973449594912</v>
      </c>
      <c r="CB42" s="123">
        <f t="shared" si="68"/>
        <v>127.60610331637088</v>
      </c>
      <c r="CC42" s="123">
        <f t="shared" si="69"/>
        <v>1.1625982470516784E-2</v>
      </c>
      <c r="CD42" s="123">
        <f t="shared" si="70"/>
        <v>1.4691067337912261E-2</v>
      </c>
      <c r="CE42" s="123">
        <f t="shared" si="71"/>
        <v>28.696690452912026</v>
      </c>
      <c r="CF42" s="123">
        <f t="shared" si="72"/>
        <v>29.661930236743164</v>
      </c>
      <c r="CG42" s="261">
        <f t="shared" si="31"/>
        <v>4.6579973341037062E-3</v>
      </c>
      <c r="CH42" s="261">
        <f t="shared" si="32"/>
        <v>5.3410578435228997E-3</v>
      </c>
      <c r="CI42" s="261">
        <f t="shared" si="33"/>
        <v>4.6322196240640304E-3</v>
      </c>
      <c r="CJ42" s="261">
        <f t="shared" si="34"/>
        <v>5.2936118196245515E-3</v>
      </c>
      <c r="CK42" s="261">
        <f t="shared" si="35"/>
        <v>-2.62020899613848E-4</v>
      </c>
      <c r="CL42" s="261">
        <f t="shared" si="36"/>
        <v>2.0015946921793468E-4</v>
      </c>
      <c r="CM42" s="123" t="e">
        <f t="shared" si="73"/>
        <v>#DIV/0!</v>
      </c>
      <c r="CN42" s="123" t="e">
        <f t="shared" si="74"/>
        <v>#DIV/0!</v>
      </c>
      <c r="CO42" s="123" t="e">
        <f t="shared" si="75"/>
        <v>#DIV/0!</v>
      </c>
      <c r="CP42" s="123" t="e">
        <f t="shared" si="76"/>
        <v>#DIV/0!</v>
      </c>
      <c r="CQ42" s="123" t="e">
        <f t="shared" si="77"/>
        <v>#DIV/0!</v>
      </c>
      <c r="CR42" s="123" t="e">
        <f t="shared" si="78"/>
        <v>#DIV/0!</v>
      </c>
      <c r="CS42" s="123" t="e">
        <f t="shared" si="79"/>
        <v>#DIV/0!</v>
      </c>
      <c r="CT42" s="123" t="e">
        <f t="shared" si="80"/>
        <v>#DIV/0!</v>
      </c>
      <c r="CU42" s="124">
        <f t="shared" si="81"/>
        <v>4.9388614429463438</v>
      </c>
      <c r="CV42" s="173">
        <f t="shared" si="82"/>
        <v>6.3118282122260467</v>
      </c>
      <c r="CW42" s="124">
        <f t="shared" si="83"/>
        <v>0</v>
      </c>
      <c r="CX42" s="171">
        <f t="shared" si="84"/>
        <v>0</v>
      </c>
      <c r="CY42" s="122">
        <f t="shared" si="162"/>
        <v>38</v>
      </c>
      <c r="CZ42" s="231">
        <f t="shared" si="163"/>
        <v>61.774482758620721</v>
      </c>
      <c r="DA42" s="123">
        <f t="shared" si="164"/>
        <v>112.37931034482759</v>
      </c>
      <c r="DB42" s="123">
        <f t="shared" si="165"/>
        <v>113.43103448275862</v>
      </c>
      <c r="DC42" s="123">
        <f t="shared" si="166"/>
        <v>0.18138170498084291</v>
      </c>
      <c r="DD42" s="123">
        <f t="shared" si="167"/>
        <v>160.24062500000002</v>
      </c>
      <c r="DE42" s="123">
        <f t="shared" si="168"/>
        <v>321.22500000000002</v>
      </c>
      <c r="DF42" s="123">
        <f t="shared" si="169"/>
        <v>482.16562499999998</v>
      </c>
      <c r="DG42" s="123">
        <f t="shared" si="170"/>
        <v>600.12241379310342</v>
      </c>
      <c r="DH42" s="123">
        <f t="shared" si="171"/>
        <v>18.147758620689654</v>
      </c>
      <c r="DI42" s="123">
        <f t="shared" si="172"/>
        <v>41.771874999999987</v>
      </c>
      <c r="DJ42" s="123">
        <f t="shared" si="173"/>
        <v>83.715624999999989</v>
      </c>
      <c r="DK42" s="123">
        <f t="shared" si="174"/>
        <v>125.66249999999992</v>
      </c>
      <c r="DL42" s="123">
        <f t="shared" si="175"/>
        <v>156.53620689655173</v>
      </c>
      <c r="DM42" s="123">
        <f t="shared" si="176"/>
        <v>-2.0636206896551719</v>
      </c>
      <c r="DN42" s="123">
        <f t="shared" si="177"/>
        <v>95.224137931034477</v>
      </c>
      <c r="DO42" s="123">
        <f t="shared" si="178"/>
        <v>39.11724137931035</v>
      </c>
      <c r="DP42" s="123">
        <f t="shared" si="179"/>
        <v>73.460344827586226</v>
      </c>
      <c r="DQ42" s="123">
        <f t="shared" si="180"/>
        <v>100.47068965517242</v>
      </c>
      <c r="DR42" s="123">
        <f t="shared" si="181"/>
        <v>120.95172413793104</v>
      </c>
      <c r="DS42" s="123">
        <f t="shared" si="182"/>
        <v>1.3158524904214522E-2</v>
      </c>
      <c r="DT42" s="123">
        <f t="shared" si="183"/>
        <v>29.179310344827595</v>
      </c>
      <c r="DU42" s="261">
        <f t="shared" si="184"/>
        <v>4.9995275888133029E-3</v>
      </c>
      <c r="DV42" s="261">
        <f t="shared" si="185"/>
        <v>4.962915721844291E-3</v>
      </c>
      <c r="DW42" s="261">
        <f t="shared" si="186"/>
        <v>-3.0930715197956654E-5</v>
      </c>
      <c r="DX42" s="123" t="e">
        <f t="shared" si="187"/>
        <v>#DIV/0!</v>
      </c>
      <c r="DY42" s="123" t="e">
        <f t="shared" si="188"/>
        <v>#DIV/0!</v>
      </c>
      <c r="DZ42" s="123" t="e">
        <f t="shared" si="189"/>
        <v>#DIV/0!</v>
      </c>
      <c r="EA42" s="123" t="e">
        <f t="shared" si="190"/>
        <v>#DIV/0!</v>
      </c>
      <c r="EB42" s="176">
        <f t="shared" si="191"/>
        <v>5.6253448275861953</v>
      </c>
      <c r="EC42" s="125">
        <f t="shared" si="192"/>
        <v>0</v>
      </c>
      <c r="ED42" s="179">
        <f t="shared" si="102"/>
        <v>120</v>
      </c>
      <c r="EE42" s="125">
        <f t="shared" si="103"/>
        <v>100</v>
      </c>
      <c r="EF42" s="106"/>
      <c r="EG42" s="106"/>
    </row>
    <row r="43" spans="1:137" ht="11.25" customHeight="1">
      <c r="A43" s="82"/>
      <c r="B43" s="160"/>
      <c r="C43" s="257"/>
      <c r="D43" s="160"/>
      <c r="E43" s="160"/>
      <c r="F43" s="162"/>
      <c r="G43" s="274"/>
      <c r="H43" s="159"/>
      <c r="I43" s="159"/>
      <c r="J43" s="159"/>
      <c r="K43" s="159"/>
      <c r="L43" s="135"/>
      <c r="M43" s="271"/>
      <c r="N43" s="159"/>
      <c r="O43" s="159"/>
      <c r="P43" s="159"/>
      <c r="Q43" s="159"/>
      <c r="R43" s="136"/>
      <c r="S43" s="272"/>
      <c r="T43" s="161"/>
      <c r="U43" s="161"/>
      <c r="V43" s="161"/>
      <c r="W43" s="161"/>
      <c r="X43" s="186"/>
      <c r="Y43" s="186"/>
      <c r="Z43" s="184"/>
      <c r="AA43" s="161"/>
      <c r="AB43" s="260"/>
      <c r="AC43" s="273"/>
      <c r="AD43" s="273"/>
      <c r="AE43" s="166"/>
      <c r="AF43" s="166"/>
      <c r="AG43" s="222"/>
      <c r="AH43" s="166"/>
      <c r="AI43" s="155"/>
      <c r="AJ43" s="155"/>
      <c r="AK43" s="225"/>
      <c r="AL43" s="196"/>
      <c r="AM43" s="196"/>
      <c r="AN43" s="227"/>
      <c r="AO43" s="148">
        <f t="shared" si="53"/>
        <v>28.089877583208697</v>
      </c>
      <c r="AP43" s="149">
        <f t="shared" si="54"/>
        <v>47.910122416791303</v>
      </c>
      <c r="AQ43" s="149">
        <f t="shared" si="7"/>
        <v>61.691860138971634</v>
      </c>
      <c r="AR43" s="149">
        <f t="shared" si="8"/>
        <v>61.857105378269807</v>
      </c>
      <c r="AS43" s="149">
        <f t="shared" si="9"/>
        <v>109.94095976728137</v>
      </c>
      <c r="AT43" s="149">
        <f t="shared" si="10"/>
        <v>114.8176609223738</v>
      </c>
      <c r="AU43" s="149">
        <f t="shared" si="55"/>
        <v>111.93239626243108</v>
      </c>
      <c r="AV43" s="149">
        <f t="shared" si="56"/>
        <v>114.92967270308615</v>
      </c>
      <c r="AW43" s="149">
        <f t="shared" si="57"/>
        <v>0.17368036968193748</v>
      </c>
      <c r="AX43" s="149">
        <f t="shared" si="58"/>
        <v>0.18908304027974834</v>
      </c>
      <c r="AY43" s="123">
        <f t="shared" si="11"/>
        <v>156.83979641263412</v>
      </c>
      <c r="AZ43" s="123">
        <f t="shared" si="12"/>
        <v>163.64145358736593</v>
      </c>
      <c r="BA43" s="123">
        <f t="shared" si="13"/>
        <v>314.2100390293777</v>
      </c>
      <c r="BB43" s="123">
        <f t="shared" si="14"/>
        <v>328.23996097062235</v>
      </c>
      <c r="BC43" s="123">
        <f t="shared" si="15"/>
        <v>471.56159398390412</v>
      </c>
      <c r="BD43" s="123">
        <f t="shared" si="16"/>
        <v>492.76965601609584</v>
      </c>
      <c r="BE43" s="123">
        <f t="shared" si="17"/>
        <v>588.52671906979549</v>
      </c>
      <c r="BF43" s="123">
        <f t="shared" si="18"/>
        <v>611.71810851641135</v>
      </c>
      <c r="BG43" s="123">
        <f t="shared" si="19"/>
        <v>6.4247474531250646</v>
      </c>
      <c r="BH43" s="123">
        <f t="shared" si="20"/>
        <v>29.870769788254243</v>
      </c>
      <c r="BI43" s="123">
        <f t="shared" si="21"/>
        <v>41.634833977180243</v>
      </c>
      <c r="BJ43" s="123">
        <f t="shared" si="22"/>
        <v>41.908916022819731</v>
      </c>
      <c r="BK43" s="123">
        <f t="shared" si="23"/>
        <v>83.527280129290489</v>
      </c>
      <c r="BL43" s="123">
        <f t="shared" si="24"/>
        <v>83.903969870709489</v>
      </c>
      <c r="BM43" s="123">
        <f t="shared" si="25"/>
        <v>125.49642578417671</v>
      </c>
      <c r="BN43" s="123">
        <f t="shared" si="26"/>
        <v>125.82857421582314</v>
      </c>
      <c r="BO43" s="123">
        <f t="shared" si="27"/>
        <v>155.1049414176334</v>
      </c>
      <c r="BP43" s="123">
        <f t="shared" si="28"/>
        <v>157.96747237547007</v>
      </c>
      <c r="BQ43" s="123">
        <f t="shared" si="29"/>
        <v>-3.4739700111749907</v>
      </c>
      <c r="BR43" s="123">
        <f t="shared" si="30"/>
        <v>-0.65327136813535303</v>
      </c>
      <c r="BS43" s="123">
        <f t="shared" si="59"/>
        <v>56.437095452304185</v>
      </c>
      <c r="BT43" s="123">
        <f t="shared" si="60"/>
        <v>134.01118040976476</v>
      </c>
      <c r="BU43" s="123">
        <f t="shared" si="61"/>
        <v>35.424087856897714</v>
      </c>
      <c r="BV43" s="123">
        <f t="shared" si="62"/>
        <v>42.810394901722987</v>
      </c>
      <c r="BW43" s="123">
        <f t="shared" si="63"/>
        <v>68.667936470774464</v>
      </c>
      <c r="BX43" s="123">
        <f t="shared" si="64"/>
        <v>78.252753184397989</v>
      </c>
      <c r="BY43" s="123">
        <f t="shared" si="65"/>
        <v>94.547228197183259</v>
      </c>
      <c r="BZ43" s="123">
        <f t="shared" si="66"/>
        <v>106.39415111316158</v>
      </c>
      <c r="CA43" s="123">
        <f t="shared" si="67"/>
        <v>114.2973449594912</v>
      </c>
      <c r="CB43" s="123">
        <f t="shared" si="68"/>
        <v>127.60610331637088</v>
      </c>
      <c r="CC43" s="123">
        <f t="shared" si="69"/>
        <v>1.1625982470516784E-2</v>
      </c>
      <c r="CD43" s="123">
        <f t="shared" si="70"/>
        <v>1.4691067337912261E-2</v>
      </c>
      <c r="CE43" s="123">
        <f t="shared" si="71"/>
        <v>28.696690452912026</v>
      </c>
      <c r="CF43" s="123">
        <f t="shared" si="72"/>
        <v>29.661930236743164</v>
      </c>
      <c r="CG43" s="261">
        <f t="shared" si="31"/>
        <v>4.6579973341037062E-3</v>
      </c>
      <c r="CH43" s="261">
        <f t="shared" si="32"/>
        <v>5.3410578435228997E-3</v>
      </c>
      <c r="CI43" s="261">
        <f t="shared" si="33"/>
        <v>4.6322196240640304E-3</v>
      </c>
      <c r="CJ43" s="261">
        <f t="shared" si="34"/>
        <v>5.2936118196245515E-3</v>
      </c>
      <c r="CK43" s="261">
        <f t="shared" si="35"/>
        <v>-2.62020899613848E-4</v>
      </c>
      <c r="CL43" s="261">
        <f t="shared" si="36"/>
        <v>2.0015946921793468E-4</v>
      </c>
      <c r="CM43" s="123" t="e">
        <f t="shared" si="73"/>
        <v>#DIV/0!</v>
      </c>
      <c r="CN43" s="123" t="e">
        <f t="shared" si="74"/>
        <v>#DIV/0!</v>
      </c>
      <c r="CO43" s="123" t="e">
        <f t="shared" si="75"/>
        <v>#DIV/0!</v>
      </c>
      <c r="CP43" s="123" t="e">
        <f t="shared" si="76"/>
        <v>#DIV/0!</v>
      </c>
      <c r="CQ43" s="123" t="e">
        <f t="shared" si="77"/>
        <v>#DIV/0!</v>
      </c>
      <c r="CR43" s="123" t="e">
        <f t="shared" si="78"/>
        <v>#DIV/0!</v>
      </c>
      <c r="CS43" s="123" t="e">
        <f t="shared" si="79"/>
        <v>#DIV/0!</v>
      </c>
      <c r="CT43" s="123" t="e">
        <f t="shared" si="80"/>
        <v>#DIV/0!</v>
      </c>
      <c r="CU43" s="124">
        <f t="shared" si="81"/>
        <v>4.9388614429463438</v>
      </c>
      <c r="CV43" s="173">
        <f t="shared" si="82"/>
        <v>6.3118282122260467</v>
      </c>
      <c r="CW43" s="124">
        <f t="shared" si="83"/>
        <v>0</v>
      </c>
      <c r="CX43" s="171">
        <f t="shared" si="84"/>
        <v>0</v>
      </c>
      <c r="CY43" s="122">
        <f t="shared" si="162"/>
        <v>38</v>
      </c>
      <c r="CZ43" s="231">
        <f t="shared" si="163"/>
        <v>61.774482758620721</v>
      </c>
      <c r="DA43" s="123">
        <f t="shared" si="164"/>
        <v>112.37931034482759</v>
      </c>
      <c r="DB43" s="123">
        <f t="shared" si="165"/>
        <v>113.43103448275862</v>
      </c>
      <c r="DC43" s="123">
        <f t="shared" si="166"/>
        <v>0.18138170498084291</v>
      </c>
      <c r="DD43" s="123">
        <f t="shared" si="167"/>
        <v>160.24062500000002</v>
      </c>
      <c r="DE43" s="123">
        <f t="shared" si="168"/>
        <v>321.22500000000002</v>
      </c>
      <c r="DF43" s="123">
        <f t="shared" si="169"/>
        <v>482.16562499999998</v>
      </c>
      <c r="DG43" s="123">
        <f t="shared" si="170"/>
        <v>600.12241379310342</v>
      </c>
      <c r="DH43" s="123">
        <f t="shared" si="171"/>
        <v>18.147758620689654</v>
      </c>
      <c r="DI43" s="123">
        <f t="shared" si="172"/>
        <v>41.771874999999987</v>
      </c>
      <c r="DJ43" s="123">
        <f t="shared" si="173"/>
        <v>83.715624999999989</v>
      </c>
      <c r="DK43" s="123">
        <f t="shared" si="174"/>
        <v>125.66249999999992</v>
      </c>
      <c r="DL43" s="123">
        <f t="shared" si="175"/>
        <v>156.53620689655173</v>
      </c>
      <c r="DM43" s="123">
        <f t="shared" si="176"/>
        <v>-2.0636206896551719</v>
      </c>
      <c r="DN43" s="123">
        <f t="shared" si="177"/>
        <v>95.224137931034477</v>
      </c>
      <c r="DO43" s="123">
        <f t="shared" si="178"/>
        <v>39.11724137931035</v>
      </c>
      <c r="DP43" s="123">
        <f t="shared" si="179"/>
        <v>73.460344827586226</v>
      </c>
      <c r="DQ43" s="123">
        <f t="shared" si="180"/>
        <v>100.47068965517242</v>
      </c>
      <c r="DR43" s="123">
        <f t="shared" si="181"/>
        <v>120.95172413793104</v>
      </c>
      <c r="DS43" s="123">
        <f t="shared" si="182"/>
        <v>1.3158524904214522E-2</v>
      </c>
      <c r="DT43" s="123">
        <f t="shared" si="183"/>
        <v>29.179310344827595</v>
      </c>
      <c r="DU43" s="261">
        <f t="shared" si="184"/>
        <v>4.9995275888133029E-3</v>
      </c>
      <c r="DV43" s="261">
        <f t="shared" si="185"/>
        <v>4.962915721844291E-3</v>
      </c>
      <c r="DW43" s="261">
        <f t="shared" si="186"/>
        <v>-3.0930715197956654E-5</v>
      </c>
      <c r="DX43" s="123" t="e">
        <f t="shared" si="187"/>
        <v>#DIV/0!</v>
      </c>
      <c r="DY43" s="123" t="e">
        <f t="shared" si="188"/>
        <v>#DIV/0!</v>
      </c>
      <c r="DZ43" s="123" t="e">
        <f t="shared" si="189"/>
        <v>#DIV/0!</v>
      </c>
      <c r="EA43" s="123" t="e">
        <f t="shared" si="190"/>
        <v>#DIV/0!</v>
      </c>
      <c r="EB43" s="176">
        <f t="shared" si="191"/>
        <v>5.6253448275861953</v>
      </c>
      <c r="EC43" s="125">
        <f t="shared" si="192"/>
        <v>0</v>
      </c>
      <c r="ED43" s="179">
        <f t="shared" si="102"/>
        <v>120</v>
      </c>
      <c r="EE43" s="125">
        <f t="shared" si="103"/>
        <v>100</v>
      </c>
      <c r="EF43" s="106"/>
      <c r="EG43" s="106"/>
    </row>
    <row r="44" spans="1:137" ht="11.25" customHeight="1">
      <c r="A44" s="82"/>
      <c r="B44" s="160"/>
      <c r="C44" s="257"/>
      <c r="D44" s="160"/>
      <c r="E44" s="160"/>
      <c r="F44" s="162"/>
      <c r="G44" s="274"/>
      <c r="H44" s="159"/>
      <c r="I44" s="159"/>
      <c r="J44" s="159"/>
      <c r="K44" s="159"/>
      <c r="L44" s="135"/>
      <c r="M44" s="271"/>
      <c r="N44" s="159"/>
      <c r="O44" s="159"/>
      <c r="P44" s="159"/>
      <c r="Q44" s="159"/>
      <c r="R44" s="136"/>
      <c r="S44" s="272"/>
      <c r="T44" s="161"/>
      <c r="U44" s="161"/>
      <c r="V44" s="161"/>
      <c r="W44" s="161"/>
      <c r="X44" s="186"/>
      <c r="Y44" s="186"/>
      <c r="Z44" s="184"/>
      <c r="AA44" s="161"/>
      <c r="AB44" s="260"/>
      <c r="AC44" s="273"/>
      <c r="AD44" s="273"/>
      <c r="AE44" s="166"/>
      <c r="AF44" s="166"/>
      <c r="AG44" s="222"/>
      <c r="AH44" s="166"/>
      <c r="AI44" s="155"/>
      <c r="AJ44" s="155"/>
      <c r="AK44" s="225"/>
      <c r="AL44" s="196"/>
      <c r="AM44" s="196"/>
      <c r="AN44" s="227"/>
      <c r="AO44" s="148">
        <f t="shared" si="53"/>
        <v>28.089877583208697</v>
      </c>
      <c r="AP44" s="149">
        <f t="shared" si="54"/>
        <v>47.910122416791303</v>
      </c>
      <c r="AQ44" s="149">
        <f t="shared" si="7"/>
        <v>61.691860138971634</v>
      </c>
      <c r="AR44" s="149">
        <f t="shared" si="8"/>
        <v>61.857105378269807</v>
      </c>
      <c r="AS44" s="149">
        <f t="shared" si="9"/>
        <v>109.94095976728137</v>
      </c>
      <c r="AT44" s="149">
        <f t="shared" si="10"/>
        <v>114.8176609223738</v>
      </c>
      <c r="AU44" s="149">
        <f t="shared" si="55"/>
        <v>111.93239626243108</v>
      </c>
      <c r="AV44" s="149">
        <f t="shared" si="56"/>
        <v>114.92967270308615</v>
      </c>
      <c r="AW44" s="149">
        <f t="shared" si="57"/>
        <v>0.17368036968193748</v>
      </c>
      <c r="AX44" s="149">
        <f t="shared" si="58"/>
        <v>0.18908304027974834</v>
      </c>
      <c r="AY44" s="123">
        <f t="shared" si="11"/>
        <v>156.83979641263412</v>
      </c>
      <c r="AZ44" s="123">
        <f t="shared" si="12"/>
        <v>163.64145358736593</v>
      </c>
      <c r="BA44" s="123">
        <f t="shared" si="13"/>
        <v>314.2100390293777</v>
      </c>
      <c r="BB44" s="123">
        <f t="shared" si="14"/>
        <v>328.23996097062235</v>
      </c>
      <c r="BC44" s="123">
        <f t="shared" si="15"/>
        <v>471.56159398390412</v>
      </c>
      <c r="BD44" s="123">
        <f t="shared" si="16"/>
        <v>492.76965601609584</v>
      </c>
      <c r="BE44" s="123">
        <f t="shared" si="17"/>
        <v>588.52671906979549</v>
      </c>
      <c r="BF44" s="123">
        <f t="shared" si="18"/>
        <v>611.71810851641135</v>
      </c>
      <c r="BG44" s="123">
        <f t="shared" si="19"/>
        <v>6.4247474531250646</v>
      </c>
      <c r="BH44" s="123">
        <f t="shared" si="20"/>
        <v>29.870769788254243</v>
      </c>
      <c r="BI44" s="123">
        <f t="shared" si="21"/>
        <v>41.634833977180243</v>
      </c>
      <c r="BJ44" s="123">
        <f t="shared" si="22"/>
        <v>41.908916022819731</v>
      </c>
      <c r="BK44" s="123">
        <f t="shared" si="23"/>
        <v>83.527280129290489</v>
      </c>
      <c r="BL44" s="123">
        <f t="shared" si="24"/>
        <v>83.903969870709489</v>
      </c>
      <c r="BM44" s="123">
        <f t="shared" si="25"/>
        <v>125.49642578417671</v>
      </c>
      <c r="BN44" s="123">
        <f t="shared" si="26"/>
        <v>125.82857421582314</v>
      </c>
      <c r="BO44" s="123">
        <f t="shared" si="27"/>
        <v>155.1049414176334</v>
      </c>
      <c r="BP44" s="123">
        <f t="shared" si="28"/>
        <v>157.96747237547007</v>
      </c>
      <c r="BQ44" s="123">
        <f t="shared" si="29"/>
        <v>-3.4739700111749907</v>
      </c>
      <c r="BR44" s="123">
        <f t="shared" si="30"/>
        <v>-0.65327136813535303</v>
      </c>
      <c r="BS44" s="123">
        <f t="shared" si="59"/>
        <v>56.437095452304185</v>
      </c>
      <c r="BT44" s="123">
        <f t="shared" si="60"/>
        <v>134.01118040976476</v>
      </c>
      <c r="BU44" s="123">
        <f t="shared" si="61"/>
        <v>35.424087856897714</v>
      </c>
      <c r="BV44" s="123">
        <f t="shared" si="62"/>
        <v>42.810394901722987</v>
      </c>
      <c r="BW44" s="123">
        <f t="shared" si="63"/>
        <v>68.667936470774464</v>
      </c>
      <c r="BX44" s="123">
        <f t="shared" si="64"/>
        <v>78.252753184397989</v>
      </c>
      <c r="BY44" s="123">
        <f t="shared" si="65"/>
        <v>94.547228197183259</v>
      </c>
      <c r="BZ44" s="123">
        <f t="shared" si="66"/>
        <v>106.39415111316158</v>
      </c>
      <c r="CA44" s="123">
        <f t="shared" si="67"/>
        <v>114.2973449594912</v>
      </c>
      <c r="CB44" s="123">
        <f t="shared" si="68"/>
        <v>127.60610331637088</v>
      </c>
      <c r="CC44" s="123">
        <f t="shared" si="69"/>
        <v>1.1625982470516784E-2</v>
      </c>
      <c r="CD44" s="123">
        <f t="shared" si="70"/>
        <v>1.4691067337912261E-2</v>
      </c>
      <c r="CE44" s="123">
        <f t="shared" si="71"/>
        <v>28.696690452912026</v>
      </c>
      <c r="CF44" s="123">
        <f t="shared" si="72"/>
        <v>29.661930236743164</v>
      </c>
      <c r="CG44" s="261">
        <f t="shared" si="31"/>
        <v>4.6579973341037062E-3</v>
      </c>
      <c r="CH44" s="261">
        <f t="shared" si="32"/>
        <v>5.3410578435228997E-3</v>
      </c>
      <c r="CI44" s="261">
        <f t="shared" si="33"/>
        <v>4.6322196240640304E-3</v>
      </c>
      <c r="CJ44" s="261">
        <f t="shared" si="34"/>
        <v>5.2936118196245515E-3</v>
      </c>
      <c r="CK44" s="261">
        <f t="shared" si="35"/>
        <v>-2.62020899613848E-4</v>
      </c>
      <c r="CL44" s="261">
        <f t="shared" si="36"/>
        <v>2.0015946921793468E-4</v>
      </c>
      <c r="CM44" s="123" t="e">
        <f t="shared" si="73"/>
        <v>#DIV/0!</v>
      </c>
      <c r="CN44" s="123" t="e">
        <f t="shared" si="74"/>
        <v>#DIV/0!</v>
      </c>
      <c r="CO44" s="123" t="e">
        <f t="shared" si="75"/>
        <v>#DIV/0!</v>
      </c>
      <c r="CP44" s="123" t="e">
        <f t="shared" si="76"/>
        <v>#DIV/0!</v>
      </c>
      <c r="CQ44" s="123" t="e">
        <f t="shared" si="77"/>
        <v>#DIV/0!</v>
      </c>
      <c r="CR44" s="123" t="e">
        <f t="shared" si="78"/>
        <v>#DIV/0!</v>
      </c>
      <c r="CS44" s="123" t="e">
        <f t="shared" si="79"/>
        <v>#DIV/0!</v>
      </c>
      <c r="CT44" s="123" t="e">
        <f t="shared" si="80"/>
        <v>#DIV/0!</v>
      </c>
      <c r="CU44" s="124">
        <f t="shared" si="81"/>
        <v>4.9388614429463438</v>
      </c>
      <c r="CV44" s="173">
        <f t="shared" si="82"/>
        <v>6.3118282122260467</v>
      </c>
      <c r="CW44" s="124">
        <f t="shared" si="83"/>
        <v>0</v>
      </c>
      <c r="CX44" s="171">
        <f t="shared" si="84"/>
        <v>0</v>
      </c>
      <c r="CY44" s="122">
        <f t="shared" si="162"/>
        <v>38</v>
      </c>
      <c r="CZ44" s="231">
        <f t="shared" si="163"/>
        <v>61.774482758620721</v>
      </c>
      <c r="DA44" s="123">
        <f t="shared" si="164"/>
        <v>112.37931034482759</v>
      </c>
      <c r="DB44" s="123">
        <f t="shared" si="165"/>
        <v>113.43103448275862</v>
      </c>
      <c r="DC44" s="123">
        <f t="shared" si="166"/>
        <v>0.18138170498084291</v>
      </c>
      <c r="DD44" s="123">
        <f t="shared" si="167"/>
        <v>160.24062500000002</v>
      </c>
      <c r="DE44" s="123">
        <f t="shared" si="168"/>
        <v>321.22500000000002</v>
      </c>
      <c r="DF44" s="123">
        <f t="shared" si="169"/>
        <v>482.16562499999998</v>
      </c>
      <c r="DG44" s="123">
        <f t="shared" si="170"/>
        <v>600.12241379310342</v>
      </c>
      <c r="DH44" s="123">
        <f t="shared" si="171"/>
        <v>18.147758620689654</v>
      </c>
      <c r="DI44" s="123">
        <f t="shared" si="172"/>
        <v>41.771874999999987</v>
      </c>
      <c r="DJ44" s="123">
        <f t="shared" si="173"/>
        <v>83.715624999999989</v>
      </c>
      <c r="DK44" s="123">
        <f t="shared" si="174"/>
        <v>125.66249999999992</v>
      </c>
      <c r="DL44" s="123">
        <f t="shared" si="175"/>
        <v>156.53620689655173</v>
      </c>
      <c r="DM44" s="123">
        <f t="shared" si="176"/>
        <v>-2.0636206896551719</v>
      </c>
      <c r="DN44" s="123">
        <f t="shared" si="177"/>
        <v>95.224137931034477</v>
      </c>
      <c r="DO44" s="123">
        <f t="shared" si="178"/>
        <v>39.11724137931035</v>
      </c>
      <c r="DP44" s="123">
        <f t="shared" si="179"/>
        <v>73.460344827586226</v>
      </c>
      <c r="DQ44" s="123">
        <f t="shared" si="180"/>
        <v>100.47068965517242</v>
      </c>
      <c r="DR44" s="123">
        <f t="shared" si="181"/>
        <v>120.95172413793104</v>
      </c>
      <c r="DS44" s="123">
        <f t="shared" si="182"/>
        <v>1.3158524904214522E-2</v>
      </c>
      <c r="DT44" s="123">
        <f t="shared" si="183"/>
        <v>29.179310344827595</v>
      </c>
      <c r="DU44" s="261">
        <f t="shared" si="184"/>
        <v>4.9995275888133029E-3</v>
      </c>
      <c r="DV44" s="261">
        <f t="shared" si="185"/>
        <v>4.962915721844291E-3</v>
      </c>
      <c r="DW44" s="261">
        <f t="shared" si="186"/>
        <v>-3.0930715197956654E-5</v>
      </c>
      <c r="DX44" s="123" t="e">
        <f t="shared" si="187"/>
        <v>#DIV/0!</v>
      </c>
      <c r="DY44" s="123" t="e">
        <f t="shared" si="188"/>
        <v>#DIV/0!</v>
      </c>
      <c r="DZ44" s="123" t="e">
        <f t="shared" si="189"/>
        <v>#DIV/0!</v>
      </c>
      <c r="EA44" s="123" t="e">
        <f t="shared" si="190"/>
        <v>#DIV/0!</v>
      </c>
      <c r="EB44" s="176">
        <f t="shared" si="191"/>
        <v>5.6253448275861953</v>
      </c>
      <c r="EC44" s="125">
        <f t="shared" si="192"/>
        <v>0</v>
      </c>
      <c r="ED44" s="179">
        <f t="shared" si="102"/>
        <v>120</v>
      </c>
      <c r="EE44" s="125">
        <f t="shared" si="103"/>
        <v>100</v>
      </c>
      <c r="EF44" s="106"/>
      <c r="EG44" s="106"/>
    </row>
    <row r="45" spans="1:137" ht="11.25" customHeight="1">
      <c r="A45" s="82"/>
      <c r="B45" s="160"/>
      <c r="C45" s="257"/>
      <c r="D45" s="160"/>
      <c r="E45" s="160"/>
      <c r="F45" s="162"/>
      <c r="G45" s="274"/>
      <c r="H45" s="159"/>
      <c r="I45" s="159"/>
      <c r="J45" s="159"/>
      <c r="K45" s="159"/>
      <c r="L45" s="135"/>
      <c r="M45" s="271"/>
      <c r="N45" s="159"/>
      <c r="O45" s="159"/>
      <c r="P45" s="159"/>
      <c r="Q45" s="159"/>
      <c r="R45" s="136"/>
      <c r="S45" s="272"/>
      <c r="T45" s="161"/>
      <c r="U45" s="161"/>
      <c r="V45" s="161"/>
      <c r="W45" s="161"/>
      <c r="X45" s="186"/>
      <c r="Y45" s="186"/>
      <c r="Z45" s="184"/>
      <c r="AA45" s="161"/>
      <c r="AB45" s="260"/>
      <c r="AC45" s="260"/>
      <c r="AD45" s="273"/>
      <c r="AE45" s="166"/>
      <c r="AF45" s="166"/>
      <c r="AG45" s="222"/>
      <c r="AH45" s="166"/>
      <c r="AI45" s="155"/>
      <c r="AJ45" s="155"/>
      <c r="AK45" s="225"/>
      <c r="AL45" s="196"/>
      <c r="AM45" s="196"/>
      <c r="AN45" s="227"/>
      <c r="AO45" s="148">
        <f t="shared" si="53"/>
        <v>28.089877583208697</v>
      </c>
      <c r="AP45" s="149">
        <f t="shared" si="54"/>
        <v>47.910122416791303</v>
      </c>
      <c r="AQ45" s="149">
        <f t="shared" si="7"/>
        <v>61.691860138971634</v>
      </c>
      <c r="AR45" s="149">
        <f t="shared" si="8"/>
        <v>61.857105378269807</v>
      </c>
      <c r="AS45" s="149">
        <f t="shared" si="9"/>
        <v>109.94095976728137</v>
      </c>
      <c r="AT45" s="149">
        <f t="shared" si="10"/>
        <v>114.8176609223738</v>
      </c>
      <c r="AU45" s="149">
        <f t="shared" si="55"/>
        <v>111.93239626243108</v>
      </c>
      <c r="AV45" s="149">
        <f t="shared" si="56"/>
        <v>114.92967270308615</v>
      </c>
      <c r="AW45" s="149">
        <f t="shared" si="57"/>
        <v>0.17368036968193748</v>
      </c>
      <c r="AX45" s="149">
        <f t="shared" si="58"/>
        <v>0.18908304027974834</v>
      </c>
      <c r="AY45" s="123">
        <f t="shared" si="11"/>
        <v>156.83979641263412</v>
      </c>
      <c r="AZ45" s="123">
        <f t="shared" si="12"/>
        <v>163.64145358736593</v>
      </c>
      <c r="BA45" s="123">
        <f t="shared" si="13"/>
        <v>314.2100390293777</v>
      </c>
      <c r="BB45" s="123">
        <f t="shared" si="14"/>
        <v>328.23996097062235</v>
      </c>
      <c r="BC45" s="123">
        <f t="shared" si="15"/>
        <v>471.56159398390412</v>
      </c>
      <c r="BD45" s="123">
        <f t="shared" si="16"/>
        <v>492.76965601609584</v>
      </c>
      <c r="BE45" s="123">
        <f t="shared" si="17"/>
        <v>588.52671906979549</v>
      </c>
      <c r="BF45" s="123">
        <f t="shared" si="18"/>
        <v>611.71810851641135</v>
      </c>
      <c r="BG45" s="123">
        <f t="shared" si="19"/>
        <v>6.4247474531250646</v>
      </c>
      <c r="BH45" s="123">
        <f t="shared" si="20"/>
        <v>29.870769788254243</v>
      </c>
      <c r="BI45" s="123">
        <f t="shared" si="21"/>
        <v>41.634833977180243</v>
      </c>
      <c r="BJ45" s="123">
        <f t="shared" si="22"/>
        <v>41.908916022819731</v>
      </c>
      <c r="BK45" s="123">
        <f t="shared" si="23"/>
        <v>83.527280129290489</v>
      </c>
      <c r="BL45" s="123">
        <f t="shared" si="24"/>
        <v>83.903969870709489</v>
      </c>
      <c r="BM45" s="123">
        <f t="shared" si="25"/>
        <v>125.49642578417671</v>
      </c>
      <c r="BN45" s="123">
        <f t="shared" si="26"/>
        <v>125.82857421582314</v>
      </c>
      <c r="BO45" s="123">
        <f t="shared" si="27"/>
        <v>155.1049414176334</v>
      </c>
      <c r="BP45" s="123">
        <f t="shared" si="28"/>
        <v>157.96747237547007</v>
      </c>
      <c r="BQ45" s="123">
        <f t="shared" si="29"/>
        <v>-3.4739700111749907</v>
      </c>
      <c r="BR45" s="123">
        <f t="shared" si="30"/>
        <v>-0.65327136813535303</v>
      </c>
      <c r="BS45" s="123">
        <f t="shared" si="59"/>
        <v>56.437095452304185</v>
      </c>
      <c r="BT45" s="123">
        <f t="shared" si="60"/>
        <v>134.01118040976476</v>
      </c>
      <c r="BU45" s="123">
        <f t="shared" si="61"/>
        <v>35.424087856897714</v>
      </c>
      <c r="BV45" s="123">
        <f t="shared" si="62"/>
        <v>42.810394901722987</v>
      </c>
      <c r="BW45" s="123">
        <f t="shared" si="63"/>
        <v>68.667936470774464</v>
      </c>
      <c r="BX45" s="123">
        <f t="shared" si="64"/>
        <v>78.252753184397989</v>
      </c>
      <c r="BY45" s="123">
        <f t="shared" si="65"/>
        <v>94.547228197183259</v>
      </c>
      <c r="BZ45" s="123">
        <f t="shared" si="66"/>
        <v>106.39415111316158</v>
      </c>
      <c r="CA45" s="123">
        <f t="shared" si="67"/>
        <v>114.2973449594912</v>
      </c>
      <c r="CB45" s="123">
        <f t="shared" si="68"/>
        <v>127.60610331637088</v>
      </c>
      <c r="CC45" s="123">
        <f t="shared" si="69"/>
        <v>1.1625982470516784E-2</v>
      </c>
      <c r="CD45" s="123">
        <f t="shared" si="70"/>
        <v>1.4691067337912261E-2</v>
      </c>
      <c r="CE45" s="123">
        <f t="shared" si="71"/>
        <v>28.696690452912026</v>
      </c>
      <c r="CF45" s="123">
        <f t="shared" si="72"/>
        <v>29.661930236743164</v>
      </c>
      <c r="CG45" s="261">
        <f t="shared" si="31"/>
        <v>4.6579973341037062E-3</v>
      </c>
      <c r="CH45" s="261">
        <f t="shared" si="32"/>
        <v>5.3410578435228997E-3</v>
      </c>
      <c r="CI45" s="261">
        <f t="shared" si="33"/>
        <v>4.6322196240640304E-3</v>
      </c>
      <c r="CJ45" s="261">
        <f t="shared" si="34"/>
        <v>5.2936118196245515E-3</v>
      </c>
      <c r="CK45" s="261">
        <f t="shared" si="35"/>
        <v>-2.62020899613848E-4</v>
      </c>
      <c r="CL45" s="261">
        <f t="shared" si="36"/>
        <v>2.0015946921793468E-4</v>
      </c>
      <c r="CM45" s="123" t="e">
        <f t="shared" si="73"/>
        <v>#DIV/0!</v>
      </c>
      <c r="CN45" s="123" t="e">
        <f t="shared" si="74"/>
        <v>#DIV/0!</v>
      </c>
      <c r="CO45" s="123" t="e">
        <f t="shared" si="75"/>
        <v>#DIV/0!</v>
      </c>
      <c r="CP45" s="123" t="e">
        <f t="shared" si="76"/>
        <v>#DIV/0!</v>
      </c>
      <c r="CQ45" s="123" t="e">
        <f t="shared" si="77"/>
        <v>#DIV/0!</v>
      </c>
      <c r="CR45" s="123" t="e">
        <f t="shared" si="78"/>
        <v>#DIV/0!</v>
      </c>
      <c r="CS45" s="123" t="e">
        <f t="shared" si="79"/>
        <v>#DIV/0!</v>
      </c>
      <c r="CT45" s="123" t="e">
        <f t="shared" si="80"/>
        <v>#DIV/0!</v>
      </c>
      <c r="CU45" s="124">
        <f t="shared" si="81"/>
        <v>4.9388614429463438</v>
      </c>
      <c r="CV45" s="173">
        <f t="shared" si="82"/>
        <v>6.3118282122260467</v>
      </c>
      <c r="CW45" s="124">
        <f t="shared" si="83"/>
        <v>0</v>
      </c>
      <c r="CX45" s="171">
        <f t="shared" si="84"/>
        <v>0</v>
      </c>
      <c r="CY45" s="122">
        <f t="shared" si="162"/>
        <v>38</v>
      </c>
      <c r="CZ45" s="231">
        <f t="shared" si="163"/>
        <v>61.774482758620721</v>
      </c>
      <c r="DA45" s="123">
        <f t="shared" si="164"/>
        <v>112.37931034482759</v>
      </c>
      <c r="DB45" s="123">
        <f t="shared" si="165"/>
        <v>113.43103448275862</v>
      </c>
      <c r="DC45" s="123">
        <f t="shared" si="166"/>
        <v>0.18138170498084291</v>
      </c>
      <c r="DD45" s="123">
        <f t="shared" si="167"/>
        <v>160.24062500000002</v>
      </c>
      <c r="DE45" s="123">
        <f t="shared" si="168"/>
        <v>321.22500000000002</v>
      </c>
      <c r="DF45" s="123">
        <f t="shared" si="169"/>
        <v>482.16562499999998</v>
      </c>
      <c r="DG45" s="123">
        <f t="shared" si="170"/>
        <v>600.12241379310342</v>
      </c>
      <c r="DH45" s="123">
        <f t="shared" si="171"/>
        <v>18.147758620689654</v>
      </c>
      <c r="DI45" s="123">
        <f t="shared" si="172"/>
        <v>41.771874999999987</v>
      </c>
      <c r="DJ45" s="123">
        <f t="shared" si="173"/>
        <v>83.715624999999989</v>
      </c>
      <c r="DK45" s="123">
        <f t="shared" si="174"/>
        <v>125.66249999999992</v>
      </c>
      <c r="DL45" s="123">
        <f t="shared" si="175"/>
        <v>156.53620689655173</v>
      </c>
      <c r="DM45" s="123">
        <f t="shared" si="176"/>
        <v>-2.0636206896551719</v>
      </c>
      <c r="DN45" s="123">
        <f t="shared" si="177"/>
        <v>95.224137931034477</v>
      </c>
      <c r="DO45" s="123">
        <f t="shared" si="178"/>
        <v>39.11724137931035</v>
      </c>
      <c r="DP45" s="123">
        <f t="shared" si="179"/>
        <v>73.460344827586226</v>
      </c>
      <c r="DQ45" s="123">
        <f t="shared" si="180"/>
        <v>100.47068965517242</v>
      </c>
      <c r="DR45" s="123">
        <f t="shared" si="181"/>
        <v>120.95172413793104</v>
      </c>
      <c r="DS45" s="123">
        <f t="shared" si="182"/>
        <v>1.3158524904214522E-2</v>
      </c>
      <c r="DT45" s="123">
        <f t="shared" si="183"/>
        <v>29.179310344827595</v>
      </c>
      <c r="DU45" s="261">
        <f t="shared" si="184"/>
        <v>4.9995275888133029E-3</v>
      </c>
      <c r="DV45" s="261">
        <f t="shared" si="185"/>
        <v>4.962915721844291E-3</v>
      </c>
      <c r="DW45" s="261">
        <f t="shared" si="186"/>
        <v>-3.0930715197956654E-5</v>
      </c>
      <c r="DX45" s="123" t="e">
        <f t="shared" si="187"/>
        <v>#DIV/0!</v>
      </c>
      <c r="DY45" s="123" t="e">
        <f t="shared" si="188"/>
        <v>#DIV/0!</v>
      </c>
      <c r="DZ45" s="123" t="e">
        <f t="shared" si="189"/>
        <v>#DIV/0!</v>
      </c>
      <c r="EA45" s="123" t="e">
        <f t="shared" si="190"/>
        <v>#DIV/0!</v>
      </c>
      <c r="EB45" s="176">
        <f t="shared" si="191"/>
        <v>5.6253448275861953</v>
      </c>
      <c r="EC45" s="125">
        <f t="shared" si="192"/>
        <v>0</v>
      </c>
      <c r="ED45" s="179">
        <f t="shared" si="102"/>
        <v>120</v>
      </c>
      <c r="EE45" s="125">
        <f t="shared" si="103"/>
        <v>100</v>
      </c>
      <c r="EF45" s="106"/>
      <c r="EG45" s="106"/>
    </row>
    <row r="46" spans="1:137" ht="11.25" customHeight="1">
      <c r="A46" s="82"/>
      <c r="B46" s="160"/>
      <c r="C46" s="257"/>
      <c r="D46" s="160"/>
      <c r="E46" s="160"/>
      <c r="F46" s="162"/>
      <c r="G46" s="274"/>
      <c r="H46" s="159"/>
      <c r="I46" s="159"/>
      <c r="J46" s="159"/>
      <c r="K46" s="159"/>
      <c r="L46" s="135"/>
      <c r="M46" s="271"/>
      <c r="N46" s="159"/>
      <c r="O46" s="159"/>
      <c r="P46" s="159"/>
      <c r="Q46" s="159"/>
      <c r="R46" s="136"/>
      <c r="S46" s="272"/>
      <c r="T46" s="161"/>
      <c r="U46" s="161"/>
      <c r="V46" s="161"/>
      <c r="W46" s="161"/>
      <c r="X46" s="186"/>
      <c r="Y46" s="186"/>
      <c r="Z46" s="184"/>
      <c r="AA46" s="161"/>
      <c r="AB46" s="260"/>
      <c r="AC46" s="273"/>
      <c r="AD46" s="273"/>
      <c r="AE46" s="166"/>
      <c r="AF46" s="166"/>
      <c r="AG46" s="222"/>
      <c r="AH46" s="166"/>
      <c r="AI46" s="155"/>
      <c r="AJ46" s="155"/>
      <c r="AK46" s="225"/>
      <c r="AL46" s="196"/>
      <c r="AM46" s="196"/>
      <c r="AN46" s="227"/>
      <c r="AO46" s="148">
        <f t="shared" si="53"/>
        <v>28.089877583208697</v>
      </c>
      <c r="AP46" s="149">
        <f t="shared" si="54"/>
        <v>47.910122416791303</v>
      </c>
      <c r="AQ46" s="149">
        <f t="shared" si="7"/>
        <v>61.691860138971634</v>
      </c>
      <c r="AR46" s="149">
        <f t="shared" si="8"/>
        <v>61.857105378269807</v>
      </c>
      <c r="AS46" s="149">
        <f t="shared" si="9"/>
        <v>109.94095976728137</v>
      </c>
      <c r="AT46" s="149">
        <f t="shared" si="10"/>
        <v>114.8176609223738</v>
      </c>
      <c r="AU46" s="149">
        <f t="shared" si="55"/>
        <v>111.93239626243108</v>
      </c>
      <c r="AV46" s="149">
        <f t="shared" si="56"/>
        <v>114.92967270308615</v>
      </c>
      <c r="AW46" s="149">
        <f t="shared" si="57"/>
        <v>0.17368036968193748</v>
      </c>
      <c r="AX46" s="149">
        <f t="shared" si="58"/>
        <v>0.18908304027974834</v>
      </c>
      <c r="AY46" s="123">
        <f t="shared" si="11"/>
        <v>156.83979641263412</v>
      </c>
      <c r="AZ46" s="123">
        <f t="shared" si="12"/>
        <v>163.64145358736593</v>
      </c>
      <c r="BA46" s="123">
        <f t="shared" si="13"/>
        <v>314.2100390293777</v>
      </c>
      <c r="BB46" s="123">
        <f t="shared" si="14"/>
        <v>328.23996097062235</v>
      </c>
      <c r="BC46" s="123">
        <f t="shared" si="15"/>
        <v>471.56159398390412</v>
      </c>
      <c r="BD46" s="123">
        <f t="shared" si="16"/>
        <v>492.76965601609584</v>
      </c>
      <c r="BE46" s="123">
        <f t="shared" si="17"/>
        <v>588.52671906979549</v>
      </c>
      <c r="BF46" s="123">
        <f t="shared" si="18"/>
        <v>611.71810851641135</v>
      </c>
      <c r="BG46" s="123">
        <f t="shared" si="19"/>
        <v>6.4247474531250646</v>
      </c>
      <c r="BH46" s="123">
        <f t="shared" si="20"/>
        <v>29.870769788254243</v>
      </c>
      <c r="BI46" s="123">
        <f t="shared" si="21"/>
        <v>41.634833977180243</v>
      </c>
      <c r="BJ46" s="123">
        <f t="shared" si="22"/>
        <v>41.908916022819731</v>
      </c>
      <c r="BK46" s="123">
        <f t="shared" si="23"/>
        <v>83.527280129290489</v>
      </c>
      <c r="BL46" s="123">
        <f t="shared" si="24"/>
        <v>83.903969870709489</v>
      </c>
      <c r="BM46" s="123">
        <f t="shared" si="25"/>
        <v>125.49642578417671</v>
      </c>
      <c r="BN46" s="123">
        <f t="shared" si="26"/>
        <v>125.82857421582314</v>
      </c>
      <c r="BO46" s="123">
        <f t="shared" si="27"/>
        <v>155.1049414176334</v>
      </c>
      <c r="BP46" s="123">
        <f t="shared" si="28"/>
        <v>157.96747237547007</v>
      </c>
      <c r="BQ46" s="123">
        <f t="shared" si="29"/>
        <v>-3.4739700111749907</v>
      </c>
      <c r="BR46" s="123">
        <f t="shared" si="30"/>
        <v>-0.65327136813535303</v>
      </c>
      <c r="BS46" s="123">
        <f t="shared" si="59"/>
        <v>56.437095452304185</v>
      </c>
      <c r="BT46" s="123">
        <f t="shared" si="60"/>
        <v>134.01118040976476</v>
      </c>
      <c r="BU46" s="123">
        <f t="shared" si="61"/>
        <v>35.424087856897714</v>
      </c>
      <c r="BV46" s="123">
        <f t="shared" si="62"/>
        <v>42.810394901722987</v>
      </c>
      <c r="BW46" s="123">
        <f t="shared" si="63"/>
        <v>68.667936470774464</v>
      </c>
      <c r="BX46" s="123">
        <f t="shared" si="64"/>
        <v>78.252753184397989</v>
      </c>
      <c r="BY46" s="123">
        <f t="shared" si="65"/>
        <v>94.547228197183259</v>
      </c>
      <c r="BZ46" s="123">
        <f t="shared" si="66"/>
        <v>106.39415111316158</v>
      </c>
      <c r="CA46" s="123">
        <f t="shared" si="67"/>
        <v>114.2973449594912</v>
      </c>
      <c r="CB46" s="123">
        <f t="shared" si="68"/>
        <v>127.60610331637088</v>
      </c>
      <c r="CC46" s="123">
        <f t="shared" si="69"/>
        <v>1.1625982470516784E-2</v>
      </c>
      <c r="CD46" s="123">
        <f t="shared" si="70"/>
        <v>1.4691067337912261E-2</v>
      </c>
      <c r="CE46" s="123">
        <f t="shared" si="71"/>
        <v>28.696690452912026</v>
      </c>
      <c r="CF46" s="123">
        <f t="shared" si="72"/>
        <v>29.661930236743164</v>
      </c>
      <c r="CG46" s="261">
        <f t="shared" si="31"/>
        <v>4.6579973341037062E-3</v>
      </c>
      <c r="CH46" s="261">
        <f t="shared" si="32"/>
        <v>5.3410578435228997E-3</v>
      </c>
      <c r="CI46" s="261">
        <f t="shared" si="33"/>
        <v>4.6322196240640304E-3</v>
      </c>
      <c r="CJ46" s="261">
        <f t="shared" si="34"/>
        <v>5.2936118196245515E-3</v>
      </c>
      <c r="CK46" s="261">
        <f t="shared" si="35"/>
        <v>-2.62020899613848E-4</v>
      </c>
      <c r="CL46" s="261">
        <f t="shared" si="36"/>
        <v>2.0015946921793468E-4</v>
      </c>
      <c r="CM46" s="123" t="e">
        <f t="shared" si="73"/>
        <v>#DIV/0!</v>
      </c>
      <c r="CN46" s="123" t="e">
        <f t="shared" si="74"/>
        <v>#DIV/0!</v>
      </c>
      <c r="CO46" s="123" t="e">
        <f t="shared" si="75"/>
        <v>#DIV/0!</v>
      </c>
      <c r="CP46" s="123" t="e">
        <f t="shared" si="76"/>
        <v>#DIV/0!</v>
      </c>
      <c r="CQ46" s="123" t="e">
        <f t="shared" si="77"/>
        <v>#DIV/0!</v>
      </c>
      <c r="CR46" s="123" t="e">
        <f t="shared" si="78"/>
        <v>#DIV/0!</v>
      </c>
      <c r="CS46" s="123" t="e">
        <f t="shared" si="79"/>
        <v>#DIV/0!</v>
      </c>
      <c r="CT46" s="123" t="e">
        <f t="shared" si="80"/>
        <v>#DIV/0!</v>
      </c>
      <c r="CU46" s="124">
        <f t="shared" si="81"/>
        <v>4.9388614429463438</v>
      </c>
      <c r="CV46" s="173">
        <f t="shared" si="82"/>
        <v>6.3118282122260467</v>
      </c>
      <c r="CW46" s="124">
        <f t="shared" si="83"/>
        <v>0</v>
      </c>
      <c r="CX46" s="171">
        <f t="shared" si="84"/>
        <v>0</v>
      </c>
      <c r="CY46" s="122">
        <f t="shared" si="162"/>
        <v>38</v>
      </c>
      <c r="CZ46" s="231">
        <f t="shared" si="163"/>
        <v>61.774482758620721</v>
      </c>
      <c r="DA46" s="123">
        <f t="shared" si="164"/>
        <v>112.37931034482759</v>
      </c>
      <c r="DB46" s="123">
        <f t="shared" si="165"/>
        <v>113.43103448275862</v>
      </c>
      <c r="DC46" s="123">
        <f t="shared" si="166"/>
        <v>0.18138170498084291</v>
      </c>
      <c r="DD46" s="123">
        <f t="shared" si="167"/>
        <v>160.24062500000002</v>
      </c>
      <c r="DE46" s="123">
        <f t="shared" si="168"/>
        <v>321.22500000000002</v>
      </c>
      <c r="DF46" s="123">
        <f t="shared" si="169"/>
        <v>482.16562499999998</v>
      </c>
      <c r="DG46" s="123">
        <f t="shared" si="170"/>
        <v>600.12241379310342</v>
      </c>
      <c r="DH46" s="123">
        <f t="shared" si="171"/>
        <v>18.147758620689654</v>
      </c>
      <c r="DI46" s="123">
        <f t="shared" si="172"/>
        <v>41.771874999999987</v>
      </c>
      <c r="DJ46" s="123">
        <f t="shared" si="173"/>
        <v>83.715624999999989</v>
      </c>
      <c r="DK46" s="123">
        <f t="shared" si="174"/>
        <v>125.66249999999992</v>
      </c>
      <c r="DL46" s="123">
        <f t="shared" si="175"/>
        <v>156.53620689655173</v>
      </c>
      <c r="DM46" s="123">
        <f t="shared" si="176"/>
        <v>-2.0636206896551719</v>
      </c>
      <c r="DN46" s="123">
        <f t="shared" si="177"/>
        <v>95.224137931034477</v>
      </c>
      <c r="DO46" s="123">
        <f t="shared" si="178"/>
        <v>39.11724137931035</v>
      </c>
      <c r="DP46" s="123">
        <f t="shared" si="179"/>
        <v>73.460344827586226</v>
      </c>
      <c r="DQ46" s="123">
        <f t="shared" si="180"/>
        <v>100.47068965517242</v>
      </c>
      <c r="DR46" s="123">
        <f t="shared" si="181"/>
        <v>120.95172413793104</v>
      </c>
      <c r="DS46" s="123">
        <f t="shared" si="182"/>
        <v>1.3158524904214522E-2</v>
      </c>
      <c r="DT46" s="123">
        <f t="shared" si="183"/>
        <v>29.179310344827595</v>
      </c>
      <c r="DU46" s="261">
        <f t="shared" si="184"/>
        <v>4.9995275888133029E-3</v>
      </c>
      <c r="DV46" s="261">
        <f t="shared" si="185"/>
        <v>4.962915721844291E-3</v>
      </c>
      <c r="DW46" s="261">
        <f t="shared" si="186"/>
        <v>-3.0930715197956654E-5</v>
      </c>
      <c r="DX46" s="123" t="e">
        <f t="shared" si="187"/>
        <v>#DIV/0!</v>
      </c>
      <c r="DY46" s="123" t="e">
        <f t="shared" si="188"/>
        <v>#DIV/0!</v>
      </c>
      <c r="DZ46" s="123" t="e">
        <f t="shared" si="189"/>
        <v>#DIV/0!</v>
      </c>
      <c r="EA46" s="123" t="e">
        <f t="shared" si="190"/>
        <v>#DIV/0!</v>
      </c>
      <c r="EB46" s="176">
        <f t="shared" si="191"/>
        <v>5.6253448275861953</v>
      </c>
      <c r="EC46" s="125">
        <f t="shared" si="192"/>
        <v>0</v>
      </c>
      <c r="ED46" s="179">
        <f t="shared" si="102"/>
        <v>120</v>
      </c>
      <c r="EE46" s="125">
        <f t="shared" si="103"/>
        <v>100</v>
      </c>
      <c r="EF46" s="106"/>
      <c r="EG46" s="106"/>
    </row>
    <row r="47" spans="1:137" ht="11.25" customHeight="1">
      <c r="A47" s="82"/>
      <c r="B47" s="160"/>
      <c r="C47" s="257"/>
      <c r="D47" s="160"/>
      <c r="E47" s="160"/>
      <c r="F47" s="162"/>
      <c r="G47" s="274"/>
      <c r="H47" s="159"/>
      <c r="I47" s="159"/>
      <c r="J47" s="159"/>
      <c r="K47" s="159"/>
      <c r="L47" s="135"/>
      <c r="M47" s="271"/>
      <c r="N47" s="159"/>
      <c r="O47" s="159"/>
      <c r="P47" s="159"/>
      <c r="Q47" s="159"/>
      <c r="R47" s="136"/>
      <c r="S47" s="272"/>
      <c r="T47" s="161"/>
      <c r="U47" s="161"/>
      <c r="V47" s="161"/>
      <c r="W47" s="161"/>
      <c r="X47" s="186"/>
      <c r="Y47" s="186"/>
      <c r="Z47" s="184"/>
      <c r="AA47" s="161"/>
      <c r="AB47" s="260"/>
      <c r="AC47" s="273"/>
      <c r="AD47" s="273"/>
      <c r="AE47" s="166"/>
      <c r="AF47" s="166"/>
      <c r="AG47" s="222"/>
      <c r="AH47" s="166"/>
      <c r="AI47" s="155"/>
      <c r="AJ47" s="155"/>
      <c r="AK47" s="225"/>
      <c r="AL47" s="196"/>
      <c r="AM47" s="196"/>
      <c r="AN47" s="227"/>
      <c r="AO47" s="148">
        <f t="shared" si="53"/>
        <v>28.089877583208697</v>
      </c>
      <c r="AP47" s="149">
        <f t="shared" si="54"/>
        <v>47.910122416791303</v>
      </c>
      <c r="AQ47" s="149">
        <f t="shared" si="7"/>
        <v>61.691860138971634</v>
      </c>
      <c r="AR47" s="149">
        <f t="shared" si="8"/>
        <v>61.857105378269807</v>
      </c>
      <c r="AS47" s="149">
        <f t="shared" si="9"/>
        <v>109.94095976728137</v>
      </c>
      <c r="AT47" s="149">
        <f t="shared" si="10"/>
        <v>114.8176609223738</v>
      </c>
      <c r="AU47" s="149">
        <f t="shared" si="55"/>
        <v>111.93239626243108</v>
      </c>
      <c r="AV47" s="149">
        <f t="shared" si="56"/>
        <v>114.92967270308615</v>
      </c>
      <c r="AW47" s="149">
        <f t="shared" si="57"/>
        <v>0.17368036968193748</v>
      </c>
      <c r="AX47" s="149">
        <f t="shared" si="58"/>
        <v>0.18908304027974834</v>
      </c>
      <c r="AY47" s="123">
        <f t="shared" si="11"/>
        <v>156.83979641263412</v>
      </c>
      <c r="AZ47" s="123">
        <f t="shared" si="12"/>
        <v>163.64145358736593</v>
      </c>
      <c r="BA47" s="123">
        <f t="shared" si="13"/>
        <v>314.2100390293777</v>
      </c>
      <c r="BB47" s="123">
        <f t="shared" si="14"/>
        <v>328.23996097062235</v>
      </c>
      <c r="BC47" s="123">
        <f t="shared" si="15"/>
        <v>471.56159398390412</v>
      </c>
      <c r="BD47" s="123">
        <f t="shared" si="16"/>
        <v>492.76965601609584</v>
      </c>
      <c r="BE47" s="123">
        <f t="shared" si="17"/>
        <v>588.52671906979549</v>
      </c>
      <c r="BF47" s="123">
        <f t="shared" si="18"/>
        <v>611.71810851641135</v>
      </c>
      <c r="BG47" s="123">
        <f t="shared" si="19"/>
        <v>6.4247474531250646</v>
      </c>
      <c r="BH47" s="123">
        <f t="shared" si="20"/>
        <v>29.870769788254243</v>
      </c>
      <c r="BI47" s="123">
        <f t="shared" si="21"/>
        <v>41.634833977180243</v>
      </c>
      <c r="BJ47" s="123">
        <f t="shared" si="22"/>
        <v>41.908916022819731</v>
      </c>
      <c r="BK47" s="123">
        <f t="shared" si="23"/>
        <v>83.527280129290489</v>
      </c>
      <c r="BL47" s="123">
        <f t="shared" si="24"/>
        <v>83.903969870709489</v>
      </c>
      <c r="BM47" s="123">
        <f t="shared" si="25"/>
        <v>125.49642578417671</v>
      </c>
      <c r="BN47" s="123">
        <f t="shared" si="26"/>
        <v>125.82857421582314</v>
      </c>
      <c r="BO47" s="123">
        <f t="shared" si="27"/>
        <v>155.1049414176334</v>
      </c>
      <c r="BP47" s="123">
        <f t="shared" si="28"/>
        <v>157.96747237547007</v>
      </c>
      <c r="BQ47" s="123">
        <f t="shared" si="29"/>
        <v>-3.4739700111749907</v>
      </c>
      <c r="BR47" s="123">
        <f t="shared" si="30"/>
        <v>-0.65327136813535303</v>
      </c>
      <c r="BS47" s="123">
        <f t="shared" si="59"/>
        <v>56.437095452304185</v>
      </c>
      <c r="BT47" s="123">
        <f t="shared" si="60"/>
        <v>134.01118040976476</v>
      </c>
      <c r="BU47" s="123">
        <f t="shared" si="61"/>
        <v>35.424087856897714</v>
      </c>
      <c r="BV47" s="123">
        <f t="shared" si="62"/>
        <v>42.810394901722987</v>
      </c>
      <c r="BW47" s="123">
        <f t="shared" si="63"/>
        <v>68.667936470774464</v>
      </c>
      <c r="BX47" s="123">
        <f t="shared" si="64"/>
        <v>78.252753184397989</v>
      </c>
      <c r="BY47" s="123">
        <f t="shared" si="65"/>
        <v>94.547228197183259</v>
      </c>
      <c r="BZ47" s="123">
        <f t="shared" si="66"/>
        <v>106.39415111316158</v>
      </c>
      <c r="CA47" s="123">
        <f t="shared" si="67"/>
        <v>114.2973449594912</v>
      </c>
      <c r="CB47" s="123">
        <f t="shared" si="68"/>
        <v>127.60610331637088</v>
      </c>
      <c r="CC47" s="123">
        <f t="shared" si="69"/>
        <v>1.1625982470516784E-2</v>
      </c>
      <c r="CD47" s="123">
        <f t="shared" si="70"/>
        <v>1.4691067337912261E-2</v>
      </c>
      <c r="CE47" s="123">
        <f t="shared" si="71"/>
        <v>28.696690452912026</v>
      </c>
      <c r="CF47" s="123">
        <f t="shared" si="72"/>
        <v>29.661930236743164</v>
      </c>
      <c r="CG47" s="261">
        <f t="shared" si="31"/>
        <v>4.6579973341037062E-3</v>
      </c>
      <c r="CH47" s="261">
        <f t="shared" si="32"/>
        <v>5.3410578435228997E-3</v>
      </c>
      <c r="CI47" s="261">
        <f t="shared" si="33"/>
        <v>4.6322196240640304E-3</v>
      </c>
      <c r="CJ47" s="261">
        <f t="shared" si="34"/>
        <v>5.2936118196245515E-3</v>
      </c>
      <c r="CK47" s="261">
        <f t="shared" si="35"/>
        <v>-2.62020899613848E-4</v>
      </c>
      <c r="CL47" s="261">
        <f t="shared" si="36"/>
        <v>2.0015946921793468E-4</v>
      </c>
      <c r="CM47" s="123" t="e">
        <f t="shared" si="73"/>
        <v>#DIV/0!</v>
      </c>
      <c r="CN47" s="123" t="e">
        <f t="shared" si="74"/>
        <v>#DIV/0!</v>
      </c>
      <c r="CO47" s="123" t="e">
        <f t="shared" si="75"/>
        <v>#DIV/0!</v>
      </c>
      <c r="CP47" s="123" t="e">
        <f t="shared" si="76"/>
        <v>#DIV/0!</v>
      </c>
      <c r="CQ47" s="123" t="e">
        <f t="shared" si="77"/>
        <v>#DIV/0!</v>
      </c>
      <c r="CR47" s="123" t="e">
        <f t="shared" si="78"/>
        <v>#DIV/0!</v>
      </c>
      <c r="CS47" s="123" t="e">
        <f t="shared" si="79"/>
        <v>#DIV/0!</v>
      </c>
      <c r="CT47" s="123" t="e">
        <f t="shared" si="80"/>
        <v>#DIV/0!</v>
      </c>
      <c r="CU47" s="124">
        <f t="shared" si="81"/>
        <v>4.9388614429463438</v>
      </c>
      <c r="CV47" s="173">
        <f t="shared" si="82"/>
        <v>6.3118282122260467</v>
      </c>
      <c r="CW47" s="124">
        <f t="shared" si="83"/>
        <v>0</v>
      </c>
      <c r="CX47" s="171">
        <f t="shared" si="84"/>
        <v>0</v>
      </c>
      <c r="CY47" s="122">
        <f t="shared" si="162"/>
        <v>38</v>
      </c>
      <c r="CZ47" s="231">
        <f t="shared" si="163"/>
        <v>61.774482758620721</v>
      </c>
      <c r="DA47" s="123">
        <f t="shared" si="164"/>
        <v>112.37931034482759</v>
      </c>
      <c r="DB47" s="123">
        <f t="shared" si="165"/>
        <v>113.43103448275862</v>
      </c>
      <c r="DC47" s="123">
        <f t="shared" si="166"/>
        <v>0.18138170498084291</v>
      </c>
      <c r="DD47" s="123">
        <f t="shared" si="167"/>
        <v>160.24062500000002</v>
      </c>
      <c r="DE47" s="123">
        <f t="shared" si="168"/>
        <v>321.22500000000002</v>
      </c>
      <c r="DF47" s="123">
        <f t="shared" si="169"/>
        <v>482.16562499999998</v>
      </c>
      <c r="DG47" s="123">
        <f t="shared" si="170"/>
        <v>600.12241379310342</v>
      </c>
      <c r="DH47" s="123">
        <f t="shared" si="171"/>
        <v>18.147758620689654</v>
      </c>
      <c r="DI47" s="123">
        <f t="shared" si="172"/>
        <v>41.771874999999987</v>
      </c>
      <c r="DJ47" s="123">
        <f t="shared" si="173"/>
        <v>83.715624999999989</v>
      </c>
      <c r="DK47" s="123">
        <f t="shared" si="174"/>
        <v>125.66249999999992</v>
      </c>
      <c r="DL47" s="123">
        <f t="shared" si="175"/>
        <v>156.53620689655173</v>
      </c>
      <c r="DM47" s="123">
        <f t="shared" si="176"/>
        <v>-2.0636206896551719</v>
      </c>
      <c r="DN47" s="123">
        <f t="shared" si="177"/>
        <v>95.224137931034477</v>
      </c>
      <c r="DO47" s="123">
        <f t="shared" si="178"/>
        <v>39.11724137931035</v>
      </c>
      <c r="DP47" s="123">
        <f t="shared" si="179"/>
        <v>73.460344827586226</v>
      </c>
      <c r="DQ47" s="123">
        <f t="shared" si="180"/>
        <v>100.47068965517242</v>
      </c>
      <c r="DR47" s="123">
        <f t="shared" si="181"/>
        <v>120.95172413793104</v>
      </c>
      <c r="DS47" s="123">
        <f t="shared" si="182"/>
        <v>1.3158524904214522E-2</v>
      </c>
      <c r="DT47" s="123">
        <f t="shared" si="183"/>
        <v>29.179310344827595</v>
      </c>
      <c r="DU47" s="261">
        <f t="shared" si="184"/>
        <v>4.9995275888133029E-3</v>
      </c>
      <c r="DV47" s="261">
        <f t="shared" si="185"/>
        <v>4.962915721844291E-3</v>
      </c>
      <c r="DW47" s="261">
        <f t="shared" si="186"/>
        <v>-3.0930715197956654E-5</v>
      </c>
      <c r="DX47" s="123" t="e">
        <f t="shared" si="187"/>
        <v>#DIV/0!</v>
      </c>
      <c r="DY47" s="123" t="e">
        <f t="shared" si="188"/>
        <v>#DIV/0!</v>
      </c>
      <c r="DZ47" s="123" t="e">
        <f t="shared" si="189"/>
        <v>#DIV/0!</v>
      </c>
      <c r="EA47" s="123" t="e">
        <f t="shared" si="190"/>
        <v>#DIV/0!</v>
      </c>
      <c r="EB47" s="176">
        <f t="shared" si="191"/>
        <v>5.6253448275861953</v>
      </c>
      <c r="EC47" s="125">
        <f t="shared" si="192"/>
        <v>0</v>
      </c>
      <c r="ED47" s="179">
        <f t="shared" si="102"/>
        <v>120</v>
      </c>
      <c r="EE47" s="125">
        <f t="shared" si="103"/>
        <v>100</v>
      </c>
      <c r="EF47" s="106"/>
      <c r="EG47" s="106"/>
    </row>
    <row r="48" spans="1:137" ht="11.25" customHeight="1">
      <c r="A48" s="82"/>
      <c r="B48" s="160"/>
      <c r="C48" s="257"/>
      <c r="D48" s="160"/>
      <c r="E48" s="160"/>
      <c r="F48" s="162"/>
      <c r="G48" s="274"/>
      <c r="H48" s="159"/>
      <c r="I48" s="159"/>
      <c r="J48" s="159"/>
      <c r="K48" s="159"/>
      <c r="L48" s="135"/>
      <c r="M48" s="271"/>
      <c r="N48" s="159"/>
      <c r="O48" s="159"/>
      <c r="P48" s="159"/>
      <c r="Q48" s="159"/>
      <c r="R48" s="136"/>
      <c r="S48" s="272"/>
      <c r="T48" s="161"/>
      <c r="U48" s="161"/>
      <c r="V48" s="161"/>
      <c r="W48" s="161"/>
      <c r="X48" s="186"/>
      <c r="Y48" s="186"/>
      <c r="Z48" s="184"/>
      <c r="AA48" s="161"/>
      <c r="AB48" s="260"/>
      <c r="AC48" s="260"/>
      <c r="AD48" s="273"/>
      <c r="AE48" s="166"/>
      <c r="AF48" s="166"/>
      <c r="AG48" s="222"/>
      <c r="AH48" s="166"/>
      <c r="AI48" s="155"/>
      <c r="AJ48" s="155"/>
      <c r="AK48" s="225"/>
      <c r="AL48" s="196"/>
      <c r="AM48" s="196"/>
      <c r="AN48" s="227"/>
      <c r="AO48" s="148">
        <f t="shared" si="53"/>
        <v>28.089877583208697</v>
      </c>
      <c r="AP48" s="149">
        <f t="shared" si="54"/>
        <v>47.910122416791303</v>
      </c>
      <c r="AQ48" s="149">
        <f t="shared" si="7"/>
        <v>61.691860138971634</v>
      </c>
      <c r="AR48" s="149">
        <f t="shared" si="8"/>
        <v>61.857105378269807</v>
      </c>
      <c r="AS48" s="149">
        <f t="shared" si="9"/>
        <v>109.94095976728137</v>
      </c>
      <c r="AT48" s="149">
        <f t="shared" si="10"/>
        <v>114.8176609223738</v>
      </c>
      <c r="AU48" s="149">
        <f t="shared" si="55"/>
        <v>111.93239626243108</v>
      </c>
      <c r="AV48" s="149">
        <f t="shared" si="56"/>
        <v>114.92967270308615</v>
      </c>
      <c r="AW48" s="149">
        <f t="shared" si="57"/>
        <v>0.17368036968193748</v>
      </c>
      <c r="AX48" s="149">
        <f t="shared" si="58"/>
        <v>0.18908304027974834</v>
      </c>
      <c r="AY48" s="123">
        <f t="shared" si="11"/>
        <v>156.83979641263412</v>
      </c>
      <c r="AZ48" s="123">
        <f t="shared" si="12"/>
        <v>163.64145358736593</v>
      </c>
      <c r="BA48" s="123">
        <f t="shared" si="13"/>
        <v>314.2100390293777</v>
      </c>
      <c r="BB48" s="123">
        <f t="shared" si="14"/>
        <v>328.23996097062235</v>
      </c>
      <c r="BC48" s="123">
        <f t="shared" si="15"/>
        <v>471.56159398390412</v>
      </c>
      <c r="BD48" s="123">
        <f t="shared" si="16"/>
        <v>492.76965601609584</v>
      </c>
      <c r="BE48" s="123">
        <f t="shared" si="17"/>
        <v>588.52671906979549</v>
      </c>
      <c r="BF48" s="123">
        <f t="shared" si="18"/>
        <v>611.71810851641135</v>
      </c>
      <c r="BG48" s="123">
        <f t="shared" si="19"/>
        <v>6.4247474531250646</v>
      </c>
      <c r="BH48" s="123">
        <f t="shared" si="20"/>
        <v>29.870769788254243</v>
      </c>
      <c r="BI48" s="123">
        <f t="shared" si="21"/>
        <v>41.634833977180243</v>
      </c>
      <c r="BJ48" s="123">
        <f t="shared" si="22"/>
        <v>41.908916022819731</v>
      </c>
      <c r="BK48" s="123">
        <f t="shared" si="23"/>
        <v>83.527280129290489</v>
      </c>
      <c r="BL48" s="123">
        <f t="shared" si="24"/>
        <v>83.903969870709489</v>
      </c>
      <c r="BM48" s="123">
        <f t="shared" si="25"/>
        <v>125.49642578417671</v>
      </c>
      <c r="BN48" s="123">
        <f t="shared" si="26"/>
        <v>125.82857421582314</v>
      </c>
      <c r="BO48" s="123">
        <f t="shared" si="27"/>
        <v>155.1049414176334</v>
      </c>
      <c r="BP48" s="123">
        <f t="shared" si="28"/>
        <v>157.96747237547007</v>
      </c>
      <c r="BQ48" s="123">
        <f t="shared" si="29"/>
        <v>-3.4739700111749907</v>
      </c>
      <c r="BR48" s="123">
        <f t="shared" si="30"/>
        <v>-0.65327136813535303</v>
      </c>
      <c r="BS48" s="123">
        <f t="shared" si="59"/>
        <v>56.437095452304185</v>
      </c>
      <c r="BT48" s="123">
        <f t="shared" si="60"/>
        <v>134.01118040976476</v>
      </c>
      <c r="BU48" s="123">
        <f t="shared" si="61"/>
        <v>35.424087856897714</v>
      </c>
      <c r="BV48" s="123">
        <f t="shared" si="62"/>
        <v>42.810394901722987</v>
      </c>
      <c r="BW48" s="123">
        <f t="shared" si="63"/>
        <v>68.667936470774464</v>
      </c>
      <c r="BX48" s="123">
        <f t="shared" si="64"/>
        <v>78.252753184397989</v>
      </c>
      <c r="BY48" s="123">
        <f t="shared" si="65"/>
        <v>94.547228197183259</v>
      </c>
      <c r="BZ48" s="123">
        <f t="shared" si="66"/>
        <v>106.39415111316158</v>
      </c>
      <c r="CA48" s="123">
        <f t="shared" si="67"/>
        <v>114.2973449594912</v>
      </c>
      <c r="CB48" s="123">
        <f t="shared" si="68"/>
        <v>127.60610331637088</v>
      </c>
      <c r="CC48" s="123">
        <f t="shared" si="69"/>
        <v>1.1625982470516784E-2</v>
      </c>
      <c r="CD48" s="123">
        <f t="shared" si="70"/>
        <v>1.4691067337912261E-2</v>
      </c>
      <c r="CE48" s="123">
        <f t="shared" si="71"/>
        <v>28.696690452912026</v>
      </c>
      <c r="CF48" s="123">
        <f t="shared" si="72"/>
        <v>29.661930236743164</v>
      </c>
      <c r="CG48" s="261">
        <f t="shared" si="31"/>
        <v>4.6579973341037062E-3</v>
      </c>
      <c r="CH48" s="261">
        <f t="shared" si="32"/>
        <v>5.3410578435228997E-3</v>
      </c>
      <c r="CI48" s="261">
        <f t="shared" si="33"/>
        <v>4.6322196240640304E-3</v>
      </c>
      <c r="CJ48" s="261">
        <f t="shared" si="34"/>
        <v>5.2936118196245515E-3</v>
      </c>
      <c r="CK48" s="261">
        <f t="shared" si="35"/>
        <v>-2.62020899613848E-4</v>
      </c>
      <c r="CL48" s="261">
        <f t="shared" si="36"/>
        <v>2.0015946921793468E-4</v>
      </c>
      <c r="CM48" s="123" t="e">
        <f t="shared" si="73"/>
        <v>#DIV/0!</v>
      </c>
      <c r="CN48" s="123" t="e">
        <f t="shared" si="74"/>
        <v>#DIV/0!</v>
      </c>
      <c r="CO48" s="123" t="e">
        <f t="shared" si="75"/>
        <v>#DIV/0!</v>
      </c>
      <c r="CP48" s="123" t="e">
        <f t="shared" si="76"/>
        <v>#DIV/0!</v>
      </c>
      <c r="CQ48" s="123" t="e">
        <f t="shared" si="77"/>
        <v>#DIV/0!</v>
      </c>
      <c r="CR48" s="123" t="e">
        <f t="shared" si="78"/>
        <v>#DIV/0!</v>
      </c>
      <c r="CS48" s="123" t="e">
        <f t="shared" si="79"/>
        <v>#DIV/0!</v>
      </c>
      <c r="CT48" s="123" t="e">
        <f t="shared" si="80"/>
        <v>#DIV/0!</v>
      </c>
      <c r="CU48" s="124">
        <f t="shared" si="81"/>
        <v>4.9388614429463438</v>
      </c>
      <c r="CV48" s="173">
        <f t="shared" si="82"/>
        <v>6.3118282122260467</v>
      </c>
      <c r="CW48" s="124">
        <f t="shared" si="83"/>
        <v>0</v>
      </c>
      <c r="CX48" s="171">
        <f t="shared" si="84"/>
        <v>0</v>
      </c>
      <c r="CY48" s="122">
        <f t="shared" si="162"/>
        <v>38</v>
      </c>
      <c r="CZ48" s="231">
        <f t="shared" si="163"/>
        <v>61.774482758620721</v>
      </c>
      <c r="DA48" s="123">
        <f t="shared" si="164"/>
        <v>112.37931034482759</v>
      </c>
      <c r="DB48" s="123">
        <f t="shared" si="165"/>
        <v>113.43103448275862</v>
      </c>
      <c r="DC48" s="123">
        <f t="shared" si="166"/>
        <v>0.18138170498084291</v>
      </c>
      <c r="DD48" s="123">
        <f t="shared" si="167"/>
        <v>160.24062500000002</v>
      </c>
      <c r="DE48" s="123">
        <f t="shared" si="168"/>
        <v>321.22500000000002</v>
      </c>
      <c r="DF48" s="123">
        <f t="shared" si="169"/>
        <v>482.16562499999998</v>
      </c>
      <c r="DG48" s="123">
        <f t="shared" si="170"/>
        <v>600.12241379310342</v>
      </c>
      <c r="DH48" s="123">
        <f t="shared" si="171"/>
        <v>18.147758620689654</v>
      </c>
      <c r="DI48" s="123">
        <f t="shared" si="172"/>
        <v>41.771874999999987</v>
      </c>
      <c r="DJ48" s="123">
        <f t="shared" si="173"/>
        <v>83.715624999999989</v>
      </c>
      <c r="DK48" s="123">
        <f t="shared" si="174"/>
        <v>125.66249999999992</v>
      </c>
      <c r="DL48" s="123">
        <f t="shared" si="175"/>
        <v>156.53620689655173</v>
      </c>
      <c r="DM48" s="123">
        <f t="shared" si="176"/>
        <v>-2.0636206896551719</v>
      </c>
      <c r="DN48" s="123">
        <f t="shared" si="177"/>
        <v>95.224137931034477</v>
      </c>
      <c r="DO48" s="123">
        <f t="shared" si="178"/>
        <v>39.11724137931035</v>
      </c>
      <c r="DP48" s="123">
        <f t="shared" si="179"/>
        <v>73.460344827586226</v>
      </c>
      <c r="DQ48" s="123">
        <f t="shared" si="180"/>
        <v>100.47068965517242</v>
      </c>
      <c r="DR48" s="123">
        <f t="shared" si="181"/>
        <v>120.95172413793104</v>
      </c>
      <c r="DS48" s="123">
        <f t="shared" si="182"/>
        <v>1.3158524904214522E-2</v>
      </c>
      <c r="DT48" s="123">
        <f t="shared" si="183"/>
        <v>29.179310344827595</v>
      </c>
      <c r="DU48" s="261">
        <f t="shared" si="184"/>
        <v>4.9995275888133029E-3</v>
      </c>
      <c r="DV48" s="261">
        <f t="shared" si="185"/>
        <v>4.962915721844291E-3</v>
      </c>
      <c r="DW48" s="261">
        <f t="shared" si="186"/>
        <v>-3.0930715197956654E-5</v>
      </c>
      <c r="DX48" s="123" t="e">
        <f t="shared" si="187"/>
        <v>#DIV/0!</v>
      </c>
      <c r="DY48" s="123" t="e">
        <f t="shared" si="188"/>
        <v>#DIV/0!</v>
      </c>
      <c r="DZ48" s="123" t="e">
        <f t="shared" si="189"/>
        <v>#DIV/0!</v>
      </c>
      <c r="EA48" s="123" t="e">
        <f t="shared" si="190"/>
        <v>#DIV/0!</v>
      </c>
      <c r="EB48" s="176">
        <f t="shared" si="191"/>
        <v>5.6253448275861953</v>
      </c>
      <c r="EC48" s="125">
        <f t="shared" si="192"/>
        <v>0</v>
      </c>
      <c r="ED48" s="179">
        <f t="shared" si="102"/>
        <v>120</v>
      </c>
      <c r="EE48" s="125">
        <f t="shared" si="103"/>
        <v>100</v>
      </c>
      <c r="EF48" s="106"/>
      <c r="EG48" s="106"/>
    </row>
    <row r="49" spans="1:137" ht="11.25" customHeight="1">
      <c r="A49" s="82"/>
      <c r="B49" s="160"/>
      <c r="C49" s="257"/>
      <c r="D49" s="160"/>
      <c r="E49" s="160"/>
      <c r="F49" s="162"/>
      <c r="G49" s="274"/>
      <c r="H49" s="159"/>
      <c r="I49" s="159"/>
      <c r="J49" s="159"/>
      <c r="K49" s="159"/>
      <c r="L49" s="135"/>
      <c r="M49" s="271"/>
      <c r="N49" s="159"/>
      <c r="O49" s="159"/>
      <c r="P49" s="159"/>
      <c r="Q49" s="159"/>
      <c r="R49" s="136"/>
      <c r="S49" s="272"/>
      <c r="T49" s="161"/>
      <c r="U49" s="161"/>
      <c r="V49" s="161"/>
      <c r="W49" s="161"/>
      <c r="X49" s="186"/>
      <c r="Y49" s="186"/>
      <c r="Z49" s="184"/>
      <c r="AA49" s="161"/>
      <c r="AB49" s="260"/>
      <c r="AC49" s="260"/>
      <c r="AD49" s="273"/>
      <c r="AE49" s="166"/>
      <c r="AF49" s="166"/>
      <c r="AG49" s="222"/>
      <c r="AH49" s="166"/>
      <c r="AI49" s="155"/>
      <c r="AJ49" s="155"/>
      <c r="AK49" s="225"/>
      <c r="AL49" s="196"/>
      <c r="AM49" s="196"/>
      <c r="AN49" s="227"/>
      <c r="AO49" s="148">
        <f t="shared" si="53"/>
        <v>28.089877583208697</v>
      </c>
      <c r="AP49" s="149">
        <f t="shared" si="54"/>
        <v>47.910122416791303</v>
      </c>
      <c r="AQ49" s="149">
        <f t="shared" si="7"/>
        <v>61.691860138971634</v>
      </c>
      <c r="AR49" s="149">
        <f t="shared" si="8"/>
        <v>61.857105378269807</v>
      </c>
      <c r="AS49" s="149">
        <f t="shared" si="9"/>
        <v>109.94095976728137</v>
      </c>
      <c r="AT49" s="149">
        <f t="shared" si="10"/>
        <v>114.8176609223738</v>
      </c>
      <c r="AU49" s="149">
        <f t="shared" si="55"/>
        <v>111.93239626243108</v>
      </c>
      <c r="AV49" s="149">
        <f t="shared" si="56"/>
        <v>114.92967270308615</v>
      </c>
      <c r="AW49" s="149">
        <f t="shared" si="57"/>
        <v>0.17368036968193748</v>
      </c>
      <c r="AX49" s="149">
        <f t="shared" si="58"/>
        <v>0.18908304027974834</v>
      </c>
      <c r="AY49" s="123">
        <f t="shared" si="11"/>
        <v>156.83979641263412</v>
      </c>
      <c r="AZ49" s="123">
        <f t="shared" si="12"/>
        <v>163.64145358736593</v>
      </c>
      <c r="BA49" s="123">
        <f t="shared" si="13"/>
        <v>314.2100390293777</v>
      </c>
      <c r="BB49" s="123">
        <f t="shared" si="14"/>
        <v>328.23996097062235</v>
      </c>
      <c r="BC49" s="123">
        <f t="shared" si="15"/>
        <v>471.56159398390412</v>
      </c>
      <c r="BD49" s="123">
        <f t="shared" si="16"/>
        <v>492.76965601609584</v>
      </c>
      <c r="BE49" s="123">
        <f t="shared" si="17"/>
        <v>588.52671906979549</v>
      </c>
      <c r="BF49" s="123">
        <f t="shared" si="18"/>
        <v>611.71810851641135</v>
      </c>
      <c r="BG49" s="123">
        <f t="shared" si="19"/>
        <v>6.4247474531250646</v>
      </c>
      <c r="BH49" s="123">
        <f t="shared" si="20"/>
        <v>29.870769788254243</v>
      </c>
      <c r="BI49" s="123">
        <f t="shared" si="21"/>
        <v>41.634833977180243</v>
      </c>
      <c r="BJ49" s="123">
        <f t="shared" si="22"/>
        <v>41.908916022819731</v>
      </c>
      <c r="BK49" s="123">
        <f t="shared" si="23"/>
        <v>83.527280129290489</v>
      </c>
      <c r="BL49" s="123">
        <f t="shared" si="24"/>
        <v>83.903969870709489</v>
      </c>
      <c r="BM49" s="123">
        <f t="shared" si="25"/>
        <v>125.49642578417671</v>
      </c>
      <c r="BN49" s="123">
        <f t="shared" si="26"/>
        <v>125.82857421582314</v>
      </c>
      <c r="BO49" s="123">
        <f t="shared" si="27"/>
        <v>155.1049414176334</v>
      </c>
      <c r="BP49" s="123">
        <f t="shared" si="28"/>
        <v>157.96747237547007</v>
      </c>
      <c r="BQ49" s="123">
        <f t="shared" si="29"/>
        <v>-3.4739700111749907</v>
      </c>
      <c r="BR49" s="123">
        <f t="shared" si="30"/>
        <v>-0.65327136813535303</v>
      </c>
      <c r="BS49" s="123">
        <f t="shared" si="59"/>
        <v>56.437095452304185</v>
      </c>
      <c r="BT49" s="123">
        <f t="shared" si="60"/>
        <v>134.01118040976476</v>
      </c>
      <c r="BU49" s="123">
        <f t="shared" si="61"/>
        <v>35.424087856897714</v>
      </c>
      <c r="BV49" s="123">
        <f t="shared" si="62"/>
        <v>42.810394901722987</v>
      </c>
      <c r="BW49" s="123">
        <f t="shared" si="63"/>
        <v>68.667936470774464</v>
      </c>
      <c r="BX49" s="123">
        <f t="shared" si="64"/>
        <v>78.252753184397989</v>
      </c>
      <c r="BY49" s="123">
        <f t="shared" si="65"/>
        <v>94.547228197183259</v>
      </c>
      <c r="BZ49" s="123">
        <f t="shared" si="66"/>
        <v>106.39415111316158</v>
      </c>
      <c r="CA49" s="123">
        <f t="shared" si="67"/>
        <v>114.2973449594912</v>
      </c>
      <c r="CB49" s="123">
        <f t="shared" si="68"/>
        <v>127.60610331637088</v>
      </c>
      <c r="CC49" s="123">
        <f t="shared" si="69"/>
        <v>1.1625982470516784E-2</v>
      </c>
      <c r="CD49" s="123">
        <f t="shared" si="70"/>
        <v>1.4691067337912261E-2</v>
      </c>
      <c r="CE49" s="123">
        <f t="shared" si="71"/>
        <v>28.696690452912026</v>
      </c>
      <c r="CF49" s="123">
        <f t="shared" si="72"/>
        <v>29.661930236743164</v>
      </c>
      <c r="CG49" s="261">
        <f t="shared" si="31"/>
        <v>4.6579973341037062E-3</v>
      </c>
      <c r="CH49" s="261">
        <f t="shared" si="32"/>
        <v>5.3410578435228997E-3</v>
      </c>
      <c r="CI49" s="261">
        <f t="shared" si="33"/>
        <v>4.6322196240640304E-3</v>
      </c>
      <c r="CJ49" s="261">
        <f t="shared" si="34"/>
        <v>5.2936118196245515E-3</v>
      </c>
      <c r="CK49" s="261">
        <f t="shared" si="35"/>
        <v>-2.62020899613848E-4</v>
      </c>
      <c r="CL49" s="261">
        <f t="shared" si="36"/>
        <v>2.0015946921793468E-4</v>
      </c>
      <c r="CM49" s="123" t="e">
        <f t="shared" si="73"/>
        <v>#DIV/0!</v>
      </c>
      <c r="CN49" s="123" t="e">
        <f t="shared" si="74"/>
        <v>#DIV/0!</v>
      </c>
      <c r="CO49" s="123" t="e">
        <f t="shared" si="75"/>
        <v>#DIV/0!</v>
      </c>
      <c r="CP49" s="123" t="e">
        <f t="shared" si="76"/>
        <v>#DIV/0!</v>
      </c>
      <c r="CQ49" s="123" t="e">
        <f t="shared" si="77"/>
        <v>#DIV/0!</v>
      </c>
      <c r="CR49" s="123" t="e">
        <f t="shared" si="78"/>
        <v>#DIV/0!</v>
      </c>
      <c r="CS49" s="123" t="e">
        <f t="shared" si="79"/>
        <v>#DIV/0!</v>
      </c>
      <c r="CT49" s="123" t="e">
        <f t="shared" si="80"/>
        <v>#DIV/0!</v>
      </c>
      <c r="CU49" s="124">
        <f t="shared" si="81"/>
        <v>4.9388614429463438</v>
      </c>
      <c r="CV49" s="173">
        <f t="shared" si="82"/>
        <v>6.3118282122260467</v>
      </c>
      <c r="CW49" s="124">
        <f t="shared" si="83"/>
        <v>0</v>
      </c>
      <c r="CX49" s="171">
        <f t="shared" si="84"/>
        <v>0</v>
      </c>
      <c r="CY49" s="122">
        <f t="shared" si="162"/>
        <v>38</v>
      </c>
      <c r="CZ49" s="231">
        <f t="shared" si="163"/>
        <v>61.774482758620721</v>
      </c>
      <c r="DA49" s="123">
        <f t="shared" si="164"/>
        <v>112.37931034482759</v>
      </c>
      <c r="DB49" s="123">
        <f t="shared" si="165"/>
        <v>113.43103448275862</v>
      </c>
      <c r="DC49" s="123">
        <f t="shared" si="166"/>
        <v>0.18138170498084291</v>
      </c>
      <c r="DD49" s="123">
        <f t="shared" si="167"/>
        <v>160.24062500000002</v>
      </c>
      <c r="DE49" s="123">
        <f t="shared" si="168"/>
        <v>321.22500000000002</v>
      </c>
      <c r="DF49" s="123">
        <f t="shared" si="169"/>
        <v>482.16562499999998</v>
      </c>
      <c r="DG49" s="123">
        <f t="shared" si="170"/>
        <v>600.12241379310342</v>
      </c>
      <c r="DH49" s="123">
        <f t="shared" si="171"/>
        <v>18.147758620689654</v>
      </c>
      <c r="DI49" s="123">
        <f t="shared" si="172"/>
        <v>41.771874999999987</v>
      </c>
      <c r="DJ49" s="123">
        <f t="shared" si="173"/>
        <v>83.715624999999989</v>
      </c>
      <c r="DK49" s="123">
        <f t="shared" si="174"/>
        <v>125.66249999999992</v>
      </c>
      <c r="DL49" s="123">
        <f t="shared" si="175"/>
        <v>156.53620689655173</v>
      </c>
      <c r="DM49" s="123">
        <f t="shared" si="176"/>
        <v>-2.0636206896551719</v>
      </c>
      <c r="DN49" s="123">
        <f t="shared" si="177"/>
        <v>95.224137931034477</v>
      </c>
      <c r="DO49" s="123">
        <f t="shared" si="178"/>
        <v>39.11724137931035</v>
      </c>
      <c r="DP49" s="123">
        <f t="shared" si="179"/>
        <v>73.460344827586226</v>
      </c>
      <c r="DQ49" s="123">
        <f t="shared" si="180"/>
        <v>100.47068965517242</v>
      </c>
      <c r="DR49" s="123">
        <f t="shared" si="181"/>
        <v>120.95172413793104</v>
      </c>
      <c r="DS49" s="123">
        <f t="shared" si="182"/>
        <v>1.3158524904214522E-2</v>
      </c>
      <c r="DT49" s="123">
        <f t="shared" si="183"/>
        <v>29.179310344827595</v>
      </c>
      <c r="DU49" s="261">
        <f t="shared" si="184"/>
        <v>4.9995275888133029E-3</v>
      </c>
      <c r="DV49" s="261">
        <f t="shared" si="185"/>
        <v>4.962915721844291E-3</v>
      </c>
      <c r="DW49" s="261">
        <f t="shared" si="186"/>
        <v>-3.0930715197956654E-5</v>
      </c>
      <c r="DX49" s="123" t="e">
        <f t="shared" si="187"/>
        <v>#DIV/0!</v>
      </c>
      <c r="DY49" s="123" t="e">
        <f t="shared" si="188"/>
        <v>#DIV/0!</v>
      </c>
      <c r="DZ49" s="123" t="e">
        <f t="shared" si="189"/>
        <v>#DIV/0!</v>
      </c>
      <c r="EA49" s="123" t="e">
        <f t="shared" si="190"/>
        <v>#DIV/0!</v>
      </c>
      <c r="EB49" s="176">
        <f t="shared" si="191"/>
        <v>5.6253448275861953</v>
      </c>
      <c r="EC49" s="125">
        <f t="shared" si="192"/>
        <v>0</v>
      </c>
      <c r="ED49" s="179">
        <f t="shared" si="102"/>
        <v>120</v>
      </c>
      <c r="EE49" s="125">
        <f t="shared" si="103"/>
        <v>100</v>
      </c>
      <c r="EF49" s="106"/>
      <c r="EG49" s="106"/>
    </row>
    <row r="50" spans="1:137" ht="11.25" customHeight="1">
      <c r="A50" s="82"/>
      <c r="B50" s="160"/>
      <c r="C50" s="257"/>
      <c r="D50" s="160"/>
      <c r="E50" s="160"/>
      <c r="F50" s="162"/>
      <c r="G50" s="274"/>
      <c r="H50" s="159"/>
      <c r="I50" s="159"/>
      <c r="J50" s="159"/>
      <c r="K50" s="159"/>
      <c r="L50" s="135"/>
      <c r="M50" s="271"/>
      <c r="N50" s="159"/>
      <c r="O50" s="159"/>
      <c r="P50" s="159"/>
      <c r="Q50" s="159"/>
      <c r="R50" s="136"/>
      <c r="S50" s="272"/>
      <c r="T50" s="161"/>
      <c r="U50" s="161"/>
      <c r="V50" s="161"/>
      <c r="W50" s="161"/>
      <c r="X50" s="186"/>
      <c r="Y50" s="186"/>
      <c r="Z50" s="184"/>
      <c r="AA50" s="161"/>
      <c r="AB50" s="260"/>
      <c r="AC50" s="260"/>
      <c r="AD50" s="273"/>
      <c r="AE50" s="166"/>
      <c r="AF50" s="166"/>
      <c r="AG50" s="222"/>
      <c r="AH50" s="166"/>
      <c r="AI50" s="155"/>
      <c r="AJ50" s="155"/>
      <c r="AK50" s="225"/>
      <c r="AL50" s="196"/>
      <c r="AM50" s="196"/>
      <c r="AN50" s="227"/>
      <c r="AO50" s="148">
        <f t="shared" si="53"/>
        <v>28.089877583208697</v>
      </c>
      <c r="AP50" s="149">
        <f t="shared" si="54"/>
        <v>47.910122416791303</v>
      </c>
      <c r="AQ50" s="149">
        <f t="shared" si="7"/>
        <v>61.691860138971634</v>
      </c>
      <c r="AR50" s="149">
        <f t="shared" si="8"/>
        <v>61.857105378269807</v>
      </c>
      <c r="AS50" s="149">
        <f t="shared" si="9"/>
        <v>109.94095976728137</v>
      </c>
      <c r="AT50" s="149">
        <f t="shared" si="10"/>
        <v>114.8176609223738</v>
      </c>
      <c r="AU50" s="149">
        <f t="shared" si="55"/>
        <v>111.93239626243108</v>
      </c>
      <c r="AV50" s="149">
        <f t="shared" si="56"/>
        <v>114.92967270308615</v>
      </c>
      <c r="AW50" s="149">
        <f t="shared" si="57"/>
        <v>0.17368036968193748</v>
      </c>
      <c r="AX50" s="149">
        <f t="shared" si="58"/>
        <v>0.18908304027974834</v>
      </c>
      <c r="AY50" s="123">
        <f t="shared" si="11"/>
        <v>156.83979641263412</v>
      </c>
      <c r="AZ50" s="123">
        <f t="shared" si="12"/>
        <v>163.64145358736593</v>
      </c>
      <c r="BA50" s="123">
        <f t="shared" si="13"/>
        <v>314.2100390293777</v>
      </c>
      <c r="BB50" s="123">
        <f t="shared" si="14"/>
        <v>328.23996097062235</v>
      </c>
      <c r="BC50" s="123">
        <f t="shared" si="15"/>
        <v>471.56159398390412</v>
      </c>
      <c r="BD50" s="123">
        <f t="shared" si="16"/>
        <v>492.76965601609584</v>
      </c>
      <c r="BE50" s="123">
        <f t="shared" si="17"/>
        <v>588.52671906979549</v>
      </c>
      <c r="BF50" s="123">
        <f t="shared" si="18"/>
        <v>611.71810851641135</v>
      </c>
      <c r="BG50" s="123">
        <f t="shared" si="19"/>
        <v>6.4247474531250646</v>
      </c>
      <c r="BH50" s="123">
        <f t="shared" si="20"/>
        <v>29.870769788254243</v>
      </c>
      <c r="BI50" s="123">
        <f t="shared" si="21"/>
        <v>41.634833977180243</v>
      </c>
      <c r="BJ50" s="123">
        <f t="shared" si="22"/>
        <v>41.908916022819731</v>
      </c>
      <c r="BK50" s="123">
        <f t="shared" si="23"/>
        <v>83.527280129290489</v>
      </c>
      <c r="BL50" s="123">
        <f t="shared" si="24"/>
        <v>83.903969870709489</v>
      </c>
      <c r="BM50" s="123">
        <f t="shared" si="25"/>
        <v>125.49642578417671</v>
      </c>
      <c r="BN50" s="123">
        <f t="shared" si="26"/>
        <v>125.82857421582314</v>
      </c>
      <c r="BO50" s="123">
        <f t="shared" si="27"/>
        <v>155.1049414176334</v>
      </c>
      <c r="BP50" s="123">
        <f t="shared" si="28"/>
        <v>157.96747237547007</v>
      </c>
      <c r="BQ50" s="123">
        <f t="shared" si="29"/>
        <v>-3.4739700111749907</v>
      </c>
      <c r="BR50" s="123">
        <f t="shared" si="30"/>
        <v>-0.65327136813535303</v>
      </c>
      <c r="BS50" s="123">
        <f t="shared" si="59"/>
        <v>56.437095452304185</v>
      </c>
      <c r="BT50" s="123">
        <f t="shared" si="60"/>
        <v>134.01118040976476</v>
      </c>
      <c r="BU50" s="123">
        <f t="shared" si="61"/>
        <v>35.424087856897714</v>
      </c>
      <c r="BV50" s="123">
        <f t="shared" si="62"/>
        <v>42.810394901722987</v>
      </c>
      <c r="BW50" s="123">
        <f t="shared" si="63"/>
        <v>68.667936470774464</v>
      </c>
      <c r="BX50" s="123">
        <f t="shared" si="64"/>
        <v>78.252753184397989</v>
      </c>
      <c r="BY50" s="123">
        <f t="shared" si="65"/>
        <v>94.547228197183259</v>
      </c>
      <c r="BZ50" s="123">
        <f t="shared" si="66"/>
        <v>106.39415111316158</v>
      </c>
      <c r="CA50" s="123">
        <f t="shared" si="67"/>
        <v>114.2973449594912</v>
      </c>
      <c r="CB50" s="123">
        <f t="shared" si="68"/>
        <v>127.60610331637088</v>
      </c>
      <c r="CC50" s="123">
        <f t="shared" si="69"/>
        <v>1.1625982470516784E-2</v>
      </c>
      <c r="CD50" s="123">
        <f t="shared" si="70"/>
        <v>1.4691067337912261E-2</v>
      </c>
      <c r="CE50" s="123">
        <f t="shared" si="71"/>
        <v>28.696690452912026</v>
      </c>
      <c r="CF50" s="123">
        <f t="shared" si="72"/>
        <v>29.661930236743164</v>
      </c>
      <c r="CG50" s="261">
        <f t="shared" si="31"/>
        <v>4.6579973341037062E-3</v>
      </c>
      <c r="CH50" s="261">
        <f t="shared" si="32"/>
        <v>5.3410578435228997E-3</v>
      </c>
      <c r="CI50" s="261">
        <f t="shared" si="33"/>
        <v>4.6322196240640304E-3</v>
      </c>
      <c r="CJ50" s="261">
        <f t="shared" si="34"/>
        <v>5.2936118196245515E-3</v>
      </c>
      <c r="CK50" s="261">
        <f t="shared" si="35"/>
        <v>-2.62020899613848E-4</v>
      </c>
      <c r="CL50" s="261">
        <f t="shared" si="36"/>
        <v>2.0015946921793468E-4</v>
      </c>
      <c r="CM50" s="123" t="e">
        <f t="shared" si="73"/>
        <v>#DIV/0!</v>
      </c>
      <c r="CN50" s="123" t="e">
        <f t="shared" si="74"/>
        <v>#DIV/0!</v>
      </c>
      <c r="CO50" s="123" t="e">
        <f t="shared" si="75"/>
        <v>#DIV/0!</v>
      </c>
      <c r="CP50" s="123" t="e">
        <f t="shared" si="76"/>
        <v>#DIV/0!</v>
      </c>
      <c r="CQ50" s="123" t="e">
        <f t="shared" si="77"/>
        <v>#DIV/0!</v>
      </c>
      <c r="CR50" s="123" t="e">
        <f t="shared" si="78"/>
        <v>#DIV/0!</v>
      </c>
      <c r="CS50" s="123" t="e">
        <f t="shared" si="79"/>
        <v>#DIV/0!</v>
      </c>
      <c r="CT50" s="123" t="e">
        <f t="shared" si="80"/>
        <v>#DIV/0!</v>
      </c>
      <c r="CU50" s="124">
        <f t="shared" si="81"/>
        <v>4.9388614429463438</v>
      </c>
      <c r="CV50" s="173">
        <f t="shared" si="82"/>
        <v>6.3118282122260467</v>
      </c>
      <c r="CW50" s="124">
        <f t="shared" si="83"/>
        <v>0</v>
      </c>
      <c r="CX50" s="171">
        <f t="shared" si="84"/>
        <v>0</v>
      </c>
      <c r="CY50" s="122">
        <f t="shared" si="162"/>
        <v>38</v>
      </c>
      <c r="CZ50" s="231">
        <f t="shared" si="163"/>
        <v>61.774482758620721</v>
      </c>
      <c r="DA50" s="123">
        <f t="shared" si="164"/>
        <v>112.37931034482759</v>
      </c>
      <c r="DB50" s="123">
        <f t="shared" si="165"/>
        <v>113.43103448275862</v>
      </c>
      <c r="DC50" s="123">
        <f t="shared" si="166"/>
        <v>0.18138170498084291</v>
      </c>
      <c r="DD50" s="123">
        <f t="shared" si="167"/>
        <v>160.24062500000002</v>
      </c>
      <c r="DE50" s="123">
        <f t="shared" si="168"/>
        <v>321.22500000000002</v>
      </c>
      <c r="DF50" s="123">
        <f t="shared" si="169"/>
        <v>482.16562499999998</v>
      </c>
      <c r="DG50" s="123">
        <f t="shared" si="170"/>
        <v>600.12241379310342</v>
      </c>
      <c r="DH50" s="123">
        <f t="shared" si="171"/>
        <v>18.147758620689654</v>
      </c>
      <c r="DI50" s="123">
        <f t="shared" si="172"/>
        <v>41.771874999999987</v>
      </c>
      <c r="DJ50" s="123">
        <f t="shared" si="173"/>
        <v>83.715624999999989</v>
      </c>
      <c r="DK50" s="123">
        <f t="shared" si="174"/>
        <v>125.66249999999992</v>
      </c>
      <c r="DL50" s="123">
        <f t="shared" si="175"/>
        <v>156.53620689655173</v>
      </c>
      <c r="DM50" s="123">
        <f t="shared" si="176"/>
        <v>-2.0636206896551719</v>
      </c>
      <c r="DN50" s="123">
        <f t="shared" si="177"/>
        <v>95.224137931034477</v>
      </c>
      <c r="DO50" s="123">
        <f t="shared" si="178"/>
        <v>39.11724137931035</v>
      </c>
      <c r="DP50" s="123">
        <f t="shared" si="179"/>
        <v>73.460344827586226</v>
      </c>
      <c r="DQ50" s="123">
        <f t="shared" si="180"/>
        <v>100.47068965517242</v>
      </c>
      <c r="DR50" s="123">
        <f t="shared" si="181"/>
        <v>120.95172413793104</v>
      </c>
      <c r="DS50" s="123">
        <f t="shared" si="182"/>
        <v>1.3158524904214522E-2</v>
      </c>
      <c r="DT50" s="123">
        <f t="shared" si="183"/>
        <v>29.179310344827595</v>
      </c>
      <c r="DU50" s="261">
        <f t="shared" si="184"/>
        <v>4.9995275888133029E-3</v>
      </c>
      <c r="DV50" s="261">
        <f t="shared" si="185"/>
        <v>4.962915721844291E-3</v>
      </c>
      <c r="DW50" s="261">
        <f t="shared" si="186"/>
        <v>-3.0930715197956654E-5</v>
      </c>
      <c r="DX50" s="123" t="e">
        <f t="shared" si="187"/>
        <v>#DIV/0!</v>
      </c>
      <c r="DY50" s="123" t="e">
        <f t="shared" si="188"/>
        <v>#DIV/0!</v>
      </c>
      <c r="DZ50" s="123" t="e">
        <f t="shared" si="189"/>
        <v>#DIV/0!</v>
      </c>
      <c r="EA50" s="123" t="e">
        <f t="shared" si="190"/>
        <v>#DIV/0!</v>
      </c>
      <c r="EB50" s="176">
        <f t="shared" si="191"/>
        <v>5.6253448275861953</v>
      </c>
      <c r="EC50" s="125">
        <f t="shared" si="192"/>
        <v>0</v>
      </c>
      <c r="ED50" s="179">
        <f t="shared" si="102"/>
        <v>120</v>
      </c>
      <c r="EE50" s="125">
        <f t="shared" si="103"/>
        <v>100</v>
      </c>
      <c r="EF50" s="106"/>
      <c r="EG50" s="106"/>
    </row>
    <row r="51" spans="1:137" ht="11.25" customHeight="1">
      <c r="A51" s="82"/>
      <c r="B51" s="160"/>
      <c r="C51" s="257"/>
      <c r="D51" s="160"/>
      <c r="E51" s="160"/>
      <c r="F51" s="162"/>
      <c r="G51" s="274"/>
      <c r="H51" s="159"/>
      <c r="I51" s="159"/>
      <c r="J51" s="159"/>
      <c r="K51" s="159"/>
      <c r="L51" s="135"/>
      <c r="M51" s="271"/>
      <c r="N51" s="159"/>
      <c r="O51" s="159"/>
      <c r="P51" s="159"/>
      <c r="Q51" s="159"/>
      <c r="R51" s="136"/>
      <c r="S51" s="272"/>
      <c r="T51" s="161"/>
      <c r="U51" s="161"/>
      <c r="V51" s="161"/>
      <c r="W51" s="161"/>
      <c r="X51" s="186"/>
      <c r="Y51" s="186"/>
      <c r="Z51" s="184"/>
      <c r="AA51" s="161"/>
      <c r="AB51" s="260"/>
      <c r="AC51" s="260"/>
      <c r="AD51" s="273"/>
      <c r="AE51" s="166"/>
      <c r="AF51" s="166"/>
      <c r="AG51" s="222"/>
      <c r="AH51" s="166"/>
      <c r="AI51" s="155"/>
      <c r="AJ51" s="155"/>
      <c r="AK51" s="225"/>
      <c r="AL51" s="196"/>
      <c r="AM51" s="196"/>
      <c r="AN51" s="227"/>
      <c r="AO51" s="148">
        <f t="shared" si="53"/>
        <v>28.089877583208697</v>
      </c>
      <c r="AP51" s="149">
        <f t="shared" si="54"/>
        <v>47.910122416791303</v>
      </c>
      <c r="AQ51" s="149">
        <f t="shared" si="7"/>
        <v>61.691860138971634</v>
      </c>
      <c r="AR51" s="149">
        <f t="shared" si="8"/>
        <v>61.857105378269807</v>
      </c>
      <c r="AS51" s="149">
        <f t="shared" si="9"/>
        <v>109.94095976728137</v>
      </c>
      <c r="AT51" s="149">
        <f t="shared" si="10"/>
        <v>114.8176609223738</v>
      </c>
      <c r="AU51" s="149">
        <f t="shared" si="55"/>
        <v>111.93239626243108</v>
      </c>
      <c r="AV51" s="149">
        <f t="shared" si="56"/>
        <v>114.92967270308615</v>
      </c>
      <c r="AW51" s="149">
        <f t="shared" si="57"/>
        <v>0.17368036968193748</v>
      </c>
      <c r="AX51" s="149">
        <f t="shared" si="58"/>
        <v>0.18908304027974834</v>
      </c>
      <c r="AY51" s="123">
        <f t="shared" si="11"/>
        <v>156.83979641263412</v>
      </c>
      <c r="AZ51" s="123">
        <f t="shared" si="12"/>
        <v>163.64145358736593</v>
      </c>
      <c r="BA51" s="123">
        <f t="shared" si="13"/>
        <v>314.2100390293777</v>
      </c>
      <c r="BB51" s="123">
        <f t="shared" si="14"/>
        <v>328.23996097062235</v>
      </c>
      <c r="BC51" s="123">
        <f t="shared" si="15"/>
        <v>471.56159398390412</v>
      </c>
      <c r="BD51" s="123">
        <f t="shared" si="16"/>
        <v>492.76965601609584</v>
      </c>
      <c r="BE51" s="123">
        <f t="shared" si="17"/>
        <v>588.52671906979549</v>
      </c>
      <c r="BF51" s="123">
        <f t="shared" si="18"/>
        <v>611.71810851641135</v>
      </c>
      <c r="BG51" s="123">
        <f t="shared" si="19"/>
        <v>6.4247474531250646</v>
      </c>
      <c r="BH51" s="123">
        <f t="shared" si="20"/>
        <v>29.870769788254243</v>
      </c>
      <c r="BI51" s="123">
        <f t="shared" si="21"/>
        <v>41.634833977180243</v>
      </c>
      <c r="BJ51" s="123">
        <f t="shared" si="22"/>
        <v>41.908916022819731</v>
      </c>
      <c r="BK51" s="123">
        <f t="shared" si="23"/>
        <v>83.527280129290489</v>
      </c>
      <c r="BL51" s="123">
        <f t="shared" si="24"/>
        <v>83.903969870709489</v>
      </c>
      <c r="BM51" s="123">
        <f t="shared" si="25"/>
        <v>125.49642578417671</v>
      </c>
      <c r="BN51" s="123">
        <f t="shared" si="26"/>
        <v>125.82857421582314</v>
      </c>
      <c r="BO51" s="123">
        <f t="shared" si="27"/>
        <v>155.1049414176334</v>
      </c>
      <c r="BP51" s="123">
        <f t="shared" si="28"/>
        <v>157.96747237547007</v>
      </c>
      <c r="BQ51" s="123">
        <f t="shared" si="29"/>
        <v>-3.4739700111749907</v>
      </c>
      <c r="BR51" s="123">
        <f t="shared" si="30"/>
        <v>-0.65327136813535303</v>
      </c>
      <c r="BS51" s="123">
        <f t="shared" si="59"/>
        <v>56.437095452304185</v>
      </c>
      <c r="BT51" s="123">
        <f t="shared" si="60"/>
        <v>134.01118040976476</v>
      </c>
      <c r="BU51" s="123">
        <f t="shared" si="61"/>
        <v>35.424087856897714</v>
      </c>
      <c r="BV51" s="123">
        <f t="shared" si="62"/>
        <v>42.810394901722987</v>
      </c>
      <c r="BW51" s="123">
        <f t="shared" si="63"/>
        <v>68.667936470774464</v>
      </c>
      <c r="BX51" s="123">
        <f t="shared" si="64"/>
        <v>78.252753184397989</v>
      </c>
      <c r="BY51" s="123">
        <f t="shared" si="65"/>
        <v>94.547228197183259</v>
      </c>
      <c r="BZ51" s="123">
        <f t="shared" si="66"/>
        <v>106.39415111316158</v>
      </c>
      <c r="CA51" s="123">
        <f t="shared" si="67"/>
        <v>114.2973449594912</v>
      </c>
      <c r="CB51" s="123">
        <f t="shared" si="68"/>
        <v>127.60610331637088</v>
      </c>
      <c r="CC51" s="123">
        <f t="shared" si="69"/>
        <v>1.1625982470516784E-2</v>
      </c>
      <c r="CD51" s="123">
        <f t="shared" si="70"/>
        <v>1.4691067337912261E-2</v>
      </c>
      <c r="CE51" s="123">
        <f t="shared" si="71"/>
        <v>28.696690452912026</v>
      </c>
      <c r="CF51" s="123">
        <f t="shared" si="72"/>
        <v>29.661930236743164</v>
      </c>
      <c r="CG51" s="261">
        <f t="shared" si="31"/>
        <v>4.6579973341037062E-3</v>
      </c>
      <c r="CH51" s="261">
        <f t="shared" si="32"/>
        <v>5.3410578435228997E-3</v>
      </c>
      <c r="CI51" s="261">
        <f t="shared" si="33"/>
        <v>4.6322196240640304E-3</v>
      </c>
      <c r="CJ51" s="261">
        <f t="shared" si="34"/>
        <v>5.2936118196245515E-3</v>
      </c>
      <c r="CK51" s="261">
        <f t="shared" si="35"/>
        <v>-2.62020899613848E-4</v>
      </c>
      <c r="CL51" s="261">
        <f t="shared" si="36"/>
        <v>2.0015946921793468E-4</v>
      </c>
      <c r="CM51" s="123" t="e">
        <f t="shared" si="73"/>
        <v>#DIV/0!</v>
      </c>
      <c r="CN51" s="123" t="e">
        <f t="shared" si="74"/>
        <v>#DIV/0!</v>
      </c>
      <c r="CO51" s="123" t="e">
        <f t="shared" si="75"/>
        <v>#DIV/0!</v>
      </c>
      <c r="CP51" s="123" t="e">
        <f t="shared" si="76"/>
        <v>#DIV/0!</v>
      </c>
      <c r="CQ51" s="123" t="e">
        <f t="shared" si="77"/>
        <v>#DIV/0!</v>
      </c>
      <c r="CR51" s="123" t="e">
        <f t="shared" si="78"/>
        <v>#DIV/0!</v>
      </c>
      <c r="CS51" s="123" t="e">
        <f t="shared" si="79"/>
        <v>#DIV/0!</v>
      </c>
      <c r="CT51" s="123" t="e">
        <f t="shared" si="80"/>
        <v>#DIV/0!</v>
      </c>
      <c r="CU51" s="124">
        <f t="shared" si="81"/>
        <v>4.9388614429463438</v>
      </c>
      <c r="CV51" s="173">
        <f t="shared" si="82"/>
        <v>6.3118282122260467</v>
      </c>
      <c r="CW51" s="124">
        <f t="shared" si="83"/>
        <v>0</v>
      </c>
      <c r="CX51" s="171">
        <f t="shared" si="84"/>
        <v>0</v>
      </c>
      <c r="CY51" s="122">
        <f t="shared" si="162"/>
        <v>38</v>
      </c>
      <c r="CZ51" s="231">
        <f t="shared" si="163"/>
        <v>61.774482758620721</v>
      </c>
      <c r="DA51" s="123">
        <f t="shared" si="164"/>
        <v>112.37931034482759</v>
      </c>
      <c r="DB51" s="123">
        <f t="shared" si="165"/>
        <v>113.43103448275862</v>
      </c>
      <c r="DC51" s="123">
        <f t="shared" si="166"/>
        <v>0.18138170498084291</v>
      </c>
      <c r="DD51" s="123">
        <f t="shared" si="167"/>
        <v>160.24062500000002</v>
      </c>
      <c r="DE51" s="123">
        <f t="shared" si="168"/>
        <v>321.22500000000002</v>
      </c>
      <c r="DF51" s="123">
        <f t="shared" si="169"/>
        <v>482.16562499999998</v>
      </c>
      <c r="DG51" s="123">
        <f t="shared" si="170"/>
        <v>600.12241379310342</v>
      </c>
      <c r="DH51" s="123">
        <f t="shared" si="171"/>
        <v>18.147758620689654</v>
      </c>
      <c r="DI51" s="123">
        <f t="shared" si="172"/>
        <v>41.771874999999987</v>
      </c>
      <c r="DJ51" s="123">
        <f t="shared" si="173"/>
        <v>83.715624999999989</v>
      </c>
      <c r="DK51" s="123">
        <f t="shared" si="174"/>
        <v>125.66249999999992</v>
      </c>
      <c r="DL51" s="123">
        <f t="shared" si="175"/>
        <v>156.53620689655173</v>
      </c>
      <c r="DM51" s="123">
        <f t="shared" si="176"/>
        <v>-2.0636206896551719</v>
      </c>
      <c r="DN51" s="123">
        <f t="shared" si="177"/>
        <v>95.224137931034477</v>
      </c>
      <c r="DO51" s="123">
        <f t="shared" si="178"/>
        <v>39.11724137931035</v>
      </c>
      <c r="DP51" s="123">
        <f t="shared" si="179"/>
        <v>73.460344827586226</v>
      </c>
      <c r="DQ51" s="123">
        <f t="shared" si="180"/>
        <v>100.47068965517242</v>
      </c>
      <c r="DR51" s="123">
        <f t="shared" si="181"/>
        <v>120.95172413793104</v>
      </c>
      <c r="DS51" s="123">
        <f t="shared" si="182"/>
        <v>1.3158524904214522E-2</v>
      </c>
      <c r="DT51" s="123">
        <f t="shared" si="183"/>
        <v>29.179310344827595</v>
      </c>
      <c r="DU51" s="261">
        <f t="shared" si="184"/>
        <v>4.9995275888133029E-3</v>
      </c>
      <c r="DV51" s="261">
        <f t="shared" si="185"/>
        <v>4.962915721844291E-3</v>
      </c>
      <c r="DW51" s="261">
        <f t="shared" si="186"/>
        <v>-3.0930715197956654E-5</v>
      </c>
      <c r="DX51" s="123" t="e">
        <f t="shared" si="187"/>
        <v>#DIV/0!</v>
      </c>
      <c r="DY51" s="123" t="e">
        <f t="shared" si="188"/>
        <v>#DIV/0!</v>
      </c>
      <c r="DZ51" s="123" t="e">
        <f t="shared" si="189"/>
        <v>#DIV/0!</v>
      </c>
      <c r="EA51" s="123" t="e">
        <f t="shared" si="190"/>
        <v>#DIV/0!</v>
      </c>
      <c r="EB51" s="176">
        <f t="shared" si="191"/>
        <v>5.6253448275861953</v>
      </c>
      <c r="EC51" s="125">
        <f t="shared" si="192"/>
        <v>0</v>
      </c>
      <c r="ED51" s="179">
        <f t="shared" si="102"/>
        <v>120</v>
      </c>
      <c r="EE51" s="125">
        <f t="shared" si="103"/>
        <v>100</v>
      </c>
      <c r="EF51" s="106"/>
      <c r="EG51" s="106"/>
    </row>
    <row r="52" spans="1:137" ht="11.25" customHeight="1">
      <c r="A52" s="82"/>
      <c r="B52" s="160"/>
      <c r="C52" s="257"/>
      <c r="D52" s="160"/>
      <c r="E52" s="160"/>
      <c r="F52" s="162"/>
      <c r="G52" s="274"/>
      <c r="H52" s="159"/>
      <c r="I52" s="159"/>
      <c r="J52" s="159"/>
      <c r="K52" s="159"/>
      <c r="L52" s="135"/>
      <c r="M52" s="271"/>
      <c r="N52" s="159"/>
      <c r="O52" s="159"/>
      <c r="P52" s="159"/>
      <c r="Q52" s="159"/>
      <c r="R52" s="136"/>
      <c r="S52" s="272"/>
      <c r="T52" s="161"/>
      <c r="U52" s="161"/>
      <c r="V52" s="161"/>
      <c r="W52" s="161"/>
      <c r="X52" s="186"/>
      <c r="Y52" s="186"/>
      <c r="Z52" s="184"/>
      <c r="AA52" s="161"/>
      <c r="AB52" s="260"/>
      <c r="AC52" s="273"/>
      <c r="AD52" s="273"/>
      <c r="AE52" s="166"/>
      <c r="AF52" s="166"/>
      <c r="AG52" s="222"/>
      <c r="AH52" s="166"/>
      <c r="AI52" s="155"/>
      <c r="AJ52" s="155"/>
      <c r="AK52" s="225"/>
      <c r="AL52" s="196"/>
      <c r="AM52" s="196"/>
      <c r="AN52" s="227"/>
      <c r="AO52" s="148">
        <f t="shared" si="53"/>
        <v>28.089877583208697</v>
      </c>
      <c r="AP52" s="149">
        <f t="shared" si="54"/>
        <v>47.910122416791303</v>
      </c>
      <c r="AQ52" s="149">
        <f t="shared" si="7"/>
        <v>61.691860138971634</v>
      </c>
      <c r="AR52" s="149">
        <f t="shared" si="8"/>
        <v>61.857105378269807</v>
      </c>
      <c r="AS52" s="149">
        <f t="shared" si="9"/>
        <v>109.94095976728137</v>
      </c>
      <c r="AT52" s="149">
        <f t="shared" si="10"/>
        <v>114.8176609223738</v>
      </c>
      <c r="AU52" s="149">
        <f t="shared" si="55"/>
        <v>111.93239626243108</v>
      </c>
      <c r="AV52" s="149">
        <f t="shared" si="56"/>
        <v>114.92967270308615</v>
      </c>
      <c r="AW52" s="149">
        <f t="shared" si="57"/>
        <v>0.17368036968193748</v>
      </c>
      <c r="AX52" s="149">
        <f t="shared" si="58"/>
        <v>0.18908304027974834</v>
      </c>
      <c r="AY52" s="123">
        <f t="shared" si="11"/>
        <v>156.83979641263412</v>
      </c>
      <c r="AZ52" s="123">
        <f t="shared" si="12"/>
        <v>163.64145358736593</v>
      </c>
      <c r="BA52" s="123">
        <f t="shared" si="13"/>
        <v>314.2100390293777</v>
      </c>
      <c r="BB52" s="123">
        <f t="shared" si="14"/>
        <v>328.23996097062235</v>
      </c>
      <c r="BC52" s="123">
        <f t="shared" si="15"/>
        <v>471.56159398390412</v>
      </c>
      <c r="BD52" s="123">
        <f t="shared" si="16"/>
        <v>492.76965601609584</v>
      </c>
      <c r="BE52" s="123">
        <f t="shared" si="17"/>
        <v>588.52671906979549</v>
      </c>
      <c r="BF52" s="123">
        <f t="shared" si="18"/>
        <v>611.71810851641135</v>
      </c>
      <c r="BG52" s="123">
        <f t="shared" si="19"/>
        <v>6.4247474531250646</v>
      </c>
      <c r="BH52" s="123">
        <f t="shared" si="20"/>
        <v>29.870769788254243</v>
      </c>
      <c r="BI52" s="123">
        <f t="shared" si="21"/>
        <v>41.634833977180243</v>
      </c>
      <c r="BJ52" s="123">
        <f t="shared" si="22"/>
        <v>41.908916022819731</v>
      </c>
      <c r="BK52" s="123">
        <f t="shared" si="23"/>
        <v>83.527280129290489</v>
      </c>
      <c r="BL52" s="123">
        <f t="shared" si="24"/>
        <v>83.903969870709489</v>
      </c>
      <c r="BM52" s="123">
        <f t="shared" si="25"/>
        <v>125.49642578417671</v>
      </c>
      <c r="BN52" s="123">
        <f t="shared" si="26"/>
        <v>125.82857421582314</v>
      </c>
      <c r="BO52" s="123">
        <f t="shared" si="27"/>
        <v>155.1049414176334</v>
      </c>
      <c r="BP52" s="123">
        <f t="shared" si="28"/>
        <v>157.96747237547007</v>
      </c>
      <c r="BQ52" s="123">
        <f t="shared" si="29"/>
        <v>-3.4739700111749907</v>
      </c>
      <c r="BR52" s="123">
        <f t="shared" si="30"/>
        <v>-0.65327136813535303</v>
      </c>
      <c r="BS52" s="123">
        <f t="shared" si="59"/>
        <v>56.437095452304185</v>
      </c>
      <c r="BT52" s="123">
        <f t="shared" si="60"/>
        <v>134.01118040976476</v>
      </c>
      <c r="BU52" s="123">
        <f t="shared" si="61"/>
        <v>35.424087856897714</v>
      </c>
      <c r="BV52" s="123">
        <f t="shared" si="62"/>
        <v>42.810394901722987</v>
      </c>
      <c r="BW52" s="123">
        <f t="shared" si="63"/>
        <v>68.667936470774464</v>
      </c>
      <c r="BX52" s="123">
        <f t="shared" si="64"/>
        <v>78.252753184397989</v>
      </c>
      <c r="BY52" s="123">
        <f t="shared" si="65"/>
        <v>94.547228197183259</v>
      </c>
      <c r="BZ52" s="123">
        <f t="shared" si="66"/>
        <v>106.39415111316158</v>
      </c>
      <c r="CA52" s="123">
        <f t="shared" si="67"/>
        <v>114.2973449594912</v>
      </c>
      <c r="CB52" s="123">
        <f t="shared" si="68"/>
        <v>127.60610331637088</v>
      </c>
      <c r="CC52" s="123">
        <f t="shared" si="69"/>
        <v>1.1625982470516784E-2</v>
      </c>
      <c r="CD52" s="123">
        <f t="shared" si="70"/>
        <v>1.4691067337912261E-2</v>
      </c>
      <c r="CE52" s="123">
        <f t="shared" si="71"/>
        <v>28.696690452912026</v>
      </c>
      <c r="CF52" s="123">
        <f t="shared" si="72"/>
        <v>29.661930236743164</v>
      </c>
      <c r="CG52" s="261">
        <f t="shared" si="31"/>
        <v>4.6579973341037062E-3</v>
      </c>
      <c r="CH52" s="261">
        <f t="shared" si="32"/>
        <v>5.3410578435228997E-3</v>
      </c>
      <c r="CI52" s="261">
        <f t="shared" si="33"/>
        <v>4.6322196240640304E-3</v>
      </c>
      <c r="CJ52" s="261">
        <f t="shared" si="34"/>
        <v>5.2936118196245515E-3</v>
      </c>
      <c r="CK52" s="261">
        <f t="shared" si="35"/>
        <v>-2.62020899613848E-4</v>
      </c>
      <c r="CL52" s="261">
        <f t="shared" si="36"/>
        <v>2.0015946921793468E-4</v>
      </c>
      <c r="CM52" s="123" t="e">
        <f t="shared" si="73"/>
        <v>#DIV/0!</v>
      </c>
      <c r="CN52" s="123" t="e">
        <f t="shared" si="74"/>
        <v>#DIV/0!</v>
      </c>
      <c r="CO52" s="123" t="e">
        <f t="shared" si="75"/>
        <v>#DIV/0!</v>
      </c>
      <c r="CP52" s="123" t="e">
        <f t="shared" si="76"/>
        <v>#DIV/0!</v>
      </c>
      <c r="CQ52" s="123" t="e">
        <f t="shared" si="77"/>
        <v>#DIV/0!</v>
      </c>
      <c r="CR52" s="123" t="e">
        <f t="shared" si="78"/>
        <v>#DIV/0!</v>
      </c>
      <c r="CS52" s="123" t="e">
        <f t="shared" si="79"/>
        <v>#DIV/0!</v>
      </c>
      <c r="CT52" s="123" t="e">
        <f t="shared" si="80"/>
        <v>#DIV/0!</v>
      </c>
      <c r="CU52" s="124">
        <f t="shared" si="81"/>
        <v>4.9388614429463438</v>
      </c>
      <c r="CV52" s="173">
        <f t="shared" si="82"/>
        <v>6.3118282122260467</v>
      </c>
      <c r="CW52" s="124">
        <f t="shared" si="83"/>
        <v>0</v>
      </c>
      <c r="CX52" s="171">
        <f t="shared" si="84"/>
        <v>0</v>
      </c>
      <c r="CY52" s="122">
        <f t="shared" si="162"/>
        <v>38</v>
      </c>
      <c r="CZ52" s="231">
        <f t="shared" si="163"/>
        <v>61.774482758620721</v>
      </c>
      <c r="DA52" s="123">
        <f t="shared" si="164"/>
        <v>112.37931034482759</v>
      </c>
      <c r="DB52" s="123">
        <f t="shared" si="165"/>
        <v>113.43103448275862</v>
      </c>
      <c r="DC52" s="123">
        <f t="shared" si="166"/>
        <v>0.18138170498084291</v>
      </c>
      <c r="DD52" s="123">
        <f t="shared" si="167"/>
        <v>160.24062500000002</v>
      </c>
      <c r="DE52" s="123">
        <f t="shared" si="168"/>
        <v>321.22500000000002</v>
      </c>
      <c r="DF52" s="123">
        <f t="shared" si="169"/>
        <v>482.16562499999998</v>
      </c>
      <c r="DG52" s="123">
        <f t="shared" si="170"/>
        <v>600.12241379310342</v>
      </c>
      <c r="DH52" s="123">
        <f t="shared" si="171"/>
        <v>18.147758620689654</v>
      </c>
      <c r="DI52" s="123">
        <f t="shared" si="172"/>
        <v>41.771874999999987</v>
      </c>
      <c r="DJ52" s="123">
        <f t="shared" si="173"/>
        <v>83.715624999999989</v>
      </c>
      <c r="DK52" s="123">
        <f t="shared" si="174"/>
        <v>125.66249999999992</v>
      </c>
      <c r="DL52" s="123">
        <f t="shared" si="175"/>
        <v>156.53620689655173</v>
      </c>
      <c r="DM52" s="123">
        <f t="shared" si="176"/>
        <v>-2.0636206896551719</v>
      </c>
      <c r="DN52" s="123">
        <f t="shared" si="177"/>
        <v>95.224137931034477</v>
      </c>
      <c r="DO52" s="123">
        <f t="shared" si="178"/>
        <v>39.11724137931035</v>
      </c>
      <c r="DP52" s="123">
        <f t="shared" si="179"/>
        <v>73.460344827586226</v>
      </c>
      <c r="DQ52" s="123">
        <f t="shared" si="180"/>
        <v>100.47068965517242</v>
      </c>
      <c r="DR52" s="123">
        <f t="shared" si="181"/>
        <v>120.95172413793104</v>
      </c>
      <c r="DS52" s="123">
        <f t="shared" si="182"/>
        <v>1.3158524904214522E-2</v>
      </c>
      <c r="DT52" s="123">
        <f t="shared" si="183"/>
        <v>29.179310344827595</v>
      </c>
      <c r="DU52" s="261">
        <f t="shared" si="184"/>
        <v>4.9995275888133029E-3</v>
      </c>
      <c r="DV52" s="261">
        <f t="shared" si="185"/>
        <v>4.962915721844291E-3</v>
      </c>
      <c r="DW52" s="261">
        <f t="shared" si="186"/>
        <v>-3.0930715197956654E-5</v>
      </c>
      <c r="DX52" s="123" t="e">
        <f t="shared" si="187"/>
        <v>#DIV/0!</v>
      </c>
      <c r="DY52" s="123" t="e">
        <f t="shared" si="188"/>
        <v>#DIV/0!</v>
      </c>
      <c r="DZ52" s="123" t="e">
        <f t="shared" si="189"/>
        <v>#DIV/0!</v>
      </c>
      <c r="EA52" s="123" t="e">
        <f t="shared" si="190"/>
        <v>#DIV/0!</v>
      </c>
      <c r="EB52" s="176">
        <f t="shared" si="191"/>
        <v>5.6253448275861953</v>
      </c>
      <c r="EC52" s="125">
        <f t="shared" si="192"/>
        <v>0</v>
      </c>
      <c r="ED52" s="179">
        <f t="shared" si="102"/>
        <v>120</v>
      </c>
      <c r="EE52" s="125">
        <f t="shared" si="103"/>
        <v>100</v>
      </c>
      <c r="EF52" s="106"/>
      <c r="EG52" s="106"/>
    </row>
    <row r="53" spans="1:137" ht="11.25" customHeight="1">
      <c r="A53" s="82"/>
      <c r="B53" s="160"/>
      <c r="C53" s="257"/>
      <c r="D53" s="160"/>
      <c r="E53" s="160"/>
      <c r="F53" s="162"/>
      <c r="G53" s="274"/>
      <c r="H53" s="159"/>
      <c r="I53" s="159"/>
      <c r="J53" s="159"/>
      <c r="K53" s="159"/>
      <c r="L53" s="135"/>
      <c r="M53" s="271"/>
      <c r="N53" s="159"/>
      <c r="O53" s="159"/>
      <c r="P53" s="159"/>
      <c r="Q53" s="159"/>
      <c r="R53" s="136"/>
      <c r="S53" s="272"/>
      <c r="T53" s="161"/>
      <c r="U53" s="161"/>
      <c r="V53" s="161"/>
      <c r="W53" s="161"/>
      <c r="X53" s="186"/>
      <c r="Y53" s="186"/>
      <c r="Z53" s="184"/>
      <c r="AA53" s="161"/>
      <c r="AB53" s="260"/>
      <c r="AC53" s="260"/>
      <c r="AD53" s="273"/>
      <c r="AE53" s="166"/>
      <c r="AF53" s="166"/>
      <c r="AG53" s="222"/>
      <c r="AH53" s="166"/>
      <c r="AI53" s="155"/>
      <c r="AJ53" s="155"/>
      <c r="AK53" s="225"/>
      <c r="AL53" s="196"/>
      <c r="AM53" s="196"/>
      <c r="AN53" s="227"/>
      <c r="AO53" s="148">
        <f t="shared" si="53"/>
        <v>28.089877583208697</v>
      </c>
      <c r="AP53" s="149">
        <f t="shared" si="54"/>
        <v>47.910122416791303</v>
      </c>
      <c r="AQ53" s="149">
        <f t="shared" si="7"/>
        <v>61.691860138971634</v>
      </c>
      <c r="AR53" s="149">
        <f t="shared" si="8"/>
        <v>61.857105378269807</v>
      </c>
      <c r="AS53" s="149">
        <f t="shared" si="9"/>
        <v>109.94095976728137</v>
      </c>
      <c r="AT53" s="149">
        <f t="shared" si="10"/>
        <v>114.8176609223738</v>
      </c>
      <c r="AU53" s="149">
        <f t="shared" si="55"/>
        <v>111.93239626243108</v>
      </c>
      <c r="AV53" s="149">
        <f t="shared" si="56"/>
        <v>114.92967270308615</v>
      </c>
      <c r="AW53" s="149">
        <f t="shared" si="57"/>
        <v>0.17368036968193748</v>
      </c>
      <c r="AX53" s="149">
        <f t="shared" si="58"/>
        <v>0.18908304027974834</v>
      </c>
      <c r="AY53" s="123">
        <f t="shared" si="11"/>
        <v>156.83979641263412</v>
      </c>
      <c r="AZ53" s="123">
        <f t="shared" si="12"/>
        <v>163.64145358736593</v>
      </c>
      <c r="BA53" s="123">
        <f t="shared" si="13"/>
        <v>314.2100390293777</v>
      </c>
      <c r="BB53" s="123">
        <f t="shared" si="14"/>
        <v>328.23996097062235</v>
      </c>
      <c r="BC53" s="123">
        <f t="shared" si="15"/>
        <v>471.56159398390412</v>
      </c>
      <c r="BD53" s="123">
        <f t="shared" si="16"/>
        <v>492.76965601609584</v>
      </c>
      <c r="BE53" s="123">
        <f t="shared" si="17"/>
        <v>588.52671906979549</v>
      </c>
      <c r="BF53" s="123">
        <f t="shared" si="18"/>
        <v>611.71810851641135</v>
      </c>
      <c r="BG53" s="123">
        <f t="shared" si="19"/>
        <v>6.4247474531250646</v>
      </c>
      <c r="BH53" s="123">
        <f t="shared" si="20"/>
        <v>29.870769788254243</v>
      </c>
      <c r="BI53" s="123">
        <f t="shared" si="21"/>
        <v>41.634833977180243</v>
      </c>
      <c r="BJ53" s="123">
        <f t="shared" si="22"/>
        <v>41.908916022819731</v>
      </c>
      <c r="BK53" s="123">
        <f t="shared" si="23"/>
        <v>83.527280129290489</v>
      </c>
      <c r="BL53" s="123">
        <f t="shared" si="24"/>
        <v>83.903969870709489</v>
      </c>
      <c r="BM53" s="123">
        <f t="shared" si="25"/>
        <v>125.49642578417671</v>
      </c>
      <c r="BN53" s="123">
        <f t="shared" si="26"/>
        <v>125.82857421582314</v>
      </c>
      <c r="BO53" s="123">
        <f t="shared" si="27"/>
        <v>155.1049414176334</v>
      </c>
      <c r="BP53" s="123">
        <f t="shared" si="28"/>
        <v>157.96747237547007</v>
      </c>
      <c r="BQ53" s="123">
        <f t="shared" si="29"/>
        <v>-3.4739700111749907</v>
      </c>
      <c r="BR53" s="123">
        <f t="shared" si="30"/>
        <v>-0.65327136813535303</v>
      </c>
      <c r="BS53" s="123">
        <f t="shared" si="59"/>
        <v>56.437095452304185</v>
      </c>
      <c r="BT53" s="123">
        <f t="shared" si="60"/>
        <v>134.01118040976476</v>
      </c>
      <c r="BU53" s="123">
        <f t="shared" si="61"/>
        <v>35.424087856897714</v>
      </c>
      <c r="BV53" s="123">
        <f t="shared" si="62"/>
        <v>42.810394901722987</v>
      </c>
      <c r="BW53" s="123">
        <f t="shared" si="63"/>
        <v>68.667936470774464</v>
      </c>
      <c r="BX53" s="123">
        <f t="shared" si="64"/>
        <v>78.252753184397989</v>
      </c>
      <c r="BY53" s="123">
        <f t="shared" si="65"/>
        <v>94.547228197183259</v>
      </c>
      <c r="BZ53" s="123">
        <f t="shared" si="66"/>
        <v>106.39415111316158</v>
      </c>
      <c r="CA53" s="123">
        <f t="shared" si="67"/>
        <v>114.2973449594912</v>
      </c>
      <c r="CB53" s="123">
        <f t="shared" si="68"/>
        <v>127.60610331637088</v>
      </c>
      <c r="CC53" s="123">
        <f t="shared" si="69"/>
        <v>1.1625982470516784E-2</v>
      </c>
      <c r="CD53" s="123">
        <f t="shared" si="70"/>
        <v>1.4691067337912261E-2</v>
      </c>
      <c r="CE53" s="123">
        <f t="shared" si="71"/>
        <v>28.696690452912026</v>
      </c>
      <c r="CF53" s="123">
        <f t="shared" si="72"/>
        <v>29.661930236743164</v>
      </c>
      <c r="CG53" s="261">
        <f t="shared" si="31"/>
        <v>4.6579973341037062E-3</v>
      </c>
      <c r="CH53" s="261">
        <f t="shared" si="32"/>
        <v>5.3410578435228997E-3</v>
      </c>
      <c r="CI53" s="261">
        <f t="shared" si="33"/>
        <v>4.6322196240640304E-3</v>
      </c>
      <c r="CJ53" s="261">
        <f t="shared" si="34"/>
        <v>5.2936118196245515E-3</v>
      </c>
      <c r="CK53" s="261">
        <f t="shared" si="35"/>
        <v>-2.62020899613848E-4</v>
      </c>
      <c r="CL53" s="261">
        <f t="shared" si="36"/>
        <v>2.0015946921793468E-4</v>
      </c>
      <c r="CM53" s="123" t="e">
        <f t="shared" si="73"/>
        <v>#DIV/0!</v>
      </c>
      <c r="CN53" s="123" t="e">
        <f t="shared" si="74"/>
        <v>#DIV/0!</v>
      </c>
      <c r="CO53" s="123" t="e">
        <f t="shared" si="75"/>
        <v>#DIV/0!</v>
      </c>
      <c r="CP53" s="123" t="e">
        <f t="shared" si="76"/>
        <v>#DIV/0!</v>
      </c>
      <c r="CQ53" s="123" t="e">
        <f t="shared" si="77"/>
        <v>#DIV/0!</v>
      </c>
      <c r="CR53" s="123" t="e">
        <f t="shared" si="78"/>
        <v>#DIV/0!</v>
      </c>
      <c r="CS53" s="123" t="e">
        <f t="shared" si="79"/>
        <v>#DIV/0!</v>
      </c>
      <c r="CT53" s="123" t="e">
        <f t="shared" si="80"/>
        <v>#DIV/0!</v>
      </c>
      <c r="CU53" s="124">
        <f t="shared" si="81"/>
        <v>4.9388614429463438</v>
      </c>
      <c r="CV53" s="173">
        <f t="shared" si="82"/>
        <v>6.3118282122260467</v>
      </c>
      <c r="CW53" s="124">
        <f t="shared" si="83"/>
        <v>0</v>
      </c>
      <c r="CX53" s="171">
        <f t="shared" si="84"/>
        <v>0</v>
      </c>
      <c r="CY53" s="122">
        <f t="shared" si="162"/>
        <v>38</v>
      </c>
      <c r="CZ53" s="231">
        <f t="shared" si="163"/>
        <v>61.774482758620721</v>
      </c>
      <c r="DA53" s="123">
        <f t="shared" si="164"/>
        <v>112.37931034482759</v>
      </c>
      <c r="DB53" s="123">
        <f t="shared" si="165"/>
        <v>113.43103448275862</v>
      </c>
      <c r="DC53" s="123">
        <f t="shared" si="166"/>
        <v>0.18138170498084291</v>
      </c>
      <c r="DD53" s="123">
        <f t="shared" si="167"/>
        <v>160.24062500000002</v>
      </c>
      <c r="DE53" s="123">
        <f t="shared" si="168"/>
        <v>321.22500000000002</v>
      </c>
      <c r="DF53" s="123">
        <f t="shared" si="169"/>
        <v>482.16562499999998</v>
      </c>
      <c r="DG53" s="123">
        <f t="shared" si="170"/>
        <v>600.12241379310342</v>
      </c>
      <c r="DH53" s="123">
        <f t="shared" si="171"/>
        <v>18.147758620689654</v>
      </c>
      <c r="DI53" s="123">
        <f t="shared" si="172"/>
        <v>41.771874999999987</v>
      </c>
      <c r="DJ53" s="123">
        <f t="shared" si="173"/>
        <v>83.715624999999989</v>
      </c>
      <c r="DK53" s="123">
        <f t="shared" si="174"/>
        <v>125.66249999999992</v>
      </c>
      <c r="DL53" s="123">
        <f t="shared" si="175"/>
        <v>156.53620689655173</v>
      </c>
      <c r="DM53" s="123">
        <f t="shared" si="176"/>
        <v>-2.0636206896551719</v>
      </c>
      <c r="DN53" s="123">
        <f t="shared" si="177"/>
        <v>95.224137931034477</v>
      </c>
      <c r="DO53" s="123">
        <f t="shared" si="178"/>
        <v>39.11724137931035</v>
      </c>
      <c r="DP53" s="123">
        <f t="shared" si="179"/>
        <v>73.460344827586226</v>
      </c>
      <c r="DQ53" s="123">
        <f t="shared" si="180"/>
        <v>100.47068965517242</v>
      </c>
      <c r="DR53" s="123">
        <f t="shared" si="181"/>
        <v>120.95172413793104</v>
      </c>
      <c r="DS53" s="123">
        <f t="shared" si="182"/>
        <v>1.3158524904214522E-2</v>
      </c>
      <c r="DT53" s="123">
        <f t="shared" si="183"/>
        <v>29.179310344827595</v>
      </c>
      <c r="DU53" s="261">
        <f t="shared" si="184"/>
        <v>4.9995275888133029E-3</v>
      </c>
      <c r="DV53" s="261">
        <f t="shared" si="185"/>
        <v>4.962915721844291E-3</v>
      </c>
      <c r="DW53" s="261">
        <f t="shared" si="186"/>
        <v>-3.0930715197956654E-5</v>
      </c>
      <c r="DX53" s="123" t="e">
        <f t="shared" si="187"/>
        <v>#DIV/0!</v>
      </c>
      <c r="DY53" s="123" t="e">
        <f t="shared" si="188"/>
        <v>#DIV/0!</v>
      </c>
      <c r="DZ53" s="123" t="e">
        <f t="shared" si="189"/>
        <v>#DIV/0!</v>
      </c>
      <c r="EA53" s="123" t="e">
        <f t="shared" si="190"/>
        <v>#DIV/0!</v>
      </c>
      <c r="EB53" s="176">
        <f t="shared" si="191"/>
        <v>5.6253448275861953</v>
      </c>
      <c r="EC53" s="125">
        <f t="shared" si="192"/>
        <v>0</v>
      </c>
      <c r="ED53" s="179">
        <f t="shared" si="102"/>
        <v>120</v>
      </c>
      <c r="EE53" s="125">
        <f t="shared" si="103"/>
        <v>100</v>
      </c>
      <c r="EF53" s="106"/>
      <c r="EG53" s="106"/>
    </row>
    <row r="54" spans="1:137" ht="11.25" customHeight="1">
      <c r="A54" s="82"/>
      <c r="B54" s="160"/>
      <c r="C54" s="257"/>
      <c r="D54" s="160"/>
      <c r="E54" s="160"/>
      <c r="F54" s="162"/>
      <c r="G54" s="274"/>
      <c r="H54" s="159"/>
      <c r="I54" s="159"/>
      <c r="J54" s="159"/>
      <c r="K54" s="159"/>
      <c r="L54" s="135"/>
      <c r="M54" s="271"/>
      <c r="N54" s="159"/>
      <c r="O54" s="159"/>
      <c r="P54" s="159"/>
      <c r="Q54" s="159"/>
      <c r="R54" s="136"/>
      <c r="S54" s="272"/>
      <c r="T54" s="161"/>
      <c r="U54" s="161"/>
      <c r="V54" s="161"/>
      <c r="W54" s="161"/>
      <c r="X54" s="186"/>
      <c r="Y54" s="186"/>
      <c r="Z54" s="184"/>
      <c r="AA54" s="161"/>
      <c r="AB54" s="260"/>
      <c r="AC54" s="260"/>
      <c r="AD54" s="273"/>
      <c r="AE54" s="166"/>
      <c r="AF54" s="166"/>
      <c r="AG54" s="222"/>
      <c r="AH54" s="166"/>
      <c r="AI54" s="155"/>
      <c r="AJ54" s="155"/>
      <c r="AK54" s="225"/>
      <c r="AL54" s="196"/>
      <c r="AM54" s="196"/>
      <c r="AN54" s="227"/>
      <c r="AO54" s="148">
        <f t="shared" si="53"/>
        <v>28.089877583208697</v>
      </c>
      <c r="AP54" s="149">
        <f t="shared" si="54"/>
        <v>47.910122416791303</v>
      </c>
      <c r="AQ54" s="149">
        <f t="shared" si="7"/>
        <v>61.691860138971634</v>
      </c>
      <c r="AR54" s="149">
        <f t="shared" si="8"/>
        <v>61.857105378269807</v>
      </c>
      <c r="AS54" s="149">
        <f t="shared" si="9"/>
        <v>109.94095976728137</v>
      </c>
      <c r="AT54" s="149">
        <f t="shared" si="10"/>
        <v>114.8176609223738</v>
      </c>
      <c r="AU54" s="149">
        <f t="shared" si="55"/>
        <v>111.93239626243108</v>
      </c>
      <c r="AV54" s="149">
        <f t="shared" si="56"/>
        <v>114.92967270308615</v>
      </c>
      <c r="AW54" s="149">
        <f t="shared" si="57"/>
        <v>0.17368036968193748</v>
      </c>
      <c r="AX54" s="149">
        <f t="shared" si="58"/>
        <v>0.18908304027974834</v>
      </c>
      <c r="AY54" s="123">
        <f t="shared" si="11"/>
        <v>156.83979641263412</v>
      </c>
      <c r="AZ54" s="123">
        <f t="shared" si="12"/>
        <v>163.64145358736593</v>
      </c>
      <c r="BA54" s="123">
        <f t="shared" si="13"/>
        <v>314.2100390293777</v>
      </c>
      <c r="BB54" s="123">
        <f t="shared" si="14"/>
        <v>328.23996097062235</v>
      </c>
      <c r="BC54" s="123">
        <f t="shared" si="15"/>
        <v>471.56159398390412</v>
      </c>
      <c r="BD54" s="123">
        <f t="shared" si="16"/>
        <v>492.76965601609584</v>
      </c>
      <c r="BE54" s="123">
        <f t="shared" si="17"/>
        <v>588.52671906979549</v>
      </c>
      <c r="BF54" s="123">
        <f t="shared" si="18"/>
        <v>611.71810851641135</v>
      </c>
      <c r="BG54" s="123">
        <f t="shared" si="19"/>
        <v>6.4247474531250646</v>
      </c>
      <c r="BH54" s="123">
        <f t="shared" si="20"/>
        <v>29.870769788254243</v>
      </c>
      <c r="BI54" s="123">
        <f t="shared" si="21"/>
        <v>41.634833977180243</v>
      </c>
      <c r="BJ54" s="123">
        <f t="shared" si="22"/>
        <v>41.908916022819731</v>
      </c>
      <c r="BK54" s="123">
        <f t="shared" si="23"/>
        <v>83.527280129290489</v>
      </c>
      <c r="BL54" s="123">
        <f t="shared" si="24"/>
        <v>83.903969870709489</v>
      </c>
      <c r="BM54" s="123">
        <f t="shared" si="25"/>
        <v>125.49642578417671</v>
      </c>
      <c r="BN54" s="123">
        <f t="shared" si="26"/>
        <v>125.82857421582314</v>
      </c>
      <c r="BO54" s="123">
        <f t="shared" si="27"/>
        <v>155.1049414176334</v>
      </c>
      <c r="BP54" s="123">
        <f t="shared" si="28"/>
        <v>157.96747237547007</v>
      </c>
      <c r="BQ54" s="123">
        <f t="shared" si="29"/>
        <v>-3.4739700111749907</v>
      </c>
      <c r="BR54" s="123">
        <f t="shared" si="30"/>
        <v>-0.65327136813535303</v>
      </c>
      <c r="BS54" s="123">
        <f t="shared" si="59"/>
        <v>56.437095452304185</v>
      </c>
      <c r="BT54" s="123">
        <f t="shared" si="60"/>
        <v>134.01118040976476</v>
      </c>
      <c r="BU54" s="123">
        <f t="shared" si="61"/>
        <v>35.424087856897714</v>
      </c>
      <c r="BV54" s="123">
        <f t="shared" si="62"/>
        <v>42.810394901722987</v>
      </c>
      <c r="BW54" s="123">
        <f t="shared" si="63"/>
        <v>68.667936470774464</v>
      </c>
      <c r="BX54" s="123">
        <f t="shared" si="64"/>
        <v>78.252753184397989</v>
      </c>
      <c r="BY54" s="123">
        <f t="shared" si="65"/>
        <v>94.547228197183259</v>
      </c>
      <c r="BZ54" s="123">
        <f t="shared" si="66"/>
        <v>106.39415111316158</v>
      </c>
      <c r="CA54" s="123">
        <f t="shared" si="67"/>
        <v>114.2973449594912</v>
      </c>
      <c r="CB54" s="123">
        <f t="shared" si="68"/>
        <v>127.60610331637088</v>
      </c>
      <c r="CC54" s="123">
        <f t="shared" si="69"/>
        <v>1.1625982470516784E-2</v>
      </c>
      <c r="CD54" s="123">
        <f t="shared" si="70"/>
        <v>1.4691067337912261E-2</v>
      </c>
      <c r="CE54" s="123">
        <f t="shared" si="71"/>
        <v>28.696690452912026</v>
      </c>
      <c r="CF54" s="123">
        <f t="shared" si="72"/>
        <v>29.661930236743164</v>
      </c>
      <c r="CG54" s="261">
        <f t="shared" si="31"/>
        <v>4.6579973341037062E-3</v>
      </c>
      <c r="CH54" s="261">
        <f t="shared" si="32"/>
        <v>5.3410578435228997E-3</v>
      </c>
      <c r="CI54" s="261">
        <f t="shared" si="33"/>
        <v>4.6322196240640304E-3</v>
      </c>
      <c r="CJ54" s="261">
        <f t="shared" si="34"/>
        <v>5.2936118196245515E-3</v>
      </c>
      <c r="CK54" s="261">
        <f t="shared" si="35"/>
        <v>-2.62020899613848E-4</v>
      </c>
      <c r="CL54" s="261">
        <f t="shared" si="36"/>
        <v>2.0015946921793468E-4</v>
      </c>
      <c r="CM54" s="123" t="e">
        <f t="shared" si="73"/>
        <v>#DIV/0!</v>
      </c>
      <c r="CN54" s="123" t="e">
        <f t="shared" si="74"/>
        <v>#DIV/0!</v>
      </c>
      <c r="CO54" s="123" t="e">
        <f t="shared" si="75"/>
        <v>#DIV/0!</v>
      </c>
      <c r="CP54" s="123" t="e">
        <f t="shared" si="76"/>
        <v>#DIV/0!</v>
      </c>
      <c r="CQ54" s="123" t="e">
        <f t="shared" si="77"/>
        <v>#DIV/0!</v>
      </c>
      <c r="CR54" s="123" t="e">
        <f t="shared" si="78"/>
        <v>#DIV/0!</v>
      </c>
      <c r="CS54" s="123" t="e">
        <f t="shared" si="79"/>
        <v>#DIV/0!</v>
      </c>
      <c r="CT54" s="123" t="e">
        <f t="shared" si="80"/>
        <v>#DIV/0!</v>
      </c>
      <c r="CU54" s="124">
        <f t="shared" si="81"/>
        <v>4.9388614429463438</v>
      </c>
      <c r="CV54" s="173">
        <f t="shared" si="82"/>
        <v>6.3118282122260467</v>
      </c>
      <c r="CW54" s="124">
        <f t="shared" si="83"/>
        <v>0</v>
      </c>
      <c r="CX54" s="171">
        <f t="shared" si="84"/>
        <v>0</v>
      </c>
      <c r="CY54" s="122">
        <f t="shared" si="162"/>
        <v>38</v>
      </c>
      <c r="CZ54" s="231">
        <f t="shared" si="163"/>
        <v>61.774482758620721</v>
      </c>
      <c r="DA54" s="123">
        <f t="shared" si="164"/>
        <v>112.37931034482759</v>
      </c>
      <c r="DB54" s="123">
        <f t="shared" si="165"/>
        <v>113.43103448275862</v>
      </c>
      <c r="DC54" s="123">
        <f t="shared" si="166"/>
        <v>0.18138170498084291</v>
      </c>
      <c r="DD54" s="123">
        <f t="shared" si="167"/>
        <v>160.24062500000002</v>
      </c>
      <c r="DE54" s="123">
        <f t="shared" si="168"/>
        <v>321.22500000000002</v>
      </c>
      <c r="DF54" s="123">
        <f t="shared" si="169"/>
        <v>482.16562499999998</v>
      </c>
      <c r="DG54" s="123">
        <f t="shared" si="170"/>
        <v>600.12241379310342</v>
      </c>
      <c r="DH54" s="123">
        <f t="shared" si="171"/>
        <v>18.147758620689654</v>
      </c>
      <c r="DI54" s="123">
        <f t="shared" si="172"/>
        <v>41.771874999999987</v>
      </c>
      <c r="DJ54" s="123">
        <f t="shared" si="173"/>
        <v>83.715624999999989</v>
      </c>
      <c r="DK54" s="123">
        <f t="shared" si="174"/>
        <v>125.66249999999992</v>
      </c>
      <c r="DL54" s="123">
        <f t="shared" si="175"/>
        <v>156.53620689655173</v>
      </c>
      <c r="DM54" s="123">
        <f t="shared" si="176"/>
        <v>-2.0636206896551719</v>
      </c>
      <c r="DN54" s="123">
        <f t="shared" si="177"/>
        <v>95.224137931034477</v>
      </c>
      <c r="DO54" s="123">
        <f t="shared" si="178"/>
        <v>39.11724137931035</v>
      </c>
      <c r="DP54" s="123">
        <f t="shared" si="179"/>
        <v>73.460344827586226</v>
      </c>
      <c r="DQ54" s="123">
        <f t="shared" si="180"/>
        <v>100.47068965517242</v>
      </c>
      <c r="DR54" s="123">
        <f t="shared" si="181"/>
        <v>120.95172413793104</v>
      </c>
      <c r="DS54" s="123">
        <f t="shared" si="182"/>
        <v>1.3158524904214522E-2</v>
      </c>
      <c r="DT54" s="123">
        <f t="shared" si="183"/>
        <v>29.179310344827595</v>
      </c>
      <c r="DU54" s="261">
        <f t="shared" si="184"/>
        <v>4.9995275888133029E-3</v>
      </c>
      <c r="DV54" s="261">
        <f t="shared" si="185"/>
        <v>4.962915721844291E-3</v>
      </c>
      <c r="DW54" s="261">
        <f t="shared" si="186"/>
        <v>-3.0930715197956654E-5</v>
      </c>
      <c r="DX54" s="123" t="e">
        <f t="shared" si="187"/>
        <v>#DIV/0!</v>
      </c>
      <c r="DY54" s="123" t="e">
        <f t="shared" si="188"/>
        <v>#DIV/0!</v>
      </c>
      <c r="DZ54" s="123" t="e">
        <f t="shared" si="189"/>
        <v>#DIV/0!</v>
      </c>
      <c r="EA54" s="123" t="e">
        <f t="shared" si="190"/>
        <v>#DIV/0!</v>
      </c>
      <c r="EB54" s="176">
        <f t="shared" si="191"/>
        <v>5.6253448275861953</v>
      </c>
      <c r="EC54" s="125">
        <f t="shared" si="192"/>
        <v>0</v>
      </c>
      <c r="ED54" s="179">
        <f t="shared" si="102"/>
        <v>120</v>
      </c>
      <c r="EE54" s="125">
        <f t="shared" si="103"/>
        <v>100</v>
      </c>
      <c r="EF54" s="106"/>
      <c r="EG54" s="106"/>
    </row>
    <row r="55" spans="1:137" ht="11.25" customHeight="1">
      <c r="A55" s="82"/>
      <c r="B55" s="160"/>
      <c r="C55" s="257"/>
      <c r="D55" s="160"/>
      <c r="E55" s="160"/>
      <c r="F55" s="162"/>
      <c r="G55" s="274"/>
      <c r="H55" s="159"/>
      <c r="I55" s="159"/>
      <c r="J55" s="159"/>
      <c r="K55" s="159"/>
      <c r="L55" s="135"/>
      <c r="M55" s="271"/>
      <c r="N55" s="159"/>
      <c r="O55" s="159"/>
      <c r="P55" s="159"/>
      <c r="Q55" s="159"/>
      <c r="R55" s="136"/>
      <c r="S55" s="272"/>
      <c r="T55" s="161"/>
      <c r="U55" s="161"/>
      <c r="V55" s="161"/>
      <c r="W55" s="161"/>
      <c r="X55" s="186"/>
      <c r="Y55" s="186"/>
      <c r="Z55" s="184"/>
      <c r="AA55" s="161"/>
      <c r="AB55" s="273"/>
      <c r="AC55" s="260"/>
      <c r="AD55" s="273"/>
      <c r="AE55" s="166"/>
      <c r="AF55" s="166"/>
      <c r="AG55" s="222"/>
      <c r="AH55" s="166"/>
      <c r="AI55" s="155"/>
      <c r="AJ55" s="155"/>
      <c r="AK55" s="225"/>
      <c r="AL55" s="196"/>
      <c r="AM55" s="196"/>
      <c r="AN55" s="227"/>
      <c r="AO55" s="148">
        <f t="shared" si="53"/>
        <v>28.089877583208697</v>
      </c>
      <c r="AP55" s="149">
        <f t="shared" si="54"/>
        <v>47.910122416791303</v>
      </c>
      <c r="AQ55" s="149">
        <f t="shared" si="7"/>
        <v>61.691860138971634</v>
      </c>
      <c r="AR55" s="149">
        <f t="shared" si="8"/>
        <v>61.857105378269807</v>
      </c>
      <c r="AS55" s="149">
        <f t="shared" si="9"/>
        <v>109.94095976728137</v>
      </c>
      <c r="AT55" s="149">
        <f t="shared" si="10"/>
        <v>114.8176609223738</v>
      </c>
      <c r="AU55" s="149">
        <f t="shared" si="55"/>
        <v>111.93239626243108</v>
      </c>
      <c r="AV55" s="149">
        <f t="shared" si="56"/>
        <v>114.92967270308615</v>
      </c>
      <c r="AW55" s="149">
        <f t="shared" si="57"/>
        <v>0.17368036968193748</v>
      </c>
      <c r="AX55" s="149">
        <f t="shared" si="58"/>
        <v>0.18908304027974834</v>
      </c>
      <c r="AY55" s="123">
        <f t="shared" si="11"/>
        <v>156.83979641263412</v>
      </c>
      <c r="AZ55" s="123">
        <f t="shared" si="12"/>
        <v>163.64145358736593</v>
      </c>
      <c r="BA55" s="123">
        <f t="shared" si="13"/>
        <v>314.2100390293777</v>
      </c>
      <c r="BB55" s="123">
        <f t="shared" si="14"/>
        <v>328.23996097062235</v>
      </c>
      <c r="BC55" s="123">
        <f t="shared" si="15"/>
        <v>471.56159398390412</v>
      </c>
      <c r="BD55" s="123">
        <f t="shared" si="16"/>
        <v>492.76965601609584</v>
      </c>
      <c r="BE55" s="123">
        <f t="shared" si="17"/>
        <v>588.52671906979549</v>
      </c>
      <c r="BF55" s="123">
        <f t="shared" si="18"/>
        <v>611.71810851641135</v>
      </c>
      <c r="BG55" s="123">
        <f t="shared" si="19"/>
        <v>6.4247474531250646</v>
      </c>
      <c r="BH55" s="123">
        <f t="shared" si="20"/>
        <v>29.870769788254243</v>
      </c>
      <c r="BI55" s="123">
        <f t="shared" si="21"/>
        <v>41.634833977180243</v>
      </c>
      <c r="BJ55" s="123">
        <f t="shared" si="22"/>
        <v>41.908916022819731</v>
      </c>
      <c r="BK55" s="123">
        <f t="shared" si="23"/>
        <v>83.527280129290489</v>
      </c>
      <c r="BL55" s="123">
        <f t="shared" si="24"/>
        <v>83.903969870709489</v>
      </c>
      <c r="BM55" s="123">
        <f t="shared" si="25"/>
        <v>125.49642578417671</v>
      </c>
      <c r="BN55" s="123">
        <f t="shared" si="26"/>
        <v>125.82857421582314</v>
      </c>
      <c r="BO55" s="123">
        <f t="shared" si="27"/>
        <v>155.1049414176334</v>
      </c>
      <c r="BP55" s="123">
        <f t="shared" si="28"/>
        <v>157.96747237547007</v>
      </c>
      <c r="BQ55" s="123">
        <f t="shared" si="29"/>
        <v>-3.4739700111749907</v>
      </c>
      <c r="BR55" s="123">
        <f t="shared" si="30"/>
        <v>-0.65327136813535303</v>
      </c>
      <c r="BS55" s="123">
        <f t="shared" si="59"/>
        <v>56.437095452304185</v>
      </c>
      <c r="BT55" s="123">
        <f t="shared" si="60"/>
        <v>134.01118040976476</v>
      </c>
      <c r="BU55" s="123">
        <f t="shared" si="61"/>
        <v>35.424087856897714</v>
      </c>
      <c r="BV55" s="123">
        <f t="shared" si="62"/>
        <v>42.810394901722987</v>
      </c>
      <c r="BW55" s="123">
        <f t="shared" si="63"/>
        <v>68.667936470774464</v>
      </c>
      <c r="BX55" s="123">
        <f t="shared" si="64"/>
        <v>78.252753184397989</v>
      </c>
      <c r="BY55" s="123">
        <f t="shared" si="65"/>
        <v>94.547228197183259</v>
      </c>
      <c r="BZ55" s="123">
        <f t="shared" si="66"/>
        <v>106.39415111316158</v>
      </c>
      <c r="CA55" s="123">
        <f t="shared" si="67"/>
        <v>114.2973449594912</v>
      </c>
      <c r="CB55" s="123">
        <f t="shared" si="68"/>
        <v>127.60610331637088</v>
      </c>
      <c r="CC55" s="123">
        <f t="shared" si="69"/>
        <v>1.1625982470516784E-2</v>
      </c>
      <c r="CD55" s="123">
        <f t="shared" si="70"/>
        <v>1.4691067337912261E-2</v>
      </c>
      <c r="CE55" s="123">
        <f t="shared" si="71"/>
        <v>28.696690452912026</v>
      </c>
      <c r="CF55" s="123">
        <f t="shared" si="72"/>
        <v>29.661930236743164</v>
      </c>
      <c r="CG55" s="261">
        <f t="shared" si="31"/>
        <v>4.6579973341037062E-3</v>
      </c>
      <c r="CH55" s="261">
        <f t="shared" si="32"/>
        <v>5.3410578435228997E-3</v>
      </c>
      <c r="CI55" s="261">
        <f t="shared" si="33"/>
        <v>4.6322196240640304E-3</v>
      </c>
      <c r="CJ55" s="261">
        <f t="shared" si="34"/>
        <v>5.2936118196245515E-3</v>
      </c>
      <c r="CK55" s="261">
        <f t="shared" si="35"/>
        <v>-2.62020899613848E-4</v>
      </c>
      <c r="CL55" s="261">
        <f t="shared" si="36"/>
        <v>2.0015946921793468E-4</v>
      </c>
      <c r="CM55" s="123" t="e">
        <f t="shared" si="73"/>
        <v>#DIV/0!</v>
      </c>
      <c r="CN55" s="123" t="e">
        <f t="shared" si="74"/>
        <v>#DIV/0!</v>
      </c>
      <c r="CO55" s="123" t="e">
        <f t="shared" si="75"/>
        <v>#DIV/0!</v>
      </c>
      <c r="CP55" s="123" t="e">
        <f t="shared" si="76"/>
        <v>#DIV/0!</v>
      </c>
      <c r="CQ55" s="123" t="e">
        <f t="shared" si="77"/>
        <v>#DIV/0!</v>
      </c>
      <c r="CR55" s="123" t="e">
        <f t="shared" si="78"/>
        <v>#DIV/0!</v>
      </c>
      <c r="CS55" s="123" t="e">
        <f t="shared" si="79"/>
        <v>#DIV/0!</v>
      </c>
      <c r="CT55" s="123" t="e">
        <f t="shared" si="80"/>
        <v>#DIV/0!</v>
      </c>
      <c r="CU55" s="124">
        <f t="shared" si="81"/>
        <v>4.9388614429463438</v>
      </c>
      <c r="CV55" s="173">
        <f t="shared" si="82"/>
        <v>6.3118282122260467</v>
      </c>
      <c r="CW55" s="124">
        <f t="shared" si="83"/>
        <v>0</v>
      </c>
      <c r="CX55" s="171">
        <f t="shared" si="84"/>
        <v>0</v>
      </c>
      <c r="CY55" s="122">
        <f t="shared" si="162"/>
        <v>38</v>
      </c>
      <c r="CZ55" s="231">
        <f t="shared" si="163"/>
        <v>61.774482758620721</v>
      </c>
      <c r="DA55" s="123">
        <f t="shared" si="164"/>
        <v>112.37931034482759</v>
      </c>
      <c r="DB55" s="123">
        <f t="shared" si="165"/>
        <v>113.43103448275862</v>
      </c>
      <c r="DC55" s="123">
        <f t="shared" si="166"/>
        <v>0.18138170498084291</v>
      </c>
      <c r="DD55" s="123">
        <f t="shared" si="167"/>
        <v>160.24062500000002</v>
      </c>
      <c r="DE55" s="123">
        <f t="shared" si="168"/>
        <v>321.22500000000002</v>
      </c>
      <c r="DF55" s="123">
        <f t="shared" si="169"/>
        <v>482.16562499999998</v>
      </c>
      <c r="DG55" s="123">
        <f t="shared" si="170"/>
        <v>600.12241379310342</v>
      </c>
      <c r="DH55" s="123">
        <f t="shared" si="171"/>
        <v>18.147758620689654</v>
      </c>
      <c r="DI55" s="123">
        <f t="shared" si="172"/>
        <v>41.771874999999987</v>
      </c>
      <c r="DJ55" s="123">
        <f t="shared" si="173"/>
        <v>83.715624999999989</v>
      </c>
      <c r="DK55" s="123">
        <f t="shared" si="174"/>
        <v>125.66249999999992</v>
      </c>
      <c r="DL55" s="123">
        <f t="shared" si="175"/>
        <v>156.53620689655173</v>
      </c>
      <c r="DM55" s="123">
        <f t="shared" si="176"/>
        <v>-2.0636206896551719</v>
      </c>
      <c r="DN55" s="123">
        <f t="shared" si="177"/>
        <v>95.224137931034477</v>
      </c>
      <c r="DO55" s="123">
        <f t="shared" si="178"/>
        <v>39.11724137931035</v>
      </c>
      <c r="DP55" s="123">
        <f t="shared" si="179"/>
        <v>73.460344827586226</v>
      </c>
      <c r="DQ55" s="123">
        <f t="shared" si="180"/>
        <v>100.47068965517242</v>
      </c>
      <c r="DR55" s="123">
        <f t="shared" si="181"/>
        <v>120.95172413793104</v>
      </c>
      <c r="DS55" s="123">
        <f t="shared" si="182"/>
        <v>1.3158524904214522E-2</v>
      </c>
      <c r="DT55" s="123">
        <f t="shared" si="183"/>
        <v>29.179310344827595</v>
      </c>
      <c r="DU55" s="261">
        <f t="shared" si="184"/>
        <v>4.9995275888133029E-3</v>
      </c>
      <c r="DV55" s="261">
        <f t="shared" si="185"/>
        <v>4.962915721844291E-3</v>
      </c>
      <c r="DW55" s="261">
        <f t="shared" si="186"/>
        <v>-3.0930715197956654E-5</v>
      </c>
      <c r="DX55" s="123" t="e">
        <f t="shared" si="187"/>
        <v>#DIV/0!</v>
      </c>
      <c r="DY55" s="123" t="e">
        <f t="shared" si="188"/>
        <v>#DIV/0!</v>
      </c>
      <c r="DZ55" s="123" t="e">
        <f t="shared" si="189"/>
        <v>#DIV/0!</v>
      </c>
      <c r="EA55" s="123" t="e">
        <f t="shared" si="190"/>
        <v>#DIV/0!</v>
      </c>
      <c r="EB55" s="176">
        <f t="shared" si="191"/>
        <v>5.6253448275861953</v>
      </c>
      <c r="EC55" s="125">
        <f t="shared" si="192"/>
        <v>0</v>
      </c>
      <c r="ED55" s="179">
        <f t="shared" si="102"/>
        <v>120</v>
      </c>
      <c r="EE55" s="125">
        <f t="shared" si="103"/>
        <v>100</v>
      </c>
      <c r="EF55" s="106"/>
      <c r="EG55" s="106"/>
    </row>
    <row r="56" spans="1:137" ht="11.25" customHeight="1">
      <c r="A56" s="82"/>
      <c r="B56" s="160"/>
      <c r="C56" s="257"/>
      <c r="D56" s="160"/>
      <c r="E56" s="160"/>
      <c r="F56" s="162"/>
      <c r="G56" s="274"/>
      <c r="H56" s="159"/>
      <c r="I56" s="159"/>
      <c r="J56" s="159"/>
      <c r="K56" s="159"/>
      <c r="L56" s="135"/>
      <c r="M56" s="271"/>
      <c r="N56" s="159"/>
      <c r="O56" s="159"/>
      <c r="P56" s="159"/>
      <c r="Q56" s="159"/>
      <c r="R56" s="136"/>
      <c r="S56" s="272"/>
      <c r="T56" s="161"/>
      <c r="U56" s="161"/>
      <c r="V56" s="161"/>
      <c r="W56" s="161"/>
      <c r="X56" s="186"/>
      <c r="Y56" s="186"/>
      <c r="Z56" s="184"/>
      <c r="AA56" s="161"/>
      <c r="AB56" s="260"/>
      <c r="AC56" s="260"/>
      <c r="AD56" s="273"/>
      <c r="AE56" s="166"/>
      <c r="AF56" s="166"/>
      <c r="AG56" s="222"/>
      <c r="AH56" s="166"/>
      <c r="AI56" s="155"/>
      <c r="AJ56" s="155"/>
      <c r="AK56" s="225"/>
      <c r="AL56" s="196"/>
      <c r="AM56" s="196"/>
      <c r="AN56" s="227"/>
      <c r="AO56" s="148">
        <f t="shared" si="53"/>
        <v>28.089877583208697</v>
      </c>
      <c r="AP56" s="149">
        <f t="shared" si="54"/>
        <v>47.910122416791303</v>
      </c>
      <c r="AQ56" s="149">
        <f t="shared" si="7"/>
        <v>61.691860138971634</v>
      </c>
      <c r="AR56" s="149">
        <f t="shared" si="8"/>
        <v>61.857105378269807</v>
      </c>
      <c r="AS56" s="149">
        <f t="shared" si="9"/>
        <v>109.94095976728137</v>
      </c>
      <c r="AT56" s="149">
        <f t="shared" si="10"/>
        <v>114.8176609223738</v>
      </c>
      <c r="AU56" s="149">
        <f t="shared" si="55"/>
        <v>111.93239626243108</v>
      </c>
      <c r="AV56" s="149">
        <f t="shared" si="56"/>
        <v>114.92967270308615</v>
      </c>
      <c r="AW56" s="149">
        <f t="shared" si="57"/>
        <v>0.17368036968193748</v>
      </c>
      <c r="AX56" s="149">
        <f t="shared" si="58"/>
        <v>0.18908304027974834</v>
      </c>
      <c r="AY56" s="123">
        <f t="shared" si="11"/>
        <v>156.83979641263412</v>
      </c>
      <c r="AZ56" s="123">
        <f t="shared" si="12"/>
        <v>163.64145358736593</v>
      </c>
      <c r="BA56" s="123">
        <f t="shared" si="13"/>
        <v>314.2100390293777</v>
      </c>
      <c r="BB56" s="123">
        <f t="shared" si="14"/>
        <v>328.23996097062235</v>
      </c>
      <c r="BC56" s="123">
        <f t="shared" si="15"/>
        <v>471.56159398390412</v>
      </c>
      <c r="BD56" s="123">
        <f t="shared" si="16"/>
        <v>492.76965601609584</v>
      </c>
      <c r="BE56" s="123">
        <f t="shared" si="17"/>
        <v>588.52671906979549</v>
      </c>
      <c r="BF56" s="123">
        <f t="shared" si="18"/>
        <v>611.71810851641135</v>
      </c>
      <c r="BG56" s="123">
        <f t="shared" si="19"/>
        <v>6.4247474531250646</v>
      </c>
      <c r="BH56" s="123">
        <f t="shared" si="20"/>
        <v>29.870769788254243</v>
      </c>
      <c r="BI56" s="123">
        <f t="shared" si="21"/>
        <v>41.634833977180243</v>
      </c>
      <c r="BJ56" s="123">
        <f t="shared" si="22"/>
        <v>41.908916022819731</v>
      </c>
      <c r="BK56" s="123">
        <f t="shared" si="23"/>
        <v>83.527280129290489</v>
      </c>
      <c r="BL56" s="123">
        <f t="shared" si="24"/>
        <v>83.903969870709489</v>
      </c>
      <c r="BM56" s="123">
        <f t="shared" si="25"/>
        <v>125.49642578417671</v>
      </c>
      <c r="BN56" s="123">
        <f t="shared" si="26"/>
        <v>125.82857421582314</v>
      </c>
      <c r="BO56" s="123">
        <f t="shared" si="27"/>
        <v>155.1049414176334</v>
      </c>
      <c r="BP56" s="123">
        <f t="shared" si="28"/>
        <v>157.96747237547007</v>
      </c>
      <c r="BQ56" s="123">
        <f t="shared" si="29"/>
        <v>-3.4739700111749907</v>
      </c>
      <c r="BR56" s="123">
        <f t="shared" si="30"/>
        <v>-0.65327136813535303</v>
      </c>
      <c r="BS56" s="123">
        <f t="shared" si="59"/>
        <v>56.437095452304185</v>
      </c>
      <c r="BT56" s="123">
        <f t="shared" si="60"/>
        <v>134.01118040976476</v>
      </c>
      <c r="BU56" s="123">
        <f t="shared" si="61"/>
        <v>35.424087856897714</v>
      </c>
      <c r="BV56" s="123">
        <f t="shared" si="62"/>
        <v>42.810394901722987</v>
      </c>
      <c r="BW56" s="123">
        <f t="shared" si="63"/>
        <v>68.667936470774464</v>
      </c>
      <c r="BX56" s="123">
        <f t="shared" si="64"/>
        <v>78.252753184397989</v>
      </c>
      <c r="BY56" s="123">
        <f t="shared" si="65"/>
        <v>94.547228197183259</v>
      </c>
      <c r="BZ56" s="123">
        <f t="shared" si="66"/>
        <v>106.39415111316158</v>
      </c>
      <c r="CA56" s="123">
        <f t="shared" si="67"/>
        <v>114.2973449594912</v>
      </c>
      <c r="CB56" s="123">
        <f t="shared" si="68"/>
        <v>127.60610331637088</v>
      </c>
      <c r="CC56" s="123">
        <f t="shared" si="69"/>
        <v>1.1625982470516784E-2</v>
      </c>
      <c r="CD56" s="123">
        <f t="shared" si="70"/>
        <v>1.4691067337912261E-2</v>
      </c>
      <c r="CE56" s="123">
        <f t="shared" si="71"/>
        <v>28.696690452912026</v>
      </c>
      <c r="CF56" s="123">
        <f t="shared" si="72"/>
        <v>29.661930236743164</v>
      </c>
      <c r="CG56" s="261">
        <f t="shared" si="31"/>
        <v>4.6579973341037062E-3</v>
      </c>
      <c r="CH56" s="261">
        <f t="shared" si="32"/>
        <v>5.3410578435228997E-3</v>
      </c>
      <c r="CI56" s="261">
        <f t="shared" si="33"/>
        <v>4.6322196240640304E-3</v>
      </c>
      <c r="CJ56" s="261">
        <f t="shared" si="34"/>
        <v>5.2936118196245515E-3</v>
      </c>
      <c r="CK56" s="261">
        <f t="shared" si="35"/>
        <v>-2.62020899613848E-4</v>
      </c>
      <c r="CL56" s="261">
        <f t="shared" si="36"/>
        <v>2.0015946921793468E-4</v>
      </c>
      <c r="CM56" s="123" t="e">
        <f t="shared" si="73"/>
        <v>#DIV/0!</v>
      </c>
      <c r="CN56" s="123" t="e">
        <f t="shared" si="74"/>
        <v>#DIV/0!</v>
      </c>
      <c r="CO56" s="123" t="e">
        <f t="shared" si="75"/>
        <v>#DIV/0!</v>
      </c>
      <c r="CP56" s="123" t="e">
        <f t="shared" si="76"/>
        <v>#DIV/0!</v>
      </c>
      <c r="CQ56" s="123" t="e">
        <f t="shared" si="77"/>
        <v>#DIV/0!</v>
      </c>
      <c r="CR56" s="123" t="e">
        <f t="shared" si="78"/>
        <v>#DIV/0!</v>
      </c>
      <c r="CS56" s="123" t="e">
        <f t="shared" si="79"/>
        <v>#DIV/0!</v>
      </c>
      <c r="CT56" s="123" t="e">
        <f t="shared" si="80"/>
        <v>#DIV/0!</v>
      </c>
      <c r="CU56" s="124">
        <f t="shared" si="81"/>
        <v>4.9388614429463438</v>
      </c>
      <c r="CV56" s="173">
        <f t="shared" si="82"/>
        <v>6.3118282122260467</v>
      </c>
      <c r="CW56" s="124">
        <f t="shared" si="83"/>
        <v>0</v>
      </c>
      <c r="CX56" s="171">
        <f t="shared" si="84"/>
        <v>0</v>
      </c>
      <c r="CY56" s="122">
        <f t="shared" si="162"/>
        <v>38</v>
      </c>
      <c r="CZ56" s="231">
        <f t="shared" si="163"/>
        <v>61.774482758620721</v>
      </c>
      <c r="DA56" s="123">
        <f t="shared" si="164"/>
        <v>112.37931034482759</v>
      </c>
      <c r="DB56" s="123">
        <f t="shared" si="165"/>
        <v>113.43103448275862</v>
      </c>
      <c r="DC56" s="123">
        <f t="shared" si="166"/>
        <v>0.18138170498084291</v>
      </c>
      <c r="DD56" s="123">
        <f t="shared" si="167"/>
        <v>160.24062500000002</v>
      </c>
      <c r="DE56" s="123">
        <f t="shared" si="168"/>
        <v>321.22500000000002</v>
      </c>
      <c r="DF56" s="123">
        <f t="shared" si="169"/>
        <v>482.16562499999998</v>
      </c>
      <c r="DG56" s="123">
        <f t="shared" si="170"/>
        <v>600.12241379310342</v>
      </c>
      <c r="DH56" s="123">
        <f t="shared" si="171"/>
        <v>18.147758620689654</v>
      </c>
      <c r="DI56" s="123">
        <f t="shared" si="172"/>
        <v>41.771874999999987</v>
      </c>
      <c r="DJ56" s="123">
        <f t="shared" si="173"/>
        <v>83.715624999999989</v>
      </c>
      <c r="DK56" s="123">
        <f t="shared" si="174"/>
        <v>125.66249999999992</v>
      </c>
      <c r="DL56" s="123">
        <f t="shared" si="175"/>
        <v>156.53620689655173</v>
      </c>
      <c r="DM56" s="123">
        <f t="shared" si="176"/>
        <v>-2.0636206896551719</v>
      </c>
      <c r="DN56" s="123">
        <f t="shared" si="177"/>
        <v>95.224137931034477</v>
      </c>
      <c r="DO56" s="123">
        <f t="shared" si="178"/>
        <v>39.11724137931035</v>
      </c>
      <c r="DP56" s="123">
        <f t="shared" si="179"/>
        <v>73.460344827586226</v>
      </c>
      <c r="DQ56" s="123">
        <f t="shared" si="180"/>
        <v>100.47068965517242</v>
      </c>
      <c r="DR56" s="123">
        <f t="shared" si="181"/>
        <v>120.95172413793104</v>
      </c>
      <c r="DS56" s="123">
        <f t="shared" si="182"/>
        <v>1.3158524904214522E-2</v>
      </c>
      <c r="DT56" s="123">
        <f t="shared" si="183"/>
        <v>29.179310344827595</v>
      </c>
      <c r="DU56" s="261">
        <f t="shared" si="184"/>
        <v>4.9995275888133029E-3</v>
      </c>
      <c r="DV56" s="261">
        <f t="shared" si="185"/>
        <v>4.962915721844291E-3</v>
      </c>
      <c r="DW56" s="261">
        <f t="shared" si="186"/>
        <v>-3.0930715197956654E-5</v>
      </c>
      <c r="DX56" s="123" t="e">
        <f t="shared" si="187"/>
        <v>#DIV/0!</v>
      </c>
      <c r="DY56" s="123" t="e">
        <f t="shared" si="188"/>
        <v>#DIV/0!</v>
      </c>
      <c r="DZ56" s="123" t="e">
        <f t="shared" si="189"/>
        <v>#DIV/0!</v>
      </c>
      <c r="EA56" s="123" t="e">
        <f t="shared" si="190"/>
        <v>#DIV/0!</v>
      </c>
      <c r="EB56" s="176">
        <f t="shared" si="191"/>
        <v>5.6253448275861953</v>
      </c>
      <c r="EC56" s="125">
        <f t="shared" si="192"/>
        <v>0</v>
      </c>
      <c r="ED56" s="179">
        <f t="shared" si="102"/>
        <v>120</v>
      </c>
      <c r="EE56" s="125">
        <f t="shared" si="103"/>
        <v>100</v>
      </c>
      <c r="EF56" s="106"/>
      <c r="EG56" s="106"/>
    </row>
    <row r="57" spans="1:137" ht="11.25" customHeight="1">
      <c r="A57" s="82"/>
      <c r="B57" s="160"/>
      <c r="C57" s="257"/>
      <c r="D57" s="160"/>
      <c r="E57" s="160"/>
      <c r="F57" s="162"/>
      <c r="G57" s="274"/>
      <c r="H57" s="159"/>
      <c r="I57" s="159"/>
      <c r="J57" s="159"/>
      <c r="K57" s="159"/>
      <c r="L57" s="135"/>
      <c r="M57" s="271"/>
      <c r="N57" s="159"/>
      <c r="O57" s="159"/>
      <c r="P57" s="159"/>
      <c r="Q57" s="159"/>
      <c r="R57" s="136"/>
      <c r="S57" s="272"/>
      <c r="T57" s="161"/>
      <c r="U57" s="161"/>
      <c r="V57" s="161"/>
      <c r="W57" s="161"/>
      <c r="X57" s="186"/>
      <c r="Y57" s="186"/>
      <c r="Z57" s="184"/>
      <c r="AA57" s="161"/>
      <c r="AB57" s="260"/>
      <c r="AC57" s="273"/>
      <c r="AD57" s="273"/>
      <c r="AE57" s="166"/>
      <c r="AF57" s="166"/>
      <c r="AG57" s="222"/>
      <c r="AH57" s="166"/>
      <c r="AI57" s="155"/>
      <c r="AJ57" s="155"/>
      <c r="AK57" s="225"/>
      <c r="AL57" s="196"/>
      <c r="AM57" s="196"/>
      <c r="AN57" s="227"/>
      <c r="AO57" s="148">
        <f t="shared" si="53"/>
        <v>28.089877583208697</v>
      </c>
      <c r="AP57" s="149">
        <f t="shared" si="54"/>
        <v>47.910122416791303</v>
      </c>
      <c r="AQ57" s="149">
        <f t="shared" si="7"/>
        <v>61.691860138971634</v>
      </c>
      <c r="AR57" s="149">
        <f t="shared" si="8"/>
        <v>61.857105378269807</v>
      </c>
      <c r="AS57" s="149">
        <f t="shared" si="9"/>
        <v>109.94095976728137</v>
      </c>
      <c r="AT57" s="149">
        <f t="shared" si="10"/>
        <v>114.8176609223738</v>
      </c>
      <c r="AU57" s="149">
        <f t="shared" si="55"/>
        <v>111.93239626243108</v>
      </c>
      <c r="AV57" s="149">
        <f t="shared" si="56"/>
        <v>114.92967270308615</v>
      </c>
      <c r="AW57" s="149">
        <f t="shared" si="57"/>
        <v>0.17368036968193748</v>
      </c>
      <c r="AX57" s="149">
        <f t="shared" si="58"/>
        <v>0.18908304027974834</v>
      </c>
      <c r="AY57" s="123">
        <f t="shared" si="11"/>
        <v>156.83979641263412</v>
      </c>
      <c r="AZ57" s="123">
        <f t="shared" si="12"/>
        <v>163.64145358736593</v>
      </c>
      <c r="BA57" s="123">
        <f t="shared" si="13"/>
        <v>314.2100390293777</v>
      </c>
      <c r="BB57" s="123">
        <f t="shared" si="14"/>
        <v>328.23996097062235</v>
      </c>
      <c r="BC57" s="123">
        <f t="shared" si="15"/>
        <v>471.56159398390412</v>
      </c>
      <c r="BD57" s="123">
        <f t="shared" si="16"/>
        <v>492.76965601609584</v>
      </c>
      <c r="BE57" s="123">
        <f t="shared" si="17"/>
        <v>588.52671906979549</v>
      </c>
      <c r="BF57" s="123">
        <f t="shared" si="18"/>
        <v>611.71810851641135</v>
      </c>
      <c r="BG57" s="123">
        <f t="shared" si="19"/>
        <v>6.4247474531250646</v>
      </c>
      <c r="BH57" s="123">
        <f t="shared" si="20"/>
        <v>29.870769788254243</v>
      </c>
      <c r="BI57" s="123">
        <f t="shared" si="21"/>
        <v>41.634833977180243</v>
      </c>
      <c r="BJ57" s="123">
        <f t="shared" si="22"/>
        <v>41.908916022819731</v>
      </c>
      <c r="BK57" s="123">
        <f t="shared" si="23"/>
        <v>83.527280129290489</v>
      </c>
      <c r="BL57" s="123">
        <f t="shared" si="24"/>
        <v>83.903969870709489</v>
      </c>
      <c r="BM57" s="123">
        <f t="shared" si="25"/>
        <v>125.49642578417671</v>
      </c>
      <c r="BN57" s="123">
        <f t="shared" si="26"/>
        <v>125.82857421582314</v>
      </c>
      <c r="BO57" s="123">
        <f t="shared" si="27"/>
        <v>155.1049414176334</v>
      </c>
      <c r="BP57" s="123">
        <f t="shared" si="28"/>
        <v>157.96747237547007</v>
      </c>
      <c r="BQ57" s="123">
        <f t="shared" si="29"/>
        <v>-3.4739700111749907</v>
      </c>
      <c r="BR57" s="123">
        <f t="shared" si="30"/>
        <v>-0.65327136813535303</v>
      </c>
      <c r="BS57" s="123">
        <f t="shared" si="59"/>
        <v>56.437095452304185</v>
      </c>
      <c r="BT57" s="123">
        <f t="shared" si="60"/>
        <v>134.01118040976476</v>
      </c>
      <c r="BU57" s="123">
        <f t="shared" si="61"/>
        <v>35.424087856897714</v>
      </c>
      <c r="BV57" s="123">
        <f t="shared" si="62"/>
        <v>42.810394901722987</v>
      </c>
      <c r="BW57" s="123">
        <f t="shared" si="63"/>
        <v>68.667936470774464</v>
      </c>
      <c r="BX57" s="123">
        <f t="shared" si="64"/>
        <v>78.252753184397989</v>
      </c>
      <c r="BY57" s="123">
        <f t="shared" si="65"/>
        <v>94.547228197183259</v>
      </c>
      <c r="BZ57" s="123">
        <f t="shared" si="66"/>
        <v>106.39415111316158</v>
      </c>
      <c r="CA57" s="123">
        <f t="shared" si="67"/>
        <v>114.2973449594912</v>
      </c>
      <c r="CB57" s="123">
        <f t="shared" si="68"/>
        <v>127.60610331637088</v>
      </c>
      <c r="CC57" s="123">
        <f t="shared" si="69"/>
        <v>1.1625982470516784E-2</v>
      </c>
      <c r="CD57" s="123">
        <f t="shared" si="70"/>
        <v>1.4691067337912261E-2</v>
      </c>
      <c r="CE57" s="123">
        <f t="shared" si="71"/>
        <v>28.696690452912026</v>
      </c>
      <c r="CF57" s="123">
        <f t="shared" si="72"/>
        <v>29.661930236743164</v>
      </c>
      <c r="CG57" s="261">
        <f t="shared" si="31"/>
        <v>4.6579973341037062E-3</v>
      </c>
      <c r="CH57" s="261">
        <f t="shared" si="32"/>
        <v>5.3410578435228997E-3</v>
      </c>
      <c r="CI57" s="261">
        <f t="shared" si="33"/>
        <v>4.6322196240640304E-3</v>
      </c>
      <c r="CJ57" s="261">
        <f t="shared" si="34"/>
        <v>5.2936118196245515E-3</v>
      </c>
      <c r="CK57" s="261">
        <f t="shared" si="35"/>
        <v>-2.62020899613848E-4</v>
      </c>
      <c r="CL57" s="261">
        <f t="shared" si="36"/>
        <v>2.0015946921793468E-4</v>
      </c>
      <c r="CM57" s="123" t="e">
        <f t="shared" si="73"/>
        <v>#DIV/0!</v>
      </c>
      <c r="CN57" s="123" t="e">
        <f t="shared" si="74"/>
        <v>#DIV/0!</v>
      </c>
      <c r="CO57" s="123" t="e">
        <f t="shared" si="75"/>
        <v>#DIV/0!</v>
      </c>
      <c r="CP57" s="123" t="e">
        <f t="shared" si="76"/>
        <v>#DIV/0!</v>
      </c>
      <c r="CQ57" s="123" t="e">
        <f t="shared" si="77"/>
        <v>#DIV/0!</v>
      </c>
      <c r="CR57" s="123" t="e">
        <f t="shared" si="78"/>
        <v>#DIV/0!</v>
      </c>
      <c r="CS57" s="123" t="e">
        <f t="shared" si="79"/>
        <v>#DIV/0!</v>
      </c>
      <c r="CT57" s="123" t="e">
        <f t="shared" si="80"/>
        <v>#DIV/0!</v>
      </c>
      <c r="CU57" s="124">
        <f t="shared" si="81"/>
        <v>4.9388614429463438</v>
      </c>
      <c r="CV57" s="173">
        <f t="shared" si="82"/>
        <v>6.3118282122260467</v>
      </c>
      <c r="CW57" s="124">
        <f t="shared" si="83"/>
        <v>0</v>
      </c>
      <c r="CX57" s="171">
        <f t="shared" si="84"/>
        <v>0</v>
      </c>
      <c r="CY57" s="122">
        <f t="shared" si="162"/>
        <v>38</v>
      </c>
      <c r="CZ57" s="231">
        <f t="shared" si="163"/>
        <v>61.774482758620721</v>
      </c>
      <c r="DA57" s="123">
        <f t="shared" si="164"/>
        <v>112.37931034482759</v>
      </c>
      <c r="DB57" s="123">
        <f t="shared" si="165"/>
        <v>113.43103448275862</v>
      </c>
      <c r="DC57" s="123">
        <f t="shared" si="166"/>
        <v>0.18138170498084291</v>
      </c>
      <c r="DD57" s="123">
        <f t="shared" si="167"/>
        <v>160.24062500000002</v>
      </c>
      <c r="DE57" s="123">
        <f t="shared" si="168"/>
        <v>321.22500000000002</v>
      </c>
      <c r="DF57" s="123">
        <f t="shared" si="169"/>
        <v>482.16562499999998</v>
      </c>
      <c r="DG57" s="123">
        <f t="shared" si="170"/>
        <v>600.12241379310342</v>
      </c>
      <c r="DH57" s="123">
        <f t="shared" si="171"/>
        <v>18.147758620689654</v>
      </c>
      <c r="DI57" s="123">
        <f t="shared" si="172"/>
        <v>41.771874999999987</v>
      </c>
      <c r="DJ57" s="123">
        <f t="shared" si="173"/>
        <v>83.715624999999989</v>
      </c>
      <c r="DK57" s="123">
        <f t="shared" si="174"/>
        <v>125.66249999999992</v>
      </c>
      <c r="DL57" s="123">
        <f t="shared" si="175"/>
        <v>156.53620689655173</v>
      </c>
      <c r="DM57" s="123">
        <f t="shared" si="176"/>
        <v>-2.0636206896551719</v>
      </c>
      <c r="DN57" s="123">
        <f t="shared" si="177"/>
        <v>95.224137931034477</v>
      </c>
      <c r="DO57" s="123">
        <f t="shared" si="178"/>
        <v>39.11724137931035</v>
      </c>
      <c r="DP57" s="123">
        <f t="shared" si="179"/>
        <v>73.460344827586226</v>
      </c>
      <c r="DQ57" s="123">
        <f t="shared" si="180"/>
        <v>100.47068965517242</v>
      </c>
      <c r="DR57" s="123">
        <f t="shared" si="181"/>
        <v>120.95172413793104</v>
      </c>
      <c r="DS57" s="123">
        <f t="shared" si="182"/>
        <v>1.3158524904214522E-2</v>
      </c>
      <c r="DT57" s="123">
        <f t="shared" si="183"/>
        <v>29.179310344827595</v>
      </c>
      <c r="DU57" s="261">
        <f t="shared" si="184"/>
        <v>4.9995275888133029E-3</v>
      </c>
      <c r="DV57" s="261">
        <f t="shared" si="185"/>
        <v>4.962915721844291E-3</v>
      </c>
      <c r="DW57" s="261">
        <f t="shared" si="186"/>
        <v>-3.0930715197956654E-5</v>
      </c>
      <c r="DX57" s="123" t="e">
        <f t="shared" si="187"/>
        <v>#DIV/0!</v>
      </c>
      <c r="DY57" s="123" t="e">
        <f t="shared" si="188"/>
        <v>#DIV/0!</v>
      </c>
      <c r="DZ57" s="123" t="e">
        <f t="shared" si="189"/>
        <v>#DIV/0!</v>
      </c>
      <c r="EA57" s="123" t="e">
        <f t="shared" si="190"/>
        <v>#DIV/0!</v>
      </c>
      <c r="EB57" s="176">
        <f t="shared" si="191"/>
        <v>5.6253448275861953</v>
      </c>
      <c r="EC57" s="125">
        <f t="shared" si="192"/>
        <v>0</v>
      </c>
      <c r="ED57" s="179">
        <f t="shared" si="102"/>
        <v>120</v>
      </c>
      <c r="EE57" s="125">
        <f t="shared" si="103"/>
        <v>100</v>
      </c>
      <c r="EF57" s="106"/>
      <c r="EG57" s="106"/>
    </row>
    <row r="58" spans="1:137" ht="11.25" customHeight="1">
      <c r="A58" s="82"/>
      <c r="B58" s="160"/>
      <c r="C58" s="257"/>
      <c r="D58" s="160"/>
      <c r="E58" s="160"/>
      <c r="F58" s="162"/>
      <c r="G58" s="274"/>
      <c r="H58" s="159"/>
      <c r="I58" s="159"/>
      <c r="J58" s="159"/>
      <c r="K58" s="159"/>
      <c r="L58" s="135"/>
      <c r="M58" s="271"/>
      <c r="N58" s="159"/>
      <c r="O58" s="159"/>
      <c r="P58" s="159"/>
      <c r="Q58" s="159"/>
      <c r="R58" s="136"/>
      <c r="S58" s="272"/>
      <c r="T58" s="161"/>
      <c r="U58" s="161"/>
      <c r="V58" s="161"/>
      <c r="W58" s="161"/>
      <c r="X58" s="186"/>
      <c r="Y58" s="186"/>
      <c r="Z58" s="184"/>
      <c r="AA58" s="161"/>
      <c r="AB58" s="260"/>
      <c r="AC58" s="273"/>
      <c r="AD58" s="273"/>
      <c r="AE58" s="166"/>
      <c r="AF58" s="166"/>
      <c r="AG58" s="222"/>
      <c r="AH58" s="166"/>
      <c r="AI58" s="155"/>
      <c r="AJ58" s="155"/>
      <c r="AK58" s="225"/>
      <c r="AL58" s="196"/>
      <c r="AM58" s="196"/>
      <c r="AN58" s="227"/>
      <c r="AO58" s="148">
        <f t="shared" si="53"/>
        <v>28.089877583208697</v>
      </c>
      <c r="AP58" s="149">
        <f t="shared" si="54"/>
        <v>47.910122416791303</v>
      </c>
      <c r="AQ58" s="149">
        <f t="shared" si="7"/>
        <v>61.691860138971634</v>
      </c>
      <c r="AR58" s="149">
        <f t="shared" si="8"/>
        <v>61.857105378269807</v>
      </c>
      <c r="AS58" s="149">
        <f t="shared" si="9"/>
        <v>109.94095976728137</v>
      </c>
      <c r="AT58" s="149">
        <f t="shared" si="10"/>
        <v>114.8176609223738</v>
      </c>
      <c r="AU58" s="149">
        <f t="shared" si="55"/>
        <v>111.93239626243108</v>
      </c>
      <c r="AV58" s="149">
        <f t="shared" si="56"/>
        <v>114.92967270308615</v>
      </c>
      <c r="AW58" s="149">
        <f t="shared" si="57"/>
        <v>0.17368036968193748</v>
      </c>
      <c r="AX58" s="149">
        <f t="shared" si="58"/>
        <v>0.18908304027974834</v>
      </c>
      <c r="AY58" s="123">
        <f t="shared" si="11"/>
        <v>156.83979641263412</v>
      </c>
      <c r="AZ58" s="123">
        <f t="shared" si="12"/>
        <v>163.64145358736593</v>
      </c>
      <c r="BA58" s="123">
        <f t="shared" si="13"/>
        <v>314.2100390293777</v>
      </c>
      <c r="BB58" s="123">
        <f t="shared" si="14"/>
        <v>328.23996097062235</v>
      </c>
      <c r="BC58" s="123">
        <f t="shared" si="15"/>
        <v>471.56159398390412</v>
      </c>
      <c r="BD58" s="123">
        <f t="shared" si="16"/>
        <v>492.76965601609584</v>
      </c>
      <c r="BE58" s="123">
        <f t="shared" si="17"/>
        <v>588.52671906979549</v>
      </c>
      <c r="BF58" s="123">
        <f t="shared" si="18"/>
        <v>611.71810851641135</v>
      </c>
      <c r="BG58" s="123">
        <f t="shared" si="19"/>
        <v>6.4247474531250646</v>
      </c>
      <c r="BH58" s="123">
        <f t="shared" si="20"/>
        <v>29.870769788254243</v>
      </c>
      <c r="BI58" s="123">
        <f t="shared" si="21"/>
        <v>41.634833977180243</v>
      </c>
      <c r="BJ58" s="123">
        <f t="shared" si="22"/>
        <v>41.908916022819731</v>
      </c>
      <c r="BK58" s="123">
        <f t="shared" si="23"/>
        <v>83.527280129290489</v>
      </c>
      <c r="BL58" s="123">
        <f t="shared" si="24"/>
        <v>83.903969870709489</v>
      </c>
      <c r="BM58" s="123">
        <f t="shared" si="25"/>
        <v>125.49642578417671</v>
      </c>
      <c r="BN58" s="123">
        <f t="shared" si="26"/>
        <v>125.82857421582314</v>
      </c>
      <c r="BO58" s="123">
        <f t="shared" si="27"/>
        <v>155.1049414176334</v>
      </c>
      <c r="BP58" s="123">
        <f t="shared" si="28"/>
        <v>157.96747237547007</v>
      </c>
      <c r="BQ58" s="123">
        <f t="shared" si="29"/>
        <v>-3.4739700111749907</v>
      </c>
      <c r="BR58" s="123">
        <f t="shared" si="30"/>
        <v>-0.65327136813535303</v>
      </c>
      <c r="BS58" s="123">
        <f t="shared" si="59"/>
        <v>56.437095452304185</v>
      </c>
      <c r="BT58" s="123">
        <f t="shared" si="60"/>
        <v>134.01118040976476</v>
      </c>
      <c r="BU58" s="123">
        <f t="shared" si="61"/>
        <v>35.424087856897714</v>
      </c>
      <c r="BV58" s="123">
        <f t="shared" si="62"/>
        <v>42.810394901722987</v>
      </c>
      <c r="BW58" s="123">
        <f t="shared" si="63"/>
        <v>68.667936470774464</v>
      </c>
      <c r="BX58" s="123">
        <f t="shared" si="64"/>
        <v>78.252753184397989</v>
      </c>
      <c r="BY58" s="123">
        <f t="shared" si="65"/>
        <v>94.547228197183259</v>
      </c>
      <c r="BZ58" s="123">
        <f t="shared" si="66"/>
        <v>106.39415111316158</v>
      </c>
      <c r="CA58" s="123">
        <f t="shared" si="67"/>
        <v>114.2973449594912</v>
      </c>
      <c r="CB58" s="123">
        <f t="shared" si="68"/>
        <v>127.60610331637088</v>
      </c>
      <c r="CC58" s="123">
        <f t="shared" si="69"/>
        <v>1.1625982470516784E-2</v>
      </c>
      <c r="CD58" s="123">
        <f t="shared" si="70"/>
        <v>1.4691067337912261E-2</v>
      </c>
      <c r="CE58" s="123">
        <f t="shared" si="71"/>
        <v>28.696690452912026</v>
      </c>
      <c r="CF58" s="123">
        <f t="shared" si="72"/>
        <v>29.661930236743164</v>
      </c>
      <c r="CG58" s="261">
        <f t="shared" si="31"/>
        <v>4.6579973341037062E-3</v>
      </c>
      <c r="CH58" s="261">
        <f t="shared" si="32"/>
        <v>5.3410578435228997E-3</v>
      </c>
      <c r="CI58" s="261">
        <f t="shared" si="33"/>
        <v>4.6322196240640304E-3</v>
      </c>
      <c r="CJ58" s="261">
        <f t="shared" si="34"/>
        <v>5.2936118196245515E-3</v>
      </c>
      <c r="CK58" s="261">
        <f t="shared" si="35"/>
        <v>-2.62020899613848E-4</v>
      </c>
      <c r="CL58" s="261">
        <f t="shared" si="36"/>
        <v>2.0015946921793468E-4</v>
      </c>
      <c r="CM58" s="123" t="e">
        <f t="shared" si="73"/>
        <v>#DIV/0!</v>
      </c>
      <c r="CN58" s="123" t="e">
        <f t="shared" si="74"/>
        <v>#DIV/0!</v>
      </c>
      <c r="CO58" s="123" t="e">
        <f t="shared" si="75"/>
        <v>#DIV/0!</v>
      </c>
      <c r="CP58" s="123" t="e">
        <f t="shared" si="76"/>
        <v>#DIV/0!</v>
      </c>
      <c r="CQ58" s="123" t="e">
        <f t="shared" si="77"/>
        <v>#DIV/0!</v>
      </c>
      <c r="CR58" s="123" t="e">
        <f t="shared" si="78"/>
        <v>#DIV/0!</v>
      </c>
      <c r="CS58" s="123" t="e">
        <f t="shared" si="79"/>
        <v>#DIV/0!</v>
      </c>
      <c r="CT58" s="123" t="e">
        <f t="shared" si="80"/>
        <v>#DIV/0!</v>
      </c>
      <c r="CU58" s="124">
        <f t="shared" si="81"/>
        <v>4.9388614429463438</v>
      </c>
      <c r="CV58" s="173">
        <f t="shared" si="82"/>
        <v>6.3118282122260467</v>
      </c>
      <c r="CW58" s="124">
        <f t="shared" si="83"/>
        <v>0</v>
      </c>
      <c r="CX58" s="171">
        <f t="shared" si="84"/>
        <v>0</v>
      </c>
      <c r="CY58" s="122">
        <f t="shared" si="162"/>
        <v>38</v>
      </c>
      <c r="CZ58" s="231">
        <f t="shared" si="163"/>
        <v>61.774482758620721</v>
      </c>
      <c r="DA58" s="123">
        <f t="shared" si="164"/>
        <v>112.37931034482759</v>
      </c>
      <c r="DB58" s="123">
        <f t="shared" si="165"/>
        <v>113.43103448275862</v>
      </c>
      <c r="DC58" s="123">
        <f t="shared" si="166"/>
        <v>0.18138170498084291</v>
      </c>
      <c r="DD58" s="123">
        <f t="shared" si="167"/>
        <v>160.24062500000002</v>
      </c>
      <c r="DE58" s="123">
        <f t="shared" si="168"/>
        <v>321.22500000000002</v>
      </c>
      <c r="DF58" s="123">
        <f t="shared" si="169"/>
        <v>482.16562499999998</v>
      </c>
      <c r="DG58" s="123">
        <f t="shared" si="170"/>
        <v>600.12241379310342</v>
      </c>
      <c r="DH58" s="123">
        <f t="shared" si="171"/>
        <v>18.147758620689654</v>
      </c>
      <c r="DI58" s="123">
        <f t="shared" si="172"/>
        <v>41.771874999999987</v>
      </c>
      <c r="DJ58" s="123">
        <f t="shared" si="173"/>
        <v>83.715624999999989</v>
      </c>
      <c r="DK58" s="123">
        <f t="shared" si="174"/>
        <v>125.66249999999992</v>
      </c>
      <c r="DL58" s="123">
        <f t="shared" si="175"/>
        <v>156.53620689655173</v>
      </c>
      <c r="DM58" s="123">
        <f t="shared" si="176"/>
        <v>-2.0636206896551719</v>
      </c>
      <c r="DN58" s="123">
        <f t="shared" si="177"/>
        <v>95.224137931034477</v>
      </c>
      <c r="DO58" s="123">
        <f t="shared" si="178"/>
        <v>39.11724137931035</v>
      </c>
      <c r="DP58" s="123">
        <f t="shared" si="179"/>
        <v>73.460344827586226</v>
      </c>
      <c r="DQ58" s="123">
        <f t="shared" si="180"/>
        <v>100.47068965517242</v>
      </c>
      <c r="DR58" s="123">
        <f t="shared" si="181"/>
        <v>120.95172413793104</v>
      </c>
      <c r="DS58" s="123">
        <f t="shared" si="182"/>
        <v>1.3158524904214522E-2</v>
      </c>
      <c r="DT58" s="123">
        <f t="shared" si="183"/>
        <v>29.179310344827595</v>
      </c>
      <c r="DU58" s="261">
        <f t="shared" si="184"/>
        <v>4.9995275888133029E-3</v>
      </c>
      <c r="DV58" s="261">
        <f t="shared" si="185"/>
        <v>4.962915721844291E-3</v>
      </c>
      <c r="DW58" s="261">
        <f t="shared" si="186"/>
        <v>-3.0930715197956654E-5</v>
      </c>
      <c r="DX58" s="123" t="e">
        <f t="shared" si="187"/>
        <v>#DIV/0!</v>
      </c>
      <c r="DY58" s="123" t="e">
        <f t="shared" si="188"/>
        <v>#DIV/0!</v>
      </c>
      <c r="DZ58" s="123" t="e">
        <f t="shared" si="189"/>
        <v>#DIV/0!</v>
      </c>
      <c r="EA58" s="123" t="e">
        <f t="shared" si="190"/>
        <v>#DIV/0!</v>
      </c>
      <c r="EB58" s="176">
        <f t="shared" si="191"/>
        <v>5.6253448275861953</v>
      </c>
      <c r="EC58" s="125">
        <f t="shared" si="192"/>
        <v>0</v>
      </c>
      <c r="ED58" s="179">
        <f t="shared" si="102"/>
        <v>120</v>
      </c>
      <c r="EE58" s="125">
        <f t="shared" si="103"/>
        <v>100</v>
      </c>
      <c r="EF58" s="106"/>
      <c r="EG58" s="106"/>
    </row>
    <row r="59" spans="1:137" ht="11.25" customHeight="1">
      <c r="A59" s="82"/>
      <c r="B59" s="160"/>
      <c r="C59" s="257"/>
      <c r="D59" s="160"/>
      <c r="E59" s="160"/>
      <c r="F59" s="162"/>
      <c r="G59" s="274"/>
      <c r="H59" s="159"/>
      <c r="I59" s="159"/>
      <c r="J59" s="159"/>
      <c r="K59" s="159"/>
      <c r="L59" s="135"/>
      <c r="M59" s="271"/>
      <c r="N59" s="159"/>
      <c r="O59" s="159"/>
      <c r="P59" s="159"/>
      <c r="Q59" s="159"/>
      <c r="R59" s="136"/>
      <c r="S59" s="272"/>
      <c r="T59" s="161"/>
      <c r="U59" s="161"/>
      <c r="V59" s="161"/>
      <c r="W59" s="161"/>
      <c r="X59" s="186"/>
      <c r="Y59" s="186"/>
      <c r="Z59" s="184"/>
      <c r="AA59" s="161"/>
      <c r="AB59" s="260"/>
      <c r="AC59" s="260"/>
      <c r="AD59" s="273"/>
      <c r="AE59" s="166"/>
      <c r="AF59" s="166"/>
      <c r="AG59" s="222"/>
      <c r="AH59" s="166"/>
      <c r="AI59" s="155"/>
      <c r="AJ59" s="155"/>
      <c r="AK59" s="225"/>
      <c r="AL59" s="196"/>
      <c r="AM59" s="196"/>
      <c r="AN59" s="227"/>
      <c r="AO59" s="148">
        <f t="shared" si="53"/>
        <v>28.089877583208697</v>
      </c>
      <c r="AP59" s="149">
        <f t="shared" si="54"/>
        <v>47.910122416791303</v>
      </c>
      <c r="AQ59" s="149">
        <f t="shared" si="7"/>
        <v>61.691860138971634</v>
      </c>
      <c r="AR59" s="149">
        <f t="shared" si="8"/>
        <v>61.857105378269807</v>
      </c>
      <c r="AS59" s="149">
        <f t="shared" si="9"/>
        <v>109.94095976728137</v>
      </c>
      <c r="AT59" s="149">
        <f t="shared" si="10"/>
        <v>114.8176609223738</v>
      </c>
      <c r="AU59" s="149">
        <f t="shared" si="55"/>
        <v>111.93239626243108</v>
      </c>
      <c r="AV59" s="149">
        <f t="shared" si="56"/>
        <v>114.92967270308615</v>
      </c>
      <c r="AW59" s="149">
        <f t="shared" si="57"/>
        <v>0.17368036968193748</v>
      </c>
      <c r="AX59" s="149">
        <f t="shared" si="58"/>
        <v>0.18908304027974834</v>
      </c>
      <c r="AY59" s="123">
        <f t="shared" si="11"/>
        <v>156.83979641263412</v>
      </c>
      <c r="AZ59" s="123">
        <f t="shared" si="12"/>
        <v>163.64145358736593</v>
      </c>
      <c r="BA59" s="123">
        <f t="shared" si="13"/>
        <v>314.2100390293777</v>
      </c>
      <c r="BB59" s="123">
        <f t="shared" si="14"/>
        <v>328.23996097062235</v>
      </c>
      <c r="BC59" s="123">
        <f t="shared" si="15"/>
        <v>471.56159398390412</v>
      </c>
      <c r="BD59" s="123">
        <f t="shared" si="16"/>
        <v>492.76965601609584</v>
      </c>
      <c r="BE59" s="123">
        <f t="shared" si="17"/>
        <v>588.52671906979549</v>
      </c>
      <c r="BF59" s="123">
        <f t="shared" si="18"/>
        <v>611.71810851641135</v>
      </c>
      <c r="BG59" s="123">
        <f t="shared" si="19"/>
        <v>6.4247474531250646</v>
      </c>
      <c r="BH59" s="123">
        <f t="shared" si="20"/>
        <v>29.870769788254243</v>
      </c>
      <c r="BI59" s="123">
        <f t="shared" si="21"/>
        <v>41.634833977180243</v>
      </c>
      <c r="BJ59" s="123">
        <f t="shared" si="22"/>
        <v>41.908916022819731</v>
      </c>
      <c r="BK59" s="123">
        <f t="shared" si="23"/>
        <v>83.527280129290489</v>
      </c>
      <c r="BL59" s="123">
        <f t="shared" si="24"/>
        <v>83.903969870709489</v>
      </c>
      <c r="BM59" s="123">
        <f t="shared" si="25"/>
        <v>125.49642578417671</v>
      </c>
      <c r="BN59" s="123">
        <f t="shared" si="26"/>
        <v>125.82857421582314</v>
      </c>
      <c r="BO59" s="123">
        <f t="shared" si="27"/>
        <v>155.1049414176334</v>
      </c>
      <c r="BP59" s="123">
        <f t="shared" si="28"/>
        <v>157.96747237547007</v>
      </c>
      <c r="BQ59" s="123">
        <f t="shared" si="29"/>
        <v>-3.4739700111749907</v>
      </c>
      <c r="BR59" s="123">
        <f t="shared" si="30"/>
        <v>-0.65327136813535303</v>
      </c>
      <c r="BS59" s="123">
        <f t="shared" si="59"/>
        <v>56.437095452304185</v>
      </c>
      <c r="BT59" s="123">
        <f t="shared" si="60"/>
        <v>134.01118040976476</v>
      </c>
      <c r="BU59" s="123">
        <f t="shared" si="61"/>
        <v>35.424087856897714</v>
      </c>
      <c r="BV59" s="123">
        <f t="shared" si="62"/>
        <v>42.810394901722987</v>
      </c>
      <c r="BW59" s="123">
        <f t="shared" si="63"/>
        <v>68.667936470774464</v>
      </c>
      <c r="BX59" s="123">
        <f t="shared" si="64"/>
        <v>78.252753184397989</v>
      </c>
      <c r="BY59" s="123">
        <f t="shared" si="65"/>
        <v>94.547228197183259</v>
      </c>
      <c r="BZ59" s="123">
        <f t="shared" si="66"/>
        <v>106.39415111316158</v>
      </c>
      <c r="CA59" s="123">
        <f t="shared" si="67"/>
        <v>114.2973449594912</v>
      </c>
      <c r="CB59" s="123">
        <f t="shared" si="68"/>
        <v>127.60610331637088</v>
      </c>
      <c r="CC59" s="123">
        <f t="shared" si="69"/>
        <v>1.1625982470516784E-2</v>
      </c>
      <c r="CD59" s="123">
        <f t="shared" si="70"/>
        <v>1.4691067337912261E-2</v>
      </c>
      <c r="CE59" s="123">
        <f t="shared" si="71"/>
        <v>28.696690452912026</v>
      </c>
      <c r="CF59" s="123">
        <f t="shared" si="72"/>
        <v>29.661930236743164</v>
      </c>
      <c r="CG59" s="261">
        <f t="shared" si="31"/>
        <v>4.6579973341037062E-3</v>
      </c>
      <c r="CH59" s="261">
        <f t="shared" si="32"/>
        <v>5.3410578435228997E-3</v>
      </c>
      <c r="CI59" s="261">
        <f t="shared" si="33"/>
        <v>4.6322196240640304E-3</v>
      </c>
      <c r="CJ59" s="261">
        <f t="shared" si="34"/>
        <v>5.2936118196245515E-3</v>
      </c>
      <c r="CK59" s="261">
        <f t="shared" si="35"/>
        <v>-2.62020899613848E-4</v>
      </c>
      <c r="CL59" s="261">
        <f t="shared" si="36"/>
        <v>2.0015946921793468E-4</v>
      </c>
      <c r="CM59" s="123" t="e">
        <f t="shared" si="73"/>
        <v>#DIV/0!</v>
      </c>
      <c r="CN59" s="123" t="e">
        <f t="shared" si="74"/>
        <v>#DIV/0!</v>
      </c>
      <c r="CO59" s="123" t="e">
        <f t="shared" si="75"/>
        <v>#DIV/0!</v>
      </c>
      <c r="CP59" s="123" t="e">
        <f t="shared" si="76"/>
        <v>#DIV/0!</v>
      </c>
      <c r="CQ59" s="123" t="e">
        <f t="shared" si="77"/>
        <v>#DIV/0!</v>
      </c>
      <c r="CR59" s="123" t="e">
        <f t="shared" si="78"/>
        <v>#DIV/0!</v>
      </c>
      <c r="CS59" s="123" t="e">
        <f t="shared" si="79"/>
        <v>#DIV/0!</v>
      </c>
      <c r="CT59" s="123" t="e">
        <f t="shared" si="80"/>
        <v>#DIV/0!</v>
      </c>
      <c r="CU59" s="124">
        <f t="shared" si="81"/>
        <v>4.9388614429463438</v>
      </c>
      <c r="CV59" s="173">
        <f t="shared" si="82"/>
        <v>6.3118282122260467</v>
      </c>
      <c r="CW59" s="124">
        <f t="shared" si="83"/>
        <v>0</v>
      </c>
      <c r="CX59" s="171">
        <f t="shared" si="84"/>
        <v>0</v>
      </c>
      <c r="CY59" s="122">
        <f t="shared" si="162"/>
        <v>38</v>
      </c>
      <c r="CZ59" s="231">
        <f t="shared" si="163"/>
        <v>61.774482758620721</v>
      </c>
      <c r="DA59" s="123">
        <f t="shared" si="164"/>
        <v>112.37931034482759</v>
      </c>
      <c r="DB59" s="123">
        <f t="shared" si="165"/>
        <v>113.43103448275862</v>
      </c>
      <c r="DC59" s="123">
        <f t="shared" si="166"/>
        <v>0.18138170498084291</v>
      </c>
      <c r="DD59" s="123">
        <f t="shared" si="167"/>
        <v>160.24062500000002</v>
      </c>
      <c r="DE59" s="123">
        <f t="shared" si="168"/>
        <v>321.22500000000002</v>
      </c>
      <c r="DF59" s="123">
        <f t="shared" si="169"/>
        <v>482.16562499999998</v>
      </c>
      <c r="DG59" s="123">
        <f t="shared" si="170"/>
        <v>600.12241379310342</v>
      </c>
      <c r="DH59" s="123">
        <f t="shared" si="171"/>
        <v>18.147758620689654</v>
      </c>
      <c r="DI59" s="123">
        <f t="shared" si="172"/>
        <v>41.771874999999987</v>
      </c>
      <c r="DJ59" s="123">
        <f t="shared" si="173"/>
        <v>83.715624999999989</v>
      </c>
      <c r="DK59" s="123">
        <f t="shared" si="174"/>
        <v>125.66249999999992</v>
      </c>
      <c r="DL59" s="123">
        <f t="shared" si="175"/>
        <v>156.53620689655173</v>
      </c>
      <c r="DM59" s="123">
        <f t="shared" si="176"/>
        <v>-2.0636206896551719</v>
      </c>
      <c r="DN59" s="123">
        <f t="shared" si="177"/>
        <v>95.224137931034477</v>
      </c>
      <c r="DO59" s="123">
        <f t="shared" si="178"/>
        <v>39.11724137931035</v>
      </c>
      <c r="DP59" s="123">
        <f t="shared" si="179"/>
        <v>73.460344827586226</v>
      </c>
      <c r="DQ59" s="123">
        <f t="shared" si="180"/>
        <v>100.47068965517242</v>
      </c>
      <c r="DR59" s="123">
        <f t="shared" si="181"/>
        <v>120.95172413793104</v>
      </c>
      <c r="DS59" s="123">
        <f t="shared" si="182"/>
        <v>1.3158524904214522E-2</v>
      </c>
      <c r="DT59" s="123">
        <f t="shared" si="183"/>
        <v>29.179310344827595</v>
      </c>
      <c r="DU59" s="261">
        <f t="shared" si="184"/>
        <v>4.9995275888133029E-3</v>
      </c>
      <c r="DV59" s="261">
        <f t="shared" si="185"/>
        <v>4.962915721844291E-3</v>
      </c>
      <c r="DW59" s="261">
        <f t="shared" si="186"/>
        <v>-3.0930715197956654E-5</v>
      </c>
      <c r="DX59" s="123" t="e">
        <f t="shared" si="187"/>
        <v>#DIV/0!</v>
      </c>
      <c r="DY59" s="123" t="e">
        <f t="shared" si="188"/>
        <v>#DIV/0!</v>
      </c>
      <c r="DZ59" s="123" t="e">
        <f t="shared" si="189"/>
        <v>#DIV/0!</v>
      </c>
      <c r="EA59" s="123" t="e">
        <f t="shared" si="190"/>
        <v>#DIV/0!</v>
      </c>
      <c r="EB59" s="176">
        <f t="shared" si="191"/>
        <v>5.6253448275861953</v>
      </c>
      <c r="EC59" s="125">
        <f t="shared" si="192"/>
        <v>0</v>
      </c>
      <c r="ED59" s="179">
        <f t="shared" si="102"/>
        <v>120</v>
      </c>
      <c r="EE59" s="125">
        <f t="shared" si="103"/>
        <v>100</v>
      </c>
      <c r="EF59" s="106"/>
      <c r="EG59" s="106"/>
    </row>
    <row r="60" spans="1:137" ht="11.25" customHeight="1">
      <c r="A60" s="82"/>
      <c r="B60" s="160"/>
      <c r="C60" s="257"/>
      <c r="D60" s="160"/>
      <c r="E60" s="160"/>
      <c r="F60" s="162"/>
      <c r="G60" s="274"/>
      <c r="H60" s="159"/>
      <c r="I60" s="159"/>
      <c r="J60" s="159"/>
      <c r="K60" s="159"/>
      <c r="L60" s="135"/>
      <c r="M60" s="271"/>
      <c r="N60" s="159"/>
      <c r="O60" s="159"/>
      <c r="P60" s="159"/>
      <c r="Q60" s="159"/>
      <c r="R60" s="136"/>
      <c r="S60" s="272"/>
      <c r="T60" s="161"/>
      <c r="U60" s="161"/>
      <c r="V60" s="161"/>
      <c r="W60" s="161"/>
      <c r="X60" s="186"/>
      <c r="Y60" s="186"/>
      <c r="Z60" s="184"/>
      <c r="AA60" s="161"/>
      <c r="AB60" s="260"/>
      <c r="AC60" s="273"/>
      <c r="AD60" s="273"/>
      <c r="AE60" s="166"/>
      <c r="AF60" s="166"/>
      <c r="AG60" s="222"/>
      <c r="AH60" s="166"/>
      <c r="AI60" s="155"/>
      <c r="AJ60" s="155"/>
      <c r="AK60" s="225"/>
      <c r="AL60" s="196"/>
      <c r="AM60" s="196"/>
      <c r="AN60" s="227"/>
      <c r="AO60" s="148">
        <f t="shared" si="53"/>
        <v>28.089877583208697</v>
      </c>
      <c r="AP60" s="149">
        <f t="shared" si="54"/>
        <v>47.910122416791303</v>
      </c>
      <c r="AQ60" s="149">
        <f t="shared" si="7"/>
        <v>61.691860138971634</v>
      </c>
      <c r="AR60" s="149">
        <f t="shared" si="8"/>
        <v>61.857105378269807</v>
      </c>
      <c r="AS60" s="149">
        <f t="shared" si="9"/>
        <v>109.94095976728137</v>
      </c>
      <c r="AT60" s="149">
        <f t="shared" si="10"/>
        <v>114.8176609223738</v>
      </c>
      <c r="AU60" s="149">
        <f t="shared" si="55"/>
        <v>111.93239626243108</v>
      </c>
      <c r="AV60" s="149">
        <f t="shared" si="56"/>
        <v>114.92967270308615</v>
      </c>
      <c r="AW60" s="149">
        <f t="shared" si="57"/>
        <v>0.17368036968193748</v>
      </c>
      <c r="AX60" s="149">
        <f t="shared" si="58"/>
        <v>0.18908304027974834</v>
      </c>
      <c r="AY60" s="123">
        <f t="shared" si="11"/>
        <v>156.83979641263412</v>
      </c>
      <c r="AZ60" s="123">
        <f t="shared" si="12"/>
        <v>163.64145358736593</v>
      </c>
      <c r="BA60" s="123">
        <f t="shared" si="13"/>
        <v>314.2100390293777</v>
      </c>
      <c r="BB60" s="123">
        <f t="shared" si="14"/>
        <v>328.23996097062235</v>
      </c>
      <c r="BC60" s="123">
        <f t="shared" si="15"/>
        <v>471.56159398390412</v>
      </c>
      <c r="BD60" s="123">
        <f t="shared" si="16"/>
        <v>492.76965601609584</v>
      </c>
      <c r="BE60" s="123">
        <f t="shared" si="17"/>
        <v>588.52671906979549</v>
      </c>
      <c r="BF60" s="123">
        <f t="shared" si="18"/>
        <v>611.71810851641135</v>
      </c>
      <c r="BG60" s="123">
        <f t="shared" si="19"/>
        <v>6.4247474531250646</v>
      </c>
      <c r="BH60" s="123">
        <f t="shared" si="20"/>
        <v>29.870769788254243</v>
      </c>
      <c r="BI60" s="123">
        <f t="shared" si="21"/>
        <v>41.634833977180243</v>
      </c>
      <c r="BJ60" s="123">
        <f t="shared" si="22"/>
        <v>41.908916022819731</v>
      </c>
      <c r="BK60" s="123">
        <f t="shared" si="23"/>
        <v>83.527280129290489</v>
      </c>
      <c r="BL60" s="123">
        <f t="shared" si="24"/>
        <v>83.903969870709489</v>
      </c>
      <c r="BM60" s="123">
        <f t="shared" si="25"/>
        <v>125.49642578417671</v>
      </c>
      <c r="BN60" s="123">
        <f t="shared" si="26"/>
        <v>125.82857421582314</v>
      </c>
      <c r="BO60" s="123">
        <f t="shared" si="27"/>
        <v>155.1049414176334</v>
      </c>
      <c r="BP60" s="123">
        <f t="shared" si="28"/>
        <v>157.96747237547007</v>
      </c>
      <c r="BQ60" s="123">
        <f t="shared" si="29"/>
        <v>-3.4739700111749907</v>
      </c>
      <c r="BR60" s="123">
        <f t="shared" si="30"/>
        <v>-0.65327136813535303</v>
      </c>
      <c r="BS60" s="123">
        <f t="shared" si="59"/>
        <v>56.437095452304185</v>
      </c>
      <c r="BT60" s="123">
        <f t="shared" si="60"/>
        <v>134.01118040976476</v>
      </c>
      <c r="BU60" s="123">
        <f t="shared" si="61"/>
        <v>35.424087856897714</v>
      </c>
      <c r="BV60" s="123">
        <f t="shared" si="62"/>
        <v>42.810394901722987</v>
      </c>
      <c r="BW60" s="123">
        <f t="shared" si="63"/>
        <v>68.667936470774464</v>
      </c>
      <c r="BX60" s="123">
        <f t="shared" si="64"/>
        <v>78.252753184397989</v>
      </c>
      <c r="BY60" s="123">
        <f t="shared" si="65"/>
        <v>94.547228197183259</v>
      </c>
      <c r="BZ60" s="123">
        <f t="shared" si="66"/>
        <v>106.39415111316158</v>
      </c>
      <c r="CA60" s="123">
        <f t="shared" si="67"/>
        <v>114.2973449594912</v>
      </c>
      <c r="CB60" s="123">
        <f t="shared" si="68"/>
        <v>127.60610331637088</v>
      </c>
      <c r="CC60" s="123">
        <f t="shared" si="69"/>
        <v>1.1625982470516784E-2</v>
      </c>
      <c r="CD60" s="123">
        <f t="shared" si="70"/>
        <v>1.4691067337912261E-2</v>
      </c>
      <c r="CE60" s="123">
        <f t="shared" si="71"/>
        <v>28.696690452912026</v>
      </c>
      <c r="CF60" s="123">
        <f t="shared" si="72"/>
        <v>29.661930236743164</v>
      </c>
      <c r="CG60" s="261">
        <f t="shared" si="31"/>
        <v>4.6579973341037062E-3</v>
      </c>
      <c r="CH60" s="261">
        <f t="shared" si="32"/>
        <v>5.3410578435228997E-3</v>
      </c>
      <c r="CI60" s="261">
        <f t="shared" si="33"/>
        <v>4.6322196240640304E-3</v>
      </c>
      <c r="CJ60" s="261">
        <f t="shared" si="34"/>
        <v>5.2936118196245515E-3</v>
      </c>
      <c r="CK60" s="261">
        <f t="shared" si="35"/>
        <v>-2.62020899613848E-4</v>
      </c>
      <c r="CL60" s="261">
        <f t="shared" si="36"/>
        <v>2.0015946921793468E-4</v>
      </c>
      <c r="CM60" s="123" t="e">
        <f t="shared" si="73"/>
        <v>#DIV/0!</v>
      </c>
      <c r="CN60" s="123" t="e">
        <f t="shared" si="74"/>
        <v>#DIV/0!</v>
      </c>
      <c r="CO60" s="123" t="e">
        <f t="shared" si="75"/>
        <v>#DIV/0!</v>
      </c>
      <c r="CP60" s="123" t="e">
        <f t="shared" si="76"/>
        <v>#DIV/0!</v>
      </c>
      <c r="CQ60" s="123" t="e">
        <f t="shared" si="77"/>
        <v>#DIV/0!</v>
      </c>
      <c r="CR60" s="123" t="e">
        <f t="shared" si="78"/>
        <v>#DIV/0!</v>
      </c>
      <c r="CS60" s="123" t="e">
        <f t="shared" si="79"/>
        <v>#DIV/0!</v>
      </c>
      <c r="CT60" s="123" t="e">
        <f t="shared" si="80"/>
        <v>#DIV/0!</v>
      </c>
      <c r="CU60" s="124">
        <f t="shared" si="81"/>
        <v>4.9388614429463438</v>
      </c>
      <c r="CV60" s="173">
        <f t="shared" si="82"/>
        <v>6.3118282122260467</v>
      </c>
      <c r="CW60" s="124">
        <f t="shared" si="83"/>
        <v>0</v>
      </c>
      <c r="CX60" s="171">
        <f t="shared" si="84"/>
        <v>0</v>
      </c>
      <c r="CY60" s="122">
        <f t="shared" si="162"/>
        <v>38</v>
      </c>
      <c r="CZ60" s="231">
        <f t="shared" si="163"/>
        <v>61.774482758620721</v>
      </c>
      <c r="DA60" s="123">
        <f t="shared" si="164"/>
        <v>112.37931034482759</v>
      </c>
      <c r="DB60" s="123">
        <f t="shared" si="165"/>
        <v>113.43103448275862</v>
      </c>
      <c r="DC60" s="123">
        <f t="shared" si="166"/>
        <v>0.18138170498084291</v>
      </c>
      <c r="DD60" s="123">
        <f t="shared" si="167"/>
        <v>160.24062500000002</v>
      </c>
      <c r="DE60" s="123">
        <f t="shared" si="168"/>
        <v>321.22500000000002</v>
      </c>
      <c r="DF60" s="123">
        <f t="shared" si="169"/>
        <v>482.16562499999998</v>
      </c>
      <c r="DG60" s="123">
        <f t="shared" si="170"/>
        <v>600.12241379310342</v>
      </c>
      <c r="DH60" s="123">
        <f t="shared" si="171"/>
        <v>18.147758620689654</v>
      </c>
      <c r="DI60" s="123">
        <f t="shared" si="172"/>
        <v>41.771874999999987</v>
      </c>
      <c r="DJ60" s="123">
        <f t="shared" si="173"/>
        <v>83.715624999999989</v>
      </c>
      <c r="DK60" s="123">
        <f t="shared" si="174"/>
        <v>125.66249999999992</v>
      </c>
      <c r="DL60" s="123">
        <f t="shared" si="175"/>
        <v>156.53620689655173</v>
      </c>
      <c r="DM60" s="123">
        <f t="shared" si="176"/>
        <v>-2.0636206896551719</v>
      </c>
      <c r="DN60" s="123">
        <f t="shared" si="177"/>
        <v>95.224137931034477</v>
      </c>
      <c r="DO60" s="123">
        <f t="shared" si="178"/>
        <v>39.11724137931035</v>
      </c>
      <c r="DP60" s="123">
        <f t="shared" si="179"/>
        <v>73.460344827586226</v>
      </c>
      <c r="DQ60" s="123">
        <f t="shared" si="180"/>
        <v>100.47068965517242</v>
      </c>
      <c r="DR60" s="123">
        <f t="shared" si="181"/>
        <v>120.95172413793104</v>
      </c>
      <c r="DS60" s="123">
        <f t="shared" si="182"/>
        <v>1.3158524904214522E-2</v>
      </c>
      <c r="DT60" s="123">
        <f t="shared" si="183"/>
        <v>29.179310344827595</v>
      </c>
      <c r="DU60" s="261">
        <f t="shared" si="184"/>
        <v>4.9995275888133029E-3</v>
      </c>
      <c r="DV60" s="261">
        <f t="shared" si="185"/>
        <v>4.962915721844291E-3</v>
      </c>
      <c r="DW60" s="261">
        <f t="shared" si="186"/>
        <v>-3.0930715197956654E-5</v>
      </c>
      <c r="DX60" s="123" t="e">
        <f t="shared" si="187"/>
        <v>#DIV/0!</v>
      </c>
      <c r="DY60" s="123" t="e">
        <f t="shared" si="188"/>
        <v>#DIV/0!</v>
      </c>
      <c r="DZ60" s="123" t="e">
        <f t="shared" si="189"/>
        <v>#DIV/0!</v>
      </c>
      <c r="EA60" s="123" t="e">
        <f t="shared" si="190"/>
        <v>#DIV/0!</v>
      </c>
      <c r="EB60" s="176">
        <f t="shared" si="191"/>
        <v>5.6253448275861953</v>
      </c>
      <c r="EC60" s="125">
        <f t="shared" si="192"/>
        <v>0</v>
      </c>
      <c r="ED60" s="179">
        <f t="shared" si="102"/>
        <v>120</v>
      </c>
      <c r="EE60" s="125">
        <f t="shared" si="103"/>
        <v>100</v>
      </c>
      <c r="EF60" s="106"/>
      <c r="EG60" s="106"/>
    </row>
    <row r="61" spans="1:137" ht="11.25" customHeight="1">
      <c r="A61" s="82"/>
      <c r="B61" s="160"/>
      <c r="C61" s="257"/>
      <c r="D61" s="160"/>
      <c r="E61" s="160"/>
      <c r="F61" s="162"/>
      <c r="G61" s="274"/>
      <c r="H61" s="159"/>
      <c r="I61" s="159"/>
      <c r="J61" s="159"/>
      <c r="K61" s="159"/>
      <c r="L61" s="135"/>
      <c r="M61" s="271"/>
      <c r="N61" s="159"/>
      <c r="O61" s="159"/>
      <c r="P61" s="159"/>
      <c r="Q61" s="159"/>
      <c r="R61" s="136"/>
      <c r="S61" s="272"/>
      <c r="T61" s="161"/>
      <c r="U61" s="161"/>
      <c r="V61" s="161"/>
      <c r="W61" s="161"/>
      <c r="X61" s="186"/>
      <c r="Y61" s="186"/>
      <c r="Z61" s="184"/>
      <c r="AA61" s="161"/>
      <c r="AB61" s="260"/>
      <c r="AC61" s="273"/>
      <c r="AD61" s="273"/>
      <c r="AE61" s="166"/>
      <c r="AF61" s="166"/>
      <c r="AG61" s="222"/>
      <c r="AH61" s="166"/>
      <c r="AI61" s="155"/>
      <c r="AJ61" s="155"/>
      <c r="AK61" s="225"/>
      <c r="AL61" s="196"/>
      <c r="AM61" s="196"/>
      <c r="AN61" s="227"/>
      <c r="AO61" s="148">
        <f t="shared" si="53"/>
        <v>28.089877583208697</v>
      </c>
      <c r="AP61" s="149">
        <f t="shared" si="54"/>
        <v>47.910122416791303</v>
      </c>
      <c r="AQ61" s="149">
        <f t="shared" si="7"/>
        <v>61.691860138971634</v>
      </c>
      <c r="AR61" s="149">
        <f t="shared" si="8"/>
        <v>61.857105378269807</v>
      </c>
      <c r="AS61" s="149">
        <f t="shared" si="9"/>
        <v>109.94095976728137</v>
      </c>
      <c r="AT61" s="149">
        <f t="shared" si="10"/>
        <v>114.8176609223738</v>
      </c>
      <c r="AU61" s="149">
        <f t="shared" si="55"/>
        <v>111.93239626243108</v>
      </c>
      <c r="AV61" s="149">
        <f t="shared" si="56"/>
        <v>114.92967270308615</v>
      </c>
      <c r="AW61" s="149">
        <f t="shared" si="57"/>
        <v>0.17368036968193748</v>
      </c>
      <c r="AX61" s="149">
        <f t="shared" si="58"/>
        <v>0.18908304027974834</v>
      </c>
      <c r="AY61" s="123">
        <f t="shared" si="11"/>
        <v>156.83979641263412</v>
      </c>
      <c r="AZ61" s="123">
        <f t="shared" si="12"/>
        <v>163.64145358736593</v>
      </c>
      <c r="BA61" s="123">
        <f t="shared" si="13"/>
        <v>314.2100390293777</v>
      </c>
      <c r="BB61" s="123">
        <f t="shared" si="14"/>
        <v>328.23996097062235</v>
      </c>
      <c r="BC61" s="123">
        <f t="shared" si="15"/>
        <v>471.56159398390412</v>
      </c>
      <c r="BD61" s="123">
        <f t="shared" si="16"/>
        <v>492.76965601609584</v>
      </c>
      <c r="BE61" s="123">
        <f t="shared" si="17"/>
        <v>588.52671906979549</v>
      </c>
      <c r="BF61" s="123">
        <f t="shared" si="18"/>
        <v>611.71810851641135</v>
      </c>
      <c r="BG61" s="123">
        <f t="shared" si="19"/>
        <v>6.4247474531250646</v>
      </c>
      <c r="BH61" s="123">
        <f t="shared" si="20"/>
        <v>29.870769788254243</v>
      </c>
      <c r="BI61" s="123">
        <f t="shared" si="21"/>
        <v>41.634833977180243</v>
      </c>
      <c r="BJ61" s="123">
        <f t="shared" si="22"/>
        <v>41.908916022819731</v>
      </c>
      <c r="BK61" s="123">
        <f t="shared" si="23"/>
        <v>83.527280129290489</v>
      </c>
      <c r="BL61" s="123">
        <f t="shared" si="24"/>
        <v>83.903969870709489</v>
      </c>
      <c r="BM61" s="123">
        <f t="shared" si="25"/>
        <v>125.49642578417671</v>
      </c>
      <c r="BN61" s="123">
        <f t="shared" si="26"/>
        <v>125.82857421582314</v>
      </c>
      <c r="BO61" s="123">
        <f t="shared" si="27"/>
        <v>155.1049414176334</v>
      </c>
      <c r="BP61" s="123">
        <f t="shared" si="28"/>
        <v>157.96747237547007</v>
      </c>
      <c r="BQ61" s="123">
        <f t="shared" si="29"/>
        <v>-3.4739700111749907</v>
      </c>
      <c r="BR61" s="123">
        <f t="shared" si="30"/>
        <v>-0.65327136813535303</v>
      </c>
      <c r="BS61" s="123">
        <f t="shared" si="59"/>
        <v>56.437095452304185</v>
      </c>
      <c r="BT61" s="123">
        <f t="shared" si="60"/>
        <v>134.01118040976476</v>
      </c>
      <c r="BU61" s="123">
        <f t="shared" si="61"/>
        <v>35.424087856897714</v>
      </c>
      <c r="BV61" s="123">
        <f t="shared" si="62"/>
        <v>42.810394901722987</v>
      </c>
      <c r="BW61" s="123">
        <f t="shared" si="63"/>
        <v>68.667936470774464</v>
      </c>
      <c r="BX61" s="123">
        <f t="shared" si="64"/>
        <v>78.252753184397989</v>
      </c>
      <c r="BY61" s="123">
        <f t="shared" si="65"/>
        <v>94.547228197183259</v>
      </c>
      <c r="BZ61" s="123">
        <f t="shared" si="66"/>
        <v>106.39415111316158</v>
      </c>
      <c r="CA61" s="123">
        <f t="shared" si="67"/>
        <v>114.2973449594912</v>
      </c>
      <c r="CB61" s="123">
        <f t="shared" si="68"/>
        <v>127.60610331637088</v>
      </c>
      <c r="CC61" s="123">
        <f t="shared" si="69"/>
        <v>1.1625982470516784E-2</v>
      </c>
      <c r="CD61" s="123">
        <f t="shared" si="70"/>
        <v>1.4691067337912261E-2</v>
      </c>
      <c r="CE61" s="123">
        <f t="shared" si="71"/>
        <v>28.696690452912026</v>
      </c>
      <c r="CF61" s="123">
        <f t="shared" si="72"/>
        <v>29.661930236743164</v>
      </c>
      <c r="CG61" s="261">
        <f t="shared" si="31"/>
        <v>4.6579973341037062E-3</v>
      </c>
      <c r="CH61" s="261">
        <f t="shared" si="32"/>
        <v>5.3410578435228997E-3</v>
      </c>
      <c r="CI61" s="261">
        <f t="shared" si="33"/>
        <v>4.6322196240640304E-3</v>
      </c>
      <c r="CJ61" s="261">
        <f t="shared" si="34"/>
        <v>5.2936118196245515E-3</v>
      </c>
      <c r="CK61" s="261">
        <f t="shared" si="35"/>
        <v>-2.62020899613848E-4</v>
      </c>
      <c r="CL61" s="261">
        <f t="shared" si="36"/>
        <v>2.0015946921793468E-4</v>
      </c>
      <c r="CM61" s="123" t="e">
        <f t="shared" si="73"/>
        <v>#DIV/0!</v>
      </c>
      <c r="CN61" s="123" t="e">
        <f t="shared" si="74"/>
        <v>#DIV/0!</v>
      </c>
      <c r="CO61" s="123" t="e">
        <f t="shared" si="75"/>
        <v>#DIV/0!</v>
      </c>
      <c r="CP61" s="123" t="e">
        <f t="shared" si="76"/>
        <v>#DIV/0!</v>
      </c>
      <c r="CQ61" s="123" t="e">
        <f t="shared" si="77"/>
        <v>#DIV/0!</v>
      </c>
      <c r="CR61" s="123" t="e">
        <f t="shared" si="78"/>
        <v>#DIV/0!</v>
      </c>
      <c r="CS61" s="123" t="e">
        <f t="shared" si="79"/>
        <v>#DIV/0!</v>
      </c>
      <c r="CT61" s="123" t="e">
        <f t="shared" si="80"/>
        <v>#DIV/0!</v>
      </c>
      <c r="CU61" s="124">
        <f t="shared" si="81"/>
        <v>4.9388614429463438</v>
      </c>
      <c r="CV61" s="173">
        <f t="shared" si="82"/>
        <v>6.3118282122260467</v>
      </c>
      <c r="CW61" s="124">
        <f t="shared" si="83"/>
        <v>0</v>
      </c>
      <c r="CX61" s="171">
        <f t="shared" si="84"/>
        <v>0</v>
      </c>
      <c r="CY61" s="122">
        <f t="shared" si="162"/>
        <v>38</v>
      </c>
      <c r="CZ61" s="231">
        <f t="shared" si="163"/>
        <v>61.774482758620721</v>
      </c>
      <c r="DA61" s="123">
        <f t="shared" si="164"/>
        <v>112.37931034482759</v>
      </c>
      <c r="DB61" s="123">
        <f t="shared" si="165"/>
        <v>113.43103448275862</v>
      </c>
      <c r="DC61" s="123">
        <f t="shared" si="166"/>
        <v>0.18138170498084291</v>
      </c>
      <c r="DD61" s="123">
        <f t="shared" si="167"/>
        <v>160.24062500000002</v>
      </c>
      <c r="DE61" s="123">
        <f t="shared" si="168"/>
        <v>321.22500000000002</v>
      </c>
      <c r="DF61" s="123">
        <f t="shared" si="169"/>
        <v>482.16562499999998</v>
      </c>
      <c r="DG61" s="123">
        <f t="shared" si="170"/>
        <v>600.12241379310342</v>
      </c>
      <c r="DH61" s="123">
        <f t="shared" si="171"/>
        <v>18.147758620689654</v>
      </c>
      <c r="DI61" s="123">
        <f t="shared" si="172"/>
        <v>41.771874999999987</v>
      </c>
      <c r="DJ61" s="123">
        <f t="shared" si="173"/>
        <v>83.715624999999989</v>
      </c>
      <c r="DK61" s="123">
        <f t="shared" si="174"/>
        <v>125.66249999999992</v>
      </c>
      <c r="DL61" s="123">
        <f t="shared" si="175"/>
        <v>156.53620689655173</v>
      </c>
      <c r="DM61" s="123">
        <f t="shared" si="176"/>
        <v>-2.0636206896551719</v>
      </c>
      <c r="DN61" s="123">
        <f t="shared" si="177"/>
        <v>95.224137931034477</v>
      </c>
      <c r="DO61" s="123">
        <f t="shared" si="178"/>
        <v>39.11724137931035</v>
      </c>
      <c r="DP61" s="123">
        <f t="shared" si="179"/>
        <v>73.460344827586226</v>
      </c>
      <c r="DQ61" s="123">
        <f t="shared" si="180"/>
        <v>100.47068965517242</v>
      </c>
      <c r="DR61" s="123">
        <f t="shared" si="181"/>
        <v>120.95172413793104</v>
      </c>
      <c r="DS61" s="123">
        <f t="shared" si="182"/>
        <v>1.3158524904214522E-2</v>
      </c>
      <c r="DT61" s="123">
        <f t="shared" si="183"/>
        <v>29.179310344827595</v>
      </c>
      <c r="DU61" s="261">
        <f t="shared" si="184"/>
        <v>4.9995275888133029E-3</v>
      </c>
      <c r="DV61" s="261">
        <f t="shared" si="185"/>
        <v>4.962915721844291E-3</v>
      </c>
      <c r="DW61" s="261">
        <f t="shared" si="186"/>
        <v>-3.0930715197956654E-5</v>
      </c>
      <c r="DX61" s="123" t="e">
        <f t="shared" si="187"/>
        <v>#DIV/0!</v>
      </c>
      <c r="DY61" s="123" t="e">
        <f t="shared" si="188"/>
        <v>#DIV/0!</v>
      </c>
      <c r="DZ61" s="123" t="e">
        <f t="shared" si="189"/>
        <v>#DIV/0!</v>
      </c>
      <c r="EA61" s="123" t="e">
        <f t="shared" si="190"/>
        <v>#DIV/0!</v>
      </c>
      <c r="EB61" s="176">
        <f t="shared" si="191"/>
        <v>5.6253448275861953</v>
      </c>
      <c r="EC61" s="125">
        <f t="shared" si="192"/>
        <v>0</v>
      </c>
      <c r="ED61" s="179">
        <f t="shared" si="102"/>
        <v>120</v>
      </c>
      <c r="EE61" s="125">
        <f t="shared" si="103"/>
        <v>100</v>
      </c>
      <c r="EF61" s="106"/>
      <c r="EG61" s="106"/>
    </row>
    <row r="62" spans="1:137" ht="11.25" customHeight="1">
      <c r="A62" s="82"/>
      <c r="B62" s="160"/>
      <c r="C62" s="257"/>
      <c r="D62" s="160"/>
      <c r="E62" s="160"/>
      <c r="F62" s="162"/>
      <c r="G62" s="274"/>
      <c r="H62" s="159"/>
      <c r="I62" s="159"/>
      <c r="J62" s="159"/>
      <c r="K62" s="159"/>
      <c r="L62" s="135"/>
      <c r="M62" s="271"/>
      <c r="N62" s="159"/>
      <c r="O62" s="159"/>
      <c r="P62" s="159"/>
      <c r="Q62" s="159"/>
      <c r="R62" s="136"/>
      <c r="S62" s="272"/>
      <c r="T62" s="161"/>
      <c r="U62" s="161"/>
      <c r="V62" s="161"/>
      <c r="W62" s="161"/>
      <c r="X62" s="186"/>
      <c r="Y62" s="186"/>
      <c r="Z62" s="184"/>
      <c r="AA62" s="161"/>
      <c r="AB62" s="260"/>
      <c r="AC62" s="260"/>
      <c r="AD62" s="273"/>
      <c r="AE62" s="166"/>
      <c r="AF62" s="166"/>
      <c r="AG62" s="222"/>
      <c r="AH62" s="166"/>
      <c r="AI62" s="155"/>
      <c r="AJ62" s="155"/>
      <c r="AK62" s="225"/>
      <c r="AL62" s="196"/>
      <c r="AM62" s="196"/>
      <c r="AN62" s="227"/>
      <c r="AO62" s="148">
        <f t="shared" si="53"/>
        <v>28.089877583208697</v>
      </c>
      <c r="AP62" s="149">
        <f t="shared" si="54"/>
        <v>47.910122416791303</v>
      </c>
      <c r="AQ62" s="149">
        <f t="shared" si="7"/>
        <v>61.691860138971634</v>
      </c>
      <c r="AR62" s="149">
        <f t="shared" si="8"/>
        <v>61.857105378269807</v>
      </c>
      <c r="AS62" s="149">
        <f t="shared" si="9"/>
        <v>109.94095976728137</v>
      </c>
      <c r="AT62" s="149">
        <f t="shared" si="10"/>
        <v>114.8176609223738</v>
      </c>
      <c r="AU62" s="149">
        <f t="shared" si="55"/>
        <v>111.93239626243108</v>
      </c>
      <c r="AV62" s="149">
        <f t="shared" si="56"/>
        <v>114.92967270308615</v>
      </c>
      <c r="AW62" s="149">
        <f t="shared" si="57"/>
        <v>0.17368036968193748</v>
      </c>
      <c r="AX62" s="149">
        <f t="shared" si="58"/>
        <v>0.18908304027974834</v>
      </c>
      <c r="AY62" s="123">
        <f t="shared" si="11"/>
        <v>156.83979641263412</v>
      </c>
      <c r="AZ62" s="123">
        <f t="shared" si="12"/>
        <v>163.64145358736593</v>
      </c>
      <c r="BA62" s="123">
        <f t="shared" si="13"/>
        <v>314.2100390293777</v>
      </c>
      <c r="BB62" s="123">
        <f t="shared" si="14"/>
        <v>328.23996097062235</v>
      </c>
      <c r="BC62" s="123">
        <f t="shared" si="15"/>
        <v>471.56159398390412</v>
      </c>
      <c r="BD62" s="123">
        <f t="shared" si="16"/>
        <v>492.76965601609584</v>
      </c>
      <c r="BE62" s="123">
        <f t="shared" si="17"/>
        <v>588.52671906979549</v>
      </c>
      <c r="BF62" s="123">
        <f t="shared" si="18"/>
        <v>611.71810851641135</v>
      </c>
      <c r="BG62" s="123">
        <f t="shared" si="19"/>
        <v>6.4247474531250646</v>
      </c>
      <c r="BH62" s="123">
        <f t="shared" si="20"/>
        <v>29.870769788254243</v>
      </c>
      <c r="BI62" s="123">
        <f t="shared" si="21"/>
        <v>41.634833977180243</v>
      </c>
      <c r="BJ62" s="123">
        <f t="shared" si="22"/>
        <v>41.908916022819731</v>
      </c>
      <c r="BK62" s="123">
        <f t="shared" si="23"/>
        <v>83.527280129290489</v>
      </c>
      <c r="BL62" s="123">
        <f t="shared" si="24"/>
        <v>83.903969870709489</v>
      </c>
      <c r="BM62" s="123">
        <f t="shared" si="25"/>
        <v>125.49642578417671</v>
      </c>
      <c r="BN62" s="123">
        <f t="shared" si="26"/>
        <v>125.82857421582314</v>
      </c>
      <c r="BO62" s="123">
        <f t="shared" si="27"/>
        <v>155.1049414176334</v>
      </c>
      <c r="BP62" s="123">
        <f t="shared" si="28"/>
        <v>157.96747237547007</v>
      </c>
      <c r="BQ62" s="123">
        <f t="shared" si="29"/>
        <v>-3.4739700111749907</v>
      </c>
      <c r="BR62" s="123">
        <f t="shared" si="30"/>
        <v>-0.65327136813535303</v>
      </c>
      <c r="BS62" s="123">
        <f t="shared" si="59"/>
        <v>56.437095452304185</v>
      </c>
      <c r="BT62" s="123">
        <f t="shared" si="60"/>
        <v>134.01118040976476</v>
      </c>
      <c r="BU62" s="123">
        <f t="shared" si="61"/>
        <v>35.424087856897714</v>
      </c>
      <c r="BV62" s="123">
        <f t="shared" si="62"/>
        <v>42.810394901722987</v>
      </c>
      <c r="BW62" s="123">
        <f t="shared" si="63"/>
        <v>68.667936470774464</v>
      </c>
      <c r="BX62" s="123">
        <f t="shared" si="64"/>
        <v>78.252753184397989</v>
      </c>
      <c r="BY62" s="123">
        <f t="shared" si="65"/>
        <v>94.547228197183259</v>
      </c>
      <c r="BZ62" s="123">
        <f t="shared" si="66"/>
        <v>106.39415111316158</v>
      </c>
      <c r="CA62" s="123">
        <f t="shared" si="67"/>
        <v>114.2973449594912</v>
      </c>
      <c r="CB62" s="123">
        <f t="shared" si="68"/>
        <v>127.60610331637088</v>
      </c>
      <c r="CC62" s="123">
        <f t="shared" si="69"/>
        <v>1.1625982470516784E-2</v>
      </c>
      <c r="CD62" s="123">
        <f t="shared" si="70"/>
        <v>1.4691067337912261E-2</v>
      </c>
      <c r="CE62" s="123">
        <f t="shared" si="71"/>
        <v>28.696690452912026</v>
      </c>
      <c r="CF62" s="123">
        <f t="shared" si="72"/>
        <v>29.661930236743164</v>
      </c>
      <c r="CG62" s="261">
        <f t="shared" si="31"/>
        <v>4.6579973341037062E-3</v>
      </c>
      <c r="CH62" s="261">
        <f t="shared" si="32"/>
        <v>5.3410578435228997E-3</v>
      </c>
      <c r="CI62" s="261">
        <f t="shared" si="33"/>
        <v>4.6322196240640304E-3</v>
      </c>
      <c r="CJ62" s="261">
        <f t="shared" si="34"/>
        <v>5.2936118196245515E-3</v>
      </c>
      <c r="CK62" s="261">
        <f t="shared" si="35"/>
        <v>-2.62020899613848E-4</v>
      </c>
      <c r="CL62" s="261">
        <f t="shared" si="36"/>
        <v>2.0015946921793468E-4</v>
      </c>
      <c r="CM62" s="123" t="e">
        <f t="shared" si="73"/>
        <v>#DIV/0!</v>
      </c>
      <c r="CN62" s="123" t="e">
        <f t="shared" si="74"/>
        <v>#DIV/0!</v>
      </c>
      <c r="CO62" s="123" t="e">
        <f t="shared" si="75"/>
        <v>#DIV/0!</v>
      </c>
      <c r="CP62" s="123" t="e">
        <f t="shared" si="76"/>
        <v>#DIV/0!</v>
      </c>
      <c r="CQ62" s="123" t="e">
        <f t="shared" si="77"/>
        <v>#DIV/0!</v>
      </c>
      <c r="CR62" s="123" t="e">
        <f t="shared" si="78"/>
        <v>#DIV/0!</v>
      </c>
      <c r="CS62" s="123" t="e">
        <f t="shared" si="79"/>
        <v>#DIV/0!</v>
      </c>
      <c r="CT62" s="123" t="e">
        <f t="shared" si="80"/>
        <v>#DIV/0!</v>
      </c>
      <c r="CU62" s="124">
        <f t="shared" si="81"/>
        <v>4.9388614429463438</v>
      </c>
      <c r="CV62" s="173">
        <f t="shared" si="82"/>
        <v>6.3118282122260467</v>
      </c>
      <c r="CW62" s="124">
        <f t="shared" si="83"/>
        <v>0</v>
      </c>
      <c r="CX62" s="171">
        <f t="shared" si="84"/>
        <v>0</v>
      </c>
      <c r="CY62" s="122">
        <f t="shared" ref="CY62:DC67" si="193">B$91</f>
        <v>38</v>
      </c>
      <c r="CZ62" s="231">
        <f t="shared" si="193"/>
        <v>61.774482758620721</v>
      </c>
      <c r="DA62" s="123">
        <f t="shared" si="193"/>
        <v>112.37931034482759</v>
      </c>
      <c r="DB62" s="123">
        <f t="shared" si="193"/>
        <v>113.43103448275862</v>
      </c>
      <c r="DC62" s="123">
        <f t="shared" si="193"/>
        <v>0.18138170498084291</v>
      </c>
      <c r="DD62" s="123">
        <f t="shared" ref="DD62:DH63" si="194">H$91</f>
        <v>160.24062500000002</v>
      </c>
      <c r="DE62" s="123">
        <f t="shared" si="194"/>
        <v>321.22500000000002</v>
      </c>
      <c r="DF62" s="123">
        <f t="shared" si="194"/>
        <v>482.16562499999998</v>
      </c>
      <c r="DG62" s="123">
        <f t="shared" si="194"/>
        <v>600.12241379310342</v>
      </c>
      <c r="DH62" s="123">
        <f t="shared" si="194"/>
        <v>18.147758620689654</v>
      </c>
      <c r="DI62" s="123">
        <f t="shared" ref="DI62:DN67" si="195">N$91</f>
        <v>41.771874999999987</v>
      </c>
      <c r="DJ62" s="123">
        <f t="shared" si="195"/>
        <v>83.715624999999989</v>
      </c>
      <c r="DK62" s="123">
        <f t="shared" si="195"/>
        <v>125.66249999999992</v>
      </c>
      <c r="DL62" s="123">
        <f t="shared" si="195"/>
        <v>156.53620689655173</v>
      </c>
      <c r="DM62" s="123">
        <f t="shared" si="195"/>
        <v>-2.0636206896551719</v>
      </c>
      <c r="DN62" s="123">
        <f t="shared" si="195"/>
        <v>95.224137931034477</v>
      </c>
      <c r="DO62" s="123">
        <f t="shared" ref="DO62:DR67" si="196">T$91</f>
        <v>39.11724137931035</v>
      </c>
      <c r="DP62" s="123">
        <f t="shared" si="196"/>
        <v>73.460344827586226</v>
      </c>
      <c r="DQ62" s="123">
        <f t="shared" si="196"/>
        <v>100.47068965517242</v>
      </c>
      <c r="DR62" s="123">
        <f t="shared" si="196"/>
        <v>120.95172413793104</v>
      </c>
      <c r="DS62" s="123">
        <f t="shared" ref="DS62:DT67" si="197">Z$91</f>
        <v>1.3158524904214522E-2</v>
      </c>
      <c r="DT62" s="123">
        <f t="shared" si="197"/>
        <v>29.179310344827595</v>
      </c>
      <c r="DU62" s="261">
        <f t="shared" ref="DU62:DZ67" si="198">AB$91</f>
        <v>4.9995275888133029E-3</v>
      </c>
      <c r="DV62" s="261">
        <f t="shared" si="198"/>
        <v>4.962915721844291E-3</v>
      </c>
      <c r="DW62" s="261">
        <f t="shared" si="198"/>
        <v>-3.0930715197956654E-5</v>
      </c>
      <c r="DX62" s="123" t="e">
        <f t="shared" si="198"/>
        <v>#DIV/0!</v>
      </c>
      <c r="DY62" s="123" t="e">
        <f t="shared" si="198"/>
        <v>#DIV/0!</v>
      </c>
      <c r="DZ62" s="123" t="e">
        <f t="shared" si="198"/>
        <v>#DIV/0!</v>
      </c>
      <c r="EA62" s="123" t="e">
        <f t="shared" ref="EA62:EA67" si="199">AH$91</f>
        <v>#DIV/0!</v>
      </c>
      <c r="EB62" s="176">
        <f t="shared" ref="EB62:EB67" si="200">AK$91</f>
        <v>5.6253448275861953</v>
      </c>
      <c r="EC62" s="125">
        <f t="shared" ref="EC62:EC67" si="201">AN$91</f>
        <v>0</v>
      </c>
      <c r="ED62" s="179">
        <f t="shared" si="102"/>
        <v>120</v>
      </c>
      <c r="EE62" s="125">
        <f t="shared" si="103"/>
        <v>100</v>
      </c>
      <c r="EF62" s="106"/>
      <c r="EG62" s="106"/>
    </row>
    <row r="63" spans="1:137" ht="11.25" customHeight="1">
      <c r="A63" s="82"/>
      <c r="B63" s="160"/>
      <c r="C63" s="257"/>
      <c r="D63" s="160"/>
      <c r="E63" s="160"/>
      <c r="F63" s="162"/>
      <c r="G63" s="274"/>
      <c r="H63" s="159"/>
      <c r="I63" s="159"/>
      <c r="J63" s="159"/>
      <c r="K63" s="159"/>
      <c r="L63" s="135"/>
      <c r="M63" s="271"/>
      <c r="N63" s="159"/>
      <c r="O63" s="159"/>
      <c r="P63" s="159"/>
      <c r="Q63" s="159"/>
      <c r="R63" s="136"/>
      <c r="S63" s="272"/>
      <c r="T63" s="161"/>
      <c r="U63" s="161"/>
      <c r="V63" s="161"/>
      <c r="W63" s="161"/>
      <c r="X63" s="186"/>
      <c r="Y63" s="186"/>
      <c r="Z63" s="184"/>
      <c r="AA63" s="161"/>
      <c r="AB63" s="260"/>
      <c r="AC63" s="273"/>
      <c r="AD63" s="273"/>
      <c r="AE63" s="166"/>
      <c r="AF63" s="166"/>
      <c r="AG63" s="222"/>
      <c r="AH63" s="166"/>
      <c r="AI63" s="155"/>
      <c r="AJ63" s="155"/>
      <c r="AK63" s="225"/>
      <c r="AL63" s="196"/>
      <c r="AM63" s="196"/>
      <c r="AN63" s="227"/>
      <c r="AO63" s="148">
        <f t="shared" si="53"/>
        <v>28.089877583208697</v>
      </c>
      <c r="AP63" s="149">
        <f t="shared" si="54"/>
        <v>47.910122416791303</v>
      </c>
      <c r="AQ63" s="149">
        <f t="shared" si="7"/>
        <v>61.691860138971634</v>
      </c>
      <c r="AR63" s="149">
        <f t="shared" si="8"/>
        <v>61.857105378269807</v>
      </c>
      <c r="AS63" s="149">
        <f t="shared" si="9"/>
        <v>109.94095976728137</v>
      </c>
      <c r="AT63" s="149">
        <f t="shared" si="10"/>
        <v>114.8176609223738</v>
      </c>
      <c r="AU63" s="149">
        <f t="shared" si="55"/>
        <v>111.93239626243108</v>
      </c>
      <c r="AV63" s="149">
        <f t="shared" si="56"/>
        <v>114.92967270308615</v>
      </c>
      <c r="AW63" s="149">
        <f t="shared" si="57"/>
        <v>0.17368036968193748</v>
      </c>
      <c r="AX63" s="149">
        <f t="shared" si="58"/>
        <v>0.18908304027974834</v>
      </c>
      <c r="AY63" s="123">
        <f t="shared" si="11"/>
        <v>156.83979641263412</v>
      </c>
      <c r="AZ63" s="123">
        <f t="shared" si="12"/>
        <v>163.64145358736593</v>
      </c>
      <c r="BA63" s="123">
        <f t="shared" si="13"/>
        <v>314.2100390293777</v>
      </c>
      <c r="BB63" s="123">
        <f t="shared" si="14"/>
        <v>328.23996097062235</v>
      </c>
      <c r="BC63" s="123">
        <f t="shared" si="15"/>
        <v>471.56159398390412</v>
      </c>
      <c r="BD63" s="123">
        <f t="shared" si="16"/>
        <v>492.76965601609584</v>
      </c>
      <c r="BE63" s="123">
        <f t="shared" si="17"/>
        <v>588.52671906979549</v>
      </c>
      <c r="BF63" s="123">
        <f t="shared" si="18"/>
        <v>611.71810851641135</v>
      </c>
      <c r="BG63" s="123">
        <f t="shared" si="19"/>
        <v>6.4247474531250646</v>
      </c>
      <c r="BH63" s="123">
        <f t="shared" si="20"/>
        <v>29.870769788254243</v>
      </c>
      <c r="BI63" s="123">
        <f t="shared" si="21"/>
        <v>41.634833977180243</v>
      </c>
      <c r="BJ63" s="123">
        <f t="shared" si="22"/>
        <v>41.908916022819731</v>
      </c>
      <c r="BK63" s="123">
        <f t="shared" si="23"/>
        <v>83.527280129290489</v>
      </c>
      <c r="BL63" s="123">
        <f t="shared" si="24"/>
        <v>83.903969870709489</v>
      </c>
      <c r="BM63" s="123">
        <f t="shared" si="25"/>
        <v>125.49642578417671</v>
      </c>
      <c r="BN63" s="123">
        <f t="shared" si="26"/>
        <v>125.82857421582314</v>
      </c>
      <c r="BO63" s="123">
        <f t="shared" si="27"/>
        <v>155.1049414176334</v>
      </c>
      <c r="BP63" s="123">
        <f t="shared" si="28"/>
        <v>157.96747237547007</v>
      </c>
      <c r="BQ63" s="123">
        <f t="shared" si="29"/>
        <v>-3.4739700111749907</v>
      </c>
      <c r="BR63" s="123">
        <f t="shared" si="30"/>
        <v>-0.65327136813535303</v>
      </c>
      <c r="BS63" s="123">
        <f t="shared" si="59"/>
        <v>56.437095452304185</v>
      </c>
      <c r="BT63" s="123">
        <f t="shared" si="60"/>
        <v>134.01118040976476</v>
      </c>
      <c r="BU63" s="123">
        <f t="shared" si="61"/>
        <v>35.424087856897714</v>
      </c>
      <c r="BV63" s="123">
        <f t="shared" si="62"/>
        <v>42.810394901722987</v>
      </c>
      <c r="BW63" s="123">
        <f t="shared" si="63"/>
        <v>68.667936470774464</v>
      </c>
      <c r="BX63" s="123">
        <f t="shared" si="64"/>
        <v>78.252753184397989</v>
      </c>
      <c r="BY63" s="123">
        <f t="shared" si="65"/>
        <v>94.547228197183259</v>
      </c>
      <c r="BZ63" s="123">
        <f t="shared" si="66"/>
        <v>106.39415111316158</v>
      </c>
      <c r="CA63" s="123">
        <f t="shared" si="67"/>
        <v>114.2973449594912</v>
      </c>
      <c r="CB63" s="123">
        <f t="shared" si="68"/>
        <v>127.60610331637088</v>
      </c>
      <c r="CC63" s="123">
        <f t="shared" si="69"/>
        <v>1.1625982470516784E-2</v>
      </c>
      <c r="CD63" s="123">
        <f t="shared" si="70"/>
        <v>1.4691067337912261E-2</v>
      </c>
      <c r="CE63" s="123">
        <f t="shared" si="71"/>
        <v>28.696690452912026</v>
      </c>
      <c r="CF63" s="123">
        <f t="shared" si="72"/>
        <v>29.661930236743164</v>
      </c>
      <c r="CG63" s="261">
        <f t="shared" si="31"/>
        <v>4.6579973341037062E-3</v>
      </c>
      <c r="CH63" s="261">
        <f t="shared" si="32"/>
        <v>5.3410578435228997E-3</v>
      </c>
      <c r="CI63" s="261">
        <f t="shared" si="33"/>
        <v>4.6322196240640304E-3</v>
      </c>
      <c r="CJ63" s="261">
        <f t="shared" si="34"/>
        <v>5.2936118196245515E-3</v>
      </c>
      <c r="CK63" s="261">
        <f t="shared" si="35"/>
        <v>-2.62020899613848E-4</v>
      </c>
      <c r="CL63" s="261">
        <f t="shared" si="36"/>
        <v>2.0015946921793468E-4</v>
      </c>
      <c r="CM63" s="123" t="e">
        <f t="shared" si="73"/>
        <v>#DIV/0!</v>
      </c>
      <c r="CN63" s="123" t="e">
        <f t="shared" si="74"/>
        <v>#DIV/0!</v>
      </c>
      <c r="CO63" s="123" t="e">
        <f t="shared" si="75"/>
        <v>#DIV/0!</v>
      </c>
      <c r="CP63" s="123" t="e">
        <f t="shared" si="76"/>
        <v>#DIV/0!</v>
      </c>
      <c r="CQ63" s="123" t="e">
        <f t="shared" si="77"/>
        <v>#DIV/0!</v>
      </c>
      <c r="CR63" s="123" t="e">
        <f t="shared" si="78"/>
        <v>#DIV/0!</v>
      </c>
      <c r="CS63" s="123" t="e">
        <f t="shared" si="79"/>
        <v>#DIV/0!</v>
      </c>
      <c r="CT63" s="123" t="e">
        <f t="shared" si="80"/>
        <v>#DIV/0!</v>
      </c>
      <c r="CU63" s="124">
        <f t="shared" si="81"/>
        <v>4.9388614429463438</v>
      </c>
      <c r="CV63" s="173">
        <f t="shared" si="82"/>
        <v>6.3118282122260467</v>
      </c>
      <c r="CW63" s="124">
        <f t="shared" si="83"/>
        <v>0</v>
      </c>
      <c r="CX63" s="171">
        <f t="shared" si="84"/>
        <v>0</v>
      </c>
      <c r="CY63" s="122">
        <f t="shared" si="193"/>
        <v>38</v>
      </c>
      <c r="CZ63" s="231">
        <f t="shared" si="193"/>
        <v>61.774482758620721</v>
      </c>
      <c r="DA63" s="123">
        <f t="shared" si="193"/>
        <v>112.37931034482759</v>
      </c>
      <c r="DB63" s="123">
        <f t="shared" si="193"/>
        <v>113.43103448275862</v>
      </c>
      <c r="DC63" s="123">
        <f t="shared" si="193"/>
        <v>0.18138170498084291</v>
      </c>
      <c r="DD63" s="123">
        <f t="shared" si="194"/>
        <v>160.24062500000002</v>
      </c>
      <c r="DE63" s="123">
        <f t="shared" si="194"/>
        <v>321.22500000000002</v>
      </c>
      <c r="DF63" s="123">
        <f t="shared" si="194"/>
        <v>482.16562499999998</v>
      </c>
      <c r="DG63" s="123">
        <f t="shared" si="194"/>
        <v>600.12241379310342</v>
      </c>
      <c r="DH63" s="123">
        <f t="shared" si="194"/>
        <v>18.147758620689654</v>
      </c>
      <c r="DI63" s="123">
        <f t="shared" si="195"/>
        <v>41.771874999999987</v>
      </c>
      <c r="DJ63" s="123">
        <f t="shared" si="195"/>
        <v>83.715624999999989</v>
      </c>
      <c r="DK63" s="123">
        <f t="shared" si="195"/>
        <v>125.66249999999992</v>
      </c>
      <c r="DL63" s="123">
        <f t="shared" si="195"/>
        <v>156.53620689655173</v>
      </c>
      <c r="DM63" s="123">
        <f t="shared" si="195"/>
        <v>-2.0636206896551719</v>
      </c>
      <c r="DN63" s="123">
        <f t="shared" si="195"/>
        <v>95.224137931034477</v>
      </c>
      <c r="DO63" s="123">
        <f t="shared" si="196"/>
        <v>39.11724137931035</v>
      </c>
      <c r="DP63" s="123">
        <f t="shared" si="196"/>
        <v>73.460344827586226</v>
      </c>
      <c r="DQ63" s="123">
        <f t="shared" si="196"/>
        <v>100.47068965517242</v>
      </c>
      <c r="DR63" s="123">
        <f t="shared" si="196"/>
        <v>120.95172413793104</v>
      </c>
      <c r="DS63" s="123">
        <f t="shared" si="197"/>
        <v>1.3158524904214522E-2</v>
      </c>
      <c r="DT63" s="123">
        <f t="shared" si="197"/>
        <v>29.179310344827595</v>
      </c>
      <c r="DU63" s="261">
        <f t="shared" si="198"/>
        <v>4.9995275888133029E-3</v>
      </c>
      <c r="DV63" s="261">
        <f t="shared" si="198"/>
        <v>4.962915721844291E-3</v>
      </c>
      <c r="DW63" s="261">
        <f t="shared" si="198"/>
        <v>-3.0930715197956654E-5</v>
      </c>
      <c r="DX63" s="123" t="e">
        <f t="shared" si="198"/>
        <v>#DIV/0!</v>
      </c>
      <c r="DY63" s="123" t="e">
        <f t="shared" si="198"/>
        <v>#DIV/0!</v>
      </c>
      <c r="DZ63" s="123" t="e">
        <f t="shared" si="198"/>
        <v>#DIV/0!</v>
      </c>
      <c r="EA63" s="123" t="e">
        <f t="shared" si="199"/>
        <v>#DIV/0!</v>
      </c>
      <c r="EB63" s="176">
        <f t="shared" si="200"/>
        <v>5.6253448275861953</v>
      </c>
      <c r="EC63" s="125">
        <f t="shared" si="201"/>
        <v>0</v>
      </c>
      <c r="ED63" s="179">
        <f t="shared" si="102"/>
        <v>120</v>
      </c>
      <c r="EE63" s="125">
        <f t="shared" si="103"/>
        <v>100</v>
      </c>
      <c r="EF63" s="106"/>
      <c r="EG63" s="106"/>
    </row>
    <row r="64" spans="1:137" ht="11.25" customHeight="1">
      <c r="A64" s="82"/>
      <c r="B64" s="160"/>
      <c r="C64" s="257"/>
      <c r="D64" s="160"/>
      <c r="E64" s="160"/>
      <c r="F64" s="162"/>
      <c r="G64" s="274"/>
      <c r="H64" s="159"/>
      <c r="I64" s="159"/>
      <c r="J64" s="159"/>
      <c r="K64" s="159"/>
      <c r="L64" s="135"/>
      <c r="M64" s="271"/>
      <c r="N64" s="159"/>
      <c r="O64" s="159"/>
      <c r="P64" s="159"/>
      <c r="Q64" s="159"/>
      <c r="R64" s="136"/>
      <c r="S64" s="272"/>
      <c r="T64" s="161"/>
      <c r="U64" s="161"/>
      <c r="V64" s="161"/>
      <c r="W64" s="161"/>
      <c r="X64" s="186"/>
      <c r="Y64" s="186"/>
      <c r="Z64" s="184"/>
      <c r="AA64" s="161"/>
      <c r="AB64" s="260"/>
      <c r="AC64" s="273"/>
      <c r="AD64" s="273"/>
      <c r="AE64" s="166"/>
      <c r="AF64" s="166"/>
      <c r="AG64" s="222"/>
      <c r="AH64" s="166"/>
      <c r="AI64" s="155"/>
      <c r="AJ64" s="155"/>
      <c r="AK64" s="225"/>
      <c r="AL64" s="275"/>
      <c r="AM64" s="275"/>
      <c r="AN64" s="227"/>
      <c r="AO64" s="148">
        <f t="shared" si="53"/>
        <v>28.089877583208697</v>
      </c>
      <c r="AP64" s="149">
        <f t="shared" si="54"/>
        <v>47.910122416791303</v>
      </c>
      <c r="AQ64" s="149">
        <f t="shared" si="7"/>
        <v>61.691860138971634</v>
      </c>
      <c r="AR64" s="149">
        <f t="shared" si="8"/>
        <v>61.857105378269807</v>
      </c>
      <c r="AS64" s="149">
        <f t="shared" si="9"/>
        <v>109.94095976728137</v>
      </c>
      <c r="AT64" s="149">
        <f t="shared" si="10"/>
        <v>114.8176609223738</v>
      </c>
      <c r="AU64" s="149">
        <f t="shared" si="55"/>
        <v>111.93239626243108</v>
      </c>
      <c r="AV64" s="149">
        <f t="shared" si="56"/>
        <v>114.92967270308615</v>
      </c>
      <c r="AW64" s="149">
        <f t="shared" si="57"/>
        <v>0.17368036968193748</v>
      </c>
      <c r="AX64" s="149">
        <f t="shared" si="58"/>
        <v>0.18908304027974834</v>
      </c>
      <c r="AY64" s="123">
        <f t="shared" si="11"/>
        <v>156.83979641263412</v>
      </c>
      <c r="AZ64" s="123">
        <f t="shared" si="12"/>
        <v>163.64145358736593</v>
      </c>
      <c r="BA64" s="123">
        <f t="shared" si="13"/>
        <v>314.2100390293777</v>
      </c>
      <c r="BB64" s="123">
        <f t="shared" si="14"/>
        <v>328.23996097062235</v>
      </c>
      <c r="BC64" s="123">
        <f t="shared" si="15"/>
        <v>471.56159398390412</v>
      </c>
      <c r="BD64" s="123">
        <f t="shared" si="16"/>
        <v>492.76965601609584</v>
      </c>
      <c r="BE64" s="123">
        <f t="shared" si="17"/>
        <v>588.52671906979549</v>
      </c>
      <c r="BF64" s="123">
        <f t="shared" si="18"/>
        <v>611.71810851641135</v>
      </c>
      <c r="BG64" s="123">
        <f t="shared" si="19"/>
        <v>6.4247474531250646</v>
      </c>
      <c r="BH64" s="123">
        <f t="shared" si="20"/>
        <v>29.870769788254243</v>
      </c>
      <c r="BI64" s="123">
        <f t="shared" si="21"/>
        <v>41.634833977180243</v>
      </c>
      <c r="BJ64" s="123">
        <f t="shared" si="22"/>
        <v>41.908916022819731</v>
      </c>
      <c r="BK64" s="123">
        <f t="shared" si="23"/>
        <v>83.527280129290489</v>
      </c>
      <c r="BL64" s="123">
        <f t="shared" si="24"/>
        <v>83.903969870709489</v>
      </c>
      <c r="BM64" s="123">
        <f t="shared" si="25"/>
        <v>125.49642578417671</v>
      </c>
      <c r="BN64" s="123">
        <f t="shared" si="26"/>
        <v>125.82857421582314</v>
      </c>
      <c r="BO64" s="123">
        <f t="shared" si="27"/>
        <v>155.1049414176334</v>
      </c>
      <c r="BP64" s="123">
        <f t="shared" si="28"/>
        <v>157.96747237547007</v>
      </c>
      <c r="BQ64" s="123">
        <f t="shared" si="29"/>
        <v>-3.4739700111749907</v>
      </c>
      <c r="BR64" s="123">
        <f t="shared" si="30"/>
        <v>-0.65327136813535303</v>
      </c>
      <c r="BS64" s="123">
        <f t="shared" si="59"/>
        <v>56.437095452304185</v>
      </c>
      <c r="BT64" s="123">
        <f t="shared" si="60"/>
        <v>134.01118040976476</v>
      </c>
      <c r="BU64" s="123">
        <f t="shared" si="61"/>
        <v>35.424087856897714</v>
      </c>
      <c r="BV64" s="123">
        <f t="shared" si="62"/>
        <v>42.810394901722987</v>
      </c>
      <c r="BW64" s="123">
        <f t="shared" si="63"/>
        <v>68.667936470774464</v>
      </c>
      <c r="BX64" s="123">
        <f t="shared" si="64"/>
        <v>78.252753184397989</v>
      </c>
      <c r="BY64" s="123">
        <f t="shared" si="65"/>
        <v>94.547228197183259</v>
      </c>
      <c r="BZ64" s="123">
        <f t="shared" si="66"/>
        <v>106.39415111316158</v>
      </c>
      <c r="CA64" s="123">
        <f t="shared" si="67"/>
        <v>114.2973449594912</v>
      </c>
      <c r="CB64" s="123">
        <f t="shared" si="68"/>
        <v>127.60610331637088</v>
      </c>
      <c r="CC64" s="123">
        <f t="shared" si="69"/>
        <v>1.1625982470516784E-2</v>
      </c>
      <c r="CD64" s="123">
        <f t="shared" si="70"/>
        <v>1.4691067337912261E-2</v>
      </c>
      <c r="CE64" s="123">
        <f t="shared" si="71"/>
        <v>28.696690452912026</v>
      </c>
      <c r="CF64" s="123">
        <f t="shared" si="72"/>
        <v>29.661930236743164</v>
      </c>
      <c r="CG64" s="261">
        <f t="shared" si="31"/>
        <v>4.6579973341037062E-3</v>
      </c>
      <c r="CH64" s="261">
        <f t="shared" si="32"/>
        <v>5.3410578435228997E-3</v>
      </c>
      <c r="CI64" s="261">
        <f t="shared" si="33"/>
        <v>4.6322196240640304E-3</v>
      </c>
      <c r="CJ64" s="261">
        <f t="shared" si="34"/>
        <v>5.2936118196245515E-3</v>
      </c>
      <c r="CK64" s="261">
        <f t="shared" si="35"/>
        <v>-2.62020899613848E-4</v>
      </c>
      <c r="CL64" s="261">
        <f t="shared" si="36"/>
        <v>2.0015946921793468E-4</v>
      </c>
      <c r="CM64" s="123" t="e">
        <f t="shared" si="73"/>
        <v>#DIV/0!</v>
      </c>
      <c r="CN64" s="123" t="e">
        <f t="shared" si="74"/>
        <v>#DIV/0!</v>
      </c>
      <c r="CO64" s="123" t="e">
        <f t="shared" si="75"/>
        <v>#DIV/0!</v>
      </c>
      <c r="CP64" s="123" t="e">
        <f t="shared" si="76"/>
        <v>#DIV/0!</v>
      </c>
      <c r="CQ64" s="123" t="e">
        <f t="shared" si="77"/>
        <v>#DIV/0!</v>
      </c>
      <c r="CR64" s="123" t="e">
        <f t="shared" si="78"/>
        <v>#DIV/0!</v>
      </c>
      <c r="CS64" s="123" t="e">
        <f t="shared" si="79"/>
        <v>#DIV/0!</v>
      </c>
      <c r="CT64" s="123" t="e">
        <f t="shared" si="80"/>
        <v>#DIV/0!</v>
      </c>
      <c r="CU64" s="124">
        <f t="shared" si="81"/>
        <v>4.9388614429463438</v>
      </c>
      <c r="CV64" s="173">
        <f t="shared" si="82"/>
        <v>6.3118282122260467</v>
      </c>
      <c r="CW64" s="124">
        <f t="shared" si="83"/>
        <v>0</v>
      </c>
      <c r="CX64" s="171">
        <f t="shared" si="84"/>
        <v>0</v>
      </c>
      <c r="CY64" s="122">
        <f t="shared" ref="CY64:DC66" si="202">B$91</f>
        <v>38</v>
      </c>
      <c r="CZ64" s="231">
        <f t="shared" si="202"/>
        <v>61.774482758620721</v>
      </c>
      <c r="DA64" s="123">
        <f t="shared" si="202"/>
        <v>112.37931034482759</v>
      </c>
      <c r="DB64" s="123">
        <f t="shared" si="202"/>
        <v>113.43103448275862</v>
      </c>
      <c r="DC64" s="123">
        <f t="shared" si="202"/>
        <v>0.18138170498084291</v>
      </c>
      <c r="DD64" s="123">
        <f t="shared" ref="DD64:DH67" si="203">H$91</f>
        <v>160.24062500000002</v>
      </c>
      <c r="DE64" s="123">
        <f t="shared" si="203"/>
        <v>321.22500000000002</v>
      </c>
      <c r="DF64" s="123">
        <f t="shared" si="203"/>
        <v>482.16562499999998</v>
      </c>
      <c r="DG64" s="123">
        <f t="shared" si="203"/>
        <v>600.12241379310342</v>
      </c>
      <c r="DH64" s="123">
        <f t="shared" si="203"/>
        <v>18.147758620689654</v>
      </c>
      <c r="DI64" s="123">
        <f t="shared" si="195"/>
        <v>41.771874999999987</v>
      </c>
      <c r="DJ64" s="123">
        <f t="shared" si="195"/>
        <v>83.715624999999989</v>
      </c>
      <c r="DK64" s="123">
        <f t="shared" si="195"/>
        <v>125.66249999999992</v>
      </c>
      <c r="DL64" s="123">
        <f t="shared" si="195"/>
        <v>156.53620689655173</v>
      </c>
      <c r="DM64" s="123">
        <f t="shared" si="195"/>
        <v>-2.0636206896551719</v>
      </c>
      <c r="DN64" s="123">
        <f t="shared" si="195"/>
        <v>95.224137931034477</v>
      </c>
      <c r="DO64" s="123">
        <f t="shared" ref="DO64:DR66" si="204">T$91</f>
        <v>39.11724137931035</v>
      </c>
      <c r="DP64" s="123">
        <f t="shared" si="204"/>
        <v>73.460344827586226</v>
      </c>
      <c r="DQ64" s="123">
        <f t="shared" si="204"/>
        <v>100.47068965517242</v>
      </c>
      <c r="DR64" s="123">
        <f t="shared" si="204"/>
        <v>120.95172413793104</v>
      </c>
      <c r="DS64" s="123">
        <f t="shared" si="197"/>
        <v>1.3158524904214522E-2</v>
      </c>
      <c r="DT64" s="123">
        <f t="shared" si="197"/>
        <v>29.179310344827595</v>
      </c>
      <c r="DU64" s="261">
        <f t="shared" ref="DU64:DZ66" si="205">AB$91</f>
        <v>4.9995275888133029E-3</v>
      </c>
      <c r="DV64" s="261">
        <f t="shared" si="205"/>
        <v>4.962915721844291E-3</v>
      </c>
      <c r="DW64" s="261">
        <f t="shared" si="205"/>
        <v>-3.0930715197956654E-5</v>
      </c>
      <c r="DX64" s="123" t="e">
        <f t="shared" si="205"/>
        <v>#DIV/0!</v>
      </c>
      <c r="DY64" s="123" t="e">
        <f t="shared" si="205"/>
        <v>#DIV/0!</v>
      </c>
      <c r="DZ64" s="123" t="e">
        <f t="shared" si="205"/>
        <v>#DIV/0!</v>
      </c>
      <c r="EA64" s="123" t="e">
        <f t="shared" si="199"/>
        <v>#DIV/0!</v>
      </c>
      <c r="EB64" s="176">
        <f t="shared" si="200"/>
        <v>5.6253448275861953</v>
      </c>
      <c r="EC64" s="125">
        <f t="shared" si="201"/>
        <v>0</v>
      </c>
      <c r="ED64" s="179">
        <f t="shared" si="102"/>
        <v>120</v>
      </c>
      <c r="EE64" s="125">
        <f t="shared" si="103"/>
        <v>100</v>
      </c>
      <c r="EF64" s="106"/>
      <c r="EG64" s="106"/>
    </row>
    <row r="65" spans="1:137" ht="11.25" customHeight="1">
      <c r="A65" s="35"/>
      <c r="B65" s="160"/>
      <c r="C65" s="257"/>
      <c r="D65" s="160"/>
      <c r="E65" s="160"/>
      <c r="F65" s="162"/>
      <c r="G65" s="274"/>
      <c r="H65" s="159"/>
      <c r="I65" s="159"/>
      <c r="J65" s="159"/>
      <c r="K65" s="159"/>
      <c r="L65" s="135"/>
      <c r="M65" s="271"/>
      <c r="N65" s="159"/>
      <c r="O65" s="159"/>
      <c r="P65" s="159"/>
      <c r="Q65" s="159"/>
      <c r="R65" s="136"/>
      <c r="S65" s="272"/>
      <c r="T65" s="161"/>
      <c r="U65" s="161"/>
      <c r="V65" s="161"/>
      <c r="W65" s="161"/>
      <c r="X65" s="186"/>
      <c r="Y65" s="186"/>
      <c r="Z65" s="184"/>
      <c r="AA65" s="161"/>
      <c r="AB65" s="260"/>
      <c r="AC65" s="273"/>
      <c r="AD65" s="273"/>
      <c r="AE65" s="166"/>
      <c r="AF65" s="166"/>
      <c r="AG65" s="222"/>
      <c r="AH65" s="166"/>
      <c r="AI65" s="155"/>
      <c r="AJ65" s="155"/>
      <c r="AK65" s="225"/>
      <c r="AL65" s="275"/>
      <c r="AM65" s="275"/>
      <c r="AN65" s="227"/>
      <c r="AO65" s="148">
        <f t="shared" si="53"/>
        <v>28.089877583208697</v>
      </c>
      <c r="AP65" s="149">
        <f t="shared" si="54"/>
        <v>47.910122416791303</v>
      </c>
      <c r="AQ65" s="149">
        <f t="shared" si="7"/>
        <v>61.691860138971634</v>
      </c>
      <c r="AR65" s="149">
        <f t="shared" si="8"/>
        <v>61.857105378269807</v>
      </c>
      <c r="AS65" s="149">
        <f t="shared" si="9"/>
        <v>109.94095976728137</v>
      </c>
      <c r="AT65" s="149">
        <f t="shared" si="10"/>
        <v>114.8176609223738</v>
      </c>
      <c r="AU65" s="149">
        <f t="shared" si="55"/>
        <v>111.93239626243108</v>
      </c>
      <c r="AV65" s="149">
        <f t="shared" si="56"/>
        <v>114.92967270308615</v>
      </c>
      <c r="AW65" s="149">
        <f t="shared" si="57"/>
        <v>0.17368036968193748</v>
      </c>
      <c r="AX65" s="149">
        <f t="shared" si="58"/>
        <v>0.18908304027974834</v>
      </c>
      <c r="AY65" s="123">
        <f t="shared" si="11"/>
        <v>156.83979641263412</v>
      </c>
      <c r="AZ65" s="123">
        <f t="shared" si="12"/>
        <v>163.64145358736593</v>
      </c>
      <c r="BA65" s="123">
        <f t="shared" si="13"/>
        <v>314.2100390293777</v>
      </c>
      <c r="BB65" s="123">
        <f t="shared" si="14"/>
        <v>328.23996097062235</v>
      </c>
      <c r="BC65" s="123">
        <f t="shared" si="15"/>
        <v>471.56159398390412</v>
      </c>
      <c r="BD65" s="123">
        <f t="shared" si="16"/>
        <v>492.76965601609584</v>
      </c>
      <c r="BE65" s="123">
        <f t="shared" si="17"/>
        <v>588.52671906979549</v>
      </c>
      <c r="BF65" s="123">
        <f t="shared" si="18"/>
        <v>611.71810851641135</v>
      </c>
      <c r="BG65" s="123">
        <f t="shared" si="19"/>
        <v>6.4247474531250646</v>
      </c>
      <c r="BH65" s="123">
        <f t="shared" si="20"/>
        <v>29.870769788254243</v>
      </c>
      <c r="BI65" s="123">
        <f t="shared" si="21"/>
        <v>41.634833977180243</v>
      </c>
      <c r="BJ65" s="123">
        <f t="shared" si="22"/>
        <v>41.908916022819731</v>
      </c>
      <c r="BK65" s="123">
        <f t="shared" si="23"/>
        <v>83.527280129290489</v>
      </c>
      <c r="BL65" s="123">
        <f t="shared" si="24"/>
        <v>83.903969870709489</v>
      </c>
      <c r="BM65" s="123">
        <f t="shared" si="25"/>
        <v>125.49642578417671</v>
      </c>
      <c r="BN65" s="123">
        <f t="shared" si="26"/>
        <v>125.82857421582314</v>
      </c>
      <c r="BO65" s="123">
        <f t="shared" si="27"/>
        <v>155.1049414176334</v>
      </c>
      <c r="BP65" s="123">
        <f t="shared" si="28"/>
        <v>157.96747237547007</v>
      </c>
      <c r="BQ65" s="123">
        <f t="shared" si="29"/>
        <v>-3.4739700111749907</v>
      </c>
      <c r="BR65" s="123">
        <f t="shared" si="30"/>
        <v>-0.65327136813535303</v>
      </c>
      <c r="BS65" s="123">
        <f t="shared" si="59"/>
        <v>56.437095452304185</v>
      </c>
      <c r="BT65" s="123">
        <f t="shared" si="60"/>
        <v>134.01118040976476</v>
      </c>
      <c r="BU65" s="123">
        <f t="shared" si="61"/>
        <v>35.424087856897714</v>
      </c>
      <c r="BV65" s="123">
        <f t="shared" si="62"/>
        <v>42.810394901722987</v>
      </c>
      <c r="BW65" s="123">
        <f t="shared" si="63"/>
        <v>68.667936470774464</v>
      </c>
      <c r="BX65" s="123">
        <f t="shared" si="64"/>
        <v>78.252753184397989</v>
      </c>
      <c r="BY65" s="123">
        <f t="shared" si="65"/>
        <v>94.547228197183259</v>
      </c>
      <c r="BZ65" s="123">
        <f t="shared" si="66"/>
        <v>106.39415111316158</v>
      </c>
      <c r="CA65" s="123">
        <f t="shared" si="67"/>
        <v>114.2973449594912</v>
      </c>
      <c r="CB65" s="123">
        <f t="shared" si="68"/>
        <v>127.60610331637088</v>
      </c>
      <c r="CC65" s="123">
        <f t="shared" si="69"/>
        <v>1.1625982470516784E-2</v>
      </c>
      <c r="CD65" s="123">
        <f t="shared" si="70"/>
        <v>1.4691067337912261E-2</v>
      </c>
      <c r="CE65" s="123">
        <f t="shared" si="71"/>
        <v>28.696690452912026</v>
      </c>
      <c r="CF65" s="123">
        <f t="shared" si="72"/>
        <v>29.661930236743164</v>
      </c>
      <c r="CG65" s="261">
        <f t="shared" si="31"/>
        <v>4.6579973341037062E-3</v>
      </c>
      <c r="CH65" s="261">
        <f t="shared" si="32"/>
        <v>5.3410578435228997E-3</v>
      </c>
      <c r="CI65" s="261">
        <f t="shared" si="33"/>
        <v>4.6322196240640304E-3</v>
      </c>
      <c r="CJ65" s="261">
        <f t="shared" si="34"/>
        <v>5.2936118196245515E-3</v>
      </c>
      <c r="CK65" s="261">
        <f t="shared" si="35"/>
        <v>-2.62020899613848E-4</v>
      </c>
      <c r="CL65" s="261">
        <f t="shared" si="36"/>
        <v>2.0015946921793468E-4</v>
      </c>
      <c r="CM65" s="123" t="e">
        <f t="shared" si="73"/>
        <v>#DIV/0!</v>
      </c>
      <c r="CN65" s="123" t="e">
        <f t="shared" si="74"/>
        <v>#DIV/0!</v>
      </c>
      <c r="CO65" s="123" t="e">
        <f t="shared" si="75"/>
        <v>#DIV/0!</v>
      </c>
      <c r="CP65" s="123" t="e">
        <f t="shared" si="76"/>
        <v>#DIV/0!</v>
      </c>
      <c r="CQ65" s="123" t="e">
        <f t="shared" si="77"/>
        <v>#DIV/0!</v>
      </c>
      <c r="CR65" s="123" t="e">
        <f t="shared" si="78"/>
        <v>#DIV/0!</v>
      </c>
      <c r="CS65" s="123" t="e">
        <f t="shared" si="79"/>
        <v>#DIV/0!</v>
      </c>
      <c r="CT65" s="123" t="e">
        <f t="shared" si="80"/>
        <v>#DIV/0!</v>
      </c>
      <c r="CU65" s="124">
        <f t="shared" si="81"/>
        <v>4.9388614429463438</v>
      </c>
      <c r="CV65" s="173">
        <f t="shared" si="82"/>
        <v>6.3118282122260467</v>
      </c>
      <c r="CW65" s="124">
        <f t="shared" si="83"/>
        <v>0</v>
      </c>
      <c r="CX65" s="171">
        <f t="shared" si="84"/>
        <v>0</v>
      </c>
      <c r="CY65" s="122">
        <f t="shared" si="202"/>
        <v>38</v>
      </c>
      <c r="CZ65" s="231">
        <f t="shared" si="202"/>
        <v>61.774482758620721</v>
      </c>
      <c r="DA65" s="123">
        <f t="shared" si="202"/>
        <v>112.37931034482759</v>
      </c>
      <c r="DB65" s="123">
        <f t="shared" si="202"/>
        <v>113.43103448275862</v>
      </c>
      <c r="DC65" s="123">
        <f t="shared" si="202"/>
        <v>0.18138170498084291</v>
      </c>
      <c r="DD65" s="123">
        <f t="shared" si="203"/>
        <v>160.24062500000002</v>
      </c>
      <c r="DE65" s="123">
        <f t="shared" si="203"/>
        <v>321.22500000000002</v>
      </c>
      <c r="DF65" s="123">
        <f t="shared" si="203"/>
        <v>482.16562499999998</v>
      </c>
      <c r="DG65" s="123">
        <f t="shared" si="203"/>
        <v>600.12241379310342</v>
      </c>
      <c r="DH65" s="123">
        <f t="shared" si="203"/>
        <v>18.147758620689654</v>
      </c>
      <c r="DI65" s="123">
        <f t="shared" si="195"/>
        <v>41.771874999999987</v>
      </c>
      <c r="DJ65" s="123">
        <f t="shared" si="195"/>
        <v>83.715624999999989</v>
      </c>
      <c r="DK65" s="123">
        <f t="shared" si="195"/>
        <v>125.66249999999992</v>
      </c>
      <c r="DL65" s="123">
        <f t="shared" si="195"/>
        <v>156.53620689655173</v>
      </c>
      <c r="DM65" s="123">
        <f t="shared" si="195"/>
        <v>-2.0636206896551719</v>
      </c>
      <c r="DN65" s="123">
        <f t="shared" si="195"/>
        <v>95.224137931034477</v>
      </c>
      <c r="DO65" s="123">
        <f t="shared" si="204"/>
        <v>39.11724137931035</v>
      </c>
      <c r="DP65" s="123">
        <f t="shared" si="204"/>
        <v>73.460344827586226</v>
      </c>
      <c r="DQ65" s="123">
        <f t="shared" si="204"/>
        <v>100.47068965517242</v>
      </c>
      <c r="DR65" s="123">
        <f t="shared" si="204"/>
        <v>120.95172413793104</v>
      </c>
      <c r="DS65" s="123">
        <f t="shared" si="197"/>
        <v>1.3158524904214522E-2</v>
      </c>
      <c r="DT65" s="123">
        <f t="shared" si="197"/>
        <v>29.179310344827595</v>
      </c>
      <c r="DU65" s="261">
        <f t="shared" si="205"/>
        <v>4.9995275888133029E-3</v>
      </c>
      <c r="DV65" s="261">
        <f t="shared" si="205"/>
        <v>4.962915721844291E-3</v>
      </c>
      <c r="DW65" s="261">
        <f t="shared" si="205"/>
        <v>-3.0930715197956654E-5</v>
      </c>
      <c r="DX65" s="123" t="e">
        <f t="shared" si="205"/>
        <v>#DIV/0!</v>
      </c>
      <c r="DY65" s="123" t="e">
        <f t="shared" si="205"/>
        <v>#DIV/0!</v>
      </c>
      <c r="DZ65" s="123" t="e">
        <f t="shared" si="205"/>
        <v>#DIV/0!</v>
      </c>
      <c r="EA65" s="123" t="e">
        <f t="shared" si="199"/>
        <v>#DIV/0!</v>
      </c>
      <c r="EB65" s="176">
        <f t="shared" si="200"/>
        <v>5.6253448275861953</v>
      </c>
      <c r="EC65" s="125">
        <f t="shared" si="201"/>
        <v>0</v>
      </c>
      <c r="ED65" s="179">
        <f t="shared" si="102"/>
        <v>120</v>
      </c>
      <c r="EE65" s="125">
        <f t="shared" si="103"/>
        <v>100</v>
      </c>
      <c r="EF65" s="106"/>
      <c r="EG65" s="106"/>
    </row>
    <row r="66" spans="1:137" ht="11.25" customHeight="1">
      <c r="A66" s="35"/>
      <c r="B66" s="160"/>
      <c r="C66" s="257"/>
      <c r="D66" s="160"/>
      <c r="E66" s="160"/>
      <c r="F66" s="162"/>
      <c r="G66" s="274"/>
      <c r="H66" s="159"/>
      <c r="I66" s="159"/>
      <c r="J66" s="159"/>
      <c r="K66" s="159"/>
      <c r="L66" s="135"/>
      <c r="M66" s="271"/>
      <c r="N66" s="159"/>
      <c r="O66" s="159"/>
      <c r="P66" s="159"/>
      <c r="Q66" s="159"/>
      <c r="R66" s="136"/>
      <c r="S66" s="272"/>
      <c r="T66" s="161"/>
      <c r="U66" s="161"/>
      <c r="V66" s="161"/>
      <c r="W66" s="161"/>
      <c r="X66" s="186"/>
      <c r="Y66" s="186"/>
      <c r="Z66" s="184"/>
      <c r="AA66" s="161"/>
      <c r="AB66" s="260"/>
      <c r="AC66" s="273"/>
      <c r="AD66" s="273"/>
      <c r="AE66" s="166"/>
      <c r="AF66" s="166"/>
      <c r="AG66" s="222"/>
      <c r="AH66" s="166"/>
      <c r="AI66" s="155"/>
      <c r="AJ66" s="155"/>
      <c r="AK66" s="225"/>
      <c r="AL66" s="275"/>
      <c r="AM66" s="275"/>
      <c r="AN66" s="227"/>
      <c r="AO66" s="148">
        <f t="shared" si="53"/>
        <v>28.089877583208697</v>
      </c>
      <c r="AP66" s="149">
        <f t="shared" si="54"/>
        <v>47.910122416791303</v>
      </c>
      <c r="AQ66" s="149">
        <f t="shared" si="7"/>
        <v>61.691860138971634</v>
      </c>
      <c r="AR66" s="149">
        <f t="shared" si="8"/>
        <v>61.857105378269807</v>
      </c>
      <c r="AS66" s="149">
        <f t="shared" si="9"/>
        <v>109.94095976728137</v>
      </c>
      <c r="AT66" s="149">
        <f t="shared" si="10"/>
        <v>114.8176609223738</v>
      </c>
      <c r="AU66" s="149">
        <f t="shared" si="55"/>
        <v>111.93239626243108</v>
      </c>
      <c r="AV66" s="149">
        <f t="shared" si="56"/>
        <v>114.92967270308615</v>
      </c>
      <c r="AW66" s="149">
        <f t="shared" si="57"/>
        <v>0.17368036968193748</v>
      </c>
      <c r="AX66" s="149">
        <f t="shared" si="58"/>
        <v>0.18908304027974834</v>
      </c>
      <c r="AY66" s="123">
        <f t="shared" si="11"/>
        <v>156.83979641263412</v>
      </c>
      <c r="AZ66" s="123">
        <f t="shared" si="12"/>
        <v>163.64145358736593</v>
      </c>
      <c r="BA66" s="123">
        <f t="shared" si="13"/>
        <v>314.2100390293777</v>
      </c>
      <c r="BB66" s="123">
        <f t="shared" si="14"/>
        <v>328.23996097062235</v>
      </c>
      <c r="BC66" s="123">
        <f t="shared" si="15"/>
        <v>471.56159398390412</v>
      </c>
      <c r="BD66" s="123">
        <f t="shared" si="16"/>
        <v>492.76965601609584</v>
      </c>
      <c r="BE66" s="123">
        <f t="shared" si="17"/>
        <v>588.52671906979549</v>
      </c>
      <c r="BF66" s="123">
        <f t="shared" si="18"/>
        <v>611.71810851641135</v>
      </c>
      <c r="BG66" s="123">
        <f t="shared" si="19"/>
        <v>6.4247474531250646</v>
      </c>
      <c r="BH66" s="123">
        <f t="shared" si="20"/>
        <v>29.870769788254243</v>
      </c>
      <c r="BI66" s="123">
        <f t="shared" si="21"/>
        <v>41.634833977180243</v>
      </c>
      <c r="BJ66" s="123">
        <f t="shared" si="22"/>
        <v>41.908916022819731</v>
      </c>
      <c r="BK66" s="123">
        <f t="shared" si="23"/>
        <v>83.527280129290489</v>
      </c>
      <c r="BL66" s="123">
        <f t="shared" si="24"/>
        <v>83.903969870709489</v>
      </c>
      <c r="BM66" s="123">
        <f t="shared" si="25"/>
        <v>125.49642578417671</v>
      </c>
      <c r="BN66" s="123">
        <f t="shared" si="26"/>
        <v>125.82857421582314</v>
      </c>
      <c r="BO66" s="123">
        <f t="shared" si="27"/>
        <v>155.1049414176334</v>
      </c>
      <c r="BP66" s="123">
        <f t="shared" si="28"/>
        <v>157.96747237547007</v>
      </c>
      <c r="BQ66" s="123">
        <f t="shared" si="29"/>
        <v>-3.4739700111749907</v>
      </c>
      <c r="BR66" s="123">
        <f t="shared" si="30"/>
        <v>-0.65327136813535303</v>
      </c>
      <c r="BS66" s="123">
        <f t="shared" si="59"/>
        <v>56.437095452304185</v>
      </c>
      <c r="BT66" s="123">
        <f t="shared" si="60"/>
        <v>134.01118040976476</v>
      </c>
      <c r="BU66" s="123">
        <f t="shared" si="61"/>
        <v>35.424087856897714</v>
      </c>
      <c r="BV66" s="123">
        <f t="shared" si="62"/>
        <v>42.810394901722987</v>
      </c>
      <c r="BW66" s="123">
        <f t="shared" si="63"/>
        <v>68.667936470774464</v>
      </c>
      <c r="BX66" s="123">
        <f t="shared" si="64"/>
        <v>78.252753184397989</v>
      </c>
      <c r="BY66" s="123">
        <f t="shared" si="65"/>
        <v>94.547228197183259</v>
      </c>
      <c r="BZ66" s="123">
        <f t="shared" si="66"/>
        <v>106.39415111316158</v>
      </c>
      <c r="CA66" s="123">
        <f t="shared" si="67"/>
        <v>114.2973449594912</v>
      </c>
      <c r="CB66" s="123">
        <f t="shared" si="68"/>
        <v>127.60610331637088</v>
      </c>
      <c r="CC66" s="123">
        <f t="shared" si="69"/>
        <v>1.1625982470516784E-2</v>
      </c>
      <c r="CD66" s="123">
        <f t="shared" si="70"/>
        <v>1.4691067337912261E-2</v>
      </c>
      <c r="CE66" s="123">
        <f t="shared" si="71"/>
        <v>28.696690452912026</v>
      </c>
      <c r="CF66" s="123">
        <f t="shared" si="72"/>
        <v>29.661930236743164</v>
      </c>
      <c r="CG66" s="261">
        <f t="shared" si="31"/>
        <v>4.6579973341037062E-3</v>
      </c>
      <c r="CH66" s="261">
        <f t="shared" si="32"/>
        <v>5.3410578435228997E-3</v>
      </c>
      <c r="CI66" s="261">
        <f t="shared" si="33"/>
        <v>4.6322196240640304E-3</v>
      </c>
      <c r="CJ66" s="261">
        <f t="shared" si="34"/>
        <v>5.2936118196245515E-3</v>
      </c>
      <c r="CK66" s="261">
        <f t="shared" si="35"/>
        <v>-2.62020899613848E-4</v>
      </c>
      <c r="CL66" s="261">
        <f t="shared" si="36"/>
        <v>2.0015946921793468E-4</v>
      </c>
      <c r="CM66" s="123" t="e">
        <f t="shared" si="73"/>
        <v>#DIV/0!</v>
      </c>
      <c r="CN66" s="123" t="e">
        <f t="shared" si="74"/>
        <v>#DIV/0!</v>
      </c>
      <c r="CO66" s="123" t="e">
        <f t="shared" si="75"/>
        <v>#DIV/0!</v>
      </c>
      <c r="CP66" s="123" t="e">
        <f t="shared" si="76"/>
        <v>#DIV/0!</v>
      </c>
      <c r="CQ66" s="123" t="e">
        <f t="shared" si="77"/>
        <v>#DIV/0!</v>
      </c>
      <c r="CR66" s="123" t="e">
        <f t="shared" si="78"/>
        <v>#DIV/0!</v>
      </c>
      <c r="CS66" s="123" t="e">
        <f t="shared" si="79"/>
        <v>#DIV/0!</v>
      </c>
      <c r="CT66" s="123" t="e">
        <f t="shared" si="80"/>
        <v>#DIV/0!</v>
      </c>
      <c r="CU66" s="124">
        <f t="shared" si="81"/>
        <v>4.9388614429463438</v>
      </c>
      <c r="CV66" s="173">
        <f t="shared" si="82"/>
        <v>6.3118282122260467</v>
      </c>
      <c r="CW66" s="124">
        <f t="shared" si="83"/>
        <v>0</v>
      </c>
      <c r="CX66" s="171">
        <f t="shared" si="84"/>
        <v>0</v>
      </c>
      <c r="CY66" s="122">
        <f t="shared" si="202"/>
        <v>38</v>
      </c>
      <c r="CZ66" s="231">
        <f t="shared" si="202"/>
        <v>61.774482758620721</v>
      </c>
      <c r="DA66" s="123">
        <f t="shared" si="202"/>
        <v>112.37931034482759</v>
      </c>
      <c r="DB66" s="123">
        <f t="shared" si="202"/>
        <v>113.43103448275862</v>
      </c>
      <c r="DC66" s="123">
        <f t="shared" si="202"/>
        <v>0.18138170498084291</v>
      </c>
      <c r="DD66" s="123">
        <f t="shared" si="203"/>
        <v>160.24062500000002</v>
      </c>
      <c r="DE66" s="123">
        <f t="shared" si="203"/>
        <v>321.22500000000002</v>
      </c>
      <c r="DF66" s="123">
        <f t="shared" si="203"/>
        <v>482.16562499999998</v>
      </c>
      <c r="DG66" s="123">
        <f t="shared" si="203"/>
        <v>600.12241379310342</v>
      </c>
      <c r="DH66" s="123">
        <f t="shared" si="203"/>
        <v>18.147758620689654</v>
      </c>
      <c r="DI66" s="123">
        <f t="shared" si="195"/>
        <v>41.771874999999987</v>
      </c>
      <c r="DJ66" s="123">
        <f t="shared" si="195"/>
        <v>83.715624999999989</v>
      </c>
      <c r="DK66" s="123">
        <f t="shared" si="195"/>
        <v>125.66249999999992</v>
      </c>
      <c r="DL66" s="123">
        <f t="shared" si="195"/>
        <v>156.53620689655173</v>
      </c>
      <c r="DM66" s="123">
        <f t="shared" si="195"/>
        <v>-2.0636206896551719</v>
      </c>
      <c r="DN66" s="123">
        <f t="shared" si="195"/>
        <v>95.224137931034477</v>
      </c>
      <c r="DO66" s="123">
        <f t="shared" si="204"/>
        <v>39.11724137931035</v>
      </c>
      <c r="DP66" s="123">
        <f t="shared" si="204"/>
        <v>73.460344827586226</v>
      </c>
      <c r="DQ66" s="123">
        <f t="shared" si="204"/>
        <v>100.47068965517242</v>
      </c>
      <c r="DR66" s="123">
        <f t="shared" si="204"/>
        <v>120.95172413793104</v>
      </c>
      <c r="DS66" s="123">
        <f t="shared" si="197"/>
        <v>1.3158524904214522E-2</v>
      </c>
      <c r="DT66" s="123">
        <f t="shared" si="197"/>
        <v>29.179310344827595</v>
      </c>
      <c r="DU66" s="261">
        <f t="shared" si="205"/>
        <v>4.9995275888133029E-3</v>
      </c>
      <c r="DV66" s="261">
        <f t="shared" si="205"/>
        <v>4.962915721844291E-3</v>
      </c>
      <c r="DW66" s="261">
        <f t="shared" si="205"/>
        <v>-3.0930715197956654E-5</v>
      </c>
      <c r="DX66" s="123" t="e">
        <f t="shared" si="205"/>
        <v>#DIV/0!</v>
      </c>
      <c r="DY66" s="123" t="e">
        <f t="shared" si="205"/>
        <v>#DIV/0!</v>
      </c>
      <c r="DZ66" s="123" t="e">
        <f t="shared" si="205"/>
        <v>#DIV/0!</v>
      </c>
      <c r="EA66" s="123" t="e">
        <f t="shared" si="199"/>
        <v>#DIV/0!</v>
      </c>
      <c r="EB66" s="176">
        <f t="shared" si="200"/>
        <v>5.6253448275861953</v>
      </c>
      <c r="EC66" s="125">
        <f t="shared" si="201"/>
        <v>0</v>
      </c>
      <c r="ED66" s="179">
        <f t="shared" si="102"/>
        <v>120</v>
      </c>
      <c r="EE66" s="125">
        <f t="shared" si="103"/>
        <v>100</v>
      </c>
      <c r="EF66" s="106"/>
      <c r="EG66" s="106"/>
    </row>
    <row r="67" spans="1:137" s="118" customFormat="1" ht="11.25" customHeight="1">
      <c r="A67" s="59"/>
      <c r="B67" s="59"/>
      <c r="C67" s="258"/>
      <c r="D67" s="59"/>
      <c r="E67" s="59"/>
      <c r="F67" s="60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214"/>
      <c r="T67" s="61"/>
      <c r="U67" s="61"/>
      <c r="V67" s="61"/>
      <c r="W67" s="61"/>
      <c r="X67" s="197"/>
      <c r="Y67" s="197"/>
      <c r="Z67" s="197"/>
      <c r="AA67" s="61"/>
      <c r="AB67" s="61"/>
      <c r="AC67" s="61"/>
      <c r="AD67" s="61"/>
      <c r="AE67" s="62"/>
      <c r="AF67" s="62"/>
      <c r="AG67" s="63"/>
      <c r="AH67" s="62"/>
      <c r="AI67" s="62"/>
      <c r="AJ67" s="62"/>
      <c r="AK67" s="70"/>
      <c r="AL67" s="198"/>
      <c r="AM67" s="198"/>
      <c r="AN67" s="199"/>
      <c r="AO67" s="150">
        <f t="shared" si="53"/>
        <v>28.089877583208697</v>
      </c>
      <c r="AP67" s="151">
        <f t="shared" si="54"/>
        <v>47.910122416791303</v>
      </c>
      <c r="AQ67" s="151">
        <f t="shared" si="7"/>
        <v>61.691860138971634</v>
      </c>
      <c r="AR67" s="151">
        <f t="shared" si="8"/>
        <v>61.857105378269807</v>
      </c>
      <c r="AS67" s="151">
        <f t="shared" si="9"/>
        <v>109.94095976728137</v>
      </c>
      <c r="AT67" s="151">
        <f t="shared" si="10"/>
        <v>114.8176609223738</v>
      </c>
      <c r="AU67" s="151">
        <f t="shared" si="55"/>
        <v>111.93239626243108</v>
      </c>
      <c r="AV67" s="151">
        <f t="shared" si="56"/>
        <v>114.92967270308615</v>
      </c>
      <c r="AW67" s="151">
        <f t="shared" si="57"/>
        <v>0.17368036968193748</v>
      </c>
      <c r="AX67" s="151">
        <f t="shared" si="58"/>
        <v>0.18908304027974834</v>
      </c>
      <c r="AY67" s="127">
        <f t="shared" si="11"/>
        <v>156.83979641263412</v>
      </c>
      <c r="AZ67" s="127">
        <f t="shared" si="12"/>
        <v>163.64145358736593</v>
      </c>
      <c r="BA67" s="127">
        <f t="shared" si="13"/>
        <v>314.2100390293777</v>
      </c>
      <c r="BB67" s="127">
        <f t="shared" si="14"/>
        <v>328.23996097062235</v>
      </c>
      <c r="BC67" s="127">
        <f t="shared" si="15"/>
        <v>471.56159398390412</v>
      </c>
      <c r="BD67" s="127">
        <f t="shared" si="16"/>
        <v>492.76965601609584</v>
      </c>
      <c r="BE67" s="127">
        <f t="shared" si="17"/>
        <v>588.52671906979549</v>
      </c>
      <c r="BF67" s="127">
        <f t="shared" si="18"/>
        <v>611.71810851641135</v>
      </c>
      <c r="BG67" s="127">
        <f t="shared" si="19"/>
        <v>6.4247474531250646</v>
      </c>
      <c r="BH67" s="127">
        <f t="shared" si="20"/>
        <v>29.870769788254243</v>
      </c>
      <c r="BI67" s="127">
        <f t="shared" si="21"/>
        <v>41.634833977180243</v>
      </c>
      <c r="BJ67" s="127">
        <f t="shared" si="22"/>
        <v>41.908916022819731</v>
      </c>
      <c r="BK67" s="127">
        <f t="shared" si="23"/>
        <v>83.527280129290489</v>
      </c>
      <c r="BL67" s="127">
        <f t="shared" si="24"/>
        <v>83.903969870709489</v>
      </c>
      <c r="BM67" s="127">
        <f t="shared" si="25"/>
        <v>125.49642578417671</v>
      </c>
      <c r="BN67" s="127">
        <f t="shared" si="26"/>
        <v>125.82857421582314</v>
      </c>
      <c r="BO67" s="127">
        <f t="shared" si="27"/>
        <v>155.1049414176334</v>
      </c>
      <c r="BP67" s="127">
        <f t="shared" si="28"/>
        <v>157.96747237547007</v>
      </c>
      <c r="BQ67" s="127">
        <f t="shared" si="29"/>
        <v>-3.4739700111749907</v>
      </c>
      <c r="BR67" s="127">
        <f t="shared" si="30"/>
        <v>-0.65327136813535303</v>
      </c>
      <c r="BS67" s="127">
        <f t="shared" si="59"/>
        <v>56.437095452304185</v>
      </c>
      <c r="BT67" s="127">
        <f t="shared" si="60"/>
        <v>134.01118040976476</v>
      </c>
      <c r="BU67" s="127">
        <f t="shared" si="61"/>
        <v>35.424087856897714</v>
      </c>
      <c r="BV67" s="127">
        <f t="shared" si="62"/>
        <v>42.810394901722987</v>
      </c>
      <c r="BW67" s="127">
        <f t="shared" si="63"/>
        <v>68.667936470774464</v>
      </c>
      <c r="BX67" s="127">
        <f t="shared" si="64"/>
        <v>78.252753184397989</v>
      </c>
      <c r="BY67" s="127">
        <f t="shared" si="65"/>
        <v>94.547228197183259</v>
      </c>
      <c r="BZ67" s="127">
        <f t="shared" si="66"/>
        <v>106.39415111316158</v>
      </c>
      <c r="CA67" s="127">
        <f t="shared" si="67"/>
        <v>114.2973449594912</v>
      </c>
      <c r="CB67" s="127">
        <f t="shared" si="68"/>
        <v>127.60610331637088</v>
      </c>
      <c r="CC67" s="127">
        <f t="shared" si="69"/>
        <v>1.1625982470516784E-2</v>
      </c>
      <c r="CD67" s="127">
        <f t="shared" si="70"/>
        <v>1.4691067337912261E-2</v>
      </c>
      <c r="CE67" s="127">
        <f t="shared" si="71"/>
        <v>28.696690452912026</v>
      </c>
      <c r="CF67" s="127">
        <f t="shared" si="72"/>
        <v>29.661930236743164</v>
      </c>
      <c r="CG67" s="262">
        <f t="shared" si="31"/>
        <v>4.6579973341037062E-3</v>
      </c>
      <c r="CH67" s="262">
        <f t="shared" si="32"/>
        <v>5.3410578435228997E-3</v>
      </c>
      <c r="CI67" s="262">
        <f t="shared" si="33"/>
        <v>4.6322196240640304E-3</v>
      </c>
      <c r="CJ67" s="262">
        <f t="shared" si="34"/>
        <v>5.2936118196245515E-3</v>
      </c>
      <c r="CK67" s="262">
        <f t="shared" si="35"/>
        <v>-2.62020899613848E-4</v>
      </c>
      <c r="CL67" s="262">
        <f t="shared" si="36"/>
        <v>2.0015946921793468E-4</v>
      </c>
      <c r="CM67" s="127" t="e">
        <f t="shared" si="73"/>
        <v>#DIV/0!</v>
      </c>
      <c r="CN67" s="127" t="e">
        <f t="shared" si="74"/>
        <v>#DIV/0!</v>
      </c>
      <c r="CO67" s="127" t="e">
        <f t="shared" si="75"/>
        <v>#DIV/0!</v>
      </c>
      <c r="CP67" s="127" t="e">
        <f t="shared" si="76"/>
        <v>#DIV/0!</v>
      </c>
      <c r="CQ67" s="127" t="e">
        <f t="shared" si="77"/>
        <v>#DIV/0!</v>
      </c>
      <c r="CR67" s="127" t="e">
        <f t="shared" si="78"/>
        <v>#DIV/0!</v>
      </c>
      <c r="CS67" s="127" t="e">
        <f t="shared" si="79"/>
        <v>#DIV/0!</v>
      </c>
      <c r="CT67" s="127" t="e">
        <f t="shared" si="80"/>
        <v>#DIV/0!</v>
      </c>
      <c r="CU67" s="128">
        <f t="shared" si="81"/>
        <v>4.9388614429463438</v>
      </c>
      <c r="CV67" s="174">
        <f t="shared" si="82"/>
        <v>6.3118282122260467</v>
      </c>
      <c r="CW67" s="128">
        <f t="shared" si="83"/>
        <v>0</v>
      </c>
      <c r="CX67" s="172">
        <f t="shared" si="84"/>
        <v>0</v>
      </c>
      <c r="CY67" s="126">
        <f t="shared" si="193"/>
        <v>38</v>
      </c>
      <c r="CZ67" s="45">
        <f t="shared" si="193"/>
        <v>61.774482758620721</v>
      </c>
      <c r="DA67" s="127">
        <f t="shared" si="193"/>
        <v>112.37931034482759</v>
      </c>
      <c r="DB67" s="127">
        <f t="shared" si="193"/>
        <v>113.43103448275862</v>
      </c>
      <c r="DC67" s="127">
        <f t="shared" si="193"/>
        <v>0.18138170498084291</v>
      </c>
      <c r="DD67" s="127">
        <f t="shared" si="203"/>
        <v>160.24062500000002</v>
      </c>
      <c r="DE67" s="127">
        <f t="shared" si="203"/>
        <v>321.22500000000002</v>
      </c>
      <c r="DF67" s="127">
        <f t="shared" si="203"/>
        <v>482.16562499999998</v>
      </c>
      <c r="DG67" s="127">
        <f t="shared" si="203"/>
        <v>600.12241379310342</v>
      </c>
      <c r="DH67" s="127">
        <f t="shared" si="203"/>
        <v>18.147758620689654</v>
      </c>
      <c r="DI67" s="127">
        <f t="shared" si="195"/>
        <v>41.771874999999987</v>
      </c>
      <c r="DJ67" s="127">
        <f t="shared" si="195"/>
        <v>83.715624999999989</v>
      </c>
      <c r="DK67" s="127">
        <f t="shared" si="195"/>
        <v>125.66249999999992</v>
      </c>
      <c r="DL67" s="127">
        <f t="shared" si="195"/>
        <v>156.53620689655173</v>
      </c>
      <c r="DM67" s="127">
        <f t="shared" si="195"/>
        <v>-2.0636206896551719</v>
      </c>
      <c r="DN67" s="127">
        <f t="shared" si="195"/>
        <v>95.224137931034477</v>
      </c>
      <c r="DO67" s="127">
        <f t="shared" si="196"/>
        <v>39.11724137931035</v>
      </c>
      <c r="DP67" s="127">
        <f t="shared" si="196"/>
        <v>73.460344827586226</v>
      </c>
      <c r="DQ67" s="127">
        <f t="shared" si="196"/>
        <v>100.47068965517242</v>
      </c>
      <c r="DR67" s="127">
        <f t="shared" si="196"/>
        <v>120.95172413793104</v>
      </c>
      <c r="DS67" s="127">
        <f t="shared" si="197"/>
        <v>1.3158524904214522E-2</v>
      </c>
      <c r="DT67" s="127">
        <f t="shared" si="197"/>
        <v>29.179310344827595</v>
      </c>
      <c r="DU67" s="262">
        <f t="shared" si="198"/>
        <v>4.9995275888133029E-3</v>
      </c>
      <c r="DV67" s="262">
        <f t="shared" si="198"/>
        <v>4.962915721844291E-3</v>
      </c>
      <c r="DW67" s="262">
        <f t="shared" si="198"/>
        <v>-3.0930715197956654E-5</v>
      </c>
      <c r="DX67" s="127" t="e">
        <f t="shared" si="198"/>
        <v>#DIV/0!</v>
      </c>
      <c r="DY67" s="127" t="e">
        <f t="shared" si="198"/>
        <v>#DIV/0!</v>
      </c>
      <c r="DZ67" s="127" t="e">
        <f t="shared" si="198"/>
        <v>#DIV/0!</v>
      </c>
      <c r="EA67" s="127" t="e">
        <f t="shared" si="199"/>
        <v>#DIV/0!</v>
      </c>
      <c r="EB67" s="177">
        <f t="shared" si="200"/>
        <v>5.6253448275861953</v>
      </c>
      <c r="EC67" s="129">
        <f t="shared" si="201"/>
        <v>0</v>
      </c>
      <c r="ED67" s="180">
        <f t="shared" si="102"/>
        <v>120</v>
      </c>
      <c r="EE67" s="129">
        <f t="shared" si="103"/>
        <v>100</v>
      </c>
      <c r="EF67" s="130"/>
      <c r="EG67" s="130"/>
    </row>
    <row r="68" spans="1:137" s="245" customFormat="1" ht="11.25" customHeight="1">
      <c r="A68" s="232" t="s">
        <v>98</v>
      </c>
      <c r="B68" s="233"/>
      <c r="C68" s="233">
        <v>61.13</v>
      </c>
      <c r="D68" s="233">
        <v>100</v>
      </c>
      <c r="E68" s="233">
        <v>100</v>
      </c>
      <c r="F68" s="234"/>
      <c r="G68" s="234"/>
      <c r="H68" s="234"/>
      <c r="I68" s="234"/>
      <c r="J68" s="234"/>
      <c r="K68" s="234"/>
      <c r="L68" s="234"/>
      <c r="M68" s="235"/>
      <c r="N68" s="235"/>
      <c r="O68" s="236"/>
      <c r="P68" s="236"/>
      <c r="Q68" s="236"/>
      <c r="R68" s="236"/>
      <c r="S68" s="237"/>
      <c r="T68" s="237"/>
      <c r="U68" s="237"/>
      <c r="V68" s="236"/>
      <c r="W68" s="238"/>
      <c r="X68" s="238"/>
      <c r="Y68" s="239"/>
      <c r="Z68" s="238"/>
      <c r="AA68" s="238"/>
      <c r="AB68" s="265"/>
      <c r="AC68" s="265"/>
      <c r="AD68" s="265"/>
      <c r="AE68" s="238"/>
      <c r="AF68" s="238"/>
      <c r="AG68" s="237"/>
      <c r="AH68" s="237"/>
      <c r="AI68" s="237"/>
      <c r="AJ68" s="237"/>
      <c r="AK68" s="237"/>
      <c r="AL68" s="237"/>
      <c r="AM68" s="237"/>
      <c r="AN68" s="237"/>
      <c r="AO68" s="240"/>
      <c r="AP68" s="241"/>
      <c r="AQ68" s="242"/>
      <c r="AR68" s="241"/>
      <c r="AS68" s="242"/>
      <c r="AT68" s="241"/>
      <c r="AU68" s="243"/>
      <c r="AV68" s="241"/>
      <c r="AW68" s="243"/>
      <c r="AX68" s="241"/>
      <c r="AY68" s="243"/>
      <c r="AZ68" s="241"/>
      <c r="BA68" s="243"/>
      <c r="BB68" s="243"/>
      <c r="BC68" s="243"/>
      <c r="BD68" s="241"/>
      <c r="BE68" s="240"/>
      <c r="BF68" s="241"/>
      <c r="BG68" s="240"/>
      <c r="BH68" s="241"/>
      <c r="BI68" s="240"/>
      <c r="BJ68" s="241"/>
      <c r="BK68" s="240"/>
      <c r="BL68" s="240"/>
      <c r="BM68" s="240"/>
      <c r="BN68" s="240"/>
      <c r="BO68" s="240"/>
      <c r="BP68" s="241"/>
      <c r="BQ68" s="240"/>
      <c r="BR68" s="241"/>
      <c r="BS68" s="240"/>
      <c r="BT68" s="241"/>
      <c r="BU68" s="240"/>
      <c r="BV68" s="241"/>
      <c r="BW68" s="240"/>
      <c r="BX68" s="244"/>
      <c r="BY68" s="244"/>
      <c r="BZ68" s="244"/>
      <c r="CA68" s="244"/>
      <c r="CB68" s="241"/>
      <c r="CC68" s="241"/>
      <c r="CD68" s="241"/>
      <c r="CE68" s="241"/>
      <c r="CF68" s="241"/>
      <c r="CG68" s="241"/>
      <c r="CH68" s="241"/>
      <c r="CI68" s="241"/>
      <c r="CJ68" s="241"/>
      <c r="CK68" s="241"/>
      <c r="CL68" s="241"/>
      <c r="CM68" s="241"/>
      <c r="CN68" s="241"/>
      <c r="CO68" s="241"/>
      <c r="CP68" s="241"/>
      <c r="CQ68" s="241"/>
      <c r="CR68" s="241"/>
      <c r="CS68" s="241"/>
      <c r="CT68" s="241"/>
      <c r="CU68" s="241"/>
      <c r="CV68" s="241"/>
      <c r="CW68" s="241"/>
      <c r="CX68" s="241"/>
      <c r="CY68" s="241"/>
      <c r="CZ68" s="241"/>
      <c r="DA68" s="241"/>
      <c r="DB68" s="241"/>
      <c r="DC68" s="241"/>
    </row>
    <row r="69" spans="1:137" s="245" customFormat="1" ht="11.25" customHeight="1">
      <c r="A69" s="232" t="s">
        <v>32</v>
      </c>
      <c r="B69" s="233"/>
      <c r="C69" s="233">
        <v>62.37</v>
      </c>
      <c r="D69" s="233">
        <v>120</v>
      </c>
      <c r="E69" s="233">
        <v>120</v>
      </c>
      <c r="F69" s="234"/>
      <c r="G69" s="234"/>
      <c r="H69" s="234"/>
      <c r="I69" s="234"/>
      <c r="J69" s="234"/>
      <c r="K69" s="234"/>
      <c r="L69" s="234"/>
      <c r="M69" s="235"/>
      <c r="N69" s="235"/>
      <c r="O69" s="236"/>
      <c r="P69" s="236"/>
      <c r="Q69" s="236"/>
      <c r="R69" s="236"/>
      <c r="S69" s="237"/>
      <c r="T69" s="237"/>
      <c r="U69" s="246"/>
      <c r="V69" s="236"/>
      <c r="W69" s="238"/>
      <c r="X69" s="238"/>
      <c r="Y69" s="239"/>
      <c r="Z69" s="246">
        <v>1.3888888888888888E-2</v>
      </c>
      <c r="AA69" s="236">
        <v>30</v>
      </c>
      <c r="AB69" s="265"/>
      <c r="AC69" s="265"/>
      <c r="AD69" s="265"/>
      <c r="AE69" s="238"/>
      <c r="AF69" s="238"/>
      <c r="AG69" s="237"/>
      <c r="AH69" s="237"/>
      <c r="AI69" s="237"/>
      <c r="AJ69" s="237"/>
      <c r="AK69" s="237"/>
      <c r="AL69" s="237"/>
      <c r="AM69" s="237"/>
      <c r="AN69" s="237"/>
      <c r="AO69" s="240"/>
      <c r="AP69" s="241"/>
      <c r="AQ69" s="242"/>
      <c r="AR69" s="241"/>
      <c r="AS69" s="242"/>
      <c r="AT69" s="241"/>
      <c r="AU69" s="243"/>
      <c r="AV69" s="241"/>
      <c r="AW69" s="243"/>
      <c r="AX69" s="241"/>
      <c r="AY69" s="243"/>
      <c r="AZ69" s="241"/>
      <c r="BA69" s="243"/>
      <c r="BB69" s="243"/>
      <c r="BC69" s="243"/>
      <c r="BD69" s="241"/>
      <c r="BE69" s="240"/>
      <c r="BF69" s="241"/>
      <c r="BG69" s="240"/>
      <c r="BH69" s="241"/>
      <c r="BI69" s="240"/>
      <c r="BJ69" s="241"/>
      <c r="BK69" s="240"/>
      <c r="BL69" s="240"/>
      <c r="BM69" s="240"/>
      <c r="BN69" s="240"/>
      <c r="BO69" s="240"/>
      <c r="BP69" s="241"/>
      <c r="BQ69" s="240"/>
      <c r="BR69" s="241"/>
      <c r="BS69" s="240"/>
      <c r="BT69" s="241"/>
      <c r="BU69" s="240"/>
      <c r="BV69" s="241"/>
      <c r="BW69" s="240"/>
      <c r="BX69" s="244"/>
      <c r="BY69" s="244"/>
      <c r="BZ69" s="244"/>
      <c r="CA69" s="244"/>
      <c r="CB69" s="241"/>
      <c r="CC69" s="241"/>
      <c r="CD69" s="241"/>
      <c r="CE69" s="241"/>
      <c r="CF69" s="241"/>
      <c r="CG69" s="241"/>
      <c r="CH69" s="241"/>
      <c r="CI69" s="241"/>
      <c r="CJ69" s="241"/>
      <c r="CK69" s="241"/>
      <c r="CL69" s="241"/>
      <c r="CM69" s="241"/>
      <c r="CN69" s="241"/>
      <c r="CO69" s="241"/>
      <c r="CP69" s="241"/>
      <c r="CQ69" s="241"/>
      <c r="CR69" s="241"/>
      <c r="CS69" s="241"/>
      <c r="CT69" s="241"/>
      <c r="CU69" s="241"/>
      <c r="CV69" s="241"/>
      <c r="CW69" s="241"/>
      <c r="CX69" s="241"/>
      <c r="CY69" s="241"/>
      <c r="CZ69" s="241"/>
      <c r="DA69" s="241"/>
      <c r="DB69" s="241"/>
      <c r="DC69" s="241"/>
    </row>
    <row r="70" spans="1:137" s="245" customFormat="1" ht="11.25" customHeight="1">
      <c r="A70" s="232" t="s">
        <v>99</v>
      </c>
      <c r="B70" s="247">
        <v>0</v>
      </c>
      <c r="C70" s="247">
        <v>61.75</v>
      </c>
      <c r="D70" s="247">
        <v>110</v>
      </c>
      <c r="E70" s="247">
        <v>110</v>
      </c>
      <c r="F70" s="247">
        <v>0</v>
      </c>
      <c r="G70" s="247">
        <v>0</v>
      </c>
      <c r="H70" s="247">
        <v>0</v>
      </c>
      <c r="I70" s="247">
        <v>0</v>
      </c>
      <c r="J70" s="247">
        <v>0</v>
      </c>
      <c r="K70" s="247">
        <v>0</v>
      </c>
      <c r="L70" s="247">
        <v>0</v>
      </c>
      <c r="M70" s="247">
        <v>0</v>
      </c>
      <c r="N70" s="247">
        <v>0</v>
      </c>
      <c r="O70" s="247">
        <v>0</v>
      </c>
      <c r="P70" s="247">
        <v>0</v>
      </c>
      <c r="Q70" s="247">
        <v>0</v>
      </c>
      <c r="R70" s="247">
        <v>0</v>
      </c>
      <c r="S70" s="247">
        <v>0</v>
      </c>
      <c r="T70" s="247">
        <v>0</v>
      </c>
      <c r="U70" s="247">
        <v>0</v>
      </c>
      <c r="V70" s="247">
        <v>0</v>
      </c>
      <c r="W70" s="247">
        <v>0</v>
      </c>
      <c r="X70" s="247">
        <v>0</v>
      </c>
      <c r="Y70" s="247">
        <v>0</v>
      </c>
      <c r="Z70" s="247">
        <v>6.9444444444444441E-3</v>
      </c>
      <c r="AA70" s="247">
        <v>15</v>
      </c>
      <c r="AB70" s="266"/>
      <c r="AC70" s="266"/>
      <c r="AD70" s="266"/>
      <c r="AE70" s="247">
        <v>0</v>
      </c>
      <c r="AF70" s="247">
        <v>0</v>
      </c>
      <c r="AG70" s="247">
        <v>0</v>
      </c>
      <c r="AH70" s="247">
        <v>0</v>
      </c>
      <c r="AI70" s="247">
        <v>0</v>
      </c>
      <c r="AJ70" s="247">
        <v>0</v>
      </c>
      <c r="AK70" s="247">
        <v>0</v>
      </c>
      <c r="AL70" s="247">
        <v>0</v>
      </c>
      <c r="AM70" s="247">
        <v>0</v>
      </c>
      <c r="AN70" s="247">
        <v>0</v>
      </c>
      <c r="AO70" s="240"/>
      <c r="AP70" s="241"/>
      <c r="AQ70" s="242"/>
      <c r="AR70" s="241"/>
      <c r="AS70" s="242"/>
      <c r="AT70" s="241"/>
      <c r="AU70" s="243"/>
      <c r="AV70" s="241"/>
      <c r="AW70" s="243"/>
      <c r="AX70" s="241"/>
      <c r="AY70" s="243"/>
      <c r="AZ70" s="241"/>
      <c r="BA70" s="243"/>
      <c r="BB70" s="243"/>
      <c r="BC70" s="243"/>
      <c r="BD70" s="241"/>
      <c r="BE70" s="240"/>
      <c r="BF70" s="241"/>
      <c r="BG70" s="240"/>
      <c r="BH70" s="241"/>
      <c r="BI70" s="240"/>
      <c r="BJ70" s="241"/>
      <c r="BK70" s="240"/>
      <c r="BL70" s="240"/>
      <c r="BM70" s="240"/>
      <c r="BN70" s="240"/>
      <c r="BO70" s="240"/>
      <c r="BP70" s="241"/>
      <c r="BQ70" s="240"/>
      <c r="BR70" s="241"/>
      <c r="BS70" s="240"/>
      <c r="BT70" s="241"/>
      <c r="BU70" s="240"/>
      <c r="BV70" s="241"/>
      <c r="BW70" s="240"/>
      <c r="BX70" s="244"/>
      <c r="BY70" s="244"/>
      <c r="BZ70" s="244"/>
      <c r="CA70" s="244"/>
      <c r="CB70" s="241"/>
      <c r="CC70" s="241"/>
      <c r="CD70" s="241"/>
      <c r="CE70" s="241"/>
      <c r="CF70" s="241"/>
      <c r="CG70" s="241"/>
      <c r="CH70" s="241"/>
      <c r="CI70" s="241"/>
      <c r="CJ70" s="241"/>
      <c r="CK70" s="241"/>
      <c r="CL70" s="241"/>
      <c r="CM70" s="241"/>
      <c r="CN70" s="241"/>
      <c r="CO70" s="241"/>
      <c r="CP70" s="241"/>
      <c r="CQ70" s="241"/>
      <c r="CR70" s="241"/>
      <c r="CS70" s="241"/>
      <c r="CT70" s="241"/>
      <c r="CU70" s="241"/>
      <c r="CV70" s="241"/>
      <c r="CW70" s="241"/>
      <c r="CX70" s="241"/>
      <c r="CY70" s="241"/>
      <c r="CZ70" s="241"/>
      <c r="DA70" s="241"/>
      <c r="DB70" s="241"/>
      <c r="DC70" s="241"/>
    </row>
    <row r="71" spans="1:137" s="245" customFormat="1" ht="11.25" customHeight="1">
      <c r="A71" s="232" t="s">
        <v>100</v>
      </c>
      <c r="B71" s="247">
        <v>0</v>
      </c>
      <c r="C71" s="247">
        <v>1.24</v>
      </c>
      <c r="D71" s="247">
        <v>20</v>
      </c>
      <c r="E71" s="247">
        <v>20</v>
      </c>
      <c r="F71" s="247">
        <v>0</v>
      </c>
      <c r="G71" s="247">
        <v>0</v>
      </c>
      <c r="H71" s="247">
        <v>0</v>
      </c>
      <c r="I71" s="247">
        <v>0</v>
      </c>
      <c r="J71" s="247">
        <v>0</v>
      </c>
      <c r="K71" s="247">
        <v>0</v>
      </c>
      <c r="L71" s="247">
        <v>0</v>
      </c>
      <c r="M71" s="247">
        <v>0</v>
      </c>
      <c r="N71" s="247">
        <v>0</v>
      </c>
      <c r="O71" s="247">
        <v>0</v>
      </c>
      <c r="P71" s="247">
        <v>0</v>
      </c>
      <c r="Q71" s="247">
        <v>0</v>
      </c>
      <c r="R71" s="247">
        <v>0</v>
      </c>
      <c r="S71" s="247">
        <v>0</v>
      </c>
      <c r="T71" s="247">
        <v>0</v>
      </c>
      <c r="U71" s="247">
        <v>0</v>
      </c>
      <c r="V71" s="247">
        <v>0</v>
      </c>
      <c r="W71" s="247">
        <v>0</v>
      </c>
      <c r="X71" s="247">
        <v>0</v>
      </c>
      <c r="Y71" s="247">
        <v>0</v>
      </c>
      <c r="Z71" s="247">
        <v>1.3888888888888888E-2</v>
      </c>
      <c r="AA71" s="247">
        <v>30</v>
      </c>
      <c r="AB71" s="266"/>
      <c r="AC71" s="266"/>
      <c r="AD71" s="266"/>
      <c r="AE71" s="247">
        <v>0</v>
      </c>
      <c r="AF71" s="247">
        <v>0</v>
      </c>
      <c r="AG71" s="247">
        <v>0</v>
      </c>
      <c r="AH71" s="247">
        <v>0</v>
      </c>
      <c r="AI71" s="247">
        <v>0</v>
      </c>
      <c r="AJ71" s="247">
        <v>0</v>
      </c>
      <c r="AK71" s="247">
        <v>0</v>
      </c>
      <c r="AL71" s="247">
        <v>0</v>
      </c>
      <c r="AM71" s="247">
        <v>0</v>
      </c>
      <c r="AN71" s="247">
        <v>0</v>
      </c>
      <c r="AO71" s="240"/>
      <c r="AP71" s="241"/>
      <c r="AQ71" s="242"/>
      <c r="AR71" s="241"/>
      <c r="AS71" s="242"/>
      <c r="AT71" s="241"/>
      <c r="AU71" s="243"/>
      <c r="AV71" s="241"/>
      <c r="AW71" s="243"/>
      <c r="AX71" s="241"/>
      <c r="AY71" s="243"/>
      <c r="AZ71" s="241"/>
      <c r="BA71" s="243"/>
      <c r="BB71" s="243"/>
      <c r="BC71" s="243"/>
      <c r="BD71" s="241"/>
      <c r="BE71" s="240"/>
      <c r="BF71" s="241"/>
      <c r="BG71" s="240"/>
      <c r="BH71" s="241"/>
      <c r="BI71" s="240"/>
      <c r="BJ71" s="241"/>
      <c r="BK71" s="240"/>
      <c r="BL71" s="240"/>
      <c r="BM71" s="240"/>
      <c r="BN71" s="240"/>
      <c r="BO71" s="240"/>
      <c r="BP71" s="241"/>
      <c r="BQ71" s="240"/>
      <c r="BR71" s="241"/>
      <c r="BS71" s="240"/>
      <c r="BT71" s="241"/>
      <c r="BU71" s="240"/>
      <c r="BV71" s="241"/>
      <c r="BW71" s="240"/>
      <c r="BX71" s="244"/>
      <c r="BY71" s="244"/>
      <c r="BZ71" s="244"/>
      <c r="CA71" s="244"/>
      <c r="CB71" s="241"/>
      <c r="CC71" s="241"/>
      <c r="CD71" s="241"/>
      <c r="CE71" s="241"/>
      <c r="CF71" s="241"/>
      <c r="CG71" s="241"/>
      <c r="CH71" s="241"/>
      <c r="CI71" s="241"/>
      <c r="CJ71" s="241"/>
      <c r="CK71" s="241"/>
      <c r="CL71" s="241"/>
      <c r="CM71" s="241"/>
      <c r="CN71" s="241"/>
      <c r="CO71" s="241"/>
      <c r="CP71" s="241"/>
      <c r="CQ71" s="241"/>
      <c r="CR71" s="241"/>
      <c r="CS71" s="241"/>
      <c r="CT71" s="241"/>
      <c r="CU71" s="241"/>
      <c r="CV71" s="241"/>
      <c r="CW71" s="241"/>
      <c r="CX71" s="241"/>
      <c r="CY71" s="241"/>
      <c r="CZ71" s="241"/>
      <c r="DA71" s="241"/>
      <c r="DB71" s="241"/>
      <c r="DC71" s="241"/>
    </row>
    <row r="72" spans="1:137">
      <c r="A72" s="85" t="s">
        <v>13</v>
      </c>
      <c r="B72" s="86">
        <f>AVERAGE(B6:B67)</f>
        <v>35.96875</v>
      </c>
      <c r="C72" s="86">
        <f>AVERAGE(C6:C67)</f>
        <v>61.790312499999985</v>
      </c>
      <c r="D72" s="86">
        <f>AVERAGE(D6:D67)</f>
        <v>111.9375</v>
      </c>
      <c r="E72" s="86">
        <f>AVERAGE(E6:E67)</f>
        <v>113.84375</v>
      </c>
      <c r="F72" s="87">
        <f>AVERAGE(F6:F67)</f>
        <v>0.18109809027777776</v>
      </c>
      <c r="G72" s="139">
        <f t="shared" ref="G72:S72" si="206">AVERAGE(G6:G67)</f>
        <v>618.29624999999987</v>
      </c>
      <c r="H72" s="139">
        <f>AVERAGE(H6:H67)</f>
        <v>160.24062500000002</v>
      </c>
      <c r="I72" s="139">
        <f>AVERAGE(I6:I67)</f>
        <v>321.22500000000002</v>
      </c>
      <c r="J72" s="139">
        <f>AVERAGE(J6:J67)</f>
        <v>482.16562499999998</v>
      </c>
      <c r="K72" s="139">
        <f t="shared" si="206"/>
        <v>593.11249999999984</v>
      </c>
      <c r="L72" s="139">
        <f t="shared" si="206"/>
        <v>25.183750000000007</v>
      </c>
      <c r="M72" s="139">
        <f t="shared" si="206"/>
        <v>154.4815625</v>
      </c>
      <c r="N72" s="139">
        <f>AVERAGE(N6:N67)</f>
        <v>41.771874999999987</v>
      </c>
      <c r="O72" s="139">
        <f>AVERAGE(O6:O67)</f>
        <v>83.715624999999989</v>
      </c>
      <c r="P72" s="139">
        <f>AVERAGE(P6:P67)</f>
        <v>125.66249999999992</v>
      </c>
      <c r="Q72" s="139">
        <f t="shared" si="206"/>
        <v>157.17499999999998</v>
      </c>
      <c r="R72" s="139">
        <f t="shared" si="206"/>
        <v>-2.6934374999999964</v>
      </c>
      <c r="S72" s="215">
        <f t="shared" si="206"/>
        <v>91.310344827586206</v>
      </c>
      <c r="T72" s="86">
        <f t="shared" ref="T72:AN72" si="207">AVERAGE(T6:T67)</f>
        <v>39.637499999999996</v>
      </c>
      <c r="U72" s="86">
        <f t="shared" si="207"/>
        <v>73.737500000000011</v>
      </c>
      <c r="V72" s="86">
        <f t="shared" si="207"/>
        <v>100.70937499999999</v>
      </c>
      <c r="W72" s="86">
        <f t="shared" si="207"/>
        <v>121.34375</v>
      </c>
      <c r="X72" s="87">
        <f t="shared" si="207"/>
        <v>0.61859809027777779</v>
      </c>
      <c r="Y72" s="87">
        <f t="shared" si="207"/>
        <v>0.63155381944444433</v>
      </c>
      <c r="Z72" s="87">
        <f t="shared" si="207"/>
        <v>1.2955729166666624E-2</v>
      </c>
      <c r="AA72" s="86">
        <f t="shared" si="207"/>
        <v>29.096875000000001</v>
      </c>
      <c r="AB72" s="267">
        <f>AVERAGE(AB6:AB67)</f>
        <v>5.0817418981481486E-3</v>
      </c>
      <c r="AC72" s="267">
        <f>AVERAGE(AC6:AC67)</f>
        <v>5.0535300925925938E-3</v>
      </c>
      <c r="AD72" s="267">
        <f>AVERAGE(AD6:AD67)</f>
        <v>-2.8211805555555331E-5</v>
      </c>
      <c r="AE72" s="86" t="e">
        <f t="shared" si="207"/>
        <v>#DIV/0!</v>
      </c>
      <c r="AF72" s="86" t="e">
        <f t="shared" si="207"/>
        <v>#DIV/0!</v>
      </c>
      <c r="AG72" s="86" t="e">
        <f t="shared" si="207"/>
        <v>#DIV/0!</v>
      </c>
      <c r="AH72" s="86" t="e">
        <f t="shared" si="207"/>
        <v>#DIV/0!</v>
      </c>
      <c r="AI72" s="86">
        <f t="shared" si="207"/>
        <v>1355.0778124999999</v>
      </c>
      <c r="AJ72" s="86">
        <f t="shared" si="207"/>
        <v>1349.3893750000002</v>
      </c>
      <c r="AK72" s="86">
        <f t="shared" si="207"/>
        <v>5.6884375000000347</v>
      </c>
      <c r="AL72" s="87">
        <f t="shared" si="207"/>
        <v>0.67929687500000013</v>
      </c>
      <c r="AM72" s="87">
        <f t="shared" si="207"/>
        <v>0.68687065972222228</v>
      </c>
      <c r="AN72" s="87">
        <f t="shared" si="207"/>
        <v>7.5737847222222161E-3</v>
      </c>
      <c r="AO72" s="131"/>
      <c r="AP72" s="131"/>
      <c r="AQ72" s="131"/>
      <c r="AR72" s="131"/>
      <c r="AS72" s="131"/>
      <c r="AT72" s="131"/>
      <c r="AU72" s="131"/>
      <c r="AV72" s="131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6"/>
      <c r="CC72" s="106"/>
      <c r="CD72" s="106"/>
      <c r="CE72" s="106"/>
      <c r="CF72" s="106"/>
      <c r="CG72" s="106"/>
      <c r="CH72" s="106"/>
      <c r="CI72" s="106"/>
      <c r="CJ72" s="106"/>
      <c r="CK72" s="106"/>
      <c r="CL72" s="106"/>
      <c r="CM72" s="106"/>
      <c r="CN72" s="106"/>
      <c r="CO72" s="106"/>
      <c r="CP72" s="106"/>
      <c r="CQ72" s="106"/>
      <c r="CR72" s="106"/>
      <c r="CS72" s="106"/>
      <c r="CT72" s="106"/>
      <c r="CU72" s="106"/>
      <c r="CV72" s="106"/>
      <c r="CW72" s="106"/>
      <c r="CX72" s="106"/>
      <c r="CY72" s="106"/>
      <c r="CZ72" s="106"/>
      <c r="DA72" s="106"/>
      <c r="DB72" s="106"/>
      <c r="DC72" s="106"/>
      <c r="DD72" s="106"/>
      <c r="DE72" s="106"/>
      <c r="DF72" s="106"/>
      <c r="DG72" s="106"/>
      <c r="DH72" s="106"/>
      <c r="DI72" s="106"/>
      <c r="DJ72" s="106"/>
      <c r="DK72" s="106"/>
      <c r="DL72" s="106"/>
      <c r="DM72" s="106"/>
      <c r="DN72" s="106"/>
      <c r="DO72" s="106"/>
      <c r="DP72" s="106"/>
      <c r="DQ72" s="106"/>
      <c r="DR72" s="106"/>
      <c r="DS72" s="106"/>
      <c r="DT72" s="106"/>
      <c r="DU72" s="106"/>
      <c r="DV72" s="106"/>
      <c r="DW72" s="106"/>
      <c r="DX72" s="106"/>
      <c r="DY72" s="106"/>
      <c r="DZ72" s="106"/>
      <c r="EA72" s="106"/>
      <c r="EB72" s="106"/>
      <c r="EC72" s="106"/>
      <c r="ED72" s="106"/>
      <c r="EE72" s="106"/>
      <c r="EF72" s="106"/>
      <c r="EG72" s="106"/>
    </row>
    <row r="73" spans="1:137">
      <c r="A73" s="85" t="s">
        <v>109</v>
      </c>
      <c r="B73" s="86">
        <f>STDEV(B6:B67)</f>
        <v>3.1875197659096197</v>
      </c>
      <c r="C73" s="86">
        <f>STDEV(C6:C67)</f>
        <v>4.1619193385558632E-2</v>
      </c>
      <c r="D73" s="86">
        <f t="shared" ref="D73:AN73" si="208">STDEV(D6:D67)</f>
        <v>1.2935946415992119</v>
      </c>
      <c r="E73" s="86">
        <f t="shared" si="208"/>
        <v>0.447889315243931</v>
      </c>
      <c r="F73" s="86">
        <f t="shared" si="208"/>
        <v>2.2432249469978576E-3</v>
      </c>
      <c r="G73" s="86">
        <f t="shared" si="208"/>
        <v>0.16857562675393453</v>
      </c>
      <c r="H73" s="86">
        <f t="shared" si="208"/>
        <v>1.1336095291219688</v>
      </c>
      <c r="I73" s="86">
        <f t="shared" si="208"/>
        <v>2.3383203235407821</v>
      </c>
      <c r="J73" s="86">
        <f t="shared" si="208"/>
        <v>3.5346770053652796</v>
      </c>
      <c r="K73" s="86">
        <f t="shared" si="208"/>
        <v>5.7533019971984514</v>
      </c>
      <c r="L73" s="86">
        <f t="shared" si="208"/>
        <v>5.7089260896226399</v>
      </c>
      <c r="M73" s="86">
        <f t="shared" si="208"/>
        <v>6.1282496316968825E-2</v>
      </c>
      <c r="N73" s="86">
        <f t="shared" si="208"/>
        <v>4.5680340939914826E-2</v>
      </c>
      <c r="O73" s="86">
        <f t="shared" si="208"/>
        <v>6.2781623569835229E-2</v>
      </c>
      <c r="P73" s="86">
        <f t="shared" si="208"/>
        <v>5.5358071941069738E-2</v>
      </c>
      <c r="Q73" s="86">
        <f t="shared" si="208"/>
        <v>0.45931224884111854</v>
      </c>
      <c r="R73" s="86">
        <f t="shared" si="208"/>
        <v>0.46266834338189167</v>
      </c>
      <c r="S73" s="86">
        <f t="shared" si="208"/>
        <v>13.406031287329101</v>
      </c>
      <c r="T73" s="86">
        <f t="shared" si="208"/>
        <v>1.6425295205281556</v>
      </c>
      <c r="U73" s="86">
        <f t="shared" si="208"/>
        <v>1.7871855690063398</v>
      </c>
      <c r="V73" s="86">
        <f t="shared" si="208"/>
        <v>1.9136790061840767</v>
      </c>
      <c r="W73" s="86">
        <f t="shared" si="208"/>
        <v>1.8992252240355547</v>
      </c>
      <c r="X73" s="86">
        <f t="shared" si="208"/>
        <v>2.2432249469978476E-3</v>
      </c>
      <c r="Y73" s="86">
        <f t="shared" si="208"/>
        <v>2.3595128208366541E-3</v>
      </c>
      <c r="Z73" s="86">
        <f t="shared" si="208"/>
        <v>3.3511021141306691E-4</v>
      </c>
      <c r="AA73" s="86">
        <f t="shared" si="208"/>
        <v>0.34217932951653734</v>
      </c>
      <c r="AB73" s="267">
        <f>STDEV(AB6:AB67)</f>
        <v>1.1540188973025655E-4</v>
      </c>
      <c r="AC73" s="267">
        <f>STDEV(AC6:AC67)</f>
        <v>1.2489036465987058E-4</v>
      </c>
      <c r="AD73" s="267">
        <f>STDEV(AD6:AD67)</f>
        <v>9.4438070618842011E-5</v>
      </c>
      <c r="AE73" s="86" t="e">
        <f t="shared" si="208"/>
        <v>#DIV/0!</v>
      </c>
      <c r="AF73" s="86" t="e">
        <f t="shared" si="208"/>
        <v>#DIV/0!</v>
      </c>
      <c r="AG73" s="86" t="e">
        <f t="shared" si="208"/>
        <v>#DIV/0!</v>
      </c>
      <c r="AH73" s="86" t="e">
        <f t="shared" si="208"/>
        <v>#DIV/0!</v>
      </c>
      <c r="AI73" s="86">
        <f t="shared" si="208"/>
        <v>0.20626844981019354</v>
      </c>
      <c r="AJ73" s="86">
        <f t="shared" si="208"/>
        <v>0.28203108385083492</v>
      </c>
      <c r="AK73" s="86">
        <f t="shared" si="208"/>
        <v>0.23850487754531541</v>
      </c>
      <c r="AL73" s="86">
        <f t="shared" si="208"/>
        <v>2.9274075781200743E-3</v>
      </c>
      <c r="AM73" s="86">
        <f t="shared" si="208"/>
        <v>3.1124517830645533E-3</v>
      </c>
      <c r="AN73" s="86">
        <f t="shared" si="208"/>
        <v>1.8019278330504034E-3</v>
      </c>
      <c r="AO73" s="131"/>
      <c r="AP73" s="131"/>
      <c r="AQ73" s="131"/>
      <c r="AR73" s="131"/>
      <c r="AS73" s="131"/>
      <c r="AT73" s="131"/>
      <c r="AU73" s="131"/>
      <c r="AV73" s="131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6"/>
      <c r="CU73" s="106"/>
      <c r="CV73" s="106"/>
      <c r="CW73" s="106"/>
      <c r="CX73" s="106"/>
      <c r="CY73" s="106"/>
      <c r="CZ73" s="106"/>
      <c r="DA73" s="106"/>
      <c r="DB73" s="106"/>
      <c r="DC73" s="106"/>
      <c r="DD73" s="106"/>
      <c r="DE73" s="106"/>
      <c r="DF73" s="106"/>
      <c r="DG73" s="106"/>
      <c r="DH73" s="106"/>
      <c r="DI73" s="106"/>
      <c r="DJ73" s="106"/>
      <c r="DK73" s="106"/>
      <c r="DL73" s="106"/>
      <c r="DM73" s="106"/>
      <c r="DN73" s="106"/>
      <c r="DO73" s="106"/>
      <c r="DP73" s="106"/>
      <c r="DQ73" s="106"/>
      <c r="DR73" s="106"/>
      <c r="DS73" s="106"/>
      <c r="DT73" s="106"/>
      <c r="DU73" s="106"/>
      <c r="DV73" s="106"/>
      <c r="DW73" s="106"/>
      <c r="DX73" s="106"/>
      <c r="DY73" s="106"/>
      <c r="DZ73" s="106"/>
      <c r="EA73" s="106"/>
      <c r="EB73" s="106"/>
      <c r="EC73" s="106"/>
      <c r="ED73" s="106"/>
      <c r="EE73" s="106"/>
      <c r="EF73" s="106"/>
      <c r="EG73" s="106"/>
    </row>
    <row r="74" spans="1:137">
      <c r="A74" s="85" t="s">
        <v>14</v>
      </c>
      <c r="B74" s="75">
        <f t="shared" ref="B74:G74" si="209">STDEV(B6:B67)*3</f>
        <v>9.5625592977288587</v>
      </c>
      <c r="C74" s="75">
        <f t="shared" si="209"/>
        <v>0.12485758015667589</v>
      </c>
      <c r="D74" s="75">
        <f t="shared" si="209"/>
        <v>3.8807839247976359</v>
      </c>
      <c r="E74" s="75">
        <f t="shared" si="209"/>
        <v>1.343667945731793</v>
      </c>
      <c r="F74" s="76">
        <f t="shared" si="209"/>
        <v>6.7296748409935731E-3</v>
      </c>
      <c r="G74" s="144">
        <f t="shared" si="209"/>
        <v>0.50572688026180357</v>
      </c>
      <c r="H74" s="144">
        <f t="shared" ref="H74:R74" si="210">STDEV(H6:H67)*3</f>
        <v>3.4008285873659063</v>
      </c>
      <c r="I74" s="144">
        <f t="shared" si="210"/>
        <v>7.0149609706223464</v>
      </c>
      <c r="J74" s="144">
        <f t="shared" si="210"/>
        <v>10.604031016095838</v>
      </c>
      <c r="K74" s="144">
        <f t="shared" si="210"/>
        <v>17.259905991595353</v>
      </c>
      <c r="L74" s="144">
        <f t="shared" si="210"/>
        <v>17.12677826886792</v>
      </c>
      <c r="M74" s="144">
        <f t="shared" si="210"/>
        <v>0.18384748895090647</v>
      </c>
      <c r="N74" s="144">
        <f t="shared" si="210"/>
        <v>0.13704102281974448</v>
      </c>
      <c r="O74" s="144">
        <f t="shared" si="210"/>
        <v>0.18834487070950567</v>
      </c>
      <c r="P74" s="144">
        <f t="shared" si="210"/>
        <v>0.16607421582320922</v>
      </c>
      <c r="Q74" s="144">
        <f t="shared" si="210"/>
        <v>1.3779367465233556</v>
      </c>
      <c r="R74" s="144">
        <f t="shared" si="210"/>
        <v>1.388005030145675</v>
      </c>
      <c r="S74" s="144">
        <f>STDEV(S6:S67)*3</f>
        <v>40.218093861987306</v>
      </c>
      <c r="T74" s="75">
        <f t="shared" ref="T74:AN74" si="211">STDEV(T6:T67)*3</f>
        <v>4.927588561584467</v>
      </c>
      <c r="U74" s="75">
        <f t="shared" si="211"/>
        <v>5.3615567070190195</v>
      </c>
      <c r="V74" s="75">
        <f t="shared" si="211"/>
        <v>5.7410370185522304</v>
      </c>
      <c r="W74" s="75">
        <f t="shared" si="211"/>
        <v>5.6976756721066639</v>
      </c>
      <c r="X74" s="76">
        <f t="shared" si="211"/>
        <v>6.7296748409935428E-3</v>
      </c>
      <c r="Y74" s="76">
        <f t="shared" si="211"/>
        <v>7.0785384625099623E-3</v>
      </c>
      <c r="Z74" s="76">
        <f t="shared" si="211"/>
        <v>1.0053306342392007E-3</v>
      </c>
      <c r="AA74" s="75">
        <f t="shared" si="211"/>
        <v>1.026537988549612</v>
      </c>
      <c r="AB74" s="268">
        <f>STDEV(AB6:AB67)*3</f>
        <v>3.4620566919076967E-4</v>
      </c>
      <c r="AC74" s="268">
        <f>STDEV(AC6:AC67)*3</f>
        <v>3.7467109397961178E-4</v>
      </c>
      <c r="AD74" s="268">
        <f>STDEV(AD6:AD67)*3</f>
        <v>2.8331421185652603E-4</v>
      </c>
      <c r="AE74" s="75" t="e">
        <f t="shared" si="211"/>
        <v>#DIV/0!</v>
      </c>
      <c r="AF74" s="75" t="e">
        <f t="shared" si="211"/>
        <v>#DIV/0!</v>
      </c>
      <c r="AG74" s="75" t="e">
        <f t="shared" si="211"/>
        <v>#DIV/0!</v>
      </c>
      <c r="AH74" s="75" t="e">
        <f t="shared" si="211"/>
        <v>#DIV/0!</v>
      </c>
      <c r="AI74" s="75">
        <f t="shared" si="211"/>
        <v>0.61880534943058063</v>
      </c>
      <c r="AJ74" s="75">
        <f t="shared" si="211"/>
        <v>0.84609325155250481</v>
      </c>
      <c r="AK74" s="75">
        <f t="shared" si="211"/>
        <v>0.71551463263594628</v>
      </c>
      <c r="AL74" s="76">
        <f t="shared" si="211"/>
        <v>8.7822227343602229E-3</v>
      </c>
      <c r="AM74" s="76">
        <f t="shared" si="211"/>
        <v>9.3373553491936604E-3</v>
      </c>
      <c r="AN74" s="76">
        <f t="shared" si="211"/>
        <v>5.4057834991512108E-3</v>
      </c>
      <c r="AO74" s="132"/>
      <c r="AP74" s="132"/>
      <c r="AQ74" s="132"/>
      <c r="AR74" s="132"/>
      <c r="AS74" s="132"/>
      <c r="AT74" s="132"/>
      <c r="AU74" s="132"/>
      <c r="AV74" s="132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  <c r="BW74" s="106"/>
      <c r="BX74" s="106"/>
      <c r="BY74" s="106"/>
      <c r="BZ74" s="106"/>
      <c r="CA74" s="106"/>
      <c r="CB74" s="106"/>
      <c r="CC74" s="106"/>
      <c r="CD74" s="106"/>
      <c r="CE74" s="106"/>
      <c r="CF74" s="106"/>
      <c r="CG74" s="106"/>
      <c r="CH74" s="106"/>
      <c r="CI74" s="106"/>
      <c r="CJ74" s="106"/>
      <c r="CK74" s="106"/>
      <c r="CL74" s="106"/>
      <c r="CM74" s="106"/>
      <c r="CN74" s="106"/>
      <c r="CO74" s="106"/>
      <c r="CP74" s="106"/>
      <c r="CQ74" s="106"/>
      <c r="CR74" s="106"/>
      <c r="CS74" s="106"/>
      <c r="CT74" s="106"/>
      <c r="CU74" s="106"/>
      <c r="CV74" s="106"/>
      <c r="CW74" s="106"/>
      <c r="CX74" s="106"/>
      <c r="CY74" s="106"/>
      <c r="CZ74" s="106"/>
      <c r="DA74" s="106"/>
      <c r="DB74" s="106"/>
      <c r="DC74" s="106"/>
      <c r="DD74" s="106"/>
      <c r="DE74" s="106"/>
      <c r="DF74" s="106"/>
      <c r="DG74" s="106"/>
      <c r="DH74" s="106"/>
      <c r="DI74" s="106"/>
      <c r="DJ74" s="106"/>
      <c r="DK74" s="106"/>
      <c r="DL74" s="106"/>
      <c r="DM74" s="106"/>
      <c r="DN74" s="106"/>
      <c r="DO74" s="106"/>
      <c r="DP74" s="106"/>
      <c r="DQ74" s="106"/>
      <c r="DR74" s="106"/>
      <c r="DS74" s="106"/>
      <c r="DT74" s="106"/>
      <c r="DU74" s="106"/>
      <c r="DV74" s="106"/>
      <c r="DW74" s="106"/>
      <c r="DX74" s="106"/>
      <c r="DY74" s="106"/>
      <c r="DZ74" s="106"/>
      <c r="EA74" s="106"/>
      <c r="EB74" s="106"/>
      <c r="EC74" s="106"/>
      <c r="ED74" s="106"/>
      <c r="EE74" s="106"/>
      <c r="EF74" s="106"/>
      <c r="EG74" s="106"/>
    </row>
    <row r="75" spans="1:137">
      <c r="A75" s="85" t="s">
        <v>18</v>
      </c>
      <c r="B75" s="75">
        <f>B72+B74</f>
        <v>45.53130929772886</v>
      </c>
      <c r="C75" s="75">
        <f>C72+C74</f>
        <v>61.915170080156663</v>
      </c>
      <c r="D75" s="75">
        <f>D72+D74</f>
        <v>115.81828392479764</v>
      </c>
      <c r="E75" s="75">
        <f>E72+E74</f>
        <v>115.1874179457318</v>
      </c>
      <c r="F75" s="76">
        <f>F72+F74</f>
        <v>0.18782776511877133</v>
      </c>
      <c r="G75" s="144">
        <f t="shared" ref="G75:S75" si="212">G72+G74</f>
        <v>618.80197688026169</v>
      </c>
      <c r="H75" s="144">
        <f>H72+H74</f>
        <v>163.64145358736593</v>
      </c>
      <c r="I75" s="144">
        <f>I72+I74</f>
        <v>328.23996097062235</v>
      </c>
      <c r="J75" s="144">
        <f>J72+J74</f>
        <v>492.76965601609584</v>
      </c>
      <c r="K75" s="144">
        <f t="shared" si="212"/>
        <v>610.3724059915952</v>
      </c>
      <c r="L75" s="144">
        <f t="shared" si="212"/>
        <v>42.310528268867927</v>
      </c>
      <c r="M75" s="144">
        <f t="shared" si="212"/>
        <v>154.6654099889509</v>
      </c>
      <c r="N75" s="144">
        <f>N72+N74</f>
        <v>41.908916022819731</v>
      </c>
      <c r="O75" s="144">
        <f>O72+O74</f>
        <v>83.903969870709489</v>
      </c>
      <c r="P75" s="144">
        <f>P72+P74</f>
        <v>125.82857421582314</v>
      </c>
      <c r="Q75" s="144">
        <f t="shared" si="212"/>
        <v>158.55293674652333</v>
      </c>
      <c r="R75" s="144">
        <f t="shared" si="212"/>
        <v>-1.3054324698543214</v>
      </c>
      <c r="S75" s="144">
        <f t="shared" si="212"/>
        <v>131.52843868957351</v>
      </c>
      <c r="T75" s="75">
        <f t="shared" ref="T75:AN75" si="213">T72+T74</f>
        <v>44.56508856158446</v>
      </c>
      <c r="U75" s="75">
        <f t="shared" si="213"/>
        <v>79.099056707019031</v>
      </c>
      <c r="V75" s="75">
        <f t="shared" si="213"/>
        <v>106.45041201855223</v>
      </c>
      <c r="W75" s="75">
        <f t="shared" si="213"/>
        <v>127.04142567210667</v>
      </c>
      <c r="X75" s="76">
        <f t="shared" si="213"/>
        <v>0.62532776511877131</v>
      </c>
      <c r="Y75" s="76">
        <f t="shared" si="213"/>
        <v>0.63863235790695427</v>
      </c>
      <c r="Z75" s="76">
        <f t="shared" si="213"/>
        <v>1.3961059800905826E-2</v>
      </c>
      <c r="AA75" s="75">
        <f t="shared" si="213"/>
        <v>30.123412988549614</v>
      </c>
      <c r="AB75" s="268">
        <f>AB72+AB74</f>
        <v>5.4279475673389178E-3</v>
      </c>
      <c r="AC75" s="268">
        <f>AC72+AC74</f>
        <v>5.4282011865722053E-3</v>
      </c>
      <c r="AD75" s="268">
        <f>AD72+AD74</f>
        <v>2.5510240630097073E-4</v>
      </c>
      <c r="AE75" s="75" t="e">
        <f t="shared" si="213"/>
        <v>#DIV/0!</v>
      </c>
      <c r="AF75" s="75" t="e">
        <f t="shared" si="213"/>
        <v>#DIV/0!</v>
      </c>
      <c r="AG75" s="75" t="e">
        <f t="shared" si="213"/>
        <v>#DIV/0!</v>
      </c>
      <c r="AH75" s="75" t="e">
        <f t="shared" si="213"/>
        <v>#DIV/0!</v>
      </c>
      <c r="AI75" s="75">
        <f t="shared" si="213"/>
        <v>1355.6966178494306</v>
      </c>
      <c r="AJ75" s="75">
        <f t="shared" si="213"/>
        <v>1350.2354682515527</v>
      </c>
      <c r="AK75" s="75">
        <f t="shared" si="213"/>
        <v>6.4039521326359807</v>
      </c>
      <c r="AL75" s="76">
        <f t="shared" si="213"/>
        <v>0.68807909773436038</v>
      </c>
      <c r="AM75" s="76">
        <f t="shared" si="213"/>
        <v>0.69620801507141594</v>
      </c>
      <c r="AN75" s="76">
        <f t="shared" si="213"/>
        <v>1.2979568221373427E-2</v>
      </c>
      <c r="AO75" s="132"/>
      <c r="AP75" s="132"/>
      <c r="AQ75" s="132"/>
      <c r="AR75" s="132"/>
      <c r="AS75" s="132"/>
      <c r="AT75" s="132"/>
      <c r="AU75" s="132"/>
      <c r="AV75" s="132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/>
      <c r="BY75" s="106"/>
      <c r="BZ75" s="106"/>
      <c r="CA75" s="106"/>
      <c r="CB75" s="106"/>
      <c r="CC75" s="106"/>
      <c r="CD75" s="106"/>
      <c r="CE75" s="106"/>
      <c r="CF75" s="106"/>
      <c r="CG75" s="106"/>
      <c r="CH75" s="106"/>
      <c r="CI75" s="106"/>
      <c r="CJ75" s="106"/>
      <c r="CK75" s="106"/>
      <c r="CL75" s="106"/>
      <c r="CM75" s="106"/>
      <c r="CN75" s="106"/>
      <c r="CO75" s="106"/>
      <c r="CP75" s="106"/>
      <c r="CQ75" s="106"/>
      <c r="CR75" s="106"/>
      <c r="CS75" s="106"/>
      <c r="CT75" s="106"/>
      <c r="CU75" s="106"/>
      <c r="CV75" s="106"/>
      <c r="CW75" s="106"/>
      <c r="CX75" s="106"/>
      <c r="CY75" s="106"/>
      <c r="CZ75" s="106"/>
      <c r="DA75" s="106"/>
      <c r="DB75" s="106"/>
      <c r="DC75" s="106"/>
      <c r="DD75" s="106"/>
      <c r="DE75" s="106"/>
      <c r="DF75" s="106"/>
      <c r="DG75" s="106"/>
      <c r="DH75" s="106"/>
      <c r="DI75" s="106"/>
      <c r="DJ75" s="106"/>
      <c r="DK75" s="106"/>
      <c r="DL75" s="106"/>
      <c r="DM75" s="106"/>
      <c r="DN75" s="106"/>
      <c r="DO75" s="106"/>
      <c r="DP75" s="106"/>
      <c r="DQ75" s="106"/>
      <c r="DR75" s="106"/>
      <c r="DS75" s="106"/>
      <c r="DT75" s="106"/>
      <c r="DU75" s="106"/>
      <c r="DV75" s="106"/>
      <c r="DW75" s="106"/>
      <c r="DX75" s="106"/>
      <c r="DY75" s="106"/>
      <c r="DZ75" s="106"/>
      <c r="EA75" s="106"/>
      <c r="EB75" s="106"/>
      <c r="EC75" s="106"/>
      <c r="ED75" s="106"/>
      <c r="EE75" s="106"/>
      <c r="EF75" s="106"/>
      <c r="EG75" s="106"/>
    </row>
    <row r="76" spans="1:137">
      <c r="A76" s="85" t="s">
        <v>19</v>
      </c>
      <c r="B76" s="75">
        <f t="shared" ref="B76:G76" si="214">B72-B74</f>
        <v>26.40619070227114</v>
      </c>
      <c r="C76" s="75">
        <f t="shared" si="214"/>
        <v>61.665454919843306</v>
      </c>
      <c r="D76" s="75">
        <f t="shared" si="214"/>
        <v>108.05671607520236</v>
      </c>
      <c r="E76" s="75">
        <f t="shared" si="214"/>
        <v>112.5000820542682</v>
      </c>
      <c r="F76" s="76">
        <f t="shared" si="214"/>
        <v>0.17436841543678419</v>
      </c>
      <c r="G76" s="144">
        <f t="shared" si="214"/>
        <v>617.79052311973805</v>
      </c>
      <c r="H76" s="144">
        <f t="shared" ref="H76:R76" si="215">H72-H74</f>
        <v>156.83979641263412</v>
      </c>
      <c r="I76" s="144">
        <f t="shared" si="215"/>
        <v>314.2100390293777</v>
      </c>
      <c r="J76" s="144">
        <f t="shared" si="215"/>
        <v>471.56159398390412</v>
      </c>
      <c r="K76" s="144">
        <f t="shared" si="215"/>
        <v>575.85259400840448</v>
      </c>
      <c r="L76" s="144">
        <f t="shared" si="215"/>
        <v>8.0569717311320872</v>
      </c>
      <c r="M76" s="144">
        <f t="shared" si="215"/>
        <v>154.29771501104909</v>
      </c>
      <c r="N76" s="144">
        <f t="shared" si="215"/>
        <v>41.634833977180243</v>
      </c>
      <c r="O76" s="144">
        <f t="shared" si="215"/>
        <v>83.527280129290489</v>
      </c>
      <c r="P76" s="144">
        <f t="shared" si="215"/>
        <v>125.49642578417671</v>
      </c>
      <c r="Q76" s="144">
        <f t="shared" si="215"/>
        <v>155.79706325347664</v>
      </c>
      <c r="R76" s="144">
        <f t="shared" si="215"/>
        <v>-4.0814425301456714</v>
      </c>
      <c r="S76" s="144">
        <f>S72-S74</f>
        <v>51.0922509655989</v>
      </c>
      <c r="T76" s="75">
        <f t="shared" ref="T76:AN76" si="216">T72-T74</f>
        <v>34.709911438415531</v>
      </c>
      <c r="U76" s="75">
        <f t="shared" si="216"/>
        <v>68.375943292980992</v>
      </c>
      <c r="V76" s="75">
        <f t="shared" si="216"/>
        <v>94.96833798144776</v>
      </c>
      <c r="W76" s="75">
        <f t="shared" si="216"/>
        <v>115.64607432789333</v>
      </c>
      <c r="X76" s="76">
        <f t="shared" si="216"/>
        <v>0.61186841543678427</v>
      </c>
      <c r="Y76" s="76">
        <f t="shared" si="216"/>
        <v>0.62447528098193439</v>
      </c>
      <c r="Z76" s="76">
        <f t="shared" si="216"/>
        <v>1.1950398532427423E-2</v>
      </c>
      <c r="AA76" s="75">
        <f t="shared" si="216"/>
        <v>28.070337011450388</v>
      </c>
      <c r="AB76" s="268">
        <f>AB72-AB74</f>
        <v>4.7355362289573794E-3</v>
      </c>
      <c r="AC76" s="268">
        <f>AC72-AC74</f>
        <v>4.6788589986129824E-3</v>
      </c>
      <c r="AD76" s="268">
        <f>AD72-AD74</f>
        <v>-3.1152601741208134E-4</v>
      </c>
      <c r="AE76" s="75" t="e">
        <f t="shared" si="216"/>
        <v>#DIV/0!</v>
      </c>
      <c r="AF76" s="75" t="e">
        <f t="shared" si="216"/>
        <v>#DIV/0!</v>
      </c>
      <c r="AG76" s="75" t="e">
        <f t="shared" si="216"/>
        <v>#DIV/0!</v>
      </c>
      <c r="AH76" s="75" t="e">
        <f t="shared" si="216"/>
        <v>#DIV/0!</v>
      </c>
      <c r="AI76" s="75">
        <f t="shared" si="216"/>
        <v>1354.4590071505693</v>
      </c>
      <c r="AJ76" s="75">
        <f t="shared" si="216"/>
        <v>1348.5432817484477</v>
      </c>
      <c r="AK76" s="75">
        <f t="shared" si="216"/>
        <v>4.9729228673640886</v>
      </c>
      <c r="AL76" s="76">
        <f t="shared" si="216"/>
        <v>0.67051465226563989</v>
      </c>
      <c r="AM76" s="76">
        <f t="shared" si="216"/>
        <v>0.67753330437302861</v>
      </c>
      <c r="AN76" s="76">
        <f t="shared" si="216"/>
        <v>2.1680012230710054E-3</v>
      </c>
      <c r="AO76" s="119"/>
      <c r="AP76" s="119"/>
      <c r="AQ76" s="119"/>
      <c r="AR76" s="119"/>
      <c r="AS76" s="119"/>
      <c r="AT76" s="119"/>
      <c r="AU76" s="119"/>
      <c r="AV76" s="119"/>
    </row>
    <row r="77" spans="1:137">
      <c r="A77" s="248" t="s">
        <v>101</v>
      </c>
      <c r="B77" s="249"/>
      <c r="C77" s="250">
        <f>(C69-C68)/(C74*2)</f>
        <v>4.9656576654937457</v>
      </c>
      <c r="D77" s="250">
        <f>(D69-D68)/(D74*2)</f>
        <v>2.5767989647920042</v>
      </c>
      <c r="E77" s="250">
        <f>(E69-E68)/(E74*2)</f>
        <v>7.4423149199661571</v>
      </c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1">
        <f>(Z69-Z72)/Z74</f>
        <v>0.92821176480755196</v>
      </c>
      <c r="AA77" s="251">
        <f>(AA69-AA72)/AA74</f>
        <v>0.87977747543080997</v>
      </c>
      <c r="AB77" s="251"/>
      <c r="AC77" s="251"/>
      <c r="AD77" s="251"/>
      <c r="AE77" s="250"/>
      <c r="AF77" s="250"/>
      <c r="AG77" s="250"/>
      <c r="AH77" s="250"/>
      <c r="AI77" s="250"/>
      <c r="AJ77" s="250"/>
      <c r="AK77" s="250"/>
      <c r="AL77" s="250"/>
      <c r="AM77" s="250"/>
      <c r="AN77" s="250"/>
      <c r="AO77" s="119"/>
      <c r="AP77" s="119"/>
      <c r="AQ77" s="119"/>
      <c r="AR77" s="119"/>
      <c r="AS77" s="119"/>
      <c r="AT77" s="119"/>
      <c r="AU77" s="119"/>
      <c r="AV77" s="119"/>
    </row>
    <row r="78" spans="1:137">
      <c r="A78" s="248" t="s">
        <v>102</v>
      </c>
      <c r="B78" s="250"/>
      <c r="C78" s="250">
        <f>(ABS((C69+C68)/2-C72))/((C69-C68)/2)</f>
        <v>6.5020161290298098E-2</v>
      </c>
      <c r="D78" s="250">
        <f>(ABS((D69+D68)/2-D72))/((D69-D68)/2)</f>
        <v>0.19375000000000001</v>
      </c>
      <c r="E78" s="250">
        <f>(ABS((E69+E68)/2-E72))/((E69-E68)/2)</f>
        <v>0.38437500000000002</v>
      </c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250"/>
      <c r="AH78" s="250"/>
      <c r="AI78" s="250"/>
      <c r="AJ78" s="250"/>
      <c r="AK78" s="250"/>
      <c r="AL78" s="250"/>
      <c r="AM78" s="250"/>
      <c r="AN78" s="250"/>
    </row>
    <row r="79" spans="1:137">
      <c r="A79" s="248" t="s">
        <v>103</v>
      </c>
      <c r="B79" s="250"/>
      <c r="C79" s="250">
        <f>(1-C78)*(C69-C68)/C74*2</f>
        <v>18.571159212683749</v>
      </c>
      <c r="D79" s="250">
        <f>(1-D78)*(D69-D68)/D74*2</f>
        <v>8.3101766614542143</v>
      </c>
      <c r="E79" s="250">
        <f>(1-E78)*(E69-E68)/E74*2</f>
        <v>18.326700490416663</v>
      </c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250"/>
      <c r="AH79" s="250"/>
      <c r="AI79" s="250"/>
      <c r="AJ79" s="250"/>
      <c r="AK79" s="250"/>
      <c r="AL79" s="250"/>
      <c r="AM79" s="250"/>
      <c r="AN79" s="250"/>
    </row>
    <row r="80" spans="1:137">
      <c r="A80" s="77" t="s">
        <v>9</v>
      </c>
      <c r="E80" s="77">
        <v>120</v>
      </c>
      <c r="X80" s="104"/>
      <c r="Y80" s="104"/>
      <c r="Z80" s="104"/>
      <c r="AL80" s="104"/>
      <c r="AM80" s="104"/>
      <c r="AN80" s="104"/>
      <c r="AO80" s="119"/>
      <c r="AP80" s="119"/>
      <c r="AQ80" s="119"/>
      <c r="AR80" s="119"/>
      <c r="AS80" s="119"/>
      <c r="AT80" s="119"/>
      <c r="AU80" s="119"/>
      <c r="AV80" s="119"/>
    </row>
    <row r="81" spans="1:40">
      <c r="A81" s="77" t="s">
        <v>10</v>
      </c>
      <c r="E81" s="77">
        <v>100</v>
      </c>
      <c r="X81" s="104"/>
      <c r="Y81" s="104"/>
      <c r="Z81" s="104"/>
      <c r="AL81" s="104"/>
      <c r="AM81" s="104"/>
      <c r="AN81" s="104"/>
    </row>
    <row r="82" spans="1:40">
      <c r="X82" s="104"/>
      <c r="Y82" s="104"/>
      <c r="Z82" s="104"/>
      <c r="AL82" s="104"/>
      <c r="AM82" s="104"/>
      <c r="AN82" s="104"/>
    </row>
    <row r="83" spans="1:40">
      <c r="A83" s="77" t="s">
        <v>104</v>
      </c>
      <c r="X83" s="104"/>
      <c r="Y83" s="104"/>
      <c r="Z83" s="104"/>
      <c r="AL83" s="104"/>
      <c r="AM83" s="104"/>
      <c r="AN83" s="104"/>
    </row>
    <row r="84" spans="1:40">
      <c r="A84" s="77" t="s">
        <v>105</v>
      </c>
      <c r="X84" s="104"/>
      <c r="Y84" s="104"/>
      <c r="Z84" s="104"/>
      <c r="AL84" s="104"/>
      <c r="AM84" s="104"/>
      <c r="AN84" s="104"/>
    </row>
    <row r="85" spans="1:40">
      <c r="A85" s="77" t="s">
        <v>106</v>
      </c>
      <c r="X85" s="104"/>
      <c r="Y85" s="104"/>
      <c r="Z85" s="104"/>
      <c r="AL85" s="104"/>
      <c r="AM85" s="104"/>
      <c r="AN85" s="104"/>
    </row>
    <row r="86" spans="1:40">
      <c r="A86" s="77" t="s">
        <v>107</v>
      </c>
      <c r="AL86" s="104"/>
      <c r="AM86" s="104"/>
      <c r="AN86" s="104"/>
    </row>
    <row r="87" spans="1:40">
      <c r="A87" s="77" t="s">
        <v>108</v>
      </c>
    </row>
    <row r="88" spans="1:40" ht="17.25">
      <c r="A88" s="314" t="str">
        <f>AO1</f>
        <v>２０１４年のデータ</v>
      </c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/>
      <c r="AE88" s="314"/>
      <c r="AF88" s="314"/>
      <c r="AG88" s="314"/>
      <c r="AH88" s="314"/>
      <c r="AI88" s="120"/>
      <c r="AJ88" s="120"/>
      <c r="AK88" s="120"/>
      <c r="AL88" s="120"/>
      <c r="AM88" s="120"/>
      <c r="AN88" s="120"/>
    </row>
    <row r="89" spans="1:40" ht="17.25">
      <c r="A89" s="314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/>
      <c r="AE89" s="314"/>
      <c r="AF89" s="314"/>
      <c r="AG89" s="314"/>
      <c r="AH89" s="314"/>
      <c r="AI89" s="120"/>
      <c r="AJ89" s="120"/>
      <c r="AK89" s="120"/>
      <c r="AL89" s="120"/>
      <c r="AM89" s="120"/>
      <c r="AN89" s="120"/>
    </row>
    <row r="90" spans="1:40" ht="17.25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5"/>
      <c r="AC90" s="315"/>
      <c r="AD90" s="315"/>
      <c r="AE90" s="315"/>
      <c r="AF90" s="315"/>
      <c r="AG90" s="315"/>
      <c r="AH90" s="315"/>
      <c r="AI90" s="121"/>
      <c r="AJ90" s="121"/>
      <c r="AK90" s="121"/>
      <c r="AL90" s="121"/>
      <c r="AM90" s="121"/>
      <c r="AN90" s="121"/>
    </row>
    <row r="91" spans="1:40">
      <c r="A91" s="78" t="s">
        <v>13</v>
      </c>
      <c r="B91" s="79">
        <f>'2016年度'!B66</f>
        <v>38</v>
      </c>
      <c r="C91" s="79">
        <f>'2016年度'!C66</f>
        <v>61.774482758620721</v>
      </c>
      <c r="D91" s="79">
        <f>'2016年度'!D66</f>
        <v>112.37931034482759</v>
      </c>
      <c r="E91" s="79">
        <f>'2016年度'!E66</f>
        <v>113.43103448275862</v>
      </c>
      <c r="F91" s="80">
        <f>'2016年度'!F66</f>
        <v>0.18138170498084291</v>
      </c>
      <c r="G91" s="145">
        <f>'2016年度'!G66</f>
        <v>618.27017241379338</v>
      </c>
      <c r="H91" s="164">
        <f>H72</f>
        <v>160.24062500000002</v>
      </c>
      <c r="I91" s="164">
        <f>I72</f>
        <v>321.22500000000002</v>
      </c>
      <c r="J91" s="164">
        <f>J72</f>
        <v>482.16562499999998</v>
      </c>
      <c r="K91" s="145">
        <f>'2016年度'!K66</f>
        <v>600.12241379310342</v>
      </c>
      <c r="L91" s="145">
        <f>'2016年度'!L66</f>
        <v>18.147758620689654</v>
      </c>
      <c r="M91" s="145">
        <f>'2016年度'!M66</f>
        <v>154.47258620689652</v>
      </c>
      <c r="N91" s="164">
        <f>N72</f>
        <v>41.771874999999987</v>
      </c>
      <c r="O91" s="164">
        <f>O72</f>
        <v>83.715624999999989</v>
      </c>
      <c r="P91" s="164">
        <f>P72</f>
        <v>125.66249999999992</v>
      </c>
      <c r="Q91" s="145">
        <f>'2016年度'!Q66</f>
        <v>156.53620689655173</v>
      </c>
      <c r="R91" s="145">
        <f>'2016年度'!R66</f>
        <v>-2.0636206896551719</v>
      </c>
      <c r="S91" s="145">
        <f>'2016年度'!S66</f>
        <v>95.224137931034477</v>
      </c>
      <c r="T91" s="79">
        <f>'2016年度'!T66</f>
        <v>39.11724137931035</v>
      </c>
      <c r="U91" s="79">
        <f>'2016年度'!U66</f>
        <v>73.460344827586226</v>
      </c>
      <c r="V91" s="79">
        <f>'2016年度'!V66</f>
        <v>100.47068965517242</v>
      </c>
      <c r="W91" s="79">
        <f>'2016年度'!W66</f>
        <v>120.95172413793104</v>
      </c>
      <c r="X91" s="80">
        <f>'2016年度'!X66</f>
        <v>0.61247605363984681</v>
      </c>
      <c r="Y91" s="80">
        <f>'2016年度'!Y66</f>
        <v>0.62563457854406124</v>
      </c>
      <c r="Z91" s="80">
        <f>'2016年度'!Z66</f>
        <v>1.3158524904214522E-2</v>
      </c>
      <c r="AA91" s="79">
        <f>'2016年度'!AA66</f>
        <v>29.179310344827595</v>
      </c>
      <c r="AB91" s="79">
        <f>'2016年度'!AB66</f>
        <v>4.9995275888133029E-3</v>
      </c>
      <c r="AC91" s="79">
        <f>'2016年度'!AC66</f>
        <v>4.962915721844291E-3</v>
      </c>
      <c r="AD91" s="79">
        <f>'2016年度'!AD66</f>
        <v>-3.0930715197956654E-5</v>
      </c>
      <c r="AE91" s="79" t="e">
        <f>'2016年度'!AE66</f>
        <v>#DIV/0!</v>
      </c>
      <c r="AF91" s="79" t="e">
        <f>'2016年度'!AF66</f>
        <v>#DIV/0!</v>
      </c>
      <c r="AG91" s="79" t="e">
        <f>'2016年度'!AG66</f>
        <v>#DIV/0!</v>
      </c>
      <c r="AH91" s="79" t="e">
        <f>'2016年度'!AH66</f>
        <v>#DIV/0!</v>
      </c>
      <c r="AI91" s="79">
        <f>'2016年度'!AI66</f>
        <v>1355.0198275862067</v>
      </c>
      <c r="AJ91" s="79">
        <f>'2016年度'!AJ66</f>
        <v>1349.3944827586211</v>
      </c>
      <c r="AK91" s="79">
        <f>'2016年度'!AK66</f>
        <v>5.6253448275861953</v>
      </c>
      <c r="AL91" s="80">
        <f>'2016年度'!AO66</f>
        <v>0</v>
      </c>
      <c r="AM91" s="80">
        <f>'2016年度'!AP66</f>
        <v>0</v>
      </c>
      <c r="AN91" s="80">
        <f>'2016年度'!AS66</f>
        <v>0</v>
      </c>
    </row>
    <row r="92" spans="1:40">
      <c r="A92" s="78" t="s">
        <v>14</v>
      </c>
      <c r="B92" s="79">
        <f>'2016年度'!B67</f>
        <v>9.9101224167913013</v>
      </c>
      <c r="C92" s="79">
        <f>'2016年度'!C67</f>
        <v>8.2622619649083323E-2</v>
      </c>
      <c r="D92" s="79">
        <f>'2016年度'!D67</f>
        <v>2.4383505775462142</v>
      </c>
      <c r="E92" s="79">
        <f>'2016年度'!E67</f>
        <v>1.4986382203275403</v>
      </c>
      <c r="F92" s="80">
        <f>'2016年度'!F67</f>
        <v>7.7013352989054231E-3</v>
      </c>
      <c r="G92" s="145">
        <f>'2016年度'!G67</f>
        <v>0.58295503246212599</v>
      </c>
      <c r="H92" s="164">
        <f>H74</f>
        <v>3.4008285873659063</v>
      </c>
      <c r="I92" s="164">
        <f>I74</f>
        <v>7.0149609706223464</v>
      </c>
      <c r="J92" s="164">
        <f>J74</f>
        <v>10.604031016095838</v>
      </c>
      <c r="K92" s="145">
        <f>'2016年度'!K67</f>
        <v>11.595694723307973</v>
      </c>
      <c r="L92" s="145">
        <f>'2016年度'!L67</f>
        <v>11.723011167564589</v>
      </c>
      <c r="M92" s="145">
        <f>'2016年度'!M67</f>
        <v>0.15528178238906634</v>
      </c>
      <c r="N92" s="164">
        <f>N74</f>
        <v>0.13704102281974448</v>
      </c>
      <c r="O92" s="164">
        <f>O74</f>
        <v>0.18834487070950567</v>
      </c>
      <c r="P92" s="164">
        <f>P74</f>
        <v>0.16607421582320922</v>
      </c>
      <c r="Q92" s="145">
        <f>'2016年度'!Q67</f>
        <v>1.4312654789183457</v>
      </c>
      <c r="R92" s="145">
        <f>'2016年度'!R67</f>
        <v>1.4103493215198188</v>
      </c>
      <c r="S92" s="145">
        <f>'2016年度'!S67</f>
        <v>38.787042478730292</v>
      </c>
      <c r="T92" s="79">
        <f>'2016年度'!T67</f>
        <v>3.6931535224126399</v>
      </c>
      <c r="U92" s="79">
        <f>'2016年度'!U67</f>
        <v>4.7924083568117588</v>
      </c>
      <c r="V92" s="79">
        <f>'2016年度'!V67</f>
        <v>5.9234614579891653</v>
      </c>
      <c r="W92" s="79">
        <f>'2016年度'!W67</f>
        <v>6.6543791784398429</v>
      </c>
      <c r="X92" s="80">
        <f>'2016年度'!X67</f>
        <v>4.4845762446678761E-2</v>
      </c>
      <c r="Y92" s="80">
        <f>'2016年度'!Y67</f>
        <v>4.5493631609152804E-2</v>
      </c>
      <c r="Z92" s="80">
        <f>'2016年度'!Z67</f>
        <v>1.5325424336977392E-3</v>
      </c>
      <c r="AA92" s="79">
        <f>'2016年度'!AA67</f>
        <v>0.48261989191556803</v>
      </c>
      <c r="AB92" s="79">
        <f>'2016年度'!AB67</f>
        <v>3.415302547095971E-4</v>
      </c>
      <c r="AC92" s="79">
        <f>'2016年度'!AC67</f>
        <v>3.306960977802604E-4</v>
      </c>
      <c r="AD92" s="79">
        <f>'2016年度'!AD67</f>
        <v>2.3109018441589134E-4</v>
      </c>
      <c r="AE92" s="79" t="e">
        <f>'2016年度'!AE67</f>
        <v>#DIV/0!</v>
      </c>
      <c r="AF92" s="79" t="e">
        <f>'2016年度'!AF67</f>
        <v>#DIV/0!</v>
      </c>
      <c r="AG92" s="79" t="e">
        <f>'2016年度'!AG67</f>
        <v>#DIV/0!</v>
      </c>
      <c r="AH92" s="79" t="e">
        <f>'2016年度'!AH67</f>
        <v>#DIV/0!</v>
      </c>
      <c r="AI92" s="79">
        <f>'2016年度'!AI67</f>
        <v>0.69848312444617566</v>
      </c>
      <c r="AJ92" s="79">
        <f>'2016年度'!AJ67</f>
        <v>0.71237569361727182</v>
      </c>
      <c r="AK92" s="79">
        <f>'2016年度'!AK67</f>
        <v>0.68648338463985115</v>
      </c>
      <c r="AL92" s="80">
        <f>'2016年度'!AO67</f>
        <v>0</v>
      </c>
      <c r="AM92" s="80">
        <f>'2016年度'!AP67</f>
        <v>0</v>
      </c>
      <c r="AN92" s="80">
        <f>'2016年度'!AS67</f>
        <v>0</v>
      </c>
    </row>
    <row r="93" spans="1:40">
      <c r="A93" s="88" t="s">
        <v>15</v>
      </c>
      <c r="B93" s="89">
        <f>'2016年度'!B68</f>
        <v>4.5408117183046963</v>
      </c>
      <c r="C93" s="89">
        <f>'2016年度'!C68</f>
        <v>0</v>
      </c>
      <c r="D93" s="89">
        <f>'2016年度'!D68</f>
        <v>0</v>
      </c>
      <c r="E93" s="89">
        <f>'2016年度'!E68</f>
        <v>0</v>
      </c>
      <c r="F93" s="90">
        <f>'2016年度'!F68</f>
        <v>0</v>
      </c>
      <c r="G93" s="146">
        <f>'2016年度'!G68</f>
        <v>0</v>
      </c>
      <c r="H93" s="146">
        <f>'2016年度'!H68</f>
        <v>0</v>
      </c>
      <c r="I93" s="146">
        <f>'2016年度'!I68</f>
        <v>0</v>
      </c>
      <c r="J93" s="146">
        <f>'2016年度'!J68</f>
        <v>0</v>
      </c>
      <c r="K93" s="146">
        <f>'2016年度'!K68</f>
        <v>0</v>
      </c>
      <c r="L93" s="146">
        <f>'2016年度'!L68</f>
        <v>0</v>
      </c>
      <c r="M93" s="146">
        <f>'2016年度'!M68</f>
        <v>0</v>
      </c>
      <c r="N93" s="146">
        <f>'2016年度'!N68</f>
        <v>0</v>
      </c>
      <c r="O93" s="146">
        <f>'2016年度'!O68</f>
        <v>0</v>
      </c>
      <c r="P93" s="146">
        <f>'2016年度'!P68</f>
        <v>0</v>
      </c>
      <c r="Q93" s="146">
        <f>'2016年度'!Q68</f>
        <v>0</v>
      </c>
      <c r="R93" s="146">
        <f>'2016年度'!R68</f>
        <v>0</v>
      </c>
      <c r="S93" s="146">
        <f>'2016年度'!S68</f>
        <v>0</v>
      </c>
      <c r="T93" s="89">
        <f>'2016年度'!T68</f>
        <v>0</v>
      </c>
      <c r="U93" s="89">
        <f>'2016年度'!U68</f>
        <v>0</v>
      </c>
      <c r="V93" s="89">
        <f>'2016年度'!V68</f>
        <v>0</v>
      </c>
      <c r="W93" s="89">
        <f>'2016年度'!W68</f>
        <v>0</v>
      </c>
      <c r="X93" s="90">
        <f>'2016年度'!X68</f>
        <v>0</v>
      </c>
      <c r="Y93" s="90">
        <f>'2016年度'!Y68</f>
        <v>0</v>
      </c>
      <c r="Z93" s="90">
        <f>'2016年度'!Z68</f>
        <v>0</v>
      </c>
      <c r="AA93" s="89">
        <f>'2016年度'!AA68</f>
        <v>0</v>
      </c>
      <c r="AB93" s="89">
        <f>'2016年度'!AB68</f>
        <v>0</v>
      </c>
      <c r="AC93" s="89">
        <f>'2016年度'!AC68</f>
        <v>0</v>
      </c>
      <c r="AD93" s="89">
        <f>'2016年度'!AD68</f>
        <v>0</v>
      </c>
      <c r="AE93" s="89" t="e">
        <f>'2016年度'!AE68</f>
        <v>#DIV/0!</v>
      </c>
      <c r="AF93" s="89" t="e">
        <f>'2016年度'!AF68</f>
        <v>#DIV/0!</v>
      </c>
      <c r="AG93" s="89" t="e">
        <f>'2016年度'!AG68</f>
        <v>#DIV/0!</v>
      </c>
      <c r="AH93" s="89" t="e">
        <f>'2016年度'!AH68</f>
        <v>#DIV/0!</v>
      </c>
      <c r="AI93" s="89">
        <f>'2016年度'!AI68</f>
        <v>0</v>
      </c>
      <c r="AJ93" s="89">
        <f>'2016年度'!AJ68</f>
        <v>0</v>
      </c>
      <c r="AK93" s="89">
        <f>'2016年度'!AK68</f>
        <v>0</v>
      </c>
      <c r="AL93" s="90">
        <f>'2016年度'!AO68</f>
        <v>0</v>
      </c>
      <c r="AM93" s="90">
        <f>'2016年度'!AP68</f>
        <v>0</v>
      </c>
      <c r="AN93" s="90">
        <f>'2016年度'!AS68</f>
        <v>0</v>
      </c>
    </row>
    <row r="94" spans="1:40">
      <c r="A94" s="91"/>
      <c r="B94" s="91"/>
      <c r="C94" s="91"/>
      <c r="D94" s="91"/>
      <c r="E94" s="91"/>
      <c r="F94" s="92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91"/>
      <c r="U94" s="91"/>
      <c r="V94" s="91"/>
      <c r="W94" s="91"/>
      <c r="X94" s="92"/>
      <c r="Y94" s="92"/>
      <c r="Z94" s="92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2"/>
      <c r="AM94" s="92"/>
      <c r="AN94" s="92"/>
    </row>
    <row r="95" spans="1:40">
      <c r="A95" s="93" t="s">
        <v>18</v>
      </c>
      <c r="B95" s="94">
        <f>'2016年度'!B70</f>
        <v>47.910122416791303</v>
      </c>
      <c r="C95" s="94">
        <f>'2016年度'!C70</f>
        <v>61.857105378269807</v>
      </c>
      <c r="D95" s="94">
        <f>'2016年度'!D70</f>
        <v>114.8176609223738</v>
      </c>
      <c r="E95" s="94">
        <f>'2016年度'!E70</f>
        <v>114.92967270308615</v>
      </c>
      <c r="F95" s="92">
        <f>'2016年度'!F70</f>
        <v>0.18908304027974834</v>
      </c>
      <c r="G95" s="147">
        <f>'2016年度'!G70</f>
        <v>618.85312744625548</v>
      </c>
      <c r="H95" s="163">
        <f t="shared" ref="H95:J96" si="217">H75</f>
        <v>163.64145358736593</v>
      </c>
      <c r="I95" s="163">
        <f t="shared" si="217"/>
        <v>328.23996097062235</v>
      </c>
      <c r="J95" s="163">
        <f t="shared" si="217"/>
        <v>492.76965601609584</v>
      </c>
      <c r="K95" s="147">
        <f>'2016年度'!K70</f>
        <v>611.71810851641135</v>
      </c>
      <c r="L95" s="147">
        <f>'2016年度'!L70</f>
        <v>29.870769788254243</v>
      </c>
      <c r="M95" s="147">
        <f>'2016年度'!M70</f>
        <v>154.62786798928559</v>
      </c>
      <c r="N95" s="163">
        <f t="shared" ref="N95:P96" si="218">N75</f>
        <v>41.908916022819731</v>
      </c>
      <c r="O95" s="163">
        <f t="shared" si="218"/>
        <v>83.903969870709489</v>
      </c>
      <c r="P95" s="163">
        <f t="shared" si="218"/>
        <v>125.82857421582314</v>
      </c>
      <c r="Q95" s="147">
        <f>'2016年度'!Q70</f>
        <v>157.96747237547007</v>
      </c>
      <c r="R95" s="147">
        <f>'2016年度'!R70</f>
        <v>-0.65327136813535303</v>
      </c>
      <c r="S95" s="147">
        <f>'2016年度'!S70</f>
        <v>134.01118040976476</v>
      </c>
      <c r="T95" s="94">
        <f>'2016年度'!T70</f>
        <v>42.810394901722987</v>
      </c>
      <c r="U95" s="94">
        <f>'2016年度'!U70</f>
        <v>78.252753184397989</v>
      </c>
      <c r="V95" s="94">
        <f>'2016年度'!V70</f>
        <v>106.39415111316158</v>
      </c>
      <c r="W95" s="94">
        <f>'2016年度'!W70</f>
        <v>127.60610331637088</v>
      </c>
      <c r="X95" s="92">
        <f>'2016年度'!X70</f>
        <v>0.65732181608652551</v>
      </c>
      <c r="Y95" s="92">
        <f>'2016年度'!Y70</f>
        <v>0.671128210153214</v>
      </c>
      <c r="Z95" s="92">
        <f>'2016年度'!Z70</f>
        <v>1.4691067337912261E-2</v>
      </c>
      <c r="AA95" s="94">
        <f>'2016年度'!AA70</f>
        <v>29.661930236743164</v>
      </c>
      <c r="AB95" s="94">
        <f>'2016年度'!AB70</f>
        <v>5.3410578435228997E-3</v>
      </c>
      <c r="AC95" s="94">
        <f>'2016年度'!AC70</f>
        <v>5.2936118196245515E-3</v>
      </c>
      <c r="AD95" s="94">
        <f>'2016年度'!AD70</f>
        <v>2.0015946921793468E-4</v>
      </c>
      <c r="AE95" s="94" t="e">
        <f>'2016年度'!AE70</f>
        <v>#DIV/0!</v>
      </c>
      <c r="AF95" s="94" t="e">
        <f>'2016年度'!AF70</f>
        <v>#DIV/0!</v>
      </c>
      <c r="AG95" s="94" t="e">
        <f>'2016年度'!AG70</f>
        <v>#DIV/0!</v>
      </c>
      <c r="AH95" s="94" t="e">
        <f>'2016年度'!AH70</f>
        <v>#DIV/0!</v>
      </c>
      <c r="AI95" s="94">
        <f>'2016年度'!AI70</f>
        <v>1355.718310710653</v>
      </c>
      <c r="AJ95" s="94">
        <f>'2016年度'!AJ70</f>
        <v>1350.1068584522384</v>
      </c>
      <c r="AK95" s="94">
        <f>'2016年度'!AK70</f>
        <v>6.3118282122260467</v>
      </c>
      <c r="AL95" s="92">
        <f>'2016年度'!AO70</f>
        <v>0</v>
      </c>
      <c r="AM95" s="92">
        <f>'2016年度'!AP70</f>
        <v>0</v>
      </c>
      <c r="AN95" s="92">
        <f>'2016年度'!AS70</f>
        <v>0</v>
      </c>
    </row>
    <row r="96" spans="1:40">
      <c r="A96" s="93" t="s">
        <v>19</v>
      </c>
      <c r="B96" s="95">
        <f>'2016年度'!B71</f>
        <v>28.089877583208697</v>
      </c>
      <c r="C96" s="95">
        <f>'2016年度'!C71</f>
        <v>61.691860138971634</v>
      </c>
      <c r="D96" s="95">
        <f>'2016年度'!D71</f>
        <v>109.94095976728137</v>
      </c>
      <c r="E96" s="95">
        <f>'2016年度'!E71</f>
        <v>111.93239626243108</v>
      </c>
      <c r="F96" s="92">
        <f>'2016年度'!F71</f>
        <v>0.17368036968193748</v>
      </c>
      <c r="G96" s="147">
        <f>'2016年度'!G71</f>
        <v>617.68721738133127</v>
      </c>
      <c r="H96" s="163">
        <f t="shared" si="217"/>
        <v>156.83979641263412</v>
      </c>
      <c r="I96" s="163">
        <f t="shared" si="217"/>
        <v>314.2100390293777</v>
      </c>
      <c r="J96" s="163">
        <f t="shared" si="217"/>
        <v>471.56159398390412</v>
      </c>
      <c r="K96" s="147">
        <f>'2016年度'!K71</f>
        <v>588.52671906979549</v>
      </c>
      <c r="L96" s="147">
        <f>'2016年度'!L71</f>
        <v>6.4247474531250646</v>
      </c>
      <c r="M96" s="147">
        <f>'2016年度'!M71</f>
        <v>154.31730442450745</v>
      </c>
      <c r="N96" s="163">
        <f t="shared" si="218"/>
        <v>41.634833977180243</v>
      </c>
      <c r="O96" s="163">
        <f t="shared" si="218"/>
        <v>83.527280129290489</v>
      </c>
      <c r="P96" s="163">
        <f t="shared" si="218"/>
        <v>125.49642578417671</v>
      </c>
      <c r="Q96" s="147">
        <f>'2016年度'!Q71</f>
        <v>155.1049414176334</v>
      </c>
      <c r="R96" s="147">
        <f>'2016年度'!R71</f>
        <v>-3.4739700111749907</v>
      </c>
      <c r="S96" s="147">
        <f>'2016年度'!S71</f>
        <v>56.437095452304185</v>
      </c>
      <c r="T96" s="95">
        <f>'2016年度'!T71</f>
        <v>35.424087856897714</v>
      </c>
      <c r="U96" s="95">
        <f>'2016年度'!U71</f>
        <v>68.667936470774464</v>
      </c>
      <c r="V96" s="95">
        <f>'2016年度'!V71</f>
        <v>94.547228197183259</v>
      </c>
      <c r="W96" s="95">
        <f>'2016年度'!W71</f>
        <v>114.2973449594912</v>
      </c>
      <c r="X96" s="92">
        <f>'2016年度'!X71</f>
        <v>0.5676302911931681</v>
      </c>
      <c r="Y96" s="92">
        <f>'2016年度'!Y71</f>
        <v>0.58014094693490847</v>
      </c>
      <c r="Z96" s="92">
        <f>'2016年度'!Z71</f>
        <v>1.1625982470516784E-2</v>
      </c>
      <c r="AA96" s="95">
        <f>'2016年度'!AA71</f>
        <v>28.696690452912026</v>
      </c>
      <c r="AB96" s="95">
        <f>'2016年度'!AB71</f>
        <v>4.6579973341037062E-3</v>
      </c>
      <c r="AC96" s="95">
        <f>'2016年度'!AC71</f>
        <v>4.6322196240640304E-3</v>
      </c>
      <c r="AD96" s="95">
        <f>'2016年度'!AD71</f>
        <v>-2.62020899613848E-4</v>
      </c>
      <c r="AE96" s="95" t="e">
        <f>'2016年度'!AE71</f>
        <v>#DIV/0!</v>
      </c>
      <c r="AF96" s="95" t="e">
        <f>'2016年度'!AF71</f>
        <v>#DIV/0!</v>
      </c>
      <c r="AG96" s="95" t="e">
        <f>'2016年度'!AG71</f>
        <v>#DIV/0!</v>
      </c>
      <c r="AH96" s="95" t="e">
        <f>'2016年度'!AH71</f>
        <v>#DIV/0!</v>
      </c>
      <c r="AI96" s="95">
        <f>'2016年度'!AI71</f>
        <v>1354.3213444617604</v>
      </c>
      <c r="AJ96" s="95">
        <f>'2016年度'!AJ71</f>
        <v>1348.6821070650037</v>
      </c>
      <c r="AK96" s="95">
        <f>'2016年度'!AK71</f>
        <v>4.9388614429463438</v>
      </c>
      <c r="AL96" s="92">
        <f>'2016年度'!AO71</f>
        <v>0</v>
      </c>
      <c r="AM96" s="92">
        <f>'2016年度'!AP71</f>
        <v>0</v>
      </c>
      <c r="AN96" s="92">
        <f>'2016年度'!AS71</f>
        <v>0</v>
      </c>
    </row>
    <row r="97" spans="1:40">
      <c r="A97" s="91"/>
      <c r="B97" s="91"/>
      <c r="C97" s="91"/>
      <c r="D97" s="91"/>
      <c r="E97" s="91"/>
      <c r="F97" s="92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91"/>
      <c r="U97" s="91"/>
      <c r="V97" s="91"/>
      <c r="W97" s="91"/>
      <c r="X97" s="92"/>
      <c r="Y97" s="92"/>
      <c r="Z97" s="92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2"/>
      <c r="AM97" s="92"/>
      <c r="AN97" s="92"/>
    </row>
    <row r="98" spans="1:40">
      <c r="A98" s="96" t="s">
        <v>16</v>
      </c>
      <c r="B98" s="97">
        <f>'2016年度'!B73</f>
        <v>47</v>
      </c>
      <c r="C98" s="97">
        <f>'2016年度'!C73</f>
        <v>61.85</v>
      </c>
      <c r="D98" s="97">
        <f>'2016年度'!D73</f>
        <v>115</v>
      </c>
      <c r="E98" s="97">
        <f>'2016年度'!E73</f>
        <v>114</v>
      </c>
      <c r="F98" s="92">
        <f>'2016年度'!F73</f>
        <v>0.18611111111111112</v>
      </c>
      <c r="G98" s="147">
        <f>'2016年度'!G73</f>
        <v>618.70000000000005</v>
      </c>
      <c r="H98" s="147">
        <f>'2016年度'!H73</f>
        <v>162.69999999999999</v>
      </c>
      <c r="I98" s="147">
        <f>'2016年度'!I73</f>
        <v>326.3</v>
      </c>
      <c r="J98" s="147">
        <f>'2016年度'!J73</f>
        <v>489.7</v>
      </c>
      <c r="K98" s="147">
        <f>'2016年度'!K73</f>
        <v>610.79999999999995</v>
      </c>
      <c r="L98" s="147">
        <f>'2016年度'!L73</f>
        <v>29.710000000000036</v>
      </c>
      <c r="M98" s="147">
        <f>'2016年度'!M73</f>
        <v>154.59</v>
      </c>
      <c r="N98" s="147">
        <f>'2016年度'!N73</f>
        <v>41.8</v>
      </c>
      <c r="O98" s="147">
        <f>'2016年度'!O73</f>
        <v>83.8</v>
      </c>
      <c r="P98" s="147">
        <f>'2016年度'!P73</f>
        <v>125.7</v>
      </c>
      <c r="Q98" s="147">
        <f>'2016年度'!Q73</f>
        <v>157.4</v>
      </c>
      <c r="R98" s="147">
        <f>'2016年度'!R73</f>
        <v>-1.210000000000008</v>
      </c>
      <c r="S98" s="147">
        <f>'2016年度'!S73</f>
        <v>120</v>
      </c>
      <c r="T98" s="97">
        <f>'2016年度'!T73</f>
        <v>42.3</v>
      </c>
      <c r="U98" s="97">
        <f>'2016年度'!U73</f>
        <v>76.8</v>
      </c>
      <c r="V98" s="97">
        <f>'2016年度'!V73</f>
        <v>104.1</v>
      </c>
      <c r="W98" s="97">
        <f>'2016年度'!W73</f>
        <v>124.6</v>
      </c>
      <c r="X98" s="92">
        <f>'2016年度'!X73</f>
        <v>0.62361111111111112</v>
      </c>
      <c r="Y98" s="92">
        <f>'2016年度'!Y73</f>
        <v>0.63749999999999996</v>
      </c>
      <c r="Z98" s="92">
        <f>'2016年度'!Z73</f>
        <v>1.3888888888888951E-2</v>
      </c>
      <c r="AA98" s="97">
        <f>'2016年度'!AA73</f>
        <v>29.5</v>
      </c>
      <c r="AB98" s="97">
        <f>'2016年度'!AB73</f>
        <v>5.2546296296296299E-3</v>
      </c>
      <c r="AC98" s="97">
        <f>'2016年度'!AC73</f>
        <v>5.162037037037037E-3</v>
      </c>
      <c r="AD98" s="97">
        <f>'2016年度'!AD73</f>
        <v>1.5046296296296335E-4</v>
      </c>
      <c r="AE98" s="97">
        <f>'2016年度'!AE73</f>
        <v>0</v>
      </c>
      <c r="AF98" s="97">
        <f>'2016年度'!AF73</f>
        <v>0</v>
      </c>
      <c r="AG98" s="97">
        <f>'2016年度'!AG73</f>
        <v>0</v>
      </c>
      <c r="AH98" s="97">
        <f>'2016年度'!AH73</f>
        <v>0</v>
      </c>
      <c r="AI98" s="97">
        <f>'2016年度'!AI73</f>
        <v>1355.52</v>
      </c>
      <c r="AJ98" s="97">
        <f>'2016年度'!AJ73</f>
        <v>1349.81</v>
      </c>
      <c r="AK98" s="97">
        <f>'2016年度'!AK73</f>
        <v>6.2699999999999818</v>
      </c>
      <c r="AL98" s="92">
        <f>'2016年度'!AO73</f>
        <v>0</v>
      </c>
      <c r="AM98" s="92">
        <f>'2016年度'!AP73</f>
        <v>0</v>
      </c>
      <c r="AN98" s="92">
        <f>'2016年度'!AS73</f>
        <v>0</v>
      </c>
    </row>
    <row r="99" spans="1:40">
      <c r="A99" s="96" t="s">
        <v>17</v>
      </c>
      <c r="B99" s="97">
        <f>'2016年度'!B74</f>
        <v>30</v>
      </c>
      <c r="C99" s="97">
        <f>'2016年度'!C74</f>
        <v>61.73</v>
      </c>
      <c r="D99" s="97">
        <f>'2016年度'!D74</f>
        <v>111</v>
      </c>
      <c r="E99" s="97">
        <f>'2016年度'!E74</f>
        <v>113</v>
      </c>
      <c r="F99" s="92">
        <f>'2016年度'!F74</f>
        <v>0.17708333333333334</v>
      </c>
      <c r="G99" s="147">
        <f>'2016年度'!G74</f>
        <v>617.90000000000009</v>
      </c>
      <c r="H99" s="147">
        <f>'2016年度'!H74</f>
        <v>160.69999999999999</v>
      </c>
      <c r="I99" s="147">
        <f>'2016年度'!I74</f>
        <v>322.5</v>
      </c>
      <c r="J99" s="147">
        <f>'2016年度'!J74</f>
        <v>484.1</v>
      </c>
      <c r="K99" s="147">
        <f>'2016年度'!K74</f>
        <v>588.5</v>
      </c>
      <c r="L99" s="147">
        <f>'2016年度'!L74</f>
        <v>7.3200000000001637</v>
      </c>
      <c r="M99" s="147">
        <f>'2016年度'!M74</f>
        <v>154.35999999999999</v>
      </c>
      <c r="N99" s="147">
        <f>'2016年度'!N74</f>
        <v>41.7</v>
      </c>
      <c r="O99" s="147">
        <f>'2016年度'!O74</f>
        <v>83.5</v>
      </c>
      <c r="P99" s="147">
        <f>'2016年度'!P74</f>
        <v>125.5</v>
      </c>
      <c r="Q99" s="147">
        <f>'2016年度'!Q74</f>
        <v>155.6</v>
      </c>
      <c r="R99" s="147">
        <f>'2016年度'!R74</f>
        <v>-2.9399999999999977</v>
      </c>
      <c r="S99" s="147">
        <f>'2016年度'!S74</f>
        <v>44</v>
      </c>
      <c r="T99" s="97">
        <f>'2016年度'!T74</f>
        <v>36.200000000000003</v>
      </c>
      <c r="U99" s="97">
        <f>'2016年度'!U74</f>
        <v>69.900000000000006</v>
      </c>
      <c r="V99" s="97">
        <f>'2016年度'!V74</f>
        <v>96.8</v>
      </c>
      <c r="W99" s="97">
        <f>'2016年度'!W74</f>
        <v>116.9</v>
      </c>
      <c r="X99" s="92">
        <f>'2016年度'!X74</f>
        <v>0.57361111111111118</v>
      </c>
      <c r="Y99" s="92">
        <f>'2016年度'!Y74</f>
        <v>0.58611111111111114</v>
      </c>
      <c r="Z99" s="92">
        <f>'2016年度'!Z74</f>
        <v>1.2499999999999956E-2</v>
      </c>
      <c r="AA99" s="97">
        <f>'2016年度'!AA74</f>
        <v>28.7</v>
      </c>
      <c r="AB99" s="97">
        <f>'2016年度'!AB74</f>
        <v>4.7222222222222223E-3</v>
      </c>
      <c r="AC99" s="97">
        <f>'2016年度'!AC74</f>
        <v>4.7106481481481478E-3</v>
      </c>
      <c r="AD99" s="97">
        <f>'2016年度'!AD74</f>
        <v>-2.7777777777777783E-4</v>
      </c>
      <c r="AE99" s="97">
        <f>'2016年度'!AE74</f>
        <v>0</v>
      </c>
      <c r="AF99" s="97">
        <f>'2016年度'!AF74</f>
        <v>0</v>
      </c>
      <c r="AG99" s="97">
        <f>'2016年度'!AG74</f>
        <v>0</v>
      </c>
      <c r="AH99" s="97">
        <f>'2016年度'!AH74</f>
        <v>0</v>
      </c>
      <c r="AI99" s="97">
        <f>'2016年度'!AI74</f>
        <v>1354.55</v>
      </c>
      <c r="AJ99" s="97">
        <f>'2016年度'!AJ74</f>
        <v>1348.83</v>
      </c>
      <c r="AK99" s="97">
        <f>'2016年度'!AK74</f>
        <v>5.2400000000000091</v>
      </c>
      <c r="AL99" s="92">
        <f>'2016年度'!AO74</f>
        <v>0</v>
      </c>
      <c r="AM99" s="92">
        <f>'2016年度'!AP74</f>
        <v>0</v>
      </c>
      <c r="AN99" s="92">
        <f>'2016年度'!AS74</f>
        <v>0</v>
      </c>
    </row>
    <row r="100" spans="1:40">
      <c r="H100" s="163" t="s">
        <v>62</v>
      </c>
      <c r="I100" s="163"/>
    </row>
  </sheetData>
  <mergeCells count="39">
    <mergeCell ref="AQ5:AR5"/>
    <mergeCell ref="CG5:CH5"/>
    <mergeCell ref="CK5:CL5"/>
    <mergeCell ref="CI5:CJ5"/>
    <mergeCell ref="BA5:BB5"/>
    <mergeCell ref="BU5:BV5"/>
    <mergeCell ref="BW5:BX5"/>
    <mergeCell ref="CC5:CD5"/>
    <mergeCell ref="BS5:BT5"/>
    <mergeCell ref="CE5:CF5"/>
    <mergeCell ref="CW5:CX5"/>
    <mergeCell ref="CY4:EC4"/>
    <mergeCell ref="CU5:CV5"/>
    <mergeCell ref="BM5:BN5"/>
    <mergeCell ref="BG5:BH5"/>
    <mergeCell ref="BE5:BF5"/>
    <mergeCell ref="CM5:CN5"/>
    <mergeCell ref="CA5:CB5"/>
    <mergeCell ref="BI5:BJ5"/>
    <mergeCell ref="ED5:EE5"/>
    <mergeCell ref="AO1:EA3"/>
    <mergeCell ref="CQ5:CR5"/>
    <mergeCell ref="CS5:CT5"/>
    <mergeCell ref="CO5:CP5"/>
    <mergeCell ref="BY5:BZ5"/>
    <mergeCell ref="BQ5:BR5"/>
    <mergeCell ref="AY5:AZ5"/>
    <mergeCell ref="BK5:BL5"/>
    <mergeCell ref="BO5:BP5"/>
    <mergeCell ref="BC5:BD5"/>
    <mergeCell ref="A88:AH90"/>
    <mergeCell ref="F1:T1"/>
    <mergeCell ref="AW5:AX5"/>
    <mergeCell ref="AS5:AT5"/>
    <mergeCell ref="AU5:AV5"/>
    <mergeCell ref="G4:L4"/>
    <mergeCell ref="M4:R4"/>
    <mergeCell ref="AO5:AP5"/>
    <mergeCell ref="AO4:CX4"/>
  </mergeCells>
  <phoneticPr fontId="5"/>
  <pageMargins left="0.78740157480314965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2"/>
  <sheetViews>
    <sheetView view="pageBreakPreview" topLeftCell="A31" zoomScale="75" zoomScaleNormal="75" zoomScaleSheetLayoutView="75" workbookViewId="0">
      <selection activeCell="D2" sqref="D2"/>
    </sheetView>
  </sheetViews>
  <sheetFormatPr defaultRowHeight="12"/>
  <sheetData>
    <row r="1" spans="1:17" ht="21">
      <c r="B1" s="27" t="s">
        <v>6</v>
      </c>
      <c r="C1" s="7"/>
      <c r="D1" s="12" t="s">
        <v>47</v>
      </c>
      <c r="H1" s="12" t="str">
        <f>ﾃﾞｰﾀｰ!F1</f>
        <v>2017年度</v>
      </c>
      <c r="N1" s="26" t="s">
        <v>34</v>
      </c>
      <c r="O1" s="13" t="s">
        <v>22</v>
      </c>
      <c r="P1" s="25">
        <f>'2016年度'!A4</f>
        <v>58</v>
      </c>
    </row>
    <row r="2" spans="1:17" ht="36" customHeight="1">
      <c r="B2" s="31" t="s">
        <v>44</v>
      </c>
    </row>
    <row r="3" spans="1:17">
      <c r="B3" t="s">
        <v>8</v>
      </c>
      <c r="D3" s="24" t="s">
        <v>4</v>
      </c>
      <c r="E3" s="24" t="s">
        <v>11</v>
      </c>
      <c r="F3" s="165" t="s">
        <v>71</v>
      </c>
      <c r="G3" s="165" t="s">
        <v>72</v>
      </c>
      <c r="L3" t="str">
        <f>ﾃﾞｰﾀｰ!D5</f>
        <v>追添槽　滴下時間</v>
      </c>
      <c r="N3" s="24" t="s">
        <v>4</v>
      </c>
      <c r="O3" s="24" t="s">
        <v>11</v>
      </c>
      <c r="P3" s="165" t="s">
        <v>71</v>
      </c>
      <c r="Q3" s="165" t="s">
        <v>72</v>
      </c>
    </row>
    <row r="4" spans="1:17">
      <c r="D4" s="10">
        <f>ﾃﾞｰﾀｰ!B91</f>
        <v>38</v>
      </c>
      <c r="E4" s="10">
        <f>ﾃﾞｰﾀｰ!B92</f>
        <v>9.9101224167913013</v>
      </c>
      <c r="F4" s="10">
        <f>ﾃﾞｰﾀｰ!B95</f>
        <v>47.910122416791303</v>
      </c>
      <c r="G4" s="10">
        <f>ﾃﾞｰﾀｰ!B96</f>
        <v>28.089877583208697</v>
      </c>
      <c r="N4" s="10">
        <f>ﾃﾞｰﾀｰ!D91</f>
        <v>112.37931034482759</v>
      </c>
      <c r="O4" s="10">
        <f>ﾃﾞｰﾀｰ!D92</f>
        <v>2.4383505775462142</v>
      </c>
      <c r="P4" s="10">
        <f>ﾃﾞｰﾀｰ!D95</f>
        <v>114.8176609223738</v>
      </c>
      <c r="Q4" s="10">
        <f>ﾃﾞｰﾀｰ!D96</f>
        <v>109.94095976728137</v>
      </c>
    </row>
    <row r="6" spans="1:17">
      <c r="A6" t="s">
        <v>28</v>
      </c>
      <c r="B6">
        <v>40</v>
      </c>
      <c r="C6">
        <v>17</v>
      </c>
      <c r="D6">
        <v>38</v>
      </c>
      <c r="E6">
        <v>0.22638888888888889</v>
      </c>
      <c r="F6">
        <v>30.5</v>
      </c>
      <c r="G6">
        <v>33.1</v>
      </c>
      <c r="H6">
        <v>35.4</v>
      </c>
      <c r="I6">
        <v>36.6</v>
      </c>
      <c r="M6">
        <v>2.5</v>
      </c>
    </row>
    <row r="7" spans="1:17">
      <c r="A7" s="40" t="s">
        <v>29</v>
      </c>
      <c r="B7">
        <v>40</v>
      </c>
      <c r="C7">
        <v>17</v>
      </c>
      <c r="D7">
        <v>38</v>
      </c>
      <c r="E7">
        <v>0.22291666666666665</v>
      </c>
      <c r="F7">
        <v>30.1</v>
      </c>
      <c r="G7">
        <v>33</v>
      </c>
      <c r="H7">
        <v>35.5</v>
      </c>
      <c r="I7">
        <v>36.700000000000003</v>
      </c>
      <c r="M7">
        <v>3.9</v>
      </c>
    </row>
    <row r="8" spans="1:17">
      <c r="A8" t="s">
        <v>30</v>
      </c>
      <c r="B8">
        <v>40</v>
      </c>
      <c r="C8">
        <v>17</v>
      </c>
      <c r="D8">
        <v>38</v>
      </c>
      <c r="E8">
        <v>0.22708333333333333</v>
      </c>
      <c r="F8">
        <v>30.2</v>
      </c>
      <c r="G8">
        <v>32.9</v>
      </c>
      <c r="H8">
        <v>35.299999999999997</v>
      </c>
      <c r="I8">
        <v>36.4</v>
      </c>
    </row>
    <row r="9" spans="1:17">
      <c r="A9" t="s">
        <v>31</v>
      </c>
      <c r="B9">
        <v>40</v>
      </c>
      <c r="C9">
        <v>17</v>
      </c>
      <c r="D9">
        <v>38</v>
      </c>
      <c r="E9">
        <v>0.22291666666666665</v>
      </c>
      <c r="F9">
        <v>30.7</v>
      </c>
      <c r="G9">
        <v>33.4</v>
      </c>
      <c r="H9">
        <v>35.799999999999997</v>
      </c>
      <c r="I9">
        <v>36.9</v>
      </c>
    </row>
    <row r="14" spans="1:17">
      <c r="A14" t="s">
        <v>26</v>
      </c>
      <c r="B14">
        <v>45</v>
      </c>
      <c r="C14">
        <v>19</v>
      </c>
      <c r="D14">
        <v>38</v>
      </c>
      <c r="E14">
        <v>0.22847222222222222</v>
      </c>
      <c r="F14">
        <v>30.4</v>
      </c>
      <c r="G14">
        <v>32.700000000000003</v>
      </c>
      <c r="H14">
        <v>35.299999999999997</v>
      </c>
      <c r="I14">
        <v>36.4</v>
      </c>
      <c r="J14">
        <v>41.2</v>
      </c>
      <c r="K14">
        <v>31.8</v>
      </c>
      <c r="L14">
        <v>2.12</v>
      </c>
    </row>
    <row r="15" spans="1:17">
      <c r="A15" t="s">
        <v>27</v>
      </c>
      <c r="B15">
        <v>40</v>
      </c>
      <c r="C15">
        <v>17</v>
      </c>
      <c r="D15">
        <v>38</v>
      </c>
      <c r="E15">
        <v>0.22222222222222221</v>
      </c>
      <c r="F15">
        <v>30.4</v>
      </c>
      <c r="G15">
        <v>33.200000000000003</v>
      </c>
      <c r="H15">
        <v>35.5</v>
      </c>
      <c r="I15">
        <v>37</v>
      </c>
    </row>
    <row r="16" spans="1:17">
      <c r="A16" t="s">
        <v>25</v>
      </c>
      <c r="B16">
        <v>40</v>
      </c>
      <c r="C16">
        <v>17</v>
      </c>
      <c r="D16">
        <v>38</v>
      </c>
      <c r="E16">
        <v>0.22361111111111109</v>
      </c>
      <c r="F16">
        <v>30.2</v>
      </c>
      <c r="G16">
        <v>33</v>
      </c>
      <c r="H16">
        <v>35.5</v>
      </c>
      <c r="I16">
        <v>36.700000000000003</v>
      </c>
    </row>
    <row r="25" spans="2:17" ht="60" customHeight="1"/>
    <row r="26" spans="2:17">
      <c r="B26" t="str">
        <f>ﾃﾞｰﾀｰ!E5</f>
        <v>触媒槽滴下時間</v>
      </c>
      <c r="D26" s="24" t="s">
        <v>4</v>
      </c>
      <c r="E26" s="24" t="s">
        <v>11</v>
      </c>
      <c r="F26" s="165" t="s">
        <v>71</v>
      </c>
      <c r="G26" s="165" t="s">
        <v>72</v>
      </c>
      <c r="L26" t="str">
        <f>ﾃﾞｰﾀｰ!F5</f>
        <v>total
重合時間</v>
      </c>
      <c r="N26" s="24" t="s">
        <v>4</v>
      </c>
      <c r="O26" s="24" t="s">
        <v>11</v>
      </c>
      <c r="P26" s="165" t="s">
        <v>71</v>
      </c>
      <c r="Q26" s="165" t="s">
        <v>72</v>
      </c>
    </row>
    <row r="27" spans="2:17">
      <c r="D27" s="10">
        <f>ﾃﾞｰﾀｰ!E91</f>
        <v>113.43103448275862</v>
      </c>
      <c r="E27" s="10">
        <f>ﾃﾞｰﾀｰ!E92</f>
        <v>1.4986382203275403</v>
      </c>
      <c r="F27" s="10">
        <f>ﾃﾞｰﾀｰ!E95</f>
        <v>114.92967270308615</v>
      </c>
      <c r="G27" s="10">
        <f>ﾃﾞｰﾀｰ!E96</f>
        <v>111.93239626243108</v>
      </c>
      <c r="N27" s="64">
        <f>ﾃﾞｰﾀｰ!F91</f>
        <v>0.18138170498084291</v>
      </c>
      <c r="O27" s="64">
        <f>ﾃﾞｰﾀｰ!F92</f>
        <v>7.7013352989054231E-3</v>
      </c>
      <c r="P27" s="64">
        <f>ﾃﾞｰﾀｰ!F95</f>
        <v>0.18908304027974834</v>
      </c>
      <c r="Q27" s="64">
        <f>ﾃﾞｰﾀｰ!F96</f>
        <v>0.17368036968193748</v>
      </c>
    </row>
    <row r="48" ht="60" customHeight="1"/>
    <row r="49" spans="2:17">
      <c r="B49" t="str">
        <f>ﾃﾞｰﾀｰ!T5</f>
        <v>2.50Hr
粘度</v>
      </c>
      <c r="D49" s="24" t="s">
        <v>4</v>
      </c>
      <c r="E49" s="24" t="s">
        <v>11</v>
      </c>
      <c r="F49" s="165" t="s">
        <v>71</v>
      </c>
      <c r="G49" s="165" t="s">
        <v>72</v>
      </c>
      <c r="L49" t="str">
        <f>ﾃﾞｰﾀｰ!U5</f>
        <v>3.00Hr
粘度</v>
      </c>
      <c r="N49" s="24" t="s">
        <v>4</v>
      </c>
      <c r="O49" s="24" t="s">
        <v>11</v>
      </c>
      <c r="P49" s="165" t="s">
        <v>71</v>
      </c>
      <c r="Q49" s="165" t="s">
        <v>72</v>
      </c>
    </row>
    <row r="50" spans="2:17">
      <c r="D50" s="10">
        <f>ﾃﾞｰﾀｰ!T91</f>
        <v>39.11724137931035</v>
      </c>
      <c r="E50" s="10">
        <f>ﾃﾞｰﾀｰ!T92</f>
        <v>3.6931535224126399</v>
      </c>
      <c r="F50" s="10">
        <f>ﾃﾞｰﾀｰ!T95</f>
        <v>42.810394901722987</v>
      </c>
      <c r="G50" s="10">
        <f>ﾃﾞｰﾀｰ!T96</f>
        <v>35.424087856897714</v>
      </c>
      <c r="N50" s="10">
        <f>ﾃﾞｰﾀｰ!U91</f>
        <v>73.460344827586226</v>
      </c>
      <c r="O50" s="10">
        <f>ﾃﾞｰﾀｰ!U92</f>
        <v>4.7924083568117588</v>
      </c>
      <c r="P50" s="10">
        <f>ﾃﾞｰﾀｰ!U95</f>
        <v>78.252753184397989</v>
      </c>
      <c r="Q50" s="10">
        <f>ﾃﾞｰﾀｰ!U96</f>
        <v>68.667936470774464</v>
      </c>
    </row>
    <row r="70" spans="2:17" ht="12" customHeight="1"/>
    <row r="71" spans="2:17" ht="12" customHeight="1"/>
    <row r="72" spans="2:17" ht="12" customHeight="1"/>
    <row r="73" spans="2:17" ht="12" customHeight="1"/>
    <row r="74" spans="2:17" ht="12" customHeight="1"/>
    <row r="75" spans="2:17" ht="12" customHeight="1"/>
    <row r="76" spans="2:17" ht="12" customHeight="1"/>
    <row r="77" spans="2:17" ht="12" customHeight="1"/>
    <row r="78" spans="2:17" ht="12" customHeight="1"/>
    <row r="79" spans="2:17">
      <c r="B79" t="str">
        <f>ﾃﾞｰﾀｰ!V5</f>
        <v>3.50Hr
粘度</v>
      </c>
      <c r="D79" s="24" t="s">
        <v>4</v>
      </c>
      <c r="E79" s="24" t="s">
        <v>11</v>
      </c>
      <c r="F79" s="165" t="s">
        <v>71</v>
      </c>
      <c r="G79" s="165" t="s">
        <v>72</v>
      </c>
      <c r="L79" t="str">
        <f>ﾃﾞｰﾀｰ!W5</f>
        <v>4.00Hr
粘度</v>
      </c>
      <c r="N79" s="24" t="s">
        <v>4</v>
      </c>
      <c r="O79" s="24" t="s">
        <v>11</v>
      </c>
      <c r="P79" s="165" t="s">
        <v>71</v>
      </c>
      <c r="Q79" s="165" t="s">
        <v>72</v>
      </c>
    </row>
    <row r="80" spans="2:17">
      <c r="D80" s="10">
        <f>ﾃﾞｰﾀｰ!V91</f>
        <v>100.47068965517242</v>
      </c>
      <c r="E80" s="10">
        <f>ﾃﾞｰﾀｰ!V92</f>
        <v>5.9234614579891653</v>
      </c>
      <c r="F80" s="10">
        <f>ﾃﾞｰﾀｰ!V95</f>
        <v>106.39415111316158</v>
      </c>
      <c r="G80" s="10">
        <f>ﾃﾞｰﾀｰ!V96</f>
        <v>94.547228197183259</v>
      </c>
      <c r="N80" s="10">
        <f>ﾃﾞｰﾀｰ!W91</f>
        <v>120.95172413793104</v>
      </c>
      <c r="O80" s="10">
        <f>ﾃﾞｰﾀｰ!W92</f>
        <v>6.6543791784398429</v>
      </c>
      <c r="P80" s="10">
        <f>ﾃﾞｰﾀｰ!W95</f>
        <v>127.60610331637088</v>
      </c>
      <c r="Q80" s="10">
        <f>ﾃﾞｰﾀｰ!W96</f>
        <v>114.2973449594912</v>
      </c>
    </row>
    <row r="105" spans="2:20" ht="8.25" customHeight="1"/>
    <row r="109" spans="2:20">
      <c r="B109" t="str">
        <f>ﾃﾞｰﾀｰ!H5</f>
        <v>追添0.5Hr
流量計積算量
(追添槽）</v>
      </c>
      <c r="G109" s="24" t="s">
        <v>4</v>
      </c>
      <c r="H109" s="24" t="s">
        <v>11</v>
      </c>
      <c r="I109" s="165" t="s">
        <v>71</v>
      </c>
      <c r="J109" s="165" t="s">
        <v>72</v>
      </c>
      <c r="L109" t="str">
        <f>ﾃﾞｰﾀｰ!I5</f>
        <v>追添1Hr
流量計積算量
(追添槽）</v>
      </c>
      <c r="Q109" s="24" t="s">
        <v>4</v>
      </c>
      <c r="R109" s="24" t="s">
        <v>11</v>
      </c>
      <c r="S109" s="165" t="s">
        <v>71</v>
      </c>
      <c r="T109" s="165" t="s">
        <v>72</v>
      </c>
    </row>
    <row r="110" spans="2:20">
      <c r="G110" s="10">
        <f>ﾃﾞｰﾀｰ!H91</f>
        <v>160.24062500000002</v>
      </c>
      <c r="H110" s="10">
        <f>ﾃﾞｰﾀｰ!H92</f>
        <v>3.4008285873659063</v>
      </c>
      <c r="I110" s="10">
        <f>ﾃﾞｰﾀｰ!H95</f>
        <v>163.64145358736593</v>
      </c>
      <c r="J110" s="10">
        <f>ﾃﾞｰﾀｰ!H96</f>
        <v>156.83979641263412</v>
      </c>
      <c r="Q110" s="10">
        <f>ﾃﾞｰﾀｰ!I91</f>
        <v>321.22500000000002</v>
      </c>
      <c r="R110" s="10">
        <f>ﾃﾞｰﾀｰ!I92</f>
        <v>7.0149609706223464</v>
      </c>
      <c r="S110" s="10">
        <f>ﾃﾞｰﾀｰ!I95</f>
        <v>328.23996097062235</v>
      </c>
      <c r="T110" s="10">
        <f>ﾃﾞｰﾀｰ!I96</f>
        <v>314.2100390293777</v>
      </c>
    </row>
    <row r="138" spans="2:20">
      <c r="B138" t="str">
        <f>ﾃﾞｰﾀｰ!J5</f>
        <v>追添1.5Hr
流量計積算量
(追添槽）</v>
      </c>
      <c r="G138" s="24" t="s">
        <v>4</v>
      </c>
      <c r="H138" s="24" t="s">
        <v>11</v>
      </c>
      <c r="I138" s="165" t="s">
        <v>71</v>
      </c>
      <c r="J138" s="165" t="s">
        <v>72</v>
      </c>
      <c r="L138" t="str">
        <f>ﾃﾞｰﾀｰ!K5</f>
        <v>最終流量計
積算量
(追添槽）</v>
      </c>
      <c r="Q138" s="24" t="s">
        <v>4</v>
      </c>
      <c r="R138" s="24" t="s">
        <v>11</v>
      </c>
      <c r="S138" s="165" t="s">
        <v>71</v>
      </c>
      <c r="T138" s="165" t="s">
        <v>72</v>
      </c>
    </row>
    <row r="139" spans="2:20">
      <c r="G139" s="10">
        <f>ﾃﾞｰﾀｰ!J91</f>
        <v>482.16562499999998</v>
      </c>
      <c r="H139" s="10">
        <f>ﾃﾞｰﾀｰ!J92</f>
        <v>10.604031016095838</v>
      </c>
      <c r="I139" s="10">
        <f>ﾃﾞｰﾀｰ!J95</f>
        <v>492.76965601609584</v>
      </c>
      <c r="J139" s="10">
        <f>ﾃﾞｰﾀｰ!J96</f>
        <v>471.56159398390412</v>
      </c>
      <c r="Q139" s="10">
        <f>ﾃﾞｰﾀｰ!K91</f>
        <v>600.12241379310342</v>
      </c>
      <c r="R139" s="10">
        <f>ﾃﾞｰﾀｰ!K92</f>
        <v>11.595694723307973</v>
      </c>
      <c r="S139" s="10">
        <f>ﾃﾞｰﾀｰ!K95</f>
        <v>611.71810851641135</v>
      </c>
      <c r="T139" s="10">
        <f>ﾃﾞｰﾀｰ!K96</f>
        <v>588.52671906979549</v>
      </c>
    </row>
    <row r="167" spans="2:19">
      <c r="B167" t="str">
        <f>ﾃﾞｰﾀｰ!L5</f>
        <v>流量計重量差異（追添槽）</v>
      </c>
      <c r="F167" s="24" t="s">
        <v>4</v>
      </c>
      <c r="G167" s="24" t="s">
        <v>11</v>
      </c>
      <c r="H167" s="165" t="s">
        <v>71</v>
      </c>
      <c r="I167" s="165" t="s">
        <v>72</v>
      </c>
      <c r="L167" t="str">
        <f>ﾃﾞｰﾀｰ!N5</f>
        <v>追添0.5Hr
流量計積算量
(触媒槽）</v>
      </c>
      <c r="P167" s="24" t="s">
        <v>4</v>
      </c>
      <c r="Q167" s="24" t="s">
        <v>11</v>
      </c>
      <c r="R167" s="165" t="s">
        <v>71</v>
      </c>
      <c r="S167" s="165" t="s">
        <v>72</v>
      </c>
    </row>
    <row r="168" spans="2:19">
      <c r="F168" s="10">
        <f>ﾃﾞｰﾀｰ!L91</f>
        <v>18.147758620689654</v>
      </c>
      <c r="G168" s="10">
        <f>ﾃﾞｰﾀｰ!L92</f>
        <v>11.723011167564589</v>
      </c>
      <c r="H168" s="10">
        <f>ﾃﾞｰﾀｰ!L95</f>
        <v>29.870769788254243</v>
      </c>
      <c r="I168" s="10">
        <f>ﾃﾞｰﾀｰ!L96</f>
        <v>6.4247474531250646</v>
      </c>
      <c r="P168" s="10">
        <f>ﾃﾞｰﾀｰ!N91</f>
        <v>41.771874999999987</v>
      </c>
      <c r="Q168" s="10">
        <f>ﾃﾞｰﾀｰ!N92</f>
        <v>0.13704102281974448</v>
      </c>
      <c r="R168" s="10">
        <f>ﾃﾞｰﾀｰ!N95</f>
        <v>41.908916022819731</v>
      </c>
      <c r="S168" s="10">
        <f>ﾃﾞｰﾀｰ!N96</f>
        <v>41.634833977180243</v>
      </c>
    </row>
    <row r="196" spans="2:19">
      <c r="B196" t="str">
        <f>ﾃﾞｰﾀｰ!O5</f>
        <v>追添1Hr
流量計積算量
(触媒槽）</v>
      </c>
      <c r="F196" s="24" t="s">
        <v>4</v>
      </c>
      <c r="G196" s="24" t="s">
        <v>11</v>
      </c>
      <c r="H196" s="165" t="s">
        <v>71</v>
      </c>
      <c r="I196" s="165" t="s">
        <v>72</v>
      </c>
      <c r="L196" t="str">
        <f>ﾃﾞｰﾀｰ!P5</f>
        <v>追添1.5Hr
流量計積算量
(触媒槽）</v>
      </c>
      <c r="P196" s="24" t="s">
        <v>4</v>
      </c>
      <c r="Q196" s="24" t="s">
        <v>11</v>
      </c>
      <c r="R196" s="165" t="s">
        <v>71</v>
      </c>
      <c r="S196" s="165" t="s">
        <v>72</v>
      </c>
    </row>
    <row r="197" spans="2:19">
      <c r="F197" s="10">
        <f>ﾃﾞｰﾀｰ!O91</f>
        <v>83.715624999999989</v>
      </c>
      <c r="G197" s="10">
        <f>ﾃﾞｰﾀｰ!O92</f>
        <v>0.18834487070950567</v>
      </c>
      <c r="H197" s="10">
        <f>ﾃﾞｰﾀｰ!O95</f>
        <v>83.903969870709489</v>
      </c>
      <c r="I197" s="10">
        <f>ﾃﾞｰﾀｰ!O96</f>
        <v>83.527280129290489</v>
      </c>
      <c r="P197" s="10">
        <f>ﾃﾞｰﾀｰ!P91</f>
        <v>125.66249999999992</v>
      </c>
      <c r="Q197" s="10">
        <f>ﾃﾞｰﾀｰ!P92</f>
        <v>0.16607421582320922</v>
      </c>
      <c r="R197" s="10">
        <f>ﾃﾞｰﾀｰ!P95</f>
        <v>125.82857421582314</v>
      </c>
      <c r="S197" s="10">
        <f>ﾃﾞｰﾀｰ!P96</f>
        <v>125.49642578417671</v>
      </c>
    </row>
    <row r="226" spans="2:19">
      <c r="B226" t="str">
        <f>ﾃﾞｰﾀｰ!Q5</f>
        <v>最終流量計
積算量
(触媒槽）</v>
      </c>
      <c r="F226" s="24" t="s">
        <v>4</v>
      </c>
      <c r="G226" s="24" t="s">
        <v>11</v>
      </c>
      <c r="H226" s="165" t="s">
        <v>71</v>
      </c>
      <c r="I226" s="165" t="s">
        <v>72</v>
      </c>
      <c r="L226" t="str">
        <f>ﾃﾞｰﾀｰ!R5</f>
        <v>流量計重量差異（触媒槽）</v>
      </c>
      <c r="P226" s="24" t="s">
        <v>4</v>
      </c>
      <c r="Q226" s="24" t="s">
        <v>11</v>
      </c>
      <c r="R226" s="165" t="s">
        <v>71</v>
      </c>
      <c r="S226" s="165" t="s">
        <v>72</v>
      </c>
    </row>
    <row r="227" spans="2:19">
      <c r="F227" s="10">
        <f>ﾃﾞｰﾀｰ!Q91</f>
        <v>156.53620689655173</v>
      </c>
      <c r="G227" s="10">
        <f>ﾃﾞｰﾀｰ!Q92</f>
        <v>1.4312654789183457</v>
      </c>
      <c r="H227" s="10">
        <f>ﾃﾞｰﾀｰ!Q95</f>
        <v>157.96747237547007</v>
      </c>
      <c r="I227" s="10">
        <f>ﾃﾞｰﾀｰ!Q96</f>
        <v>155.1049414176334</v>
      </c>
      <c r="P227" s="10">
        <f>ﾃﾞｰﾀｰ!R91</f>
        <v>-2.0636206896551719</v>
      </c>
      <c r="Q227" s="10">
        <f>ﾃﾞｰﾀｰ!R92</f>
        <v>1.4103493215198188</v>
      </c>
      <c r="R227" s="10">
        <f>ﾃﾞｰﾀｰ!R95</f>
        <v>-0.65327136813535303</v>
      </c>
      <c r="S227" s="10">
        <f>ﾃﾞｰﾀｰ!R96</f>
        <v>-3.4739700111749907</v>
      </c>
    </row>
    <row r="255" spans="2:17">
      <c r="B255" t="s">
        <v>38</v>
      </c>
      <c r="D255" t="s">
        <v>4</v>
      </c>
      <c r="E255" t="s">
        <v>11</v>
      </c>
      <c r="F255" s="165" t="s">
        <v>73</v>
      </c>
      <c r="G255" s="165" t="s">
        <v>74</v>
      </c>
      <c r="L255" t="s">
        <v>82</v>
      </c>
      <c r="N255" t="s">
        <v>4</v>
      </c>
      <c r="O255" t="s">
        <v>11</v>
      </c>
      <c r="P255" s="165" t="s">
        <v>73</v>
      </c>
      <c r="Q255" s="165" t="s">
        <v>74</v>
      </c>
    </row>
    <row r="256" spans="2:17">
      <c r="B256" s="10"/>
      <c r="C256" s="10"/>
      <c r="D256" s="10">
        <f>ﾃﾞｰﾀｰ!AK91</f>
        <v>5.6253448275861953</v>
      </c>
      <c r="E256" s="10">
        <f>ﾃﾞｰﾀｰ!AK92</f>
        <v>0.68648338463985115</v>
      </c>
      <c r="F256" s="10">
        <f>ﾃﾞｰﾀｰ!AK95</f>
        <v>6.3118282122260467</v>
      </c>
      <c r="G256" s="10">
        <f>ﾃﾞｰﾀｰ!AK96</f>
        <v>4.9388614429463438</v>
      </c>
      <c r="N256" s="10">
        <f>ﾃﾞｰﾀｰ!Z$91</f>
        <v>1.3158524904214522E-2</v>
      </c>
      <c r="O256" s="10">
        <f>ﾃﾞｰﾀｰ!Z$92</f>
        <v>1.5325424336977392E-3</v>
      </c>
      <c r="P256" s="10">
        <f>ﾃﾞｰﾀｰ!Z$95</f>
        <v>1.4691067337912261E-2</v>
      </c>
      <c r="Q256" s="10">
        <f>ﾃﾞｰﾀｰ!Z$96</f>
        <v>1.1625982470516784E-2</v>
      </c>
    </row>
    <row r="278" spans="2:17">
      <c r="B278" t="s">
        <v>83</v>
      </c>
      <c r="D278" t="s">
        <v>4</v>
      </c>
      <c r="E278" t="s">
        <v>11</v>
      </c>
      <c r="F278" s="165" t="s">
        <v>73</v>
      </c>
      <c r="G278" s="165" t="s">
        <v>74</v>
      </c>
      <c r="L278" t="s">
        <v>84</v>
      </c>
      <c r="N278" t="s">
        <v>4</v>
      </c>
      <c r="O278" t="s">
        <v>11</v>
      </c>
      <c r="P278" s="165" t="s">
        <v>73</v>
      </c>
      <c r="Q278" s="165" t="s">
        <v>74</v>
      </c>
    </row>
    <row r="279" spans="2:17">
      <c r="D279" s="10">
        <f>ﾃﾞｰﾀｰ!AA$91</f>
        <v>29.179310344827595</v>
      </c>
      <c r="E279" s="10">
        <f>ﾃﾞｰﾀｰ!AA$92</f>
        <v>0.48261989191556803</v>
      </c>
      <c r="F279" s="10">
        <f>ﾃﾞｰﾀｰ!AA$95</f>
        <v>29.661930236743164</v>
      </c>
      <c r="G279" s="10">
        <f>ﾃﾞｰﾀｰ!AA$96</f>
        <v>28.696690452912026</v>
      </c>
      <c r="N279" s="10">
        <f>ﾃﾞｰﾀｰ!AN$91</f>
        <v>0</v>
      </c>
      <c r="O279" s="10">
        <f>ﾃﾞｰﾀｰ!AN$92</f>
        <v>0</v>
      </c>
      <c r="P279" s="10">
        <f>ﾃﾞｰﾀｰ!AN$95</f>
        <v>0</v>
      </c>
      <c r="Q279" s="10">
        <f>ﾃﾞｰﾀｰ!AN$96</f>
        <v>0</v>
      </c>
    </row>
    <row r="301" spans="2:7">
      <c r="B301" t="s">
        <v>86</v>
      </c>
      <c r="D301" t="s">
        <v>4</v>
      </c>
      <c r="E301" t="s">
        <v>11</v>
      </c>
      <c r="F301" s="165" t="s">
        <v>73</v>
      </c>
      <c r="G301" s="165" t="s">
        <v>74</v>
      </c>
    </row>
    <row r="302" spans="2:7">
      <c r="D302" s="10">
        <f>ﾃﾞｰﾀｰ!S$91</f>
        <v>95.224137931034477</v>
      </c>
      <c r="E302" s="10">
        <f>ﾃﾞｰﾀｰ!S$92</f>
        <v>38.787042478730292</v>
      </c>
      <c r="F302" s="10">
        <f>ﾃﾞｰﾀｰ!S$95</f>
        <v>134.01118040976476</v>
      </c>
      <c r="G302" s="10">
        <f>ﾃﾞｰﾀｰ!S$96</f>
        <v>56.437095452304185</v>
      </c>
    </row>
    <row r="324" spans="1:17">
      <c r="B324" s="264" t="s">
        <v>123</v>
      </c>
      <c r="D324" s="24" t="s">
        <v>4</v>
      </c>
      <c r="E324" s="24" t="s">
        <v>11</v>
      </c>
      <c r="F324" s="165" t="s">
        <v>71</v>
      </c>
      <c r="G324" s="165" t="s">
        <v>72</v>
      </c>
      <c r="N324" s="24"/>
      <c r="O324" s="24"/>
      <c r="P324" s="165"/>
      <c r="Q324" s="165"/>
    </row>
    <row r="325" spans="1:17">
      <c r="D325" s="10"/>
      <c r="E325" s="10"/>
      <c r="F325" s="10"/>
      <c r="G325" s="10"/>
      <c r="N325" s="10"/>
      <c r="O325" s="10"/>
      <c r="P325" s="10"/>
      <c r="Q325" s="10"/>
    </row>
    <row r="328" spans="1:17">
      <c r="A328" s="40"/>
    </row>
    <row r="346" spans="2:17" ht="60" customHeight="1"/>
    <row r="347" spans="2:17">
      <c r="B347" t="s">
        <v>117</v>
      </c>
      <c r="D347" t="s">
        <v>4</v>
      </c>
      <c r="E347" t="s">
        <v>120</v>
      </c>
      <c r="F347" t="s">
        <v>9</v>
      </c>
      <c r="G347" t="s">
        <v>10</v>
      </c>
      <c r="L347" t="s">
        <v>118</v>
      </c>
      <c r="N347" t="s">
        <v>4</v>
      </c>
      <c r="O347" t="s">
        <v>120</v>
      </c>
      <c r="P347" t="s">
        <v>9</v>
      </c>
      <c r="Q347" t="s">
        <v>10</v>
      </c>
    </row>
    <row r="348" spans="2:17">
      <c r="D348" s="10"/>
      <c r="E348" s="10"/>
      <c r="F348" s="10"/>
      <c r="G348" s="10"/>
      <c r="N348" s="10"/>
      <c r="O348" s="10"/>
      <c r="P348" s="10"/>
      <c r="Q348" s="10"/>
    </row>
    <row r="371" spans="2:17">
      <c r="B371" s="264" t="s">
        <v>119</v>
      </c>
      <c r="D371" t="s">
        <v>4</v>
      </c>
      <c r="E371" t="s">
        <v>121</v>
      </c>
      <c r="F371" t="s">
        <v>9</v>
      </c>
      <c r="G371" t="s">
        <v>10</v>
      </c>
    </row>
    <row r="372" spans="2:17">
      <c r="D372" s="10"/>
      <c r="E372" s="10"/>
      <c r="F372" s="10"/>
      <c r="G372" s="10"/>
      <c r="N372" s="10"/>
      <c r="O372" s="10"/>
      <c r="P372" s="10"/>
      <c r="Q372" s="10"/>
    </row>
  </sheetData>
  <phoneticPr fontId="5"/>
  <printOptions horizontalCentered="1"/>
  <pageMargins left="0.23622047244094491" right="0.23622047244094491" top="0.39370078740157483" bottom="0.19685039370078741" header="0" footer="0"/>
  <pageSetup paperSize="12" scale="71" orientation="portrait" r:id="rId1"/>
  <headerFooter alignWithMargins="0"/>
  <rowBreaks count="1" manualBreakCount="1">
    <brk id="224" min="1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2016年度</vt:lpstr>
      <vt:lpstr>ﾃﾞｰﾀｰ</vt:lpstr>
      <vt:lpstr>管理図</vt:lpstr>
      <vt:lpstr>ﾃﾞｰﾀｰ!Print_Area</vt:lpstr>
      <vt:lpstr>管理図!Print_Area</vt:lpstr>
    </vt:vector>
  </TitlesOfParts>
  <Company>製造２課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東レ・ファインケミカル</dc:creator>
  <cp:lastModifiedBy>jun</cp:lastModifiedBy>
  <cp:lastPrinted>2015-04-06T06:24:56Z</cp:lastPrinted>
  <dcterms:created xsi:type="dcterms:W3CDTF">2004-06-06T07:08:26Z</dcterms:created>
  <dcterms:modified xsi:type="dcterms:W3CDTF">2018-07-04T07:56:43Z</dcterms:modified>
</cp:coreProperties>
</file>